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Default Extension="png" ContentType="image/png"/>
  <Override PartName="/docMetadata/LabelInfo.xml" ContentType="application/vnd.ms-office.classificationlabels+xml"/>
  <Override PartName="/xl/vbaProject.bin" ContentType="application/vnd.ms-office.vbaProject"/>
  <Override PartName="/xl/styles.xml" ContentType="application/vnd.openxmlformats-officedocument.spreadsheetml.styles+xml"/>
  <Override PartName="/xl/drawings/drawing1.xml" ContentType="application/vnd.openxmlformats-officedocument.drawing+xml"/>
  <Default Extension="bin" ContentType="application/vnd.openxmlformats-officedocument.spreadsheetml.printerSettings"/>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drawings/drawing3.xml" ContentType="application/vnd.openxmlformats-officedocument.drawing+xml"/>
  <Override PartName="/xl/worksheets/sheet6.xml" ContentType="application/vnd.openxmlformats-officedocument.spreadsheetml.worksheet+xml"/>
  <Override PartName="/xl/comments7.xml" ContentType="application/vnd.openxmlformats-officedocument.spreadsheetml.comments+xml"/>
  <Override PartName="/xl/ctrProps/ctrProp1.xml" ContentType="application/vnd.ms-excel.controlproperties+xml"/>
  <Override PartName="/xl/drawings/drawing4.xml" ContentType="application/vnd.openxmlformats-officedocument.drawing+xml"/>
  <Default Extension="vml" ContentType="application/vnd.openxmlformats-officedocument.vmlDrawing"/>
  <Override PartName="/xl/worksheets/sheet7.xml" ContentType="application/vnd.openxmlformats-officedocument.spreadsheetml.worksheet+xml"/>
  <Override PartName="/xl/ctrProps/ctrProp2.xml" ContentType="application/vnd.ms-excel.controlproperties+xml"/>
  <Override PartName="/xl/drawings/drawing5.xml" ContentType="application/vnd.openxmlformats-officedocument.drawing+xml"/>
  <Override PartName="/xl/worksheets/sheet8.xml" ContentType="application/vnd.openxmlformats-officedocument.spreadsheetml.worksheet+xml"/>
  <Override PartName="/xl/ctrProps/ctrProp3.xml" ContentType="application/vnd.ms-excel.controlproperties+xml"/>
  <Override PartName="/xl/drawings/drawing6.xml" ContentType="application/vnd.openxmlformats-officedocument.drawing+xml"/>
  <Override PartName="/xl/worksheets/sheet9.xml" ContentType="application/vnd.openxmlformats-officedocument.spreadsheetml.worksheet+xml"/>
  <Override PartName="/xl/ctrProps/ctrProp4.xml" ContentType="application/vnd.ms-excel.controlproperties+xml"/>
  <Override PartName="/xl/drawings/drawing7.xml" ContentType="application/vnd.openxmlformats-officedocument.drawing+xml"/>
  <Override PartName="/xl/worksheets/sheet10.xml" ContentType="application/vnd.openxmlformats-officedocument.spreadsheetml.worksheet+xml"/>
  <Override PartName="/xl/ctrProps/ctrProp5.xml" ContentType="application/vnd.ms-excel.controlproperties+xml"/>
  <Override PartName="/xl/drawings/drawing8.xml" ContentType="application/vnd.openxmlformats-officedocument.drawing+xml"/>
  <Override PartName="/xl/worksheets/sheet11.xml" ContentType="application/vnd.openxmlformats-officedocument.spreadsheetml.worksheet+xml"/>
  <Override PartName="/xl/ctrProps/ctrProp6.xml" ContentType="application/vnd.ms-excel.controlproperties+xml"/>
  <Override PartName="/xl/drawings/drawing9.xml" ContentType="application/vnd.openxmlformats-officedocument.drawing+xml"/>
  <Override PartName="/xl/worksheets/sheet12.xml" ContentType="application/vnd.openxmlformats-officedocument.spreadsheetml.worksheet+xml"/>
  <Override PartName="/xl/ctrProps/ctrProp7.xml" ContentType="application/vnd.ms-excel.controlproperties+xml"/>
  <Override PartName="/xl/drawings/drawing10.xml" ContentType="application/vnd.openxmlformats-officedocument.drawing+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metadata.xml" ContentType="application/vnd.openxmlformats-officedocument.spreadsheetml.sheetMetadata+xml"/>
  <Override PartName="/xl/calcChain.xml" ContentType="application/vnd.openxmlformats-officedocument.spreadsheetml.calcChain+xml"/>
</Types>
</file>

<file path=_rels/.rels><?xml version="1.0" encoding="UTF-8" standalone="yes"?><Relationships xmlns="http://schemas.openxmlformats.org/package/2006/relationships"><Relationship Id="rId5" Type="http://schemas.microsoft.com/office/2020/02/relationships/classificationlabels" Target="docMetadata/LabelInfo.xml" /><Relationship Id="rId2" Type="http://schemas.openxmlformats.org/package/2006/relationships/metadata/core-properties" Target="docProps/core.xml" /><Relationship Id="rId1" Type="http://schemas.openxmlformats.org/officeDocument/2006/relationships/officeDocument" Target="xl/workbook.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employersolution-my.sharepoint.com/personal/hdrury_prismhr_com/Documents/Desktop/Client Facing Documents/"/>
    </mc:Choice>
  </mc:AlternateContent>
  <bookViews>
    <workbookView xWindow="28680" yWindow="-120" windowWidth="29040" windowHeight="15720" tabRatio="936" firstSheet="4" activeTab="12"/>
  </bookViews>
  <sheets>
    <sheet name="CSExport" sheetId="4" r:id="rId4"/>
    <sheet name="ClassesPlans" sheetId="34" r:id="rId5"/>
    <sheet name="CurrentPlans" sheetId="25" r:id="rId6"/>
    <sheet name="RenewalPlans" sheetId="26" r:id="rId7"/>
    <sheet name="Welcome" sheetId="36" r:id="rId8"/>
    <sheet name="Total Cost" sheetId="23" r:id="rId9"/>
    <sheet name="Class 1" sheetId="1" r:id="rId10"/>
    <sheet name="Class 2" sheetId="55" r:id="rId11"/>
    <sheet name="Class 3" sheetId="61" r:id="rId12"/>
    <sheet name="Class 4" sheetId="62" r:id="rId13"/>
    <sheet name="Class 5" sheetId="63" r:id="rId14"/>
    <sheet name="Class 6" sheetId="64" r:id="rId15"/>
    <sheet name="Class 7" sheetId="65" r:id="rId16"/>
    <sheet name="Health Summary" sheetId="27" r:id="rId17"/>
    <sheet name="Dental Summary" sheetId="42" r:id="rId18"/>
    <sheet name="Vision Summary" sheetId="43" r:id="rId19"/>
    <sheet name="STD Summary" sheetId="40" r:id="rId20"/>
    <sheet name="LTD Summary" sheetId="45" r:id="rId21"/>
    <sheet name="Life Summary" sheetId="44" r:id="rId22"/>
    <sheet name="Ancillary Plans" sheetId="66" state="hidden" r:id="rId23"/>
    <sheet name="Questco Voluntary" sheetId="67" r:id="rId24"/>
  </sheets>
  <externalReferences>
    <externalReference r:id="rId31"/>
    <externalReference r:id="rId32"/>
  </externalReferences>
  <definedNames>
    <definedName name="Alternate_Dental_EE_Count">'Class 1'!$Z$871</definedName>
    <definedName name="Alternate_Dental_EE_Count_C2">'Class 2'!$Z$871</definedName>
    <definedName name="Alternate_Dental_EE_Count_C3">'Class 3'!$Z$871</definedName>
    <definedName name="Alternate_Dental_EE_Count_C4">'Class 4'!$Z$871</definedName>
    <definedName name="Alternate_Dental_EE_Count_C5">'Class 5'!$Z$871</definedName>
    <definedName name="Alternate_Dental_EE_Count_C6">'Class 6'!$Z$871</definedName>
    <definedName name="Alternate_Dental_EE_Count_C7">'Class 7'!$Z$871</definedName>
    <definedName name="Alternate_Dental_Total">'Class 1'!$Z$868</definedName>
    <definedName name="Alternate_Dental_Total_C2">'Class 2'!$Z$868</definedName>
    <definedName name="Alternate_Dental_Total_C3">'Class 3'!$Z$868</definedName>
    <definedName name="Alternate_Dental_Total_C4">'Class 4'!$Z$868</definedName>
    <definedName name="Alternate_Dental_Total_C5">'Class 5'!$Z$868</definedName>
    <definedName name="Alternate_Dental_Total_C6">'Class 6'!$Z$868</definedName>
    <definedName name="Alternate_Dental_Total_C7">'Class 7'!$Z$868</definedName>
    <definedName name="Alternate_Medical_EE_Count">'Class 1'!$Z$870</definedName>
    <definedName name="Alternate_Medical_EE_Count_C2">'Class 2'!$Z$870</definedName>
    <definedName name="Alternate_Medical_EE_Count_C3">'Class 3'!$Z$870</definedName>
    <definedName name="Alternate_Medical_EE_Count_C4">'Class 4'!$Z$870</definedName>
    <definedName name="Alternate_Medical_EE_Count_C5">'Class 5'!$Z$870</definedName>
    <definedName name="Alternate_Medical_EE_Count_C6">'Class 6'!$Z$870</definedName>
    <definedName name="Alternate_Medical_EE_Count_C7">'Class 7'!$Z$870</definedName>
    <definedName name="Alternate_Medical_Total">'Class 1'!$Z$867</definedName>
    <definedName name="Alternate_Medical_Total_C2">'Class 2'!$Z$867</definedName>
    <definedName name="Alternate_Medical_Total_C3">'Class 3'!$Z$867</definedName>
    <definedName name="Alternate_Medical_Total_C4">'Class 4'!$Z$867</definedName>
    <definedName name="Alternate_Medical_Total_C5">'Class 5'!$Z$867</definedName>
    <definedName name="Alternate_Medical_Total_C6">'Class 6'!$Z$867</definedName>
    <definedName name="Alternate_Medical_Total_C7">'Class 7'!$Z$867</definedName>
    <definedName name="Alternate_Vision_EE_Count">'Class 1'!$Z$872</definedName>
    <definedName name="Alternate_Vision_EE_Count_C2">'Class 2'!$Z$872</definedName>
    <definedName name="Alternate_Vision_EE_Count_C3">'Class 3'!$Z$872</definedName>
    <definedName name="Alternate_Vision_EE_Count_C4">'Class 4'!$Z$872</definedName>
    <definedName name="Alternate_Vision_EE_Count_C5">'Class 5'!$Z$872</definedName>
    <definedName name="Alternate_Vision_EE_Count_C6">'Class 6'!$Z$872</definedName>
    <definedName name="Alternate_Vision_EE_Count_C7">'Class 7'!$Z$872</definedName>
    <definedName name="Alternate_Vision_total">'Class 1'!$Z$869</definedName>
    <definedName name="Alternate_Vision_total_C2">'Class 2'!$Z$869</definedName>
    <definedName name="Alternate_Vision_total_C3">'Class 3'!$Z$869</definedName>
    <definedName name="Alternate_Vision_total_C4">'Class 4'!$Z$869</definedName>
    <definedName name="Alternate_Vision_total_C5">'Class 5'!$Z$869</definedName>
    <definedName name="Alternate_Vision_total_C6">'Class 6'!$Z$869</definedName>
    <definedName name="Alternate_Vision_total_C7">'Class 7'!$Z$869</definedName>
    <definedName name="BEGIN_CURRENT_DENTAL">CurrentPlans!$A$9</definedName>
    <definedName name="BEGIN_CURRENT_HEALTH">CurrentPlans!$A$4</definedName>
    <definedName name="BEGIN_CURRENT_OTHER">CurrentPlans!$A$19</definedName>
    <definedName name="BEGIN_CURRENT_VISION">CurrentPlans!$A$14</definedName>
    <definedName name="BEGIN_Renew_Dental">RenewalPlans!$B$10</definedName>
    <definedName name="BEGIN_Renew_Dental_PLANID">RenewalPlans!$C$10</definedName>
    <definedName name="BEGIN_RENEW_HEALTH">RenewalPlans!$B$4</definedName>
    <definedName name="BEGIN_RENEW_HEALTH_PLANID">RenewalPlans!$C$4</definedName>
    <definedName name="BEGIN_Renew_LIFE_PlanID">RenewalPlans!$C$34</definedName>
    <definedName name="BEGIN_Renew_LTD_PlanID">RenewalPlans!$C$28</definedName>
    <definedName name="BEGIN_Renew_Other">RenewalPlans!$Z$40</definedName>
    <definedName name="BEGIN_Renew_STD_PlanID">RenewalPlans!$C$22</definedName>
    <definedName name="BEGIN_Renew_Vision">RenewalPlans!$B$16</definedName>
    <definedName name="BEGIN_Renew_Vision_PlanID">RenewalPlans!$C$16</definedName>
    <definedName name="BEGIN_RENEWEDFROM_DENTAL">RenewalPlans!$A$10</definedName>
    <definedName name="BEGIN_RENEWEDFROM_HEALTH">RenewalPlans!$A$4</definedName>
    <definedName name="BEGIN_RENEWEDFROM_LIFE">RenewalPlans!$A$34</definedName>
    <definedName name="BEGIN_RENEWEDFROM_LTD">RenewalPlans!$A$28</definedName>
    <definedName name="BEGIN_RENEWEDFROM_OTHER">RenewalPlans!$A$40</definedName>
    <definedName name="BEGIN_RENEWEDFROM_STD">RenewalPlans!$A$22</definedName>
    <definedName name="BEGIN_RENEWEDFROM_VISION">RenewalPlans!$A$16</definedName>
    <definedName name="BEGIN_UniqueDentalPlans">ClassesPlans!$A$36</definedName>
    <definedName name="BEGIN_UniqueHealthPlans">ClassesPlans!$A$30</definedName>
    <definedName name="BEGIN_UniqueLifePlans">ClassesPlans!$A$60</definedName>
    <definedName name="BEGIN_UniqueLifeVolPlans">[1]ClassesPlans!#REF!</definedName>
    <definedName name="BEGIN_UniqueLTDPlans">ClassesPlans!$A$54</definedName>
    <definedName name="BEGIN_UniqueOtherPlans">ClassesPlans!$A$67</definedName>
    <definedName name="BEGIN_UniqueSTDPlans">ClassesPlans!$A$48</definedName>
    <definedName name="BEGIN_UniqueVisionPlans">ClassesPlans!$A$42</definedName>
    <definedName name="Benefit_Year_Display">CSExport!$B$15</definedName>
    <definedName name="BenefitContactEmail">CSExport!$B$10</definedName>
    <definedName name="BenefitContactName">CSExport!$B$9</definedName>
    <definedName name="BenefitContactPhone">CSExport!$B$11</definedName>
    <definedName name="BenefitRepEmail">CSExport!$B$13</definedName>
    <definedName name="BenefitRepName">CSExport!$B$12</definedName>
    <definedName name="BenefitRepPhone">CSExport!$B$14</definedName>
    <definedName name="Child_Entities">[1]CSExport!#REF!</definedName>
    <definedName name="Class1_Code">ClassesPlans!$B$8</definedName>
    <definedName name="Class1_CurrentDentalCount">ClassesPlans!$B$10</definedName>
    <definedName name="Class1_CurrentDentalStart">ClassesPlans!$B$22</definedName>
    <definedName name="Class1_CurrentHealthCount">ClassesPlans!$B$9</definedName>
    <definedName name="Class1_CurrentHealthStart">ClassesPlans!$B$21</definedName>
    <definedName name="Class1_CurrentVisionCount">ClassesPlans!$B$11</definedName>
    <definedName name="Class1_CurrentVisionStart">ClassesPlans!$B$23</definedName>
    <definedName name="Class1_Dental_Section">'Class 1'!$D$664</definedName>
    <definedName name="Class1_DisabilityLife_Section">'Class 1'!$D$879</definedName>
    <definedName name="Class1_EndPlans">'Class 1'!$D$866</definedName>
    <definedName name="Class1_Health_Plan1_MonthPrem">'Class 1'!$J$19</definedName>
    <definedName name="Class1_Health_Section">'Class 1'!$D$13</definedName>
    <definedName name="Class1_HealthSection">'Class 1'!$D$12</definedName>
    <definedName name="Class1_Name">ClassesPlans!$B$7</definedName>
    <definedName name="Class1_NewDental1">'Class 1'!$L$715</definedName>
    <definedName name="Class1_NewDental2">'Class 1'!$L$725</definedName>
    <definedName name="Class1_NewDental3">'Class 1'!$L$735</definedName>
    <definedName name="Class1_NewDental4">'Class 1'!$L$745</definedName>
    <definedName name="Class1_NewDental5">'Class 1'!$L$755</definedName>
    <definedName name="Class1_NewHealth1">'Class 1'!$L$514</definedName>
    <definedName name="Class1_NewHealth2">'Class 1'!$L$564</definedName>
    <definedName name="Class1_NewHealth3">'Class 1'!$L$614</definedName>
    <definedName name="Class1_NewVision1">'Class 1'!$L$816</definedName>
    <definedName name="Class1_NewVision2">'Class 1'!$L$826</definedName>
    <definedName name="Class1_NewVision3">'Class 1'!$L$836</definedName>
    <definedName name="Class1_NewVision4">'Class 1'!$L$846</definedName>
    <definedName name="Class1_NewVision5">'Class 1'!$L$856</definedName>
    <definedName name="Class1_RenewalDentalCount">ClassesPlans!$B$13</definedName>
    <definedName name="Class1_RenewalDentalPlan1">'Class 1'!$L$665</definedName>
    <definedName name="Class1_RenewalDentalPlan2">'Class 1'!$L$675</definedName>
    <definedName name="Class1_RenewalDentalPlan3">'Class 1'!$L$685</definedName>
    <definedName name="Class1_RenewalDentalPlan4">'Class 1'!$L$695</definedName>
    <definedName name="Class1_RenewalDentalPlan5">'Class 1'!$L$705</definedName>
    <definedName name="Class1_RenewalDentalStart">ClassesPlans!$B$19</definedName>
    <definedName name="Class1_RenewalHealthCount">ClassesPlans!$B$12</definedName>
    <definedName name="Class1_RenewalHealthPlan1">'Class 1'!$L$14</definedName>
    <definedName name="Class1_RenewalHealthPlan10">'Class 1'!$L$464</definedName>
    <definedName name="Class1_RenewalHealthPlan2">'Class 1'!$L$64</definedName>
    <definedName name="Class1_RenewalHealthPlan3">'Class 1'!$L$114</definedName>
    <definedName name="Class1_RenewalHealthPlan4">'Class 1'!$L$164</definedName>
    <definedName name="Class1_RenewalHealthPlan5">'Class 1'!$L$214</definedName>
    <definedName name="Class1_RenewalHealthPlan6">'Class 1'!$L$264</definedName>
    <definedName name="Class1_RenewalHealthPlan7">'Class 1'!$L$314</definedName>
    <definedName name="Class1_RenewalHealthPlan8">'Class 1'!$L$364</definedName>
    <definedName name="Class1_RenewalHealthPlan9">'Class 1'!$L$414</definedName>
    <definedName name="Class1_RenewalHealthStart">ClassesPlans!$B$18</definedName>
    <definedName name="Class1_RenewalLifeCount">ClassesPlans!$B$17</definedName>
    <definedName name="Class1_RenewalLTDCount">ClassesPlans!$B$16</definedName>
    <definedName name="Class1_RenewalSTDCount">ClassesPlans!$B$15</definedName>
    <definedName name="Class1_RenewalVisionCount">ClassesPlans!$B$14</definedName>
    <definedName name="Class1_RenewalVisionPlan1">'Class 1'!$L$766</definedName>
    <definedName name="Class1_RenewalVisionPlan2">'Class 1'!$L$776</definedName>
    <definedName name="Class1_RenewalVisionPlan3">'Class 1'!$L$786</definedName>
    <definedName name="Class1_RenewalVisionPlan4">'Class 1'!$L$796</definedName>
    <definedName name="Class1_RenewalVisionPlan5">'Class 1'!$L$806</definedName>
    <definedName name="Class1_RenewalVisionStart">ClassesPlans!$B$20</definedName>
    <definedName name="Class1_Supplemental_Section">'Class 1'!$D$874</definedName>
    <definedName name="Class1_TotalCost">'Total Cost'!$A$5</definedName>
    <definedName name="Class1_Vision_Section">'Class 1'!$D$765</definedName>
    <definedName name="Class2_Code">ClassesPlans!$C$8</definedName>
    <definedName name="Class2_CurrentDentalCount">ClassesPlans!$C$10</definedName>
    <definedName name="Class2_CurrentDentalStart">ClassesPlans!$C$22</definedName>
    <definedName name="Class2_CurrentHealthCount">ClassesPlans!$C$9</definedName>
    <definedName name="Class2_CurrentHealthStart">ClassesPlans!$C$21</definedName>
    <definedName name="Class2_CurrentVisionCount">ClassesPlans!$C$11</definedName>
    <definedName name="Class2_CurrentVisionStart">ClassesPlans!$C$23</definedName>
    <definedName name="Class2_DentalSection">'Class 2'!$D$664</definedName>
    <definedName name="Class2_DisabilityLife_Section">'Class 2'!$D$879</definedName>
    <definedName name="Class2_HealthSection">'Class 2'!$D$13</definedName>
    <definedName name="Class2_LifeSection">'Class 2'!$D$871</definedName>
    <definedName name="Class2_Name">ClassesPlans!$C$7</definedName>
    <definedName name="Class2_RenewalDentalCount">ClassesPlans!$C$13</definedName>
    <definedName name="Class2_RenewalDentalStart">ClassesPlans!$C$19</definedName>
    <definedName name="Class2_RenewalHealthCount">ClassesPlans!$C$12</definedName>
    <definedName name="Class2_RenewalHealthPlan1" localSheetId="8">'Class 3'!$L$13</definedName>
    <definedName name="Class2_RenewalHealthPlan1" localSheetId="9">'Class 4'!$L$13</definedName>
    <definedName name="Class2_RenewalHealthPlan1" localSheetId="10">'Class 5'!$L$13</definedName>
    <definedName name="Class2_RenewalHealthPlan1" localSheetId="11">'Class 6'!$L$13</definedName>
    <definedName name="Class2_RenewalHealthPlan1" localSheetId="12">'Class 7'!$L$13</definedName>
    <definedName name="Class2_RenewalHealthPlan1">'Class 2'!$L$13</definedName>
    <definedName name="Class2_RenewalHealthStart">ClassesPlans!$C$18</definedName>
    <definedName name="Class2_RenewalLifeCount">ClassesPlans!$C$17</definedName>
    <definedName name="Class2_RenewalLTDCount">ClassesPlans!$C$16</definedName>
    <definedName name="Class2_RenewalSTDCount">ClassesPlans!$C$15</definedName>
    <definedName name="Class2_RenewalVisionCount">ClassesPlans!$C$14</definedName>
    <definedName name="Class2_RenewalVisionStart">ClassesPlans!$C$20</definedName>
    <definedName name="Class2_Supplemental_Section">'Class 2'!$D$866</definedName>
    <definedName name="Class2_TotalCost">'Total Cost'!$A$6</definedName>
    <definedName name="Class2_VisionSection">'Class 2'!$D$765</definedName>
    <definedName name="Class3_Code">ClassesPlans!$D$8</definedName>
    <definedName name="Class3_CurrentDentalCount">ClassesPlans!$D$10</definedName>
    <definedName name="Class3_CurrentDentalStart">ClassesPlans!$D$22</definedName>
    <definedName name="Class3_CurrentHealthCount">ClassesPlans!$D$9</definedName>
    <definedName name="Class3_CurrentHealthStart">ClassesPlans!$D$21</definedName>
    <definedName name="Class3_CurrentVisionCount">ClassesPlans!$D$11</definedName>
    <definedName name="Class3_CurrentVisionStart">ClassesPlans!$D$23</definedName>
    <definedName name="Class3_DentalSection">'Class 3'!$D$664</definedName>
    <definedName name="Class3_HealthSection">'Class 3'!$D$13</definedName>
    <definedName name="Class3_LifeSection">'Class 3'!$D$879</definedName>
    <definedName name="Class3_Name">ClassesPlans!$D$7</definedName>
    <definedName name="Class3_RenewalDentalCount">ClassesPlans!$D$13</definedName>
    <definedName name="Class3_RenewalDentalStart">ClassesPlans!$D$19</definedName>
    <definedName name="Class3_RenewalHealthCount">ClassesPlans!$D$12</definedName>
    <definedName name="Class3_RenewalHealthStart">ClassesPlans!$D$18</definedName>
    <definedName name="Class3_RenewalLifeCount">ClassesPlans!$D$17</definedName>
    <definedName name="Class3_RenewalLTDCount">ClassesPlans!$D$16</definedName>
    <definedName name="Class3_RenewalSTDCount">ClassesPlans!$D$15</definedName>
    <definedName name="Class3_RenewalVisionCount">ClassesPlans!$D$14</definedName>
    <definedName name="Class3_RenewalVisionStart">ClassesPlans!$D$20</definedName>
    <definedName name="Class3_TotalCost">'Total Cost'!$A$7</definedName>
    <definedName name="Class3_VisionSection">'Class 3'!$D$765</definedName>
    <definedName name="Class4_Code">ClassesPlans!$E$8</definedName>
    <definedName name="Class4_CurrentDentalCount">ClassesPlans!$E$10</definedName>
    <definedName name="Class4_CurrentDentalStart">ClassesPlans!$E$22</definedName>
    <definedName name="Class4_CurrentHealthCount">ClassesPlans!$E$9</definedName>
    <definedName name="Class4_CurrentHealthStart">ClassesPlans!$E$21</definedName>
    <definedName name="Class4_CurrentVisionCount">ClassesPlans!$E$11</definedName>
    <definedName name="Class4_CurrentVisionStart">ClassesPlans!$E$23</definedName>
    <definedName name="Class4_DentalSection">'Class 4'!$D$664</definedName>
    <definedName name="Class4_HealthSection">'Class 4'!$D$13</definedName>
    <definedName name="Class4_LifeSection">'Class 4'!$D$879</definedName>
    <definedName name="Class4_Name">ClassesPlans!$E$7</definedName>
    <definedName name="Class4_RenewalDentalCount">ClassesPlans!$E$13</definedName>
    <definedName name="Class4_RenewalDentalStart">ClassesPlans!$E$19</definedName>
    <definedName name="Class4_RenewalHealthCount">ClassesPlans!$E$12</definedName>
    <definedName name="Class4_RenewalHealthStart">ClassesPlans!$E$18</definedName>
    <definedName name="Class4_RenewalLifeCount">ClassesPlans!$E$17</definedName>
    <definedName name="Class4_RenewalLTDCount">ClassesPlans!$E$16</definedName>
    <definedName name="Class4_RenewalSTDCount">ClassesPlans!$E$15</definedName>
    <definedName name="Class4_RenewalVisionCount">ClassesPlans!$E$14</definedName>
    <definedName name="Class4_RenewalVisionStart">ClassesPlans!$E$20</definedName>
    <definedName name="Class4_TotalCost">'Total Cost'!$A$8</definedName>
    <definedName name="Class4_VisionSection">'Class 4'!$D$764</definedName>
    <definedName name="Class5_Code">ClassesPlans!$F$8</definedName>
    <definedName name="Class5_CurrentDentalCount">ClassesPlans!$F$10</definedName>
    <definedName name="Class5_CurrentDentalStart">ClassesPlans!$F$22</definedName>
    <definedName name="Class5_CurrentHealthCount">ClassesPlans!$F$9</definedName>
    <definedName name="Class5_CurrentHealthStart">ClassesPlans!$F$21</definedName>
    <definedName name="Class5_CurrentVisionCount">ClassesPlans!$F$11</definedName>
    <definedName name="Class5_CurrentVisionStart">ClassesPlans!$F$23</definedName>
    <definedName name="Class5_DentalSection">'Class 5'!$D$664</definedName>
    <definedName name="Class5_HealthSection">'Class 5'!$D$13</definedName>
    <definedName name="Class5_LifeSection">'Class 5'!$D$879</definedName>
    <definedName name="Class5_Name">ClassesPlans!$F$7</definedName>
    <definedName name="Class5_RenewalDentalCount">ClassesPlans!$F$13</definedName>
    <definedName name="Class5_RenewalDentalStart">ClassesPlans!$F$19</definedName>
    <definedName name="Class5_RenewalHealthCount">ClassesPlans!$F$12</definedName>
    <definedName name="Class5_RenewalHealthStart">ClassesPlans!$F$18</definedName>
    <definedName name="Class5_RenewalLifeCount">ClassesPlans!$F$17</definedName>
    <definedName name="Class5_RenewalLTDCount">ClassesPlans!$F$16</definedName>
    <definedName name="Class5_RenewalSTDCount">ClassesPlans!$F$15</definedName>
    <definedName name="Class5_RenewalVisionCount">ClassesPlans!$F$14</definedName>
    <definedName name="Class5_RenewalVisionStart">ClassesPlans!$F$20</definedName>
    <definedName name="Class5_TotalCost">'Total Cost'!$A$9</definedName>
    <definedName name="Class5_VisionSection">'Class 5'!$D$765</definedName>
    <definedName name="Class6_Code">ClassesPlans!$G$8</definedName>
    <definedName name="Class6_CurrentDentalCount">ClassesPlans!$G$10</definedName>
    <definedName name="Class6_CurrentDentalStart">ClassesPlans!$G$22</definedName>
    <definedName name="Class6_CurrentHealthCount">ClassesPlans!$G$9</definedName>
    <definedName name="Class6_CurrentHealthStart">ClassesPlans!$G$21</definedName>
    <definedName name="Class6_CurrentVisionCount">ClassesPlans!$G$11</definedName>
    <definedName name="Class6_CurrentVisionStart">ClassesPlans!$G$23</definedName>
    <definedName name="Class6_DentalSection">'Class 6'!$D$664</definedName>
    <definedName name="Class6_HealthSection">'Class 6'!$D$13</definedName>
    <definedName name="Class6_LifeSection">'Class 6'!$D$879</definedName>
    <definedName name="Class6_Name">ClassesPlans!$G$7</definedName>
    <definedName name="Class6_RenewalDentalCount">ClassesPlans!$G$13</definedName>
    <definedName name="Class6_RenewalDentalStart">ClassesPlans!$G$19</definedName>
    <definedName name="Class6_RenewalHealthCount">ClassesPlans!$G$12</definedName>
    <definedName name="Class6_RenewalHealthStart">ClassesPlans!$G$18</definedName>
    <definedName name="Class6_RenewalLifeCount">ClassesPlans!$G$17</definedName>
    <definedName name="Class6_RenewalLTDCount">ClassesPlans!$G$16</definedName>
    <definedName name="Class6_RenewalSTDCount">ClassesPlans!$G$15</definedName>
    <definedName name="Class6_RenewalVisionCount">ClassesPlans!$G$14</definedName>
    <definedName name="Class6_RenewalVisionStart">ClassesPlans!$G$20</definedName>
    <definedName name="Class6_TotalCost">'Total Cost'!$A$10</definedName>
    <definedName name="Class6_VisionSection">'Class 6'!$D$765</definedName>
    <definedName name="Class7_Code">ClassesPlans!$H$8</definedName>
    <definedName name="Class7_CurrentDentalCount">ClassesPlans!$H$10</definedName>
    <definedName name="Class7_CurrentDentalStart">ClassesPlans!$H$22</definedName>
    <definedName name="Class7_CurrentHealthCount">ClassesPlans!$H$9</definedName>
    <definedName name="Class7_CurrentHealthStart">ClassesPlans!$H$21</definedName>
    <definedName name="Class7_CurrentVisionCount">ClassesPlans!$H$11</definedName>
    <definedName name="Class7_CurrentVisionStart">ClassesPlans!$H$23</definedName>
    <definedName name="Class7_DentalSection">'Class 7'!$D$664</definedName>
    <definedName name="Class7_HealthSection">'Class 7'!$D$13</definedName>
    <definedName name="Class7_LifeSection">'Class 7'!$D$879</definedName>
    <definedName name="Class7_Name">ClassesPlans!$H$7</definedName>
    <definedName name="Class7_RenewalDentalCount">ClassesPlans!$H$13</definedName>
    <definedName name="Class7_RenewalDentalStart">ClassesPlans!$H$19</definedName>
    <definedName name="Class7_RenewalHealthCount">ClassesPlans!$H$12</definedName>
    <definedName name="Class7_RenewalHealthStart">ClassesPlans!$H$18</definedName>
    <definedName name="Class7_RenewalLifeCount">ClassesPlans!$H$17</definedName>
    <definedName name="Class7_RenewalLTDCount">ClassesPlans!$H$16</definedName>
    <definedName name="Class7_RenewalSTDCount">ClassesPlans!$H$15</definedName>
    <definedName name="Class7_RenewalVisionCount">ClassesPlans!$H$14</definedName>
    <definedName name="Class7_RenewalVisionStart">ClassesPlans!$H$20</definedName>
    <definedName name="Class7_TotalCost">'Total Cost'!$A$11</definedName>
    <definedName name="Class7_VisionSection">'Class 7'!$D$765</definedName>
    <definedName name="Client_DBA">CSExport!$B$6</definedName>
    <definedName name="Client_Name">CSExport!$B$5</definedName>
    <definedName name="Client_Number">CSExport!$B$7</definedName>
    <definedName name="CommuterPlan">CSExport!#REF!</definedName>
    <definedName name="CountsAsOfDate">ClassesPlans!$B$1</definedName>
    <definedName name="CURRENT_COL_ADVANCED_RADIOLOGY">CurrentPlans!$AD$1</definedName>
    <definedName name="CURRENT_COL_BenefitGroup">CurrentPlans!$G$1</definedName>
    <definedName name="CURRENT_COL_Carrier">CurrentPlans!$E$1</definedName>
    <definedName name="CURRENT_COL_CO_INSURANCE">CurrentPlans!$W$1</definedName>
    <definedName name="CURRENT_COL_DED_FAM">CurrentPlans!$Y$1</definedName>
    <definedName name="CURRENT_COL_DED_INDIV">CurrentPlans!$X$1</definedName>
    <definedName name="CURRENT_COL_EC">CurrentPlans!$J$1</definedName>
    <definedName name="CURRENT_COL_EC_count">CurrentPlans!$P$1</definedName>
    <definedName name="CURRENT_COL_ECContrib">CurrentPlans!$T$1</definedName>
    <definedName name="CURRENT_COL_EK">CurrentPlans!$K$1</definedName>
    <definedName name="CURRENT_COL_EK_count">CurrentPlans!$O$1</definedName>
    <definedName name="CURRENT_COL_EKContrib">CurrentPlans!$U$1</definedName>
    <definedName name="CURRENT_COL_EMERGENCY_ROOM">CurrentPlans!$AG$1</definedName>
    <definedName name="CURRENT_COL_EO">CurrentPlans!$H$1</definedName>
    <definedName name="CURRENT_COL_EO_count">CurrentPlans!$M$1</definedName>
    <definedName name="CURRENT_COL_EOContrib">CurrentPlans!$R$1</definedName>
    <definedName name="CURRENT_COL_ES">CurrentPlans!$I$1</definedName>
    <definedName name="CURRENT_COL_ES_count">CurrentPlans!$N$1</definedName>
    <definedName name="CURRENT_COL_ESContrib">CurrentPlans!$S$1</definedName>
    <definedName name="CURRENT_COL_FAM">CurrentPlans!$L$1</definedName>
    <definedName name="CURRENT_COL_FAM_count">CurrentPlans!$Q$1</definedName>
    <definedName name="CURRENT_COL_FAMContrib">CurrentPlans!$V$1</definedName>
    <definedName name="CURRENT_COL_HEALTH_DIAGNOSTIC_XRAY">CurrentPlans!$AU$1</definedName>
    <definedName name="CURRENT_COL_HEALTH_LABS">CurrentPlans!$AT$1</definedName>
    <definedName name="CURRENT_COL_HOSPITAL_INPATIENT">CurrentPlans!$AE$1</definedName>
    <definedName name="CURRENT_COL_OFFICE_VISIT_PCP">CurrentPlans!$AB$1</definedName>
    <definedName name="CURRENT_COL_OFFICE_VISIT_SPECIALIST">CurrentPlans!$AC$1</definedName>
    <definedName name="CURRENT_COL_OON_COINSURANCE">CurrentPlans!$AO$1</definedName>
    <definedName name="CURRENT_COL_OON_DED_FAM">CurrentPlans!$AQ$1</definedName>
    <definedName name="CURRENT_COL_OON_DED_INDIV">CurrentPlans!$AP$1</definedName>
    <definedName name="CURRENT_COL_OON_OOP_MAX_FAM">CurrentPlans!$AS$1</definedName>
    <definedName name="CURRENT_COL_OON_OOP_MAX_INDIV">CurrentPlans!$AR$1</definedName>
    <definedName name="CURRENT_COL_OOP_MAX_FAM">CurrentPlans!$AA$1</definedName>
    <definedName name="CURRENT_COL_OOP_MAX_INDIV">CurrentPlans!$Z$1</definedName>
    <definedName name="CURRENT_COL_PHARMACY_DED_AMT">CurrentPlans!$AI$1</definedName>
    <definedName name="CURRENT_COL_PHARMACY_FORMULARY">CurrentPlans!$AK$1</definedName>
    <definedName name="CURRENT_COL_PHARMACY_GENERIC">CurrentPlans!$AJ$1</definedName>
    <definedName name="CURRENT_COL_PHARMACY_MAILORDER">CurrentPlans!$AN$1</definedName>
    <definedName name="CURRENT_COL_PHARMACY_NON_FORMULARY">CurrentPlans!$AL$1</definedName>
    <definedName name="CURRENT_COL_PHARMACY_SPECIALTY">CurrentPlans!$AM$1</definedName>
    <definedName name="CURRENT_COL_PlanClass">CurrentPlans!$B$1</definedName>
    <definedName name="CURRENT_COL_PlanID">CurrentPlans!$C$1</definedName>
    <definedName name="CURRENT_COL_PrimaryKey">CurrentPlans!$A$1</definedName>
    <definedName name="CURRENT_COL_RiskTier">CurrentPlans!$F$1</definedName>
    <definedName name="CURRENT_COL_SURGERY_OUTPATIENT">CurrentPlans!$AF$1</definedName>
    <definedName name="CURRENT_COL_UniquePlanCode">CurrentPlans!$D$1</definedName>
    <definedName name="CURRENT_COL_URGENT_CARE">CurrentPlans!$AH$1</definedName>
    <definedName name="Current_Dental_EE_Count">'Class 1'!$J$871</definedName>
    <definedName name="Current_Dental_EE_Count_C2">'Class 2'!$J$871</definedName>
    <definedName name="Current_Dental_EE_Count_C3">'Class 3'!$J$871</definedName>
    <definedName name="Current_Dental_EE_Count_C4">'Class 4'!$J$871</definedName>
    <definedName name="Current_Dental_EE_Count_C5">'Class 5'!$J$871</definedName>
    <definedName name="Current_Dental_EE_Count_C6">'Class 6'!$J$871</definedName>
    <definedName name="Current_Dental_EE_Count_C7">'Class 7'!$J$871</definedName>
    <definedName name="Current_Dental_Total">'Class 1'!$J$868</definedName>
    <definedName name="Current_Dental_Total_C2">'Class 2'!$J$868</definedName>
    <definedName name="Current_Dental_Total_C3">'Class 3'!$J$868</definedName>
    <definedName name="Current_Dental_Total_C4">'Class 4'!$J$868</definedName>
    <definedName name="Current_Dental_Total_C5">'Class 5'!$J$868</definedName>
    <definedName name="Current_Dental_Total_C6">'Class 6'!$J$868</definedName>
    <definedName name="Current_Dental_Total_C7">'Class 7'!$J$868</definedName>
    <definedName name="Current_Medical_EE_Count">'Class 1'!$J$870</definedName>
    <definedName name="Current_Medical_EE_Count_C2">'Class 2'!$J$870</definedName>
    <definedName name="Current_Medical_EE_Count_C3">'Class 3'!$J$870</definedName>
    <definedName name="Current_Medical_EE_Count_C4">'Class 4'!$J$870</definedName>
    <definedName name="Current_Medical_EE_Count_C5">'Class 5'!$J$870</definedName>
    <definedName name="Current_Medical_EE_Count_C6">'Class 6'!$J$870</definedName>
    <definedName name="Current_Medical_EE_Count_C7">'Class 7'!$J$870</definedName>
    <definedName name="Current_Medical_Total">'Class 1'!$J$867</definedName>
    <definedName name="Current_Medical_Total_C2">'Class 2'!$J$867</definedName>
    <definedName name="Current_Medical_Total_C3">'Class 3'!$J$867</definedName>
    <definedName name="Current_Medical_Total_C4">'Class 4'!$J$867</definedName>
    <definedName name="Current_Medical_Total_C5">'Class 5'!$J$867</definedName>
    <definedName name="Current_Medical_Total_C6">'Class 6'!$J$867</definedName>
    <definedName name="Current_Medical_Total_C7">'Class 7'!$J$867</definedName>
    <definedName name="Current_Vision_EE_Count">'Class 1'!$J$872</definedName>
    <definedName name="Current_Vision_EE_Count_C2">'Class 2'!$J$872</definedName>
    <definedName name="Current_Vision_EE_Count_C3">'Class 3'!$J$872</definedName>
    <definedName name="Current_Vision_EE_Count_C4">'Class 4'!$J$872</definedName>
    <definedName name="Current_Vision_EE_Count_C5">'Class 5'!$J$872</definedName>
    <definedName name="Current_Vision_EE_Count_C6">'Class 6'!$J$872</definedName>
    <definedName name="Current_Vision_EE_Count_C7">'Class 7'!$J$872</definedName>
    <definedName name="Current_Vision_Total">'Class 1'!$J$869</definedName>
    <definedName name="Current_Vision_Total_C2">'Class 2'!$J$869</definedName>
    <definedName name="Current_Vision_Total_C3">'Class 3'!$J$869</definedName>
    <definedName name="Current_Vision_Total_C4">'Class 4'!$J$869</definedName>
    <definedName name="Current_Vision_Total_C5">'Class 5'!$J$869</definedName>
    <definedName name="Current_Vision_Total_C6">'Class 6'!$J$869</definedName>
    <definedName name="Current_Vision_Total_C7">'Class 7'!$J$869</definedName>
    <definedName name="E_RenewalDentalStart">ClassesPlans!$C$19</definedName>
    <definedName name="Effective_Date">[2]Input!$B$2</definedName>
    <definedName name="END_CURRENT_DENTAL">CurrentPlans!$AU$11</definedName>
    <definedName name="END_CURRENT_HEALTH">CurrentPlans!$AU$6</definedName>
    <definedName name="END_CURRENT_OTHER">CurrentPlans!$W$21</definedName>
    <definedName name="END_CURRENT_VISION">CurrentPlans!$AU$16</definedName>
    <definedName name="END_RENEW_DENTAL">RenewalPlans!$AL$12</definedName>
    <definedName name="END_RENEW_HEALTH">RenewalPlans!$AX$6</definedName>
    <definedName name="END_RENEW_LIFE">RenewalPlans!$AH$36</definedName>
    <definedName name="END_RENEW_LTD">RenewalPlans!$AI$30</definedName>
    <definedName name="END_RENEW_OTHER">RenewalPlans!$AI$36</definedName>
    <definedName name="END_RENEW_STD">RenewalPlans!$AJ$24</definedName>
    <definedName name="END_RENEW_VISION">RenewalPlans!$AR$18</definedName>
    <definedName name="END_UniqueLifePlans">ClassesPlans!$A$62</definedName>
    <definedName name="END_UniqueLTDPlans">ClassesPlans!$A$56</definedName>
    <definedName name="FSAContrib">[1]CSExport!#REF!</definedName>
    <definedName name="FSAPlan">[1]CSExport!#REF!</definedName>
    <definedName name="HealthPlansReady">CSExport!$B$8</definedName>
    <definedName name="HSAContrib">[1]CSExport!#REF!</definedName>
    <definedName name="HSAPlan">[1]CSExport!#REF!</definedName>
    <definedName name="LifeSelect">'Class 1'!$B$879</definedName>
    <definedName name="LTDSelect">'Class 1'!$B$877</definedName>
    <definedName name="Plan1">#REF!</definedName>
    <definedName name="_xlnm.Print_Area" localSheetId="19">'Ancillary Plans'!$A$1:$I$95</definedName>
    <definedName name="_xlnm.Print_Area" localSheetId="6">'Class 1'!$A$2:$R$880</definedName>
    <definedName name="_xlnm.Print_Area" localSheetId="20">'Questco Voluntary'!$A$1:$I$95</definedName>
    <definedName name="Quote_Expiration">[2]Input!$B$4</definedName>
    <definedName name="Rate_Band">[2]Input!$B$3</definedName>
    <definedName name="RENEW_COL_Benefit_Group">RenewalPlans!$H$1</definedName>
    <definedName name="RENEW_COL_Carrier">RenewalPlans!$F$1</definedName>
    <definedName name="RENEW_COL_Contribution_Method">RenewalPlans!$J$1</definedName>
    <definedName name="RENEW_COL_EC">RenewalPlans!$M$1</definedName>
    <definedName name="RENEW_COL_EC_count">RenewalPlans!$R$1</definedName>
    <definedName name="RENEW_COL_ECContrib">RenewalPlans!$W$1</definedName>
    <definedName name="RENEW_COL_Effective_Date">RenewalPlans!$I$1</definedName>
    <definedName name="RENEW_COL_EK">RenewalPlans!$N$1</definedName>
    <definedName name="RENEW_COL_EK_count">RenewalPlans!$S$1</definedName>
    <definedName name="RENEW_COL_EKContrib">RenewalPlans!$Y$1</definedName>
    <definedName name="RENEW_COL_EO">RenewalPlans!$K$1</definedName>
    <definedName name="RENEW_COL_EO_count">RenewalPlans!$P$1</definedName>
    <definedName name="RENEW_COL_EOContrib">RenewalPlans!$U$1</definedName>
    <definedName name="RENEW_COL_ES">RenewalPlans!$L$1</definedName>
    <definedName name="RENEW_COL_ES_count">RenewalPlans!$Q$1</definedName>
    <definedName name="RENEW_COL_ESContrib">RenewalPlans!$V$1</definedName>
    <definedName name="RENEW_COL_FAM">RenewalPlans!$O$1</definedName>
    <definedName name="RENEW_COL_FAM_count">RenewalPlans!$T$1</definedName>
    <definedName name="RENEW_COL_FAMContrib">RenewalPlans!$X$1</definedName>
    <definedName name="RENEW_COL_PlanClass">RenewalPlans!$A$1</definedName>
    <definedName name="RENEW_COL_PlanID">RenewalPlans!$B$1</definedName>
    <definedName name="RENEW_COL_Renewed_From_Plan">RenewalPlans!$C$1</definedName>
    <definedName name="RENEW_COL_Renewed_From_Primary_Key">RenewalPlans!$D$1</definedName>
    <definedName name="RENEW_COL_Risk_Tier">RenewalPlans!$G$1</definedName>
    <definedName name="RENEW_COL_Unique_Plan_Code">RenewalPlans!$E$1</definedName>
    <definedName name="Renewal_Dental_EE_Count">'Class 1'!$R$871</definedName>
    <definedName name="Renewal_Dental_EE_Count_C2">'Class 2'!$R$871</definedName>
    <definedName name="Renewal_Dental_EE_Count_C3">'Class 3'!$R$871</definedName>
    <definedName name="Renewal_Dental_EE_Count_C4">'Class 4'!$R$871</definedName>
    <definedName name="Renewal_Dental_EE_Count_C5">'Class 5'!$R$871</definedName>
    <definedName name="Renewal_Dental_EE_Count_C6">'Class 6'!$R$871</definedName>
    <definedName name="Renewal_Dental_EE_Count_C7">'Class 7'!$R$871</definedName>
    <definedName name="Renewal_Dental_Total">'Class 1'!$R$868</definedName>
    <definedName name="Renewal_Dental_Total_C2">'Class 2'!$R$868</definedName>
    <definedName name="Renewal_Dental_Total_C3">'Class 3'!$R$868</definedName>
    <definedName name="Renewal_Dental_Total_C4">'Class 4'!$R$868</definedName>
    <definedName name="Renewal_Dental_Total_C5">'Class 5'!$R$868</definedName>
    <definedName name="Renewal_Dental_Total_C6">'Class 6'!$R$868</definedName>
    <definedName name="Renewal_Dental_Total_C7">'Class 7'!$R$868</definedName>
    <definedName name="Renewal_Medical_EE_Count">'Class 1'!$R$870</definedName>
    <definedName name="Renewal_Medical_EE_Count_C2">'Class 2'!$R$870</definedName>
    <definedName name="Renewal_Medical_EE_Count_C3">'Class 3'!$R$870</definedName>
    <definedName name="Renewal_Medical_EE_Count_C4">'Class 4'!$R$870</definedName>
    <definedName name="Renewal_Medical_EE_Count_C5">'Class 5'!$R$870</definedName>
    <definedName name="Renewal_Medical_EE_Count_C6">'Class 6'!$R$870</definedName>
    <definedName name="Renewal_Medical_EE_Count_C7">'Class 7'!$R$870</definedName>
    <definedName name="Renewal_Medical_Total">'Class 1'!$R$867</definedName>
    <definedName name="Renewal_Medical_Total_C2">'Class 2'!$R$867</definedName>
    <definedName name="Renewal_Medical_Total_C3">'Class 3'!$R$867</definedName>
    <definedName name="Renewal_Medical_Total_C4">'Class 4'!$R$867</definedName>
    <definedName name="Renewal_Medical_Total_C5">'Class 5'!$R$867</definedName>
    <definedName name="Renewal_Medical_Total_C6">'Class 6'!$R$867</definedName>
    <definedName name="Renewal_Medical_Total_C7">'Class 7'!$R$867</definedName>
    <definedName name="Renewal_Vision_EE_Count">'Class 1'!$R$872</definedName>
    <definedName name="Renewal_Vision_EE_Count_C2">'Class 2'!$R$872</definedName>
    <definedName name="Renewal_Vision_EE_Count_C3">'Class 3'!$R$872</definedName>
    <definedName name="Renewal_Vision_EE_Count_C4">'Class 4'!$R$872</definedName>
    <definedName name="Renewal_Vision_EE_Count_C5">'Class 5'!$R$872</definedName>
    <definedName name="Renewal_Vision_EE_Count_C6">'Class 6'!$R$872</definedName>
    <definedName name="Renewal_Vision_EE_Count_C7">'Class 7'!$R$872</definedName>
    <definedName name="Renewal_Vision_total">'Class 1'!$R$869</definedName>
    <definedName name="Renewal_Vision_total_C2">'Class 2'!$R$869</definedName>
    <definedName name="Renewal_Vision_total_C3">'Class 3'!$R$869</definedName>
    <definedName name="Renewal_Vision_total_C4">'Class 4'!$R$869</definedName>
    <definedName name="Renewal_Vision_total_C5">'Class 5'!$R$869</definedName>
    <definedName name="Renewal_Vision_total_C6">'Class 6'!$R$869</definedName>
    <definedName name="Renewal_Vision_total_C7">'Class 7'!$R$869</definedName>
    <definedName name="ROW_CurrentDental_Annual_Dental_Max">CurrentPlans!$AD$10</definedName>
    <definedName name="ROW_CurrentDental_BenefitGroup">CurrentPlans!$G$10</definedName>
    <definedName name="ROW_CurrentDental_Carrier">CurrentPlans!$E$10</definedName>
    <definedName name="ROW_CurrentDental_EC">CurrentPlans!$J$10</definedName>
    <definedName name="ROW_CurrentDental_EC_count">CurrentPlans!$P$10</definedName>
    <definedName name="ROW_CurrentDental_ECContrib">CurrentPlans!$T$10</definedName>
    <definedName name="ROW_CurrentDental_EK">CurrentPlans!$K$10</definedName>
    <definedName name="ROW_CurrentDental_EK_count">CurrentPlans!$O$10</definedName>
    <definedName name="ROW_CurrentDental_EKContrib">CurrentPlans!$U$10</definedName>
    <definedName name="ROW_CurrentDental_EO">CurrentPlans!$H$10</definedName>
    <definedName name="ROW_CurrentDental_EO_count">CurrentPlans!$M$10</definedName>
    <definedName name="ROW_CurrentDental_EOContrib">CurrentPlans!$R$10</definedName>
    <definedName name="ROW_CurrentDental_ES">CurrentPlans!$I$10</definedName>
    <definedName name="ROW_CurrentDental_ES_count">CurrentPlans!$N$10</definedName>
    <definedName name="ROW_CurrentDental_ESContrib">CurrentPlans!$S$10</definedName>
    <definedName name="ROW_CurrentDental_FAM">CurrentPlans!$L$10</definedName>
    <definedName name="ROW_CurrentDental_FAM_count">CurrentPlans!$Q$10</definedName>
    <definedName name="ROW_CurrentDental_FAMContrib">CurrentPlans!$V$10</definedName>
    <definedName name="ROW_CurrentDental_IN_Orthodontia_Max">CurrentPlans!$X$10</definedName>
    <definedName name="ROW_CurrentDental_IN_Orthodontia_Pct_Dollar">CurrentPlans!$W$10</definedName>
    <definedName name="ROW_CurrentDental_OON_Basic_Restorative">CurrentPlans!$AB$10</definedName>
    <definedName name="ROW_CurrentDental_OON_Ded_Fam">CurrentPlans!$Z$10</definedName>
    <definedName name="ROW_CurrentDental_OON_Ded_Indiv">CurrentPlans!$Y$10</definedName>
    <definedName name="ROW_CurrentDental_OON_Major_Restorative">CurrentPlans!$AC$10</definedName>
    <definedName name="ROW_CurrentDental_OON_Preventative_Care">CurrentPlans!$AA$10</definedName>
    <definedName name="ROW_CurrentDental_PlanClass">CurrentPlans!$B$10</definedName>
    <definedName name="ROW_CurrentDental_PlanID">CurrentPlans!$C$10</definedName>
    <definedName name="ROW_CurrentDental_PrimaryKey">CurrentPlans!$A$10</definedName>
    <definedName name="ROW_CurrentDental_RiskTier">CurrentPlans!$F$10</definedName>
    <definedName name="ROW_CurrentDental_UniquePlanCode">CurrentPlans!$D$10</definedName>
    <definedName name="ROW_CurrentHealth_Advanced_Radiology">CurrentPlans!$AD$5</definedName>
    <definedName name="ROW_CurrentHealth_BenefitGroup">CurrentPlans!$G$5</definedName>
    <definedName name="ROW_CurrentHealth_Carrier">CurrentPlans!$E$5</definedName>
    <definedName name="ROW_CurrentHealth_Diagnostic_Xray">CurrentPlans!$AU$5</definedName>
    <definedName name="ROW_CurrentHealth_EC">CurrentPlans!$J$5</definedName>
    <definedName name="ROW_CurrentHealth_EC_count">CurrentPlans!$P$5</definedName>
    <definedName name="ROW_CurrentHealth_ECContrib">CurrentPlans!$T$5</definedName>
    <definedName name="ROW_CurrentHealth_EK">CurrentPlans!$K$5</definedName>
    <definedName name="ROW_CurrentHealth_EK_count">CurrentPlans!$O$5</definedName>
    <definedName name="ROW_CurrentHealth_EKContrib">CurrentPlans!$U$5</definedName>
    <definedName name="ROW_CurrentHealth_Emergency_Room">CurrentPlans!$AG$5</definedName>
    <definedName name="ROW_CurrentHealth_EO">CurrentPlans!$H$5</definedName>
    <definedName name="ROW_CurrentHealth_EO_count">CurrentPlans!$M$5</definedName>
    <definedName name="ROW_CurrentHealth_EOContrib">CurrentPlans!$R$5</definedName>
    <definedName name="ROW_CurrentHealth_ES">CurrentPlans!$I$5</definedName>
    <definedName name="ROW_CurrentHealth_ES_count">CurrentPlans!$N$5</definedName>
    <definedName name="ROW_CurrentHealth_ESContrib">CurrentPlans!$S$5</definedName>
    <definedName name="ROW_CurrentHealth_FAM">CurrentPlans!$L$5</definedName>
    <definedName name="ROW_CurrentHealth_FAM_count">CurrentPlans!$Q$5</definedName>
    <definedName name="ROW_CurrentHealth_FAMContrib">CurrentPlans!$V$5</definedName>
    <definedName name="ROW_CurrentHealth_Hospital_Inpatient">CurrentPlans!$AE$5</definedName>
    <definedName name="ROW_CurrentHealth_IN_Coinsurance">CurrentPlans!$W$5</definedName>
    <definedName name="ROW_CurrentHealth_IN_Ded_Fam">CurrentPlans!$Y$5</definedName>
    <definedName name="ROW_CurrentHealth_IN_Ded_Indiv">CurrentPlans!$X$5</definedName>
    <definedName name="ROW_CurrentHealth_IN_OOP_Max_Fam">CurrentPlans!$AA$5</definedName>
    <definedName name="ROW_CurrentHealth_IN_OOP_Max_Indiv">CurrentPlans!$Z$5</definedName>
    <definedName name="ROW_CurrentHealth_Labs">CurrentPlans!$AT$5</definedName>
    <definedName name="ROW_CurrentHealth_Office_Visit_PCP">CurrentPlans!$AB$5</definedName>
    <definedName name="ROW_CurrentHealth_Office_Visit_Specialist">CurrentPlans!$AC$5</definedName>
    <definedName name="ROW_CurrentHealth_OON_Coinsurance">CurrentPlans!$AO$5</definedName>
    <definedName name="ROW_CurrentHealth_OON_Ded_Fam">CurrentPlans!$AQ$5</definedName>
    <definedName name="ROW_CurrentHealth_OON_Ded_Indiv">CurrentPlans!$AP$5</definedName>
    <definedName name="ROW_CurrentHealth_OON_OOP_Max_Fam">CurrentPlans!$AS$5</definedName>
    <definedName name="ROW_CurrentHealth_OON_OOP_Max_Indiv">CurrentPlans!$AR$5</definedName>
    <definedName name="ROW_CurrentHealth_Pharmacy_Ded_Amt">CurrentPlans!$AI$5</definedName>
    <definedName name="ROW_CurrentHealth_Pharmacy_Formulary">CurrentPlans!$AK$5</definedName>
    <definedName name="ROW_CurrentHealth_Pharmacy_Generic">CurrentPlans!$AJ$5</definedName>
    <definedName name="ROW_CurrentHealth_Pharmacy_MailOrder">CurrentPlans!$AN$5</definedName>
    <definedName name="ROW_CurrentHealth_Pharmacy_Non_Formulary">CurrentPlans!$AL$5</definedName>
    <definedName name="ROW_CurrentHealth_Pharmacy_Specialty">CurrentPlans!$AM$5</definedName>
    <definedName name="ROW_CurrentHealth_PlanClass">CurrentPlans!$B$5</definedName>
    <definedName name="ROW_CurrentHealth_PlanID">CurrentPlans!$C$5</definedName>
    <definedName name="ROW_CurrentHealth_PrimaryKey">CurrentPlans!$A$5</definedName>
    <definedName name="ROW_CurrentHealth_RiskTier">CurrentPlans!$F$5</definedName>
    <definedName name="ROW_CurrentHealth_Surgery_Outpatient">CurrentPlans!$AF$5</definedName>
    <definedName name="ROW_CurrentHealth_UniquePlanCode">CurrentPlans!$D$5</definedName>
    <definedName name="ROW_CurrentHealth_Urgent_Care">CurrentPlans!$AH$5</definedName>
    <definedName name="ROW_CurrentOther_BenefitGroup">CurrentPlans!$H$20</definedName>
    <definedName name="ROW_CurrentOther_Carrier">CurrentPlans!$F$20</definedName>
    <definedName name="ROW_CurrentOther_Category">CurrentPlans!$B$20</definedName>
    <definedName name="ROW_CurrentOther_EC">CurrentPlans!$L$20</definedName>
    <definedName name="ROW_CurrentOther_EC_count">CurrentPlans!$Q$20</definedName>
    <definedName name="ROW_CurrentOther_ECContrib">CurrentPlans!$U$20</definedName>
    <definedName name="ROW_CurrentOther_EK">CurrentPlans!$K$20</definedName>
    <definedName name="ROW_CurrentOther_EK_count">CurrentPlans!$O$20</definedName>
    <definedName name="ROW_CurrentOther_EKContrib">CurrentPlans!$V$20</definedName>
    <definedName name="ROW_CurrentOther_EO">CurrentPlans!$I$20</definedName>
    <definedName name="ROW_CurrentOther_EO_count">CurrentPlans!$N$20</definedName>
    <definedName name="ROW_CurrentOther_EOContrib">CurrentPlans!$S$20</definedName>
    <definedName name="ROW_CurrentOther_ES">CurrentPlans!$J$20</definedName>
    <definedName name="ROW_CurrentOther_ES_count">CurrentPlans!$P$20</definedName>
    <definedName name="ROW_CurrentOther_ESContrib">CurrentPlans!$T$20</definedName>
    <definedName name="ROW_CurrentOther_FAM">CurrentPlans!$M$20</definedName>
    <definedName name="ROW_CurrentOther_FAM_count">CurrentPlans!$R$20</definedName>
    <definedName name="ROW_CurrentOther_FAMContrib">CurrentPlans!$W$20</definedName>
    <definedName name="ROW_CurrentOther_PlanClass">CurrentPlans!$C$20</definedName>
    <definedName name="ROW_CurrentOther_PlanID">CurrentPlans!$D$20</definedName>
    <definedName name="ROW_CurrentOther_PrimaryKey">CurrentPlans!$A$20</definedName>
    <definedName name="ROW_CurrentOther_RiskTier">CurrentPlans!$G$20</definedName>
    <definedName name="ROW_CurrentOther_UniquePlanCode">CurrentPlans!$E$20</definedName>
    <definedName name="ROW_CurrentVision_BenefitGroup">CurrentPlans!$G$15</definedName>
    <definedName name="ROW_CurrentVision_Carrier">CurrentPlans!$E$15</definedName>
    <definedName name="ROW_CurrentVision_EC">CurrentPlans!$J$15</definedName>
    <definedName name="ROW_CurrentVision_EC_count">CurrentPlans!$P$15</definedName>
    <definedName name="ROW_CurrentVision_ECContrib">CurrentPlans!$T$15</definedName>
    <definedName name="ROW_CurrentVision_EK">CurrentPlans!$K$15</definedName>
    <definedName name="ROW_CurrentVision_EK_count">CurrentPlans!$O$15</definedName>
    <definedName name="ROW_CurrentVision_EKContrib">CurrentPlans!$U$15</definedName>
    <definedName name="ROW_CurrentVision_EO">CurrentPlans!$H$15</definedName>
    <definedName name="ROW_CurrentVision_EO_count">CurrentPlans!$M$15</definedName>
    <definedName name="ROW_CurrentVision_EOContrib">CurrentPlans!$R$15</definedName>
    <definedName name="ROW_CurrentVision_ES">CurrentPlans!$I$15</definedName>
    <definedName name="ROW_CurrentVision_ES_count">CurrentPlans!$N$15</definedName>
    <definedName name="ROW_CurrentVision_ESContrib">CurrentPlans!$S$15</definedName>
    <definedName name="ROW_CurrentVision_FAM">CurrentPlans!$L$15</definedName>
    <definedName name="ROW_CurrentVision_FAM_count">CurrentPlans!$Q$15</definedName>
    <definedName name="ROW_CurrentVision_FAMContrib">CurrentPlans!$V$15</definedName>
    <definedName name="ROW_CurrentVision_IN_Bifocal_Lenses">CurrentPlans!$Y$15</definedName>
    <definedName name="ROW_CurrentVision_IN_Contact_Lenses_No_Frames">CurrentPlans!$AB$15</definedName>
    <definedName name="ROW_CurrentVision_IN_Frames">CurrentPlans!$AA$15</definedName>
    <definedName name="ROW_CurrentVision_IN_Freq_Frames">CurrentPlans!$W$15</definedName>
    <definedName name="ROW_CurrentVision_IN_Single_Vision_Lenses">CurrentPlans!$X$15</definedName>
    <definedName name="ROW_CurrentVision_IN_Trifocal_Lenses">CurrentPlans!$Z$15</definedName>
    <definedName name="ROW_CurrentVision_OON_Bifocal_Lenses">CurrentPlans!$AG$15</definedName>
    <definedName name="ROW_CurrentVision_OON_Contact_Lenses_No_Frames">CurrentPlans!$AJ$15</definedName>
    <definedName name="ROW_CurrentVision_OON_Copay_Contact_Exam">CurrentPlans!$AD$15</definedName>
    <definedName name="ROW_CurrentVision_OON_Copay_Exam">CurrentPlans!$AC$15</definedName>
    <definedName name="ROW_CurrentVision_OON_Copay_Materials">CurrentPlans!$AE$15</definedName>
    <definedName name="ROW_CurrentVision_OON_Frames">CurrentPlans!$AI$15</definedName>
    <definedName name="ROW_CurrentVision_OON_Single_Vision_Lenses">CurrentPlans!$AF$15</definedName>
    <definedName name="ROW_CurrentVision_OON_Trifocal_Lenses">CurrentPlans!$AH$15</definedName>
    <definedName name="ROW_CurrentVision_PlanClass">CurrentPlans!$B$15</definedName>
    <definedName name="ROW_CurrentVision_PlanID">CurrentPlans!$C$15</definedName>
    <definedName name="ROW_CurrentVision_PrimaryKey">CurrentPlans!$A$15</definedName>
    <definedName name="ROW_CurrentVision_RiskTier">CurrentPlans!$F$15</definedName>
    <definedName name="ROW_CurrentVision_UniquePlanCode">CurrentPlans!$D$15</definedName>
    <definedName name="ROW_RenewDental_Annual_Dental_Max">RenewalPlans!$AL$11</definedName>
    <definedName name="ROW_RenewDental_Benefit_Group">RenewalPlans!$H$11</definedName>
    <definedName name="ROW_RenewDental_Carrier">RenewalPlans!$F$11</definedName>
    <definedName name="ROW_RenewDental_Contribution_Method">RenewalPlans!$J$11</definedName>
    <definedName name="ROW_RenewDental_EC">RenewalPlans!$M$11</definedName>
    <definedName name="ROW_RenewDental_EC_count">RenewalPlans!$R$11</definedName>
    <definedName name="ROW_RenewDental_ECContrib">RenewalPlans!$W$11</definedName>
    <definedName name="ROW_RenewDental_Effective_Date">RenewalPlans!$I$11</definedName>
    <definedName name="ROW_RenewDental_EK">RenewalPlans!$N$11</definedName>
    <definedName name="ROW_RenewDental_EK_count">RenewalPlans!$S$11</definedName>
    <definedName name="ROW_RenewDental_EKContrib">RenewalPlans!$Y$11</definedName>
    <definedName name="ROW_RenewDental_EO">RenewalPlans!$K$11</definedName>
    <definedName name="ROW_RenewDental_EO_count">RenewalPlans!$P$11</definedName>
    <definedName name="ROW_RenewDental_EOContrib">RenewalPlans!$U$11</definedName>
    <definedName name="ROW_RenewDental_ES">RenewalPlans!$L$11</definedName>
    <definedName name="ROW_RenewDental_ES_count">RenewalPlans!$Q$11</definedName>
    <definedName name="ROW_RenewDental_ESContrib">RenewalPlans!$V$11</definedName>
    <definedName name="ROW_RenewDental_FAM">RenewalPlans!$O$11</definedName>
    <definedName name="ROW_RenewDental_FAM_count">RenewalPlans!$T$11</definedName>
    <definedName name="ROW_RenewDental_FAMContrib">RenewalPlans!$X$11</definedName>
    <definedName name="ROW_RenewDental_IN_Basic_Restorative">RenewalPlans!$AC$11</definedName>
    <definedName name="ROW_RenewDental_IN_Ded_Fam">RenewalPlans!$AA$11</definedName>
    <definedName name="ROW_RenewDental_IN_Ded_Indiv">RenewalPlans!$Z$11</definedName>
    <definedName name="ROW_RenewDental_IN_Major_Restorative">RenewalPlans!$AD$11</definedName>
    <definedName name="ROW_RenewDental_IN_Orthodontia_Max">RenewalPlans!$AF$11</definedName>
    <definedName name="ROW_RenewDental_IN_Orthodontia_Pct_Dollar">RenewalPlans!$AE$11</definedName>
    <definedName name="ROW_RenewDental_IN_Preventative_Care">RenewalPlans!$AB$11</definedName>
    <definedName name="ROW_RenewDental_OON_Basic_Restorative">RenewalPlans!$AJ$11</definedName>
    <definedName name="ROW_RenewDental_OON_Ded_Fam">RenewalPlans!$AH$11</definedName>
    <definedName name="ROW_RenewDental_OON_Ded_Indiv">RenewalPlans!$AG$11</definedName>
    <definedName name="ROW_RenewDental_OON_Major_Restorative">RenewalPlans!$AK$11</definedName>
    <definedName name="ROW_RenewDental_OON_Preventative_Care">RenewalPlans!$AI$11</definedName>
    <definedName name="ROW_RenewDental_PlanClass">RenewalPlans!$B$11</definedName>
    <definedName name="ROW_RenewDental_PlanID">RenewalPlans!$C$11</definedName>
    <definedName name="ROW_RenewDental_Renewed_From_Plan">RenewalPlans!$D$11</definedName>
    <definedName name="ROW_RenewDental_Renewed_From_Primary_Key">RenewalPlans!$A$11</definedName>
    <definedName name="ROW_RenewDental_Risk_Tier">RenewalPlans!$G$11</definedName>
    <definedName name="ROW_RenewDental_Unique_Plan_Code">RenewalPlans!$E$11</definedName>
    <definedName name="ROW_RenewHealth_Advanced_Radiology">RenewalPlans!$AG$5</definedName>
    <definedName name="ROW_RenewHealth_Benefit_Group">RenewalPlans!$H$5</definedName>
    <definedName name="ROW_RenewHealth_Carrier">RenewalPlans!$F$5</definedName>
    <definedName name="ROW_RenewHealth_Contribution_Method">RenewalPlans!$J$5</definedName>
    <definedName name="ROW_RenewHealth_Diagnostic_Xray">RenewalPlans!$AX$5</definedName>
    <definedName name="ROW_RenewHealth_EC">RenewalPlans!$M$5</definedName>
    <definedName name="ROW_RenewHealth_EC_count">RenewalPlans!$R$5</definedName>
    <definedName name="ROW_RenewHealth_ECContrib">RenewalPlans!$W$5</definedName>
    <definedName name="ROW_RenewHealth_Effective_Date">RenewalPlans!$I$5</definedName>
    <definedName name="ROW_RenewHealth_EK">RenewalPlans!$N$5</definedName>
    <definedName name="ROW_RenewHealth_EK_count">RenewalPlans!$S$5</definedName>
    <definedName name="ROW_RenewHealth_EKContrib">RenewalPlans!$Y$5</definedName>
    <definedName name="ROW_RenewHealth_Emergency_Room">RenewalPlans!$AJ$5</definedName>
    <definedName name="ROW_RenewHealth_EO">RenewalPlans!$K$5</definedName>
    <definedName name="ROW_RenewHealth_EO_count">RenewalPlans!$P$5</definedName>
    <definedName name="ROW_RenewHealth_EOContrib">RenewalPlans!$U$5</definedName>
    <definedName name="ROW_RenewHealth_ES">RenewalPlans!$L$5</definedName>
    <definedName name="ROW_RenewHealth_ES_count">RenewalPlans!$Q$5</definedName>
    <definedName name="ROW_RenewHealth_ESContrib">RenewalPlans!$V$5</definedName>
    <definedName name="ROW_RenewHealth_FAM">RenewalPlans!$O$5</definedName>
    <definedName name="ROW_RenewHealth_FAM_count">RenewalPlans!$T$5</definedName>
    <definedName name="ROW_RenewHealth_FAMContrib">RenewalPlans!$X$5</definedName>
    <definedName name="ROW_RenewHealth_Hospital_Inpatient">RenewalPlans!$AH$5</definedName>
    <definedName name="ROW_RenewHealth_IN_Coinsurance">RenewalPlans!$Z$5</definedName>
    <definedName name="ROW_RenewHealth_IN_Ded_Fam">RenewalPlans!$AB$5</definedName>
    <definedName name="ROW_RenewHealth_IN_Ded_Indiv">RenewalPlans!$AA$5</definedName>
    <definedName name="ROW_RenewHealth_IN_OOP_Max_Fam">RenewalPlans!$AD$5</definedName>
    <definedName name="ROW_RenewHealth_IN_OOP_Max_Indiv">RenewalPlans!$AC$5</definedName>
    <definedName name="ROW_RenewHealth_Labs">RenewalPlans!$AW$5</definedName>
    <definedName name="ROW_RenewHealth_Office_Visit_PCP">RenewalPlans!$AE$5</definedName>
    <definedName name="ROW_RenewHealth_Office_Visit_Specialist">RenewalPlans!$AF$5</definedName>
    <definedName name="ROW_RenewHealth_OON_Coinsurance">RenewalPlans!$AR$5</definedName>
    <definedName name="ROW_RenewHealth_OON_Ded_Fam">RenewalPlans!$AT$5</definedName>
    <definedName name="ROW_RenewHealth_OON_Ded_Indiv">RenewalPlans!$AS$5</definedName>
    <definedName name="ROW_RenewHealth_OON_OOP_Max_Fam">RenewalPlans!$AV$5</definedName>
    <definedName name="ROW_RenewHealth_OON_OOP_Max_Indiv">RenewalPlans!$AU$5</definedName>
    <definedName name="ROW_RenewHealth_Pharmacy_Ded_Amt">RenewalPlans!$AL$5</definedName>
    <definedName name="ROW_RenewHealth_Pharmacy_Formulary">RenewalPlans!$AN$5</definedName>
    <definedName name="ROW_RenewHealth_Pharmacy_Generic">RenewalPlans!$AM$5</definedName>
    <definedName name="ROW_RenewHealth_Pharmacy_MailOrder">RenewalPlans!$AQ$5</definedName>
    <definedName name="ROW_RenewHealth_Pharmacy_Non_Formulary">RenewalPlans!$AO$5</definedName>
    <definedName name="ROW_RenewHealth_Pharmacy_Specialty">RenewalPlans!$AP$5</definedName>
    <definedName name="ROW_RenewHealth_PlanClass">RenewalPlans!$B$5</definedName>
    <definedName name="ROW_RenewHealth_PlanID">RenewalPlans!$C$5</definedName>
    <definedName name="ROW_RenewHealth_Renewed_From_Plan">RenewalPlans!$D$5</definedName>
    <definedName name="ROW_RenewHealth_Renewed_From_Primary_Key">RenewalPlans!$A$5</definedName>
    <definedName name="ROW_RenewHealth_Risk_Tier">RenewalPlans!$G$5</definedName>
    <definedName name="ROW_RenewHealth_Surgery_Outpatient">RenewalPlans!$AI$5</definedName>
    <definedName name="ROW_RenewHealth_Unique_Plan_Code">RenewalPlans!$E$5</definedName>
    <definedName name="ROW_RenewHealth_Urgent_Care">RenewalPlans!$AK$5</definedName>
    <definedName name="ROW_RenewLife_Accelerated_Death_Benefit">RenewalPlans!$AC$35</definedName>
    <definedName name="ROW_RenewLife_AD_D_Benefits">RenewalPlans!$AB$35</definedName>
    <definedName name="ROW_RenewLife_Age_Reductions">RenewalPlans!$AG$35</definedName>
    <definedName name="ROW_RenewLife_Benefit_Group">RenewalPlans!$H$35</definedName>
    <definedName name="ROW_RenewLife_Carrier">RenewalPlans!$F$35</definedName>
    <definedName name="ROW_RenewLife_Common_Carrier">RenewalPlans!$AH$35</definedName>
    <definedName name="ROW_RenewLife_Contribution_Method">RenewalPlans!$J$35</definedName>
    <definedName name="ROW_RenewLife_Conversion">RenewalPlans!$AF$35</definedName>
    <definedName name="ROW_RenewLife_EC">RenewalPlans!$M$35</definedName>
    <definedName name="ROW_RenewLife_EC_count">RenewalPlans!$R$35</definedName>
    <definedName name="ROW_RenewLife_ECContrib">RenewalPlans!$W$35</definedName>
    <definedName name="ROW_RenewLife_Effective_Date">RenewalPlans!$I$35</definedName>
    <definedName name="ROW_RenewLife_EK">RenewalPlans!$N$35</definedName>
    <definedName name="ROW_RenewLife_EK_count">RenewalPlans!$S$35</definedName>
    <definedName name="ROW_RenewLife_EKContrib">RenewalPlans!$Y$35</definedName>
    <definedName name="ROW_RenewLife_Employee_Life_Benefit_Amount">RenewalPlans!$Z$35</definedName>
    <definedName name="ROW_RenewLife_EO">RenewalPlans!$K$35</definedName>
    <definedName name="ROW_RenewLife_EO_count">RenewalPlans!$P$35</definedName>
    <definedName name="ROW_RenewLife_EOContrib">RenewalPlans!$U$35</definedName>
    <definedName name="ROW_RenewLife_ES">RenewalPlans!$L$35</definedName>
    <definedName name="ROW_RenewLife_ES_count">RenewalPlans!$Q$35</definedName>
    <definedName name="ROW_RenewLife_ESContrib">RenewalPlans!$V$35</definedName>
    <definedName name="ROW_RenewLife_FAM">RenewalPlans!$O$35</definedName>
    <definedName name="ROW_RenewLife_FAM_count">RenewalPlans!$T$35</definedName>
    <definedName name="ROW_RenewLife_FAMContrib">RenewalPlans!$X$35</definedName>
    <definedName name="ROW_RenewLife_Guarantee_Issue_Max_Benefit">RenewalPlans!$AA$35</definedName>
    <definedName name="ROW_RenewLife_PlanClass">RenewalPlans!$B$35</definedName>
    <definedName name="ROW_RenewLife_PlanID">RenewalPlans!$C$35</definedName>
    <definedName name="ROW_RenewLife_Portability">RenewalPlans!$AE$35</definedName>
    <definedName name="ROW_RenewLife_Renewed_From_Plan">RenewalPlans!$D$35</definedName>
    <definedName name="ROW_RenewLife_Renewed_From_Primary_Key">RenewalPlans!$A$35</definedName>
    <definedName name="ROW_RenewLife_Risk_Tier">RenewalPlans!$G$35</definedName>
    <definedName name="ROW_RenewLife_Unique_Plan_Code">RenewalPlans!$E$35</definedName>
    <definedName name="ROW_RenewLife_Waiver_of_Premium">RenewalPlans!$AD$35</definedName>
    <definedName name="ROW_RenewLTD_Benefit_Duration">RenewalPlans!$AF$29</definedName>
    <definedName name="ROW_RenewLTD_Benefit_Group">RenewalPlans!$H$29</definedName>
    <definedName name="ROW_RenewLTD_Benefit_Percentage__Base_Weekly">RenewalPlans!$Z$29</definedName>
    <definedName name="ROW_RenewLTD_Carrier">RenewalPlans!$F$29</definedName>
    <definedName name="ROW_RenewLTD_Contribution_Method">RenewalPlans!$J$29</definedName>
    <definedName name="ROW_RenewLTD_Disability_Definition">RenewalPlans!$AI$29</definedName>
    <definedName name="ROW_RenewLTD_EC">RenewalPlans!$M$29</definedName>
    <definedName name="ROW_RenewLTD_EC_count">RenewalPlans!$R$29</definedName>
    <definedName name="ROW_RenewLTD_ECContrib">RenewalPlans!$W$29</definedName>
    <definedName name="ROW_RenewLTD_Effective_Date">RenewalPlans!$I$29</definedName>
    <definedName name="ROW_RenewLTD_EK">RenewalPlans!$N$29</definedName>
    <definedName name="ROW_RenewLTD_EK_count">RenewalPlans!$S$29</definedName>
    <definedName name="ROW_RenewLTD_EKContrib">RenewalPlans!$Y$29</definedName>
    <definedName name="ROW_RenewLTD_Elimination_Period">RenewalPlans!$AC$29</definedName>
    <definedName name="ROW_RenewLTD_EO">RenewalPlans!$K$29</definedName>
    <definedName name="ROW_RenewLTD_EO_count">RenewalPlans!$P$29</definedName>
    <definedName name="ROW_RenewLTD_EOContrib">RenewalPlans!$U$29</definedName>
    <definedName name="ROW_RenewLTD_ES">RenewalPlans!$L$29</definedName>
    <definedName name="ROW_RenewLTD_ES_count">RenewalPlans!$Q$29</definedName>
    <definedName name="ROW_RenewLTD_ESContrib">RenewalPlans!$V$29</definedName>
    <definedName name="ROW_RenewLTD_FAM">RenewalPlans!$O$29</definedName>
    <definedName name="ROW_RenewLTD_FAM_count">RenewalPlans!$T$29</definedName>
    <definedName name="ROW_RenewLTD_FAMContrib">RenewalPlans!$X$29</definedName>
    <definedName name="ROW_RenewLTD_Mental_Nervous_Substance">RenewalPlans!$AH$29</definedName>
    <definedName name="ROW_RenewLTD_Monthly_Benefit_Maximum">RenewalPlans!$AA$29</definedName>
    <definedName name="ROW_RenewLTD_Monthly_Benefit_Minimum">RenewalPlans!$AB$29</definedName>
    <definedName name="ROW_RenewLTD_PlanClass">RenewalPlans!$B$29</definedName>
    <definedName name="ROW_RenewLTD_PlanID">RenewalPlans!$C$29</definedName>
    <definedName name="ROW_RenewLTD_Pre_Existing">RenewalPlans!$AG$29</definedName>
    <definedName name="ROW_RenewLTD_Renewed_From_Plan">RenewalPlans!$D$29</definedName>
    <definedName name="ROW_RenewLTD_Renewed_From_Primary_Key">RenewalPlans!$A$29</definedName>
    <definedName name="ROW_RenewLTD_Risk_Tier">RenewalPlans!$G$29</definedName>
    <definedName name="ROW_RenewLTD_Social_Security_Integration">RenewalPlans!$AD$29</definedName>
    <definedName name="ROW_RenewLTD_Survivor_Benefit">RenewalPlans!$AE$29</definedName>
    <definedName name="ROW_RenewLTD_Unique_Plan_Code">RenewalPlans!$E$29</definedName>
    <definedName name="ROW_RenewOther_Benefit_Group">RenewalPlans!$H$41</definedName>
    <definedName name="ROW_RenewOther_Carrier">RenewalPlans!$F$41</definedName>
    <definedName name="ROW_RenewOther_Category">RenewalPlans!$Z$41</definedName>
    <definedName name="ROW_RenewOther_Contribution_Method">RenewalPlans!$J$41</definedName>
    <definedName name="ROW_RenewOther_EC">RenewalPlans!$M$41</definedName>
    <definedName name="ROW_RenewOther_EC_count">RenewalPlans!$R$41</definedName>
    <definedName name="ROW_RenewOther_ECContrib">RenewalPlans!$W$41</definedName>
    <definedName name="ROW_RenewOther_Effective_Date">RenewalPlans!$I$41</definedName>
    <definedName name="ROW_RenewOther_EK">RenewalPlans!$N$41</definedName>
    <definedName name="ROW_RenewOther_EK_count">RenewalPlans!$S$41</definedName>
    <definedName name="ROW_RenewOther_EKContrib">RenewalPlans!$Y$41</definedName>
    <definedName name="ROW_RenewOther_EO">RenewalPlans!$K$41</definedName>
    <definedName name="ROW_RenewOther_EO_count">RenewalPlans!$P$41</definedName>
    <definedName name="ROW_RenewOther_EOContrib">RenewalPlans!$U$41</definedName>
    <definedName name="ROW_RenewOther_ES">RenewalPlans!$L$41</definedName>
    <definedName name="ROW_RenewOther_ES_count">RenewalPlans!$Q$41</definedName>
    <definedName name="ROW_RenewOther_ESContrib">RenewalPlans!$V$41</definedName>
    <definedName name="ROW_RenewOther_FAM">RenewalPlans!$O$41</definedName>
    <definedName name="ROW_RenewOther_FAM_count">RenewalPlans!$T$41</definedName>
    <definedName name="ROW_RenewOther_FAMContrib">RenewalPlans!$X$41</definedName>
    <definedName name="ROW_RenewOther_PlanClass">RenewalPlans!$B$41</definedName>
    <definedName name="ROW_RenewOther_PlanID">RenewalPlans!$C$41</definedName>
    <definedName name="ROW_RenewOther_Renewed_From_Plan">RenewalPlans!$D$41</definedName>
    <definedName name="ROW_RenewOther_Renewed_From_Primary_Key">RenewalPlans!$A$41</definedName>
    <definedName name="ROW_RenewOther_Risk_Tier">RenewalPlans!$G$41</definedName>
    <definedName name="ROW_RenewOther_Unique_Plan_Code">RenewalPlans!$E$41</definedName>
    <definedName name="ROW_RenewSTD_Accident">RenewalPlans!$AD$23</definedName>
    <definedName name="ROW_RenewSTD_Benefit_Duration">RenewalPlans!$AB$23</definedName>
    <definedName name="ROW_RenewSTD_Benefit_Group">RenewalPlans!$H$23</definedName>
    <definedName name="ROW_RenewSTD_Benefit_Percentage__Base_Weekly">RenewalPlans!$Z$23</definedName>
    <definedName name="ROW_RenewSTD_Carrier">RenewalPlans!$F$23</definedName>
    <definedName name="ROW_RenewSTD_Contribution_Method">RenewalPlans!$J$23</definedName>
    <definedName name="ROW_RenewSTD_Coverage_Type">RenewalPlans!$AJ$23</definedName>
    <definedName name="ROW_RenewSTD_Definition_of_Disability">RenewalPlans!$AE$23</definedName>
    <definedName name="ROW_RenewSTD_EC">RenewalPlans!$M$23</definedName>
    <definedName name="ROW_RenewSTD_EC_count">RenewalPlans!$R$23</definedName>
    <definedName name="ROW_RenewSTD_ECContrib">RenewalPlans!$W$23</definedName>
    <definedName name="ROW_RenewSTD_Effective_Date">RenewalPlans!$I$23</definedName>
    <definedName name="ROW_RenewSTD_EK">RenewalPlans!$N$23</definedName>
    <definedName name="ROW_RenewSTD_EK_count">RenewalPlans!$S$23</definedName>
    <definedName name="ROW_RenewSTD_EKContrib">RenewalPlans!$Y$23</definedName>
    <definedName name="ROW_RenewSTD_EO">RenewalPlans!$K$23</definedName>
    <definedName name="ROW_RenewSTD_EO_count">RenewalPlans!$P$23</definedName>
    <definedName name="ROW_RenewSTD_EOContrib">RenewalPlans!$U$23</definedName>
    <definedName name="ROW_RenewSTD_ES">RenewalPlans!$L$23</definedName>
    <definedName name="ROW_RenewSTD_ES_count">RenewalPlans!$Q$23</definedName>
    <definedName name="ROW_RenewSTD_ESContrib">RenewalPlans!$V$23</definedName>
    <definedName name="ROW_RenewSTD_FAM">RenewalPlans!$O$23</definedName>
    <definedName name="ROW_RenewSTD_FAM_count">RenewalPlans!$T$23</definedName>
    <definedName name="ROW_RenewSTD_FAMContrib">RenewalPlans!$X$23</definedName>
    <definedName name="ROW_RenewSTD_Illness">RenewalPlans!$AC$23</definedName>
    <definedName name="ROW_RenewSTD_Maximum_Weekly_Benefit">RenewalPlans!$AA$23</definedName>
    <definedName name="ROW_RenewSTD_PlanClass">RenewalPlans!$B$23</definedName>
    <definedName name="ROW_RenewSTD_PlanID">RenewalPlans!$C$23</definedName>
    <definedName name="ROW_RenewSTD_Pre_Existing_Limitation">RenewalPlans!$AF$23</definedName>
    <definedName name="ROW_RenewSTD_Rehab_Services">RenewalPlans!$AI$23</definedName>
    <definedName name="ROW_RenewSTD_Renewed_From_Plan">RenewalPlans!$D$23</definedName>
    <definedName name="ROW_RenewSTD_Renewed_From_Primary_Key">RenewalPlans!$A$23</definedName>
    <definedName name="ROW_RenewSTD_Return_to_Work">RenewalPlans!$AH$23</definedName>
    <definedName name="ROW_RenewSTD_Risk_Tier">RenewalPlans!$G$23</definedName>
    <definedName name="ROW_RenewSTD_Teleguard">RenewalPlans!$AG$23</definedName>
    <definedName name="ROW_RenewSTD_Unique_Plan_Code">RenewalPlans!$E$23</definedName>
    <definedName name="ROW_RenewVision_Benefit_Group">RenewalPlans!$H$17</definedName>
    <definedName name="ROW_RenewVision_Carrier">RenewalPlans!$F$17</definedName>
    <definedName name="ROW_RenewVision_Contribution_Method">RenewalPlans!$J$17</definedName>
    <definedName name="ROW_RenewVision_EC">RenewalPlans!$M$17</definedName>
    <definedName name="ROW_RenewVision_EC_count">RenewalPlans!$R$17</definedName>
    <definedName name="ROW_RenewVision_ECContrib">RenewalPlans!$W$17</definedName>
    <definedName name="ROW_RenewVision_Effective_Date">RenewalPlans!$I$17</definedName>
    <definedName name="ROW_RenewVision_EK">RenewalPlans!$N$17</definedName>
    <definedName name="ROW_RenewVision_EK_count">RenewalPlans!$S$17</definedName>
    <definedName name="ROW_RenewVision_EKContrib">RenewalPlans!$Y$17</definedName>
    <definedName name="ROW_RenewVision_EO">RenewalPlans!$K$17</definedName>
    <definedName name="ROW_RenewVision_EO_count">RenewalPlans!$P$17</definedName>
    <definedName name="ROW_RenewVision_EOContrib">RenewalPlans!$U$17</definedName>
    <definedName name="ROW_RenewVision_ES">RenewalPlans!$L$17</definedName>
    <definedName name="ROW_RenewVision_ES_count">RenewalPlans!$Q$17</definedName>
    <definedName name="ROW_RenewVision_ESContrib">RenewalPlans!$V$17</definedName>
    <definedName name="ROW_RenewVision_FAM">RenewalPlans!$O$17</definedName>
    <definedName name="ROW_RenewVision_FAM_count">RenewalPlans!$T$17</definedName>
    <definedName name="ROW_RenewVision_FAMContrib">RenewalPlans!$X$17</definedName>
    <definedName name="ROW_RenewVision_IN_Bifocal_Lenses">RenewalPlans!$AG$17</definedName>
    <definedName name="ROW_RenewVision_IN_Contact_Lenses_No_Frames">RenewalPlans!$AJ$17</definedName>
    <definedName name="ROW_RenewVision_IN_Copay_Contact_Exam">RenewalPlans!$AA$17</definedName>
    <definedName name="ROW_RenewVision_IN_Copay_Exam">RenewalPlans!$Z$17</definedName>
    <definedName name="ROW_RenewVision_IN_Copay_Materials">RenewalPlans!$AB$17</definedName>
    <definedName name="ROW_RenewVision_IN_Frames">RenewalPlans!$AI$17</definedName>
    <definedName name="ROW_RenewVision_IN_Freq_Eye_Exam">RenewalPlans!$AC$17</definedName>
    <definedName name="ROW_RenewVision_IN_Freq_Frames">RenewalPlans!$AE$17</definedName>
    <definedName name="ROW_RenewVision_IN_Freq_Replacement_Lenses">RenewalPlans!$AD$17</definedName>
    <definedName name="ROW_RenewVision_IN_Single_Vision_Lenses">RenewalPlans!$AF$17</definedName>
    <definedName name="ROW_RenewVision_IN_Trifocal_Lenses">RenewalPlans!$AH$17</definedName>
    <definedName name="ROW_RenewVision_OON_Bifocal_Lenses">RenewalPlans!$AO$17</definedName>
    <definedName name="ROW_RenewVision_OON_Contact_Lenses_No_Frames">RenewalPlans!$AR$17</definedName>
    <definedName name="ROW_RenewVision_OON_Copay_Contact_Exam">RenewalPlans!$AL$17</definedName>
    <definedName name="ROW_RenewVision_OON_Copay_Exam">RenewalPlans!$AK$17</definedName>
    <definedName name="ROW_RenewVision_OON_Copay_Materials">RenewalPlans!$AM$17</definedName>
    <definedName name="ROW_RenewVision_OON_Frames">RenewalPlans!$AQ$17</definedName>
    <definedName name="ROW_RenewVision_OON_Single_Vision_Lenses">RenewalPlans!$AN$17</definedName>
    <definedName name="ROW_RenewVision_OON_Trifocal_Lenses">RenewalPlans!$AP$17</definedName>
    <definedName name="ROW_RenewVision_PlanClass">RenewalPlans!$B$17</definedName>
    <definedName name="ROW_RenewVision_PlanID">RenewalPlans!$C$17</definedName>
    <definedName name="ROW_RenewVision_Renewed_From_Plan">RenewalPlans!$D$17</definedName>
    <definedName name="ROW_RenewVision_Renewed_From_Primary_Key">RenewalPlans!$A$17</definedName>
    <definedName name="ROW_RenewVision_Risk_Tier">RenewalPlans!$G$17</definedName>
    <definedName name="ROW_RenewVision_Unique_Plan_Code">RenewalPlans!$E$17</definedName>
    <definedName name="Row_Unique_Dental_Count">ClassesPlans!$C$37</definedName>
    <definedName name="Row_Unique_Dental_PlanCode">ClassesPlans!$A$37</definedName>
    <definedName name="Row_Unique_Dental_Renewal_Y_N">ClassesPlans!$B$37</definedName>
    <definedName name="Row_Unique_Health_Count">ClassesPlans!$C$31</definedName>
    <definedName name="Row_Unique_Health_PlanCode">ClassesPlans!$A$31</definedName>
    <definedName name="Row_Unique_Health_Renewal_Y_N">ClassesPlans!$B$31</definedName>
    <definedName name="Row_Unique_Life_Count">ClassesPlans!$C$61</definedName>
    <definedName name="Row_Unique_Life_PlanCode">ClassesPlans!$A$61</definedName>
    <definedName name="Row_Unique_Life_Renewal_Y_N">ClassesPlans!$B$61</definedName>
    <definedName name="Row_Unique_LifeVol_Count">[1]ClassesPlans!#REF!</definedName>
    <definedName name="Row_Unique_LifeVol_PlanCode">[1]ClassesPlans!#REF!</definedName>
    <definedName name="Row_Unique_LifeVol_Renewal_Y_N">[1]ClassesPlans!#REF!</definedName>
    <definedName name="Row_Unique_LTD_Count">ClassesPlans!$C$55</definedName>
    <definedName name="Row_Unique_LTD_PlanCode">ClassesPlans!$A$55</definedName>
    <definedName name="Row_Unique_LTD_Renewal_Y_N">ClassesPlans!$B$55</definedName>
    <definedName name="Row_Unique_Other_Count">ClassesPlans!$C$68</definedName>
    <definedName name="Row_Unique_Other_PlanCode">ClassesPlans!$A$68</definedName>
    <definedName name="Row_Unique_Other_Renewal_Y_N">ClassesPlans!$B$68</definedName>
    <definedName name="Row_Unique_STD_Count">ClassesPlans!$C$49</definedName>
    <definedName name="Row_Unique_STD_PlanCode">ClassesPlans!$A$49</definedName>
    <definedName name="Row_Unique_STD_Renewal_Y_N">ClassesPlans!$B$49</definedName>
    <definedName name="Row_Unique_Vision_Count">ClassesPlans!$C$43</definedName>
    <definedName name="Row_Unique_Vision_PlanCode">ClassesPlans!$A$43</definedName>
    <definedName name="Row_Unique_Vision_Renewal_Y_N">ClassesPlans!$B$43</definedName>
    <definedName name="STDSelect">'Class 1'!$B$878</definedName>
    <definedName name="SupplementalPlans">[1]CSExport!#REF!</definedName>
    <definedName name="UNIQUE_HEALTH_PLANS">ClassesPlans!$A21:$A24</definedName>
    <definedName name="VisionCount">ClassesPlans!$B$11:$H$11</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40" l="1"/>
</calcChain>
</file>

<file path=xl/comments7.xml><?xml version="1.0" encoding="utf-8"?>
<comments xmlns="http://schemas.openxmlformats.org/spreadsheetml/2006/main" xmlns:mc="http://schemas.openxmlformats.org/markup-compatibility/2006" xmlns:xr="http://schemas.microsoft.com/office/spreadsheetml/2014/revision" mc:Ignorable="xr">
  <authors>
    <author>James Lydon</author>
  </authors>
  <commentList>
    <comment ref="D876" authorId="0" shapeId="0" xr:uid="{534F711F-1F4D-4553-8198-AF70342A73CE}">
      <text>
        <r>
          <rPr>
            <b/>
            <sz val="9"/>
            <rFont val="Tahoma"/>
            <family val="2"/>
          </rPr>
          <t>Employer must offer HAS if you offer an HDHP plan.
Employer cannot offer HAS if you do not offer an HDHP plan.</t>
        </r>
      </text>
    </comment>
  </commentList>
</comments>
</file>

<file path=xl/metadata.xml><?xml version="1.0" encoding="utf-8"?>
<metadata xmlns="http://schemas.openxmlformats.org/spreadsheetml/2006/main" xmlns:xda="http://schemas.microsoft.com/office/spreadsheetml/2017/dynamicarray" xmlns:xlrd="http://schemas.microsoft.com/office/spreadsheetml/2017/richdata">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<sst xmlns="http://schemas.openxmlformats.org/spreadsheetml/2006/main" count="7637" uniqueCount="472">
  <si>
    <t>Counts As Of</t>
  </si>
  <si>
    <t>Client Name</t>
  </si>
  <si>
    <t>Client DBA</t>
  </si>
  <si>
    <t>Client Number</t>
  </si>
  <si>
    <t>Benefit Contact Name</t>
  </si>
  <si>
    <t>Benefit Contact Email</t>
  </si>
  <si>
    <t>Benefit Contact Phone</t>
  </si>
  <si>
    <t>Benefit Rep Name</t>
  </si>
  <si>
    <t>Benefit Rep Email</t>
  </si>
  <si>
    <t>Benefit Rep Phone</t>
  </si>
  <si>
    <t>Benefit Year</t>
  </si>
  <si>
    <t>Class1</t>
  </si>
  <si>
    <t>Class2</t>
  </si>
  <si>
    <t>Class3</t>
  </si>
  <si>
    <t>Class4</t>
  </si>
  <si>
    <t>Class5</t>
  </si>
  <si>
    <t>Class6</t>
  </si>
  <si>
    <t>Class7</t>
  </si>
  <si>
    <t>Name</t>
  </si>
  <si>
    <t>Code</t>
  </si>
  <si>
    <t>CurrentHealthCount</t>
  </si>
  <si>
    <t>CurrentDentalCount</t>
  </si>
  <si>
    <t>CurrentVisionCount</t>
  </si>
  <si>
    <t>RenewalHealthCount</t>
  </si>
  <si>
    <t>RenewalDentalCount</t>
  </si>
  <si>
    <t>RenewalVisionCount</t>
  </si>
  <si>
    <t>RenewalSTDCount</t>
  </si>
  <si>
    <t>RenewalLTDCount</t>
  </si>
  <si>
    <t>RenewalLifeCount</t>
  </si>
  <si>
    <t>RenewalHealthStart</t>
  </si>
  <si>
    <t>RenewalDentalStart</t>
  </si>
  <si>
    <t>RenewalVisionStart</t>
  </si>
  <si>
    <t>CurrentHealthStart</t>
  </si>
  <si>
    <t>CurrentDentalStart</t>
  </si>
  <si>
    <t>CurrentVisionStart</t>
  </si>
  <si>
    <t>Unique Plan Codes</t>
  </si>
  <si>
    <t>Health</t>
  </si>
  <si>
    <t>PlanCode</t>
  </si>
  <si>
    <t>SELECT PLAN</t>
  </si>
  <si>
    <t>Dental</t>
  </si>
  <si>
    <t>Vision</t>
  </si>
  <si>
    <t>STD</t>
  </si>
  <si>
    <t>Opt-out</t>
  </si>
  <si>
    <t>LTD</t>
  </si>
  <si>
    <t>Life</t>
  </si>
  <si>
    <t>Other</t>
  </si>
  <si>
    <t>Questco EAP?</t>
  </si>
  <si>
    <t>PrimaryKey</t>
  </si>
  <si>
    <t>PlanClass</t>
  </si>
  <si>
    <t>PlanID</t>
  </si>
  <si>
    <t>UniquePlanCode</t>
  </si>
  <si>
    <t>Carrier</t>
  </si>
  <si>
    <t>RiskTier</t>
  </si>
  <si>
    <t>BenefitGroup</t>
  </si>
  <si>
    <t>EO</t>
  </si>
  <si>
    <t>ES</t>
  </si>
  <si>
    <t>EC</t>
  </si>
  <si>
    <t>EK</t>
  </si>
  <si>
    <t>FAM</t>
  </si>
  <si>
    <t>EO count</t>
  </si>
  <si>
    <t>ES count</t>
  </si>
  <si>
    <t>EK count</t>
  </si>
  <si>
    <t>EC count</t>
  </si>
  <si>
    <t>FAM count</t>
  </si>
  <si>
    <t>EOContrib</t>
  </si>
  <si>
    <t>ESContrib</t>
  </si>
  <si>
    <t>ECContrib</t>
  </si>
  <si>
    <t>EKContrib</t>
  </si>
  <si>
    <t>FAMContrib</t>
  </si>
  <si>
    <t>IN_Coinsurance</t>
  </si>
  <si>
    <t>IN_Ded_Indiv</t>
  </si>
  <si>
    <t>IN_Ded_Fam</t>
  </si>
  <si>
    <t>IN_OOP_Max_Indiv</t>
  </si>
  <si>
    <t>IN_OOP_Max_Fam</t>
  </si>
  <si>
    <t>Office_Visit_PCP</t>
  </si>
  <si>
    <t>Office_Visit_Specialist</t>
  </si>
  <si>
    <t>Advanced_Radiology</t>
  </si>
  <si>
    <t>Hospital_Inpatient</t>
  </si>
  <si>
    <t>Surgery_Outpatient</t>
  </si>
  <si>
    <t>Emergency_Room</t>
  </si>
  <si>
    <t>Urgent_Care</t>
  </si>
  <si>
    <t>Pharmacy_Ded_Amt</t>
  </si>
  <si>
    <t>Pharmacy_Generic</t>
  </si>
  <si>
    <t>Pharmacy_Formulary</t>
  </si>
  <si>
    <t>Pharmacy_Non_Formulary</t>
  </si>
  <si>
    <t>Pharmacy_Specialty</t>
  </si>
  <si>
    <t>Pharmacy_MailOrder</t>
  </si>
  <si>
    <t>OON_Coinsurance</t>
  </si>
  <si>
    <t>OON_Ded_Indiv</t>
  </si>
  <si>
    <t>OON_Ded_Fam</t>
  </si>
  <si>
    <t>OON_OOP_Max_Indiv</t>
  </si>
  <si>
    <t>OON_OOP_Max_Fam</t>
  </si>
  <si>
    <t>Health_Labs</t>
  </si>
  <si>
    <t>Health_Diagnostic_Xray</t>
  </si>
  <si>
    <t>IN_Orthodontia_Pct_Dollar</t>
  </si>
  <si>
    <t>IN_Orthodontia_Max</t>
  </si>
  <si>
    <t>OON_Preventative_Care</t>
  </si>
  <si>
    <t>OON_Basic_Restorative</t>
  </si>
  <si>
    <t>OON_Major_Restorative</t>
  </si>
  <si>
    <t>Annual_Dental_Max</t>
  </si>
  <si>
    <t>IN_Freq_Frames</t>
  </si>
  <si>
    <t>IN_Single_Vision_Lenses</t>
  </si>
  <si>
    <t>IN_Bifocal_Lenses</t>
  </si>
  <si>
    <t>IN_Trifocal_Lenses</t>
  </si>
  <si>
    <t>IN_Frames</t>
  </si>
  <si>
    <t>IN_Contact_Lenses_No_Frames</t>
  </si>
  <si>
    <t>OON_Copay_Exam</t>
  </si>
  <si>
    <t>OON_Copay_Contact_Exam</t>
  </si>
  <si>
    <t>OON_Copay_Materials</t>
  </si>
  <si>
    <t>OON_Single_Vision_Lenses</t>
  </si>
  <si>
    <t>OON_Bifocal_Lenses</t>
  </si>
  <si>
    <t>OON_Trifocal_Lenses</t>
  </si>
  <si>
    <t>OON_Frames</t>
  </si>
  <si>
    <t>OON_Contact_Lenses_No_Frames</t>
  </si>
  <si>
    <t>Category</t>
  </si>
  <si>
    <t>Renewed From Primary Key</t>
  </si>
  <si>
    <t>Renewed From Plan</t>
  </si>
  <si>
    <t>Unique Plan Code</t>
  </si>
  <si>
    <t>Risk Tier</t>
  </si>
  <si>
    <t>Benefit Group</t>
  </si>
  <si>
    <t>Effective Date</t>
  </si>
  <si>
    <t>Contribution Method</t>
  </si>
  <si>
    <t xml:space="preserve">IN Coinsurance </t>
  </si>
  <si>
    <t>IN Ded Indiv</t>
  </si>
  <si>
    <t>IN Ded Fam</t>
  </si>
  <si>
    <t>IN OOP Max Indiv</t>
  </si>
  <si>
    <t>IN OOP Max Fam</t>
  </si>
  <si>
    <t>Office Visit PCP</t>
  </si>
  <si>
    <t>Office Visit Specialist</t>
  </si>
  <si>
    <t xml:space="preserve">Advanced Radiology </t>
  </si>
  <si>
    <t>Hospital Inpatient</t>
  </si>
  <si>
    <t>Surgery Outpatient</t>
  </si>
  <si>
    <t xml:space="preserve">Emergency Room </t>
  </si>
  <si>
    <t xml:space="preserve">Urgent Care </t>
  </si>
  <si>
    <t>Pharmacy Ded Amt</t>
  </si>
  <si>
    <t>Pharmacy Generic</t>
  </si>
  <si>
    <t>Pharmacy Formulary</t>
  </si>
  <si>
    <t>Pharmacy Non Formulary</t>
  </si>
  <si>
    <t>Pharmacy Specialty</t>
  </si>
  <si>
    <t>Pharmacy MailOrder</t>
  </si>
  <si>
    <t>OO Coinsurance</t>
  </si>
  <si>
    <t>OON Ded Indiv</t>
  </si>
  <si>
    <t>OON Ded Fam</t>
  </si>
  <si>
    <t>OON OOP Max Indiv</t>
  </si>
  <si>
    <t>OON OOP Max Fam</t>
  </si>
  <si>
    <t>Labs</t>
  </si>
  <si>
    <t>Diagnostic Xray</t>
  </si>
  <si>
    <t>IN Preventative Care</t>
  </si>
  <si>
    <t>IN Basic Restorative</t>
  </si>
  <si>
    <t>IN Major Restorative</t>
  </si>
  <si>
    <t>IN Orthodontia Pct Dollar</t>
  </si>
  <si>
    <t>IN Orthodontia Max</t>
  </si>
  <si>
    <t>OON Preventative Care</t>
  </si>
  <si>
    <t>OON Basic Restorative</t>
  </si>
  <si>
    <t>OON Major Restorative</t>
  </si>
  <si>
    <t>Annual Dental Max</t>
  </si>
  <si>
    <t>IN Copay Exam</t>
  </si>
  <si>
    <t>IN Copay Contact Exam</t>
  </si>
  <si>
    <t>IN Copay Materials</t>
  </si>
  <si>
    <t>IN Freq Eye Exam</t>
  </si>
  <si>
    <t>IN Freq Replacement Lenses</t>
  </si>
  <si>
    <t>IN Freq Frames</t>
  </si>
  <si>
    <t>IN Single Vision Lenses</t>
  </si>
  <si>
    <t>IN Bifocal Lenses</t>
  </si>
  <si>
    <t>IN Trifocal Lenses</t>
  </si>
  <si>
    <t>IN Frames</t>
  </si>
  <si>
    <t>IN Contact Lenses No Frames</t>
  </si>
  <si>
    <t>OON Copay Exam</t>
  </si>
  <si>
    <t>OON Copay Contact Exam</t>
  </si>
  <si>
    <t>OON Copay Materials</t>
  </si>
  <si>
    <t>OON Single Vision Lenses</t>
  </si>
  <si>
    <t>OON Bifocal Lenses</t>
  </si>
  <si>
    <t>OON Trifocal Lenses</t>
  </si>
  <si>
    <t>OON Frames</t>
  </si>
  <si>
    <t>OON Contact Lenses No Frames</t>
  </si>
  <si>
    <t>Benefit Percentage (Base Weekly)</t>
  </si>
  <si>
    <t>Maximum Weekly Benefit</t>
  </si>
  <si>
    <t>Benefit Duration</t>
  </si>
  <si>
    <t>Illness</t>
  </si>
  <si>
    <t>Accident</t>
  </si>
  <si>
    <t>Definition of Disability</t>
  </si>
  <si>
    <t>Pre-Existing Limitation</t>
  </si>
  <si>
    <t>Teleguard</t>
  </si>
  <si>
    <t>Return to Work</t>
  </si>
  <si>
    <t>Rehab Services</t>
  </si>
  <si>
    <t>Coverage Type</t>
  </si>
  <si>
    <t>Monthly Benefit Maximum</t>
  </si>
  <si>
    <t>Monthly Benefit Minimum</t>
  </si>
  <si>
    <t>Elimination Period</t>
  </si>
  <si>
    <t>Social Security Integration</t>
  </si>
  <si>
    <t>Survivor Benefit</t>
  </si>
  <si>
    <t>Pre-Existing</t>
  </si>
  <si>
    <t>Mental/Nervous/Substance</t>
  </si>
  <si>
    <t>Disability Definition</t>
  </si>
  <si>
    <t>Employee Life Benefit Amount</t>
  </si>
  <si>
    <t>Guarantee Issue Max Benefit</t>
  </si>
  <si>
    <t>AD&amp;D Benefits</t>
  </si>
  <si>
    <t>Accelerated Death Benefit</t>
  </si>
  <si>
    <t>Waiver of Premium</t>
  </si>
  <si>
    <t>Portability</t>
  </si>
  <si>
    <t>Conversion</t>
  </si>
  <si>
    <t>Age Reductions</t>
  </si>
  <si>
    <t>Common Carrier</t>
  </si>
  <si>
    <t>Column K (New Plan Year EE Counts)</t>
  </si>
  <si>
    <t>(Column H)</t>
  </si>
  <si>
    <t>(Column O)</t>
  </si>
  <si>
    <t>Medical Employee Count</t>
  </si>
  <si>
    <t>Dental Employee Count</t>
  </si>
  <si>
    <t>Vision Employee Count</t>
  </si>
  <si>
    <t>Current Total Employer Cost</t>
  </si>
  <si>
    <t>Estimated Renewal Total Employer Cost</t>
  </si>
  <si>
    <t>Total All Employees</t>
  </si>
  <si>
    <t>All Plans Combined</t>
  </si>
  <si>
    <t>Medical Renewal Summary</t>
  </si>
  <si>
    <t>Medical</t>
  </si>
  <si>
    <t>Current Rates</t>
  </si>
  <si>
    <t>Renewal Rates</t>
  </si>
  <si>
    <t>Alternate Rates</t>
  </si>
  <si>
    <t>Total Annual Premium</t>
  </si>
  <si>
    <t>Total Enrolled</t>
  </si>
  <si>
    <t>Life / Disability</t>
  </si>
  <si>
    <t>Annual Difference</t>
  </si>
  <si>
    <t>-</t>
  </si>
  <si>
    <t>Annual % Change</t>
  </si>
  <si>
    <t>CURRENT PLANS</t>
  </si>
  <si>
    <t>PLAN RENEWAL</t>
  </si>
  <si>
    <t>ALTERNATE PLAN</t>
  </si>
  <si>
    <t>Benefit Class</t>
  </si>
  <si>
    <t>Current Contribution Percentage</t>
  </si>
  <si>
    <t>Current Employer Contribution</t>
  </si>
  <si>
    <t>Current Employee Contribution</t>
  </si>
  <si>
    <t>Total Cost</t>
  </si>
  <si>
    <t>New Plan Year EE Counts</t>
  </si>
  <si>
    <t>Select Contribution Method</t>
  </si>
  <si>
    <t>New Contribution Amount</t>
  </si>
  <si>
    <t>Health Plans</t>
  </si>
  <si>
    <t>MED 1</t>
  </si>
  <si>
    <t>[Contribution Methods]</t>
  </si>
  <si>
    <t>Employee Only</t>
  </si>
  <si>
    <t>Employee + Spouse</t>
  </si>
  <si>
    <t>Employee + Child/Children</t>
  </si>
  <si>
    <t>Employee + Family</t>
  </si>
  <si>
    <t>Monthly Premium</t>
  </si>
  <si>
    <t>Annual Premium</t>
  </si>
  <si>
    <t>Annual Cost Difference</t>
  </si>
  <si>
    <t>Percentage Change</t>
  </si>
  <si>
    <t>Benefit Plan Summary</t>
  </si>
  <si>
    <t>In-Network Benefits</t>
  </si>
  <si>
    <t>Plan Name</t>
  </si>
  <si>
    <t>Network</t>
  </si>
  <si>
    <t>Annual Deductible and Coinsurance</t>
  </si>
  <si>
    <t xml:space="preserve">Individual </t>
  </si>
  <si>
    <t xml:space="preserve">EE + Family  </t>
  </si>
  <si>
    <t xml:space="preserve">Coinsurance </t>
  </si>
  <si>
    <t>Annual Out-of-Pocket Maximum</t>
  </si>
  <si>
    <t>Individual</t>
  </si>
  <si>
    <t xml:space="preserve">EE + Family </t>
  </si>
  <si>
    <t>Office Visits</t>
  </si>
  <si>
    <t>Primary</t>
  </si>
  <si>
    <t>Specialist</t>
  </si>
  <si>
    <t>Pharmacy</t>
  </si>
  <si>
    <t>Member Copay / Plan Coinsurance</t>
  </si>
  <si>
    <t>Specialty Prescription</t>
  </si>
  <si>
    <t>Deductible</t>
  </si>
  <si>
    <t>Mail Service Ratio (x Retail)</t>
  </si>
  <si>
    <t>Common Services</t>
  </si>
  <si>
    <t>In-Patient Facility</t>
  </si>
  <si>
    <t>Out-Patient Facility</t>
  </si>
  <si>
    <t>Urgent Care</t>
  </si>
  <si>
    <t>Emergency Room</t>
  </si>
  <si>
    <t>Diagnostic X-Ray</t>
  </si>
  <si>
    <t>Lab</t>
  </si>
  <si>
    <t xml:space="preserve">MRI &amp; CT Scan </t>
  </si>
  <si>
    <t>Telemedicine</t>
  </si>
  <si>
    <t>Out-of-Network Benefits</t>
  </si>
  <si>
    <t>MED 2</t>
  </si>
  <si>
    <t>MED 3</t>
  </si>
  <si>
    <t>MED 4</t>
  </si>
  <si>
    <t>MED 5</t>
  </si>
  <si>
    <t>MED 6</t>
  </si>
  <si>
    <t>MED 7</t>
  </si>
  <si>
    <t>MED 8</t>
  </si>
  <si>
    <t>MED 9</t>
  </si>
  <si>
    <t>MED 10</t>
  </si>
  <si>
    <t>MED N1</t>
  </si>
  <si>
    <t>NEW PLAN</t>
  </si>
  <si>
    <t>MED N2</t>
  </si>
  <si>
    <t>MED N3</t>
  </si>
  <si>
    <t>Dental Plans</t>
  </si>
  <si>
    <t>DEN 1</t>
  </si>
  <si>
    <t>DEN 2</t>
  </si>
  <si>
    <t>DEN 3</t>
  </si>
  <si>
    <t>DEN 4</t>
  </si>
  <si>
    <t>DEN 5</t>
  </si>
  <si>
    <t>DEN N1</t>
  </si>
  <si>
    <t>DEN N2</t>
  </si>
  <si>
    <t>DEN N3</t>
  </si>
  <si>
    <t>DEN N4</t>
  </si>
  <si>
    <t>DEN N5</t>
  </si>
  <si>
    <t>Vision Plans</t>
  </si>
  <si>
    <t>VIS 1</t>
  </si>
  <si>
    <t>VIS 2</t>
  </si>
  <si>
    <t>VIS 3</t>
  </si>
  <si>
    <t>VIS 4</t>
  </si>
  <si>
    <t>VIS 5</t>
  </si>
  <si>
    <t>VIS N1</t>
  </si>
  <si>
    <t>VIS N2</t>
  </si>
  <si>
    <t>VIS N3</t>
  </si>
  <si>
    <t>VIS N4</t>
  </si>
  <si>
    <t>VIS N5</t>
  </si>
  <si>
    <t>End Plans</t>
  </si>
  <si>
    <t>Medical Total</t>
  </si>
  <si>
    <t>Dental Total</t>
  </si>
  <si>
    <t>Vision Total</t>
  </si>
  <si>
    <t>Vision total</t>
  </si>
  <si>
    <t>Medical EE Count</t>
  </si>
  <si>
    <t>Dental EE Count</t>
  </si>
  <si>
    <t>Vision EE Count</t>
  </si>
  <si>
    <t>Life / Disability Plans</t>
  </si>
  <si>
    <t>Include Plan?</t>
  </si>
  <si>
    <t>HSA Plan (HDHP required)?</t>
  </si>
  <si>
    <t>Plan Type</t>
  </si>
  <si>
    <t>Plan</t>
  </si>
  <si>
    <t>Cost</t>
  </si>
  <si>
    <t>Questco FSA Plan?</t>
  </si>
  <si>
    <t>LTD-ER</t>
  </si>
  <si>
    <t>STD-ER</t>
  </si>
  <si>
    <t>Life - ER</t>
  </si>
  <si>
    <t>Keep Percentage Same</t>
  </si>
  <si>
    <t>Monthly</t>
  </si>
  <si>
    <t>Keep Contribution Same</t>
  </si>
  <si>
    <t>PlanCount</t>
  </si>
  <si>
    <t>Relative Column Reference</t>
  </si>
  <si>
    <t>Premium</t>
  </si>
  <si>
    <t>Employee + Child(ren)</t>
  </si>
  <si>
    <t>Family</t>
  </si>
  <si>
    <t>In Network</t>
  </si>
  <si>
    <t>Deductible Individual</t>
  </si>
  <si>
    <t>Deductible Family</t>
  </si>
  <si>
    <t>Out Of Pocket Max-Individual</t>
  </si>
  <si>
    <t>Out Of Pocket Max-Family</t>
  </si>
  <si>
    <t>Office Visit Primary Care Physician</t>
  </si>
  <si>
    <t>Diagnostic X-ray</t>
  </si>
  <si>
    <t>Complex Medical Imaging</t>
  </si>
  <si>
    <t>Deductible Amount</t>
  </si>
  <si>
    <t>Out of Network</t>
  </si>
  <si>
    <t>Out Of Pocket Max - Individual</t>
  </si>
  <si>
    <t>Out Of Pocket Max - Family</t>
  </si>
  <si>
    <t>Orthodontia Pct Dollar</t>
  </si>
  <si>
    <t>Orthodontia Max</t>
  </si>
  <si>
    <t>Preventative Care</t>
  </si>
  <si>
    <t>Basic Restorative</t>
  </si>
  <si>
    <t>Major Restorative</t>
  </si>
  <si>
    <t>Out Of Network</t>
  </si>
  <si>
    <t>In Network Copays</t>
  </si>
  <si>
    <t>Copay Eye Exam</t>
  </si>
  <si>
    <t>Copay Contact Exam</t>
  </si>
  <si>
    <t>Copay Materials (lenses, frames, contacts)</t>
  </si>
  <si>
    <t>In Network (you pay after copays)</t>
  </si>
  <si>
    <t>Single Vision Lenses</t>
  </si>
  <si>
    <t>Bifocal Lenses</t>
  </si>
  <si>
    <t>Trifocal Lenses</t>
  </si>
  <si>
    <t>Frames</t>
  </si>
  <si>
    <t>Contact Lenses</t>
  </si>
  <si>
    <t>Out of Network Copays</t>
  </si>
  <si>
    <t>Out of Network (you pay after copays)</t>
  </si>
  <si>
    <t>Service Frequencies</t>
  </si>
  <si>
    <t>Column Reference</t>
  </si>
  <si>
    <t>Opt Out</t>
  </si>
  <si>
    <t>Benefits</t>
  </si>
  <si>
    <t>Rehabilitation Incentives</t>
  </si>
  <si>
    <t>Plan Limitations</t>
  </si>
  <si>
    <t>ER</t>
  </si>
  <si>
    <t>Vol</t>
  </si>
  <si>
    <t xml:space="preserve">  </t>
  </si>
  <si>
    <t>Questco Ancillary Plans</t>
  </si>
  <si>
    <t>Voluntary Short-Term Disability</t>
  </si>
  <si>
    <t xml:space="preserve">7/7 Day Elimination Period, 60% of Weekly Salary </t>
  </si>
  <si>
    <t>CHUBB VOLUNTARY PLANS</t>
  </si>
  <si>
    <t xml:space="preserve">7/14 Day Elimination Period, 60% of Weekly Salary </t>
  </si>
  <si>
    <t>Benefit Maximum: $1,500/$2,500</t>
  </si>
  <si>
    <t>Benefit Maximum: $500/$1,500/$2,500</t>
  </si>
  <si>
    <t>(Per $10 Covered Weekly Benefit)</t>
  </si>
  <si>
    <t>Age</t>
  </si>
  <si>
    <t>Rates</t>
  </si>
  <si>
    <t>&lt;30 years old</t>
  </si>
  <si>
    <t>30-34</t>
  </si>
  <si>
    <t>35-39</t>
  </si>
  <si>
    <t>40-44</t>
  </si>
  <si>
    <t>45-49</t>
  </si>
  <si>
    <t>50-54</t>
  </si>
  <si>
    <t>55-59</t>
  </si>
  <si>
    <t>60-64</t>
  </si>
  <si>
    <t>65 +</t>
  </si>
  <si>
    <t>Voluntary Long-Term Disability</t>
  </si>
  <si>
    <t xml:space="preserve">90 Day Elimination Period, 60% of Monthly Salary </t>
  </si>
  <si>
    <t>Covered Salary Maximum: $5,000/$10,000/$15,000</t>
  </si>
  <si>
    <t>(Per $100 Covered Monthly Salary)</t>
  </si>
  <si>
    <t>60+</t>
  </si>
  <si>
    <t>Chubb Voluntary Plans</t>
  </si>
  <si>
    <t>CHUBB ACCIDENT</t>
  </si>
  <si>
    <t>CHUBB CRITICAL ILLNESS</t>
  </si>
  <si>
    <t>Chubb Accident pays cash benefits directly to you or anyone you choose regardless of any other coverage you have. Chubb Accident pays extra benefits for injuries resulting from participating in organized sports.</t>
  </si>
  <si>
    <t>Chubb Critical Illness pays cash benefits directly to you in the event of a covered major illness,
Guaranteed issue with no health questions.
• Employee, spouse and child coverages are available. Spouse coverage and child(ren)
coverage is 50% of the employee face amount.</t>
  </si>
  <si>
    <t>Accident Rates - 24 Hour Coverage</t>
  </si>
  <si>
    <t>Critical Illness Rates</t>
  </si>
  <si>
    <t>Bi-Weekly Rates</t>
  </si>
  <si>
    <t xml:space="preserve">Employee Face Amounts- $10,000/ $20,000/$30,000 </t>
  </si>
  <si>
    <t>Employee</t>
  </si>
  <si>
    <t xml:space="preserve">Tobacco/Non-Tobacco, Age-Banded </t>
  </si>
  <si>
    <t>Employe + Child(ren)</t>
  </si>
  <si>
    <t>CHUBB LEVEL TERM LIFE</t>
  </si>
  <si>
    <t>10-year term or 20-year term options.
• Employee Coverage: Choose life insurance benefits amounts from $10,000 – $300,000 in $10,000 increments. You can elect up to $100,000 in coverage on a guaranteed issue basis.
Benefit amounts above $100,000 require the completion of health questions.
• Spouse Coverage: Choose life insurance benefits amounts from $10,000 – $50,000 in $10,000 increments. Spouse coverage cannot exceed your (the employee) coverage
amount. Benefit amounts above $10,000 require the completion of health questions.
• Child(ren) Coverage: Choose life insurance benefits amounts from $5,000 – $25,000 in $5,000 increments. Coverage on your child(ren) cannot exceed your coverage amount. Benefit amounts above $10,000 require the completion of health questions.</t>
  </si>
  <si>
    <t>Age-Banded Rates</t>
  </si>
  <si>
    <t>CHUBB HOSPITAL INDEMNITY</t>
  </si>
  <si>
    <t>CHUBB CANCER ADVOCATE PLUS</t>
  </si>
  <si>
    <t>Chubb Hospital Indemnity pays cash benefits directly to you in the event of you or your covered dependent's hospital confinement. Two options available.</t>
  </si>
  <si>
    <t>A Personalized Approach to Cancer Management</t>
  </si>
  <si>
    <t>$500 Admission/$100 Daily Confinement</t>
  </si>
  <si>
    <t>$1,500 Admission/$300 Daily Confinement</t>
  </si>
  <si>
    <t>CHUBB LifeTime Benefit Term Insurance with LTC</t>
  </si>
  <si>
    <t>Term life insurance with guaranteed benefits beyond age 70 and long-term care benefit. 
Age-banded rates.</t>
  </si>
  <si>
    <t>Monthly Premiums</t>
  </si>
  <si>
    <t>Additional Voluntary Plans</t>
  </si>
  <si>
    <t>APL Gap</t>
  </si>
  <si>
    <t>GAP coverage is typically referred to as insurance for your insurance. GAP insurance may cover out-of-pocket expenses not paid by your major medical plan such as deductibles, co-pays and coinsurance.</t>
  </si>
  <si>
    <t>Option 1 - $5,000 Inpatient Benefit</t>
  </si>
  <si>
    <t>Option 1 - $3,000 Inpatient Benefit</t>
  </si>
  <si>
    <t>LegalShield/ID Shield</t>
  </si>
  <si>
    <t>LegalShield provides coverage for common personal legal needs at every stage of life.
IDShield provides coverage for today’s identity and privacy protection needs at an affordable rate.</t>
  </si>
  <si>
    <t>LegalShield</t>
  </si>
  <si>
    <t>IDShield</t>
  </si>
  <si>
    <t>LegalShield + IDShield</t>
  </si>
  <si>
    <t>Pet Benefits Solutions</t>
  </si>
  <si>
    <t>Your pets are part of your family, and you’ll do anything to keep them happy and healthy. Enroll in Total Pet and get the same high-quality products and services your pets are used to, just at a lower price!</t>
  </si>
  <si>
    <t>Total Pet Plan- (Discounts)</t>
  </si>
  <si>
    <t>Discounted Wishbone Pet Insurance for direct bill</t>
  </si>
  <si>
    <t xml:space="preserve">$11.75/month for one pet </t>
  </si>
  <si>
    <t>Rates dependent on pet age and breed. More info available at https://www.petbenefits.com/land/questco</t>
  </si>
  <si>
    <t>$18.50/month for a family plan</t>
  </si>
  <si>
    <t>Metlife Voluntary Disability Plans 
(Only available if employer-paid option is not elected)</t>
  </si>
  <si>
    <t>Annually</t>
  </si>
  <si>
    <t>Rates per $10 Weekly Benefit</t>
  </si>
  <si>
    <t>Rates per $1000 of Coverage</t>
  </si>
  <si>
    <t>Rate (Per $1,000 of Coverage)</t>
  </si>
  <si>
    <t>Rate per $10 of Weekly Benefit</t>
  </si>
  <si>
    <t>Rates per $100 Monthly Benefit</t>
  </si>
  <si>
    <t>Rate per $100 of Monthly Benefit</t>
  </si>
  <si>
    <t>Metlife Voluntary Disability Plans</t>
  </si>
  <si>
    <t>Chubb Critical Illness pays cash benefits directly to you in the event of a covered major illness,
Guaranteed issue with no health questions.
• You can choose a Face Amount of up to $30,000.
• Employee, spouse and child coverages are available. Spouse coverage and child(ren)
coverage is 50% of the employee face amount.</t>
  </si>
  <si>
    <t>Monthly Rates</t>
  </si>
  <si>
    <t>Employee Face Amounts- $10,000, $20,000, $30,000</t>
  </si>
  <si>
    <t>Wishbone Pet Insurance for Direct Bill</t>
  </si>
  <si>
    <t>Rates dependent on pet age and breed.</t>
  </si>
  <si>
    <t>Yes</t>
  </si>
  <si>
    <t>HSA Plan Funding Frequency &amp; Amount?</t>
  </si>
  <si>
    <t>Complete only if different for this benefit group</t>
  </si>
  <si>
    <t>ER EAP?</t>
  </si>
  <si>
    <t>QUESTCO TEST</t>
  </si>
  <si>
    <t>DEMO CLIENT</t>
  </si>
  <si>
    <t>102</t>
  </si>
  <si>
    <t>Test Contact</t>
  </si>
  <si>
    <t>test@questco.net</t>
  </si>
  <si>
    <t>(936) 756-1980</t>
  </si>
  <si>
    <t xml:space="preserve"> </t>
  </si>
  <si>
    <t/>
  </si>
  <si>
    <t>2 (Non-Renewal)</t>
  </si>
  <si>
    <t>MANAGERS</t>
  </si>
  <si>
    <t>3 (Non-Renewal)</t>
  </si>
  <si>
    <t>OWNERS</t>
  </si>
  <si>
    <t>1 (Non-Renewal)</t>
  </si>
  <si>
    <t>PRIMARY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</si>
</sst>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8" formatCode="&quot;$&quot;#,##0.00_);[Red]\(&quot;$&quot;#,##0.00\)"/>
    <numFmt numFmtId="44" formatCode="_(&quot;$&quot;* #,##0.00_);_(&quot;$&quot;* \(#,##0.00\);_(&quot;$&quot;* &quot;-&quot;??_);_(@_)"/>
    <numFmt numFmtId="43" formatCode="_(* #,##0.00_);_(* \(#,##0.00\);_(* &quot;-&quot;??_);_(@_)"/>
    <numFmt numFmtId="164" formatCode="&quot;$&quot;#,##0.00"/>
    <numFmt numFmtId="165" formatCode="&quot;$&quot;#,##0.0000"/>
    <numFmt numFmtId="166" formatCode="&quot;$&quot;#,##0"/>
    <numFmt numFmtId="167" formatCode="&quot;$&quot;#,##0&quot; &quot;;\(&quot;$&quot;#,##0\)"/>
    <numFmt numFmtId="168" formatCode="&quot;$&quot;#,##0.000"/>
  </numFmts>
  <fonts count="90">
    <font>
      <sz val="10"/>
      <color rgb="FF000000"/>
      <name val="Times New Roman"/>
      <family val="2"/>
      <charset val="204"/>
    </font>
    <font>
      <sz val="10"/>
      <color theme="1"/>
      <name val="Arial"/>
      <family val="2"/>
    </font>
    <font>
      <sz val="11"/>
      <color theme="1"/>
      <name val="Calibri"/>
      <family val="2"/>
      <scheme val="minor"/>
    </font>
    <font>
      <b/>
      <sz val="10"/>
      <name val="Arial"/>
      <family val="2"/>
    </font>
    <font>
      <sz val="10"/>
      <name val="Arial"/>
      <family val="2"/>
    </font>
    <font>
      <sz val="10"/>
      <color rgb="FF000000"/>
      <name val="Arial"/>
      <family val="2"/>
    </font>
    <font>
      <b/>
      <sz val="10"/>
      <color rgb="FF000000"/>
      <name val="Arial"/>
      <family val="2"/>
    </font>
    <font>
      <b/>
      <sz val="10"/>
      <color rgb="FF000000"/>
      <name val="Times New Roman"/>
      <family val="1"/>
    </font>
    <font>
      <b/>
      <sz val="10"/>
      <color theme="0"/>
      <name val="Arial"/>
      <family val="2"/>
    </font>
    <font>
      <sz val="8"/>
      <name val="Times New Roman"/>
      <family val="1"/>
    </font>
    <font>
      <sz val="11"/>
      <color theme="1"/>
      <name val="Effra"/>
      <family val="2"/>
    </font>
    <font>
      <b/>
      <sz val="14"/>
      <color rgb="FF000000"/>
      <name val="Times New Roman"/>
      <family val="1"/>
    </font>
    <font>
      <sz val="12"/>
      <color rgb="FF000000"/>
      <name val="Times New Roman"/>
      <family val="1"/>
    </font>
    <font>
      <sz val="10"/>
      <color theme="1"/>
      <name val="Times New Roman"/>
      <family val="1"/>
    </font>
    <font>
      <b/>
      <sz val="10"/>
      <color theme="1"/>
      <name val="Times New Roman"/>
      <family val="1"/>
    </font>
    <font>
      <b/>
      <sz val="12"/>
      <color theme="1"/>
      <name val="Times New Roman"/>
      <family val="1"/>
    </font>
    <font>
      <b/>
      <sz val="12"/>
      <color rgb="FF000000"/>
      <name val="Times New Roman"/>
      <family val="1"/>
    </font>
    <font>
      <b/>
      <sz val="9"/>
      <color rgb="FF000000"/>
      <name val="Arial"/>
      <family val="2"/>
    </font>
    <font>
      <u val="single"/>
      <sz val="10"/>
      <color theme="10"/>
      <name val="Times New Roman"/>
      <family val="1"/>
    </font>
    <font>
      <b/>
      <sz val="11"/>
      <name val="Arial"/>
      <family val="2"/>
    </font>
    <font>
      <b/>
      <u val="single"/>
      <sz val="11"/>
      <color theme="0"/>
      <name val="Arial"/>
      <family val="2"/>
    </font>
    <font>
      <b/>
      <u val="single"/>
      <sz val="11"/>
      <name val="Arial"/>
      <family val="2"/>
    </font>
    <font>
      <b/>
      <sz val="11"/>
      <color theme="0"/>
      <name val="Arial"/>
      <family val="2"/>
    </font>
    <font>
      <sz val="9"/>
      <name val="Arial"/>
      <family val="2"/>
    </font>
    <font>
      <sz val="9"/>
      <color theme="0"/>
      <name val="Arial"/>
      <family val="2"/>
    </font>
    <font>
      <sz val="9"/>
      <color rgb="FF000000"/>
      <name val="Arial"/>
      <family val="2"/>
    </font>
    <font>
      <b/>
      <i/>
      <sz val="9"/>
      <color rgb="FF000000"/>
      <name val="Arial"/>
      <family val="2"/>
    </font>
    <font>
      <b/>
      <u val="single"/>
      <sz val="11"/>
      <color rgb="FF000000"/>
      <name val="Arial"/>
      <family val="2"/>
    </font>
    <font>
      <sz val="10"/>
      <color theme="0" tint="-0.149990007281303"/>
      <name val="Arial"/>
      <family val="2"/>
    </font>
    <font>
      <b/>
      <sz val="10"/>
      <color theme="1"/>
      <name val="Arial"/>
      <family val="2"/>
    </font>
    <font>
      <sz val="10"/>
      <color theme="0"/>
      <name val="Arial"/>
      <family val="2"/>
    </font>
    <font>
      <sz val="20"/>
      <color rgb="FF000000"/>
      <name val="Times New Roman"/>
      <family val="1"/>
    </font>
    <font>
      <b/>
      <sz val="9"/>
      <name val="Arial"/>
      <family val="2"/>
    </font>
    <font>
      <b/>
      <sz val="16"/>
      <color theme="0"/>
      <name val="Calibri"/>
      <family val="2"/>
      <scheme val="minor"/>
    </font>
    <font>
      <b/>
      <sz val="16"/>
      <color theme="1"/>
      <name val="Calibri"/>
      <family val="2"/>
      <scheme val="minor"/>
    </font>
    <font>
      <b/>
      <sz val="14"/>
      <color theme="1"/>
      <name val="Calibri"/>
      <family val="2"/>
      <scheme val="minor"/>
    </font>
    <font>
      <b/>
      <sz val="8"/>
      <color theme="1"/>
      <name val="Calibri"/>
      <family val="2"/>
      <scheme val="minor"/>
    </font>
    <font>
      <b/>
      <sz val="10"/>
      <color theme="1"/>
      <name val="Calibri"/>
      <family val="2"/>
      <scheme val="minor"/>
    </font>
    <font>
      <b/>
      <sz val="15"/>
      <color theme="1"/>
      <name val="Calibri"/>
      <family val="2"/>
      <scheme val="minor"/>
    </font>
    <font>
      <sz val="14"/>
      <color theme="1"/>
      <name val="Calibri"/>
      <family val="2"/>
      <scheme val="minor"/>
    </font>
    <font>
      <b/>
      <u val="single"/>
      <sz val="11"/>
      <color theme="3" tint="0.399980008602142"/>
      <name val="Arial"/>
      <family val="2"/>
    </font>
    <font>
      <sz val="10"/>
      <name val="Times New Roman"/>
      <family val="1"/>
    </font>
    <font>
      <b/>
      <u val="single"/>
      <sz val="20"/>
      <name val="Arial"/>
      <family val="2"/>
    </font>
    <font>
      <b/>
      <sz val="13"/>
      <color rgb="FF000000"/>
      <name val="Aptos"/>
      <family val="2"/>
    </font>
    <font>
      <sz val="11"/>
      <color rgb="FF000000"/>
      <name val="Aptos"/>
      <family val="2"/>
    </font>
    <font>
      <sz val="11"/>
      <color rgb="FF004282"/>
      <name val="Aptos"/>
      <family val="1"/>
      <charset val="2"/>
    </font>
    <font>
      <u val="single"/>
      <sz val="11"/>
      <color rgb="FF000000"/>
      <name val="Aptos"/>
      <family val="2"/>
    </font>
    <font>
      <b/>
      <u val="single"/>
      <sz val="11"/>
      <color rgb="FF246DB4"/>
      <name val="Aptos"/>
      <family val="2"/>
    </font>
    <font>
      <sz val="11"/>
      <color rgb="FF000000"/>
      <name val="Symbol"/>
      <family val="1"/>
      <charset val="2"/>
    </font>
    <font>
      <sz val="11"/>
      <color rgb="FF000000"/>
      <name val="Calibri"/>
      <family val="2"/>
    </font>
    <font>
      <i/>
      <sz val="11"/>
      <color rgb="FF000000"/>
      <name val="Calibri"/>
      <family val="2"/>
    </font>
    <font>
      <b/>
      <sz val="9"/>
      <name val="Tahoma"/>
      <family val="2"/>
    </font>
    <font>
      <b/>
      <sz val="8"/>
      <color theme="0"/>
      <name val="Arial"/>
      <family val="2"/>
    </font>
    <font>
      <b/>
      <sz val="36"/>
      <color indexed="13"/>
      <name val="Tw Cen MT"/>
      <family val="2"/>
    </font>
    <font>
      <b/>
      <sz val="28"/>
      <color indexed="13"/>
      <name val="Tw Cen MT"/>
      <family val="2"/>
    </font>
    <font>
      <b/>
      <sz val="20"/>
      <color rgb="FF246DB4"/>
      <name val="Tw Cen MT"/>
      <family val="2"/>
    </font>
    <font>
      <b/>
      <sz val="11"/>
      <color rgb="FF0070C0"/>
      <name val="Tw Cen MT"/>
      <family val="2"/>
    </font>
    <font>
      <b/>
      <sz val="11"/>
      <color rgb="FF0070C0"/>
      <name val="AvenirNext LT Pro Medium"/>
      <family val="2"/>
    </font>
    <font>
      <sz val="11"/>
      <color indexed="8"/>
      <name val="AvenirNext LT Pro Regular"/>
      <family val="2"/>
    </font>
    <font>
      <sz val="11"/>
      <color theme="0"/>
      <name val="AvenirNext LT Pro Medium"/>
      <family val="2"/>
    </font>
    <font>
      <b/>
      <sz val="11"/>
      <color indexed="8"/>
      <name val="AvenirNext LT Pro UltLight"/>
      <family val="2"/>
    </font>
    <font>
      <b/>
      <sz val="11"/>
      <color theme="0"/>
      <name val="AvenirNext LT Pro Regular"/>
      <family val="2"/>
    </font>
    <font>
      <sz val="12"/>
      <color indexed="8"/>
      <name val="Calibri"/>
      <family val="2"/>
    </font>
    <font>
      <b/>
      <sz val="12"/>
      <color rgb="FF0070C0"/>
      <name val="Calibri"/>
      <family val="2"/>
    </font>
    <font>
      <i/>
      <sz val="12"/>
      <color indexed="8"/>
      <name val="Calibri"/>
      <family val="2"/>
    </font>
    <font>
      <sz val="12"/>
      <name val="Calibri"/>
      <family val="2"/>
    </font>
    <font>
      <b/>
      <sz val="12"/>
      <color indexed="8"/>
      <name val="Calibri"/>
      <family val="2"/>
    </font>
    <font>
      <sz val="11"/>
      <color indexed="13"/>
      <name val="Calibri"/>
      <family val="2"/>
    </font>
    <font>
      <b/>
      <sz val="12"/>
      <color indexed="13"/>
      <name val="Calibri"/>
      <family val="2"/>
    </font>
    <font>
      <sz val="12"/>
      <color theme="1"/>
      <name val="Calibri"/>
      <family val="2"/>
    </font>
    <font>
      <b/>
      <sz val="12"/>
      <color theme="0"/>
      <name val="Calibri"/>
      <family val="2"/>
    </font>
    <font>
      <b/>
      <sz val="11"/>
      <color indexed="13"/>
      <name val="AvenirNext LT Pro Regular"/>
      <family val="2"/>
    </font>
    <font>
      <b/>
      <sz val="19"/>
      <color indexed="13"/>
      <name val="AvenirNext LT Pro Regular"/>
      <family val="2"/>
    </font>
    <font>
      <sz val="12"/>
      <color theme="1"/>
      <name val="Calibri"/>
      <family val="2"/>
      <scheme val="minor"/>
    </font>
    <font>
      <b/>
      <sz val="12"/>
      <color indexed="13"/>
      <name val="AvenirNext LT Pro Regular"/>
      <family val="2"/>
    </font>
    <font>
      <sz val="11"/>
      <color theme="1"/>
      <name val="Calibri"/>
      <family val="2"/>
    </font>
    <font>
      <b/>
      <sz val="11"/>
      <color theme="1"/>
      <name val="Calibri"/>
      <family val="2"/>
    </font>
    <font>
      <sz val="8"/>
      <color rgb="FF000000"/>
      <name val="Arial"/>
      <family val="2"/>
    </font>
    <font>
      <sz val="8"/>
      <color theme="0"/>
      <name val="Arial"/>
      <family val="2"/>
    </font>
    <font>
      <b/>
      <sz val="8"/>
      <color rgb="FF000000"/>
      <name val="Arial"/>
      <family val="2"/>
    </font>
    <font>
      <b/>
      <sz val="8"/>
      <color theme="1"/>
      <name val="Arial"/>
      <family val="2"/>
    </font>
    <font>
      <b/>
      <sz val="11"/>
      <color theme="1"/>
      <name val="Calibri"/>
      <family val="2"/>
      <scheme val="minor"/>
    </font>
    <font>
      <b/>
      <sz val="12"/>
      <color theme="1"/>
      <name val="Calibri"/>
      <family val="2"/>
      <scheme val="minor"/>
    </font>
    <font>
      <b/>
      <sz val="12"/>
      <color theme="0"/>
      <name val="Arial"/>
      <family val="2"/>
    </font>
    <font>
      <sz val="11"/>
      <color rgb="FF000000"/>
      <name val="Arial"/>
      <family val="2"/>
    </font>
    <font>
      <sz val="11"/>
      <name val="Arial"/>
      <family val="2"/>
    </font>
    <font>
      <sz val="11"/>
      <color rgb="FF000000"/>
      <name val="Times New Roman"/>
      <family val="1"/>
    </font>
    <font>
      <sz val="11"/>
      <color theme="0"/>
      <name val="Arial"/>
      <family val="2"/>
    </font>
    <font>
      <b/>
      <sz val="10"/>
      <color indexed="8"/>
      <name val="Arial"/>
      <family val="2"/>
    </font>
    <font>
      <b/>
      <sz val="12"/>
      <color rgb="FF000000"/>
      <name val="Arial"/>
      <family val="2"/>
    </font>
  </fonts>
  <fills count="36">
    <fill>
      <patternFill patternType="none"/>
    </fill>
    <fill>
      <patternFill patternType="gray125"/>
    </fill>
    <fill>
      <patternFill patternType="solid">
        <fgColor theme="6" tint="0.799979984760284"/>
        <bgColor indexed="64"/>
      </patternFill>
    </fill>
    <fill>
      <patternFill patternType="solid">
        <fgColor theme="8" tint="0.799979984760284"/>
        <bgColor indexed="64"/>
      </patternFill>
    </fill>
    <fill>
      <patternFill patternType="solid">
        <fgColor theme="2" tint="-0.249970003962517"/>
        <bgColor indexed="64"/>
      </patternFill>
    </fill>
    <fill>
      <patternFill patternType="solid">
        <fgColor theme="6" tint="0.599990010261536"/>
        <bgColor indexed="64"/>
      </patternFill>
    </fill>
    <fill>
      <patternFill patternType="solid">
        <fgColor theme="4" tint="0.799979984760284"/>
        <bgColor indexed="64"/>
      </patternFill>
    </fill>
    <fill>
      <patternFill patternType="solid">
        <fgColor theme="0" tint="-0.149990007281303"/>
        <bgColor indexed="64"/>
      </patternFill>
    </fill>
    <fill>
      <patternFill patternType="solid">
        <fgColor theme="0"/>
        <bgColor indexed="64"/>
      </patternFill>
    </fill>
    <fill>
      <patternFill patternType="solid">
        <fgColor theme="7" tint="0.799979984760284"/>
        <bgColor indexed="64"/>
      </patternFill>
    </fill>
    <fill>
      <patternFill patternType="solid">
        <fgColor theme="9" tint="0.799979984760284"/>
        <bgColor indexed="64"/>
      </patternFill>
    </fill>
    <fill>
      <patternFill patternType="solid">
        <fgColor rgb="FFFFFFCC"/>
        <bgColor indexed="64"/>
      </patternFill>
    </fill>
    <fill>
      <patternFill patternType="solid">
        <fgColor theme="6" tint="0.399980008602142"/>
        <bgColor indexed="64"/>
      </patternFill>
    </fill>
    <fill>
      <patternFill patternType="solid">
        <fgColor theme="8" tint="0.399980008602142"/>
        <bgColor indexed="64"/>
      </patternFill>
    </fill>
    <fill>
      <patternFill patternType="solid">
        <fgColor theme="2" tint="-0.499969989061356"/>
        <bgColor indexed="64"/>
      </patternFill>
    </fill>
    <fill>
      <patternFill patternType="solid">
        <fgColor theme="7" tint="0.399980008602142"/>
        <bgColor indexed="64"/>
      </patternFill>
    </fill>
    <fill>
      <patternFill patternType="solid">
        <fgColor theme="9" tint="0.399980008602142"/>
        <bgColor indexed="64"/>
      </patternFill>
    </fill>
    <fill>
      <patternFill patternType="solid">
        <fgColor rgb="FFFFFF99"/>
        <bgColor indexed="64"/>
      </patternFill>
    </fill>
    <fill>
      <patternFill patternType="solid">
        <fgColor rgb="FFC4D79B"/>
        <bgColor indexed="64"/>
      </patternFill>
    </fill>
    <fill>
      <patternFill patternType="solid">
        <fgColor rgb="FF246DB4"/>
        <bgColor indexed="64"/>
      </patternFill>
    </fill>
    <fill>
      <patternFill patternType="solid">
        <fgColor rgb="FF004282"/>
        <bgColor indexed="64"/>
      </patternFill>
    </fill>
    <fill>
      <patternFill patternType="solid">
        <fgColor theme="3" tint="0.399980008602142"/>
        <bgColor indexed="64"/>
      </patternFill>
    </fill>
    <fill>
      <patternFill patternType="solid">
        <fgColor theme="3" tint="-0.249970003962517"/>
        <bgColor indexed="64"/>
      </patternFill>
    </fill>
    <fill>
      <patternFill patternType="solid">
        <fgColor theme="4" tint="0.599990010261536"/>
        <bgColor indexed="64"/>
      </patternFill>
    </fill>
    <fill>
      <patternFill patternType="solid">
        <fgColor theme="3" tint="0.599990010261536"/>
        <bgColor indexed="64"/>
      </patternFill>
    </fill>
    <fill>
      <patternFill patternType="solid">
        <fgColor theme="1" tint="0.349990010261536"/>
        <bgColor indexed="64"/>
      </patternFill>
    </fill>
    <fill>
      <patternFill patternType="solid">
        <fgColor theme="4" tint="-0.249970003962517"/>
        <bgColor indexed="64"/>
      </patternFill>
    </fill>
    <fill>
      <patternFill patternType="solid">
        <fgColor theme="2"/>
        <bgColor indexed="64"/>
      </patternFill>
    </fill>
    <fill>
      <patternFill patternType="solid">
        <fgColor rgb="FFE26B0A"/>
        <bgColor indexed="64"/>
      </patternFill>
    </fill>
    <fill>
      <patternFill patternType="solid">
        <fgColor rgb="FF0070C0"/>
        <bgColor indexed="64"/>
      </patternFill>
    </fill>
    <fill>
      <patternFill patternType="solid">
        <fgColor rgb="FF5599DD"/>
        <bgColor indexed="64"/>
      </patternFill>
    </fill>
    <fill>
      <patternFill patternType="solid">
        <fgColor theme="0" tint="-0.0499799996614456"/>
        <bgColor indexed="64"/>
      </patternFill>
    </fill>
    <fill>
      <patternFill patternType="solid">
        <fgColor theme="0" tint="-0.249970003962517"/>
        <bgColor indexed="64"/>
      </patternFill>
    </fill>
    <fill>
      <patternFill patternType="solid">
        <fgColor theme="3" tint="0.799979984760284"/>
        <bgColor indexed="64"/>
      </patternFill>
    </fill>
    <fill>
      <patternFill patternType="solid">
        <fgColor rgb="FF8DB4E2"/>
        <bgColor indexed="64"/>
      </patternFill>
    </fill>
    <fill>
      <patternFill patternType="solid">
        <fgColor rgb="FF3660C8"/>
        <bgColor indexed="64"/>
      </patternFill>
    </fill>
  </fills>
  <borders count="64">
    <border>
      <left/>
      <right/>
      <top/>
      <bottom/>
      <diagonal/>
    </border>
    <border>
      <left style="thin">
        <color auto="1"/>
      </left>
      <right style="thin">
        <color auto="1"/>
      </right>
      <top style="thin">
        <color auto="1"/>
      </top>
      <bottom style="thin">
        <color auto="1"/>
      </bottom>
    </border>
    <border>
      <left style="thin">
        <color auto="1"/>
      </left>
      <right/>
      <top style="thin">
        <color auto="1"/>
      </top>
      <bottom style="thin">
        <color auto="1"/>
      </bottom>
    </border>
    <border>
      <left style="thin">
        <color auto="1"/>
      </left>
      <right style="thin">
        <color auto="1"/>
      </right>
      <top/>
      <bottom style="thin">
        <color auto="1"/>
      </bottom>
    </border>
    <border>
      <left style="thin">
        <color auto="1"/>
      </left>
      <right/>
      <top/>
      <bottom/>
    </border>
    <border>
      <left style="thin">
        <color auto="1"/>
      </left>
      <right style="medium">
        <color auto="1"/>
      </right>
      <top style="thin">
        <color auto="1"/>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medium">
        <color auto="1"/>
      </bottom>
    </border>
    <border>
      <left style="medium">
        <color auto="1"/>
      </left>
      <right/>
      <top style="thin">
        <color theme="0" tint="-0.149959996342659"/>
      </top>
      <bottom style="thin">
        <color theme="0" tint="-0.149959996342659"/>
      </bottom>
    </border>
    <border>
      <left style="thin">
        <color theme="0" tint="-0.149959996342659"/>
      </left>
      <right/>
      <top style="thin">
        <color theme="0" tint="-0.149959996342659"/>
      </top>
      <bottom style="thin">
        <color theme="0" tint="-0.149959996342659"/>
      </bottom>
    </border>
    <border>
      <left style="thin">
        <color theme="0" tint="-0.149959996342659"/>
      </left>
      <right style="medium">
        <color auto="1"/>
      </right>
      <top style="thin">
        <color theme="0" tint="-0.149959996342659"/>
      </top>
      <bottom style="thin">
        <color theme="0" tint="-0.149959996342659"/>
      </bottom>
    </border>
    <border>
      <left style="medium">
        <color auto="1"/>
      </left>
      <right/>
      <top/>
      <bottom style="thin">
        <color theme="0" tint="-0.149959996342659"/>
      </bottom>
    </border>
    <border>
      <left style="thin">
        <color theme="0" tint="-0.149959996342659"/>
      </left>
      <right/>
      <top/>
      <bottom style="thin">
        <color theme="0" tint="-0.149959996342659"/>
      </bottom>
    </border>
    <border>
      <left style="thin">
        <color theme="0" tint="-0.149959996342659"/>
      </left>
      <right style="medium">
        <color auto="1"/>
      </right>
      <top/>
      <bottom style="thin">
        <color theme="0" tint="-0.149959996342659"/>
      </bottom>
    </border>
    <border>
      <left style="thin">
        <color theme="0" tint="-0.149959996342659"/>
      </left>
      <right/>
      <top style="thin">
        <color theme="0" tint="-0.149959996342659"/>
      </top>
      <bottom style="medium">
        <color auto="1"/>
      </bottom>
    </border>
    <border>
      <left style="medium">
        <color auto="1"/>
      </left>
      <right/>
      <top style="thin">
        <color theme="0" tint="-0.149959996342659"/>
      </top>
      <bottom style="medium">
        <color auto="1"/>
      </bottom>
    </border>
    <border>
      <left/>
      <right/>
      <top/>
      <bottom style="thin">
        <color auto="1"/>
      </bottom>
    </border>
    <border>
      <left/>
      <right style="thin">
        <color auto="1"/>
      </right>
      <top style="thin">
        <color auto="1"/>
      </top>
      <bottom/>
    </border>
    <border>
      <left style="thin">
        <color auto="1"/>
      </left>
      <right style="thin">
        <color auto="1"/>
      </right>
      <top style="medium">
        <color auto="1"/>
      </top>
      <bottom style="thin">
        <color auto="1"/>
      </bottom>
    </border>
    <border>
      <left/>
      <right style="thin">
        <color auto="1"/>
      </right>
      <top/>
      <bottom/>
    </border>
    <border>
      <left style="thin">
        <color auto="1"/>
      </left>
      <right style="thin">
        <color auto="1"/>
      </right>
      <top style="medium">
        <color auto="1"/>
      </top>
      <bottom/>
    </border>
    <border>
      <left style="thin">
        <color auto="1"/>
      </left>
      <right style="thin">
        <color auto="1"/>
      </right>
      <top/>
      <bottom/>
    </border>
    <border>
      <left style="thin">
        <color auto="1"/>
      </left>
      <right/>
      <top style="thin">
        <color auto="1"/>
      </top>
      <bottom/>
    </border>
    <border>
      <left style="thin">
        <color auto="1"/>
      </left>
      <right/>
      <top style="thin">
        <color auto="1"/>
      </top>
      <bottom style="double">
        <color auto="1"/>
      </bottom>
    </border>
    <border>
      <left style="thin">
        <color auto="1"/>
      </left>
      <right/>
      <top style="double">
        <color auto="1"/>
      </top>
      <bottom style="thin">
        <color auto="1"/>
      </bottom>
    </border>
    <border>
      <left style="thin">
        <color auto="1"/>
      </left>
      <right style="thin">
        <color auto="1"/>
      </right>
      <top style="thin">
        <color auto="1"/>
      </top>
      <bottom/>
    </border>
    <border>
      <left style="medium">
        <color auto="1"/>
      </left>
      <right/>
      <top style="medium">
        <color auto="1"/>
      </top>
      <bottom/>
    </border>
    <border>
      <left/>
      <right/>
      <top style="medium">
        <color auto="1"/>
      </top>
      <bottom/>
    </border>
    <border>
      <left/>
      <right style="medium">
        <color auto="1"/>
      </right>
      <top style="medium">
        <color auto="1"/>
      </top>
      <bottom/>
    </border>
    <border>
      <left style="medium">
        <color auto="1"/>
      </left>
      <right/>
      <top/>
      <bottom/>
    </border>
    <border>
      <left/>
      <right style="medium">
        <color auto="1"/>
      </right>
      <top/>
      <bottom/>
    </border>
    <border>
      <left style="medium">
        <color auto="1"/>
      </left>
      <right style="thin">
        <color theme="0" tint="-0.149959996342659"/>
      </right>
      <top style="thin">
        <color theme="0" tint="-0.149959996342659"/>
      </top>
      <bottom style="thin">
        <color theme="0" tint="-0.149959996342659"/>
      </bottom>
    </border>
    <border>
      <left style="thin">
        <color theme="0" tint="-0.149959996342659"/>
      </left>
      <right style="thin">
        <color theme="0" tint="-0.149959996342659"/>
      </right>
      <top style="thin">
        <color theme="0" tint="-0.149959996342659"/>
      </top>
      <bottom style="thin">
        <color theme="0" tint="-0.149959996342659"/>
      </bottom>
    </border>
    <border>
      <left style="thin">
        <color theme="0" tint="-0.149959996342659"/>
      </left>
      <right style="medium">
        <color auto="1"/>
      </right>
      <top style="thin">
        <color theme="0" tint="-0.149959996342659"/>
      </top>
      <bottom style="medium">
        <color auto="1"/>
      </bottom>
    </border>
    <border>
      <left style="thin">
        <color auto="1"/>
      </left>
      <right/>
      <top style="double">
        <color auto="1"/>
      </top>
      <bottom style="medium">
        <color auto="1"/>
      </bottom>
    </border>
    <border>
      <left/>
      <right/>
      <top style="double">
        <color auto="1"/>
      </top>
      <bottom style="medium">
        <color auto="1"/>
      </bottom>
    </border>
    <border>
      <left/>
      <right style="thin">
        <color auto="1"/>
      </right>
      <top style="double">
        <color auto="1"/>
      </top>
      <bottom style="medium">
        <color auto="1"/>
      </bottom>
    </border>
    <border>
      <left style="thin">
        <color auto="1"/>
      </left>
      <right/>
      <top style="double">
        <color auto="1"/>
      </top>
      <bottom/>
    </border>
    <border>
      <left/>
      <right/>
      <top style="double">
        <color auto="1"/>
      </top>
      <bottom/>
    </border>
    <border>
      <left/>
      <right style="thin">
        <color auto="1"/>
      </right>
      <top style="double">
        <color auto="1"/>
      </top>
      <bottom/>
    </border>
    <border>
      <left style="thin">
        <color auto="1"/>
      </left>
      <right/>
      <top style="medium">
        <color auto="1"/>
      </top>
      <bottom style="medium">
        <color auto="1"/>
      </bottom>
    </border>
    <border>
      <left/>
      <right/>
      <top style="medium">
        <color auto="1"/>
      </top>
      <bottom style="medium">
        <color auto="1"/>
      </bottom>
    </border>
    <border>
      <left/>
      <right style="thin">
        <color auto="1"/>
      </right>
      <top style="medium">
        <color auto="1"/>
      </top>
      <bottom/>
    </border>
    <border>
      <left/>
      <right/>
      <top style="thin">
        <color auto="1"/>
      </top>
      <bottom/>
    </border>
    <border>
      <left style="thin">
        <color auto="1"/>
      </left>
      <right/>
      <top style="medium">
        <color auto="1"/>
      </top>
      <bottom/>
    </border>
    <border>
      <left/>
      <right/>
      <top style="thin">
        <color auto="1"/>
      </top>
      <bottom style="thin">
        <color auto="1"/>
      </bottom>
    </border>
    <border>
      <left style="medium">
        <color auto="1"/>
      </left>
      <right style="medium">
        <color auto="1"/>
      </right>
      <top style="medium">
        <color auto="1"/>
      </top>
      <bottom style="medium">
        <color auto="1"/>
      </bottom>
    </border>
    <border>
      <left/>
      <right style="medium">
        <color auto="1"/>
      </right>
      <top style="medium">
        <color auto="1"/>
      </top>
      <bottom style="medium">
        <color auto="1"/>
      </bottom>
    </border>
    <border>
      <left style="medium">
        <color auto="1"/>
      </left>
      <right style="medium">
        <color auto="1"/>
      </right>
      <top/>
      <bottom style="medium">
        <color auto="1"/>
      </bottom>
    </border>
    <border>
      <left/>
      <right style="medium">
        <color auto="1"/>
      </right>
      <top/>
      <bottom style="medium">
        <color auto="1"/>
      </bottom>
    </border>
    <border>
      <left style="medium">
        <color auto="1"/>
      </left>
      <right/>
      <top/>
      <bottom style="medium">
        <color auto="1"/>
      </bottom>
    </border>
    <border>
      <left/>
      <right/>
      <top/>
      <bottom style="medium">
        <color auto="1"/>
      </bottom>
    </border>
    <border>
      <left style="thin">
        <color auto="1"/>
      </left>
      <right style="thin">
        <color auto="1"/>
      </right>
      <top style="thin">
        <color auto="1"/>
      </top>
      <bottom style="double">
        <color auto="1"/>
      </bottom>
    </border>
    <border>
      <left/>
      <right style="thin">
        <color auto="1"/>
      </right>
      <top style="thin">
        <color auto="1"/>
      </top>
      <bottom style="double">
        <color auto="1"/>
      </bottom>
    </border>
    <border>
      <left/>
      <right/>
      <top style="thin">
        <color auto="1"/>
      </top>
      <bottom style="double">
        <color auto="1"/>
      </bottom>
    </border>
    <border>
      <left style="thin">
        <color auto="1"/>
      </left>
      <right style="thin">
        <color auto="1"/>
      </right>
      <top style="double">
        <color auto="1"/>
      </top>
      <bottom style="thin">
        <color auto="1"/>
      </bottom>
    </border>
    <border>
      <left style="thin">
        <color auto="1"/>
      </left>
      <right/>
      <top/>
      <bottom style="thin">
        <color auto="1"/>
      </bottom>
    </border>
    <border>
      <left/>
      <right style="thin">
        <color auto="1"/>
      </right>
      <top/>
      <bottom style="thin">
        <color auto="1"/>
      </bottom>
    </border>
    <border>
      <left/>
      <right style="thin">
        <color auto="1"/>
      </right>
      <top style="medium">
        <color auto="1"/>
      </top>
      <bottom style="medium">
        <color auto="1"/>
      </bottom>
    </border>
    <border>
      <left style="medium">
        <color auto="1"/>
      </left>
      <right/>
      <top style="medium">
        <color auto="1"/>
      </top>
      <bottom style="medium">
        <color auto="1"/>
      </bottom>
    </border>
    <border>
      <left style="medium">
        <color auto="1"/>
      </left>
      <right/>
      <top style="thin">
        <color auto="1"/>
      </top>
      <bottom style="thin">
        <color auto="1"/>
      </bottom>
    </border>
    <border>
      <left style="medium">
        <color auto="1"/>
      </left>
      <right/>
      <top/>
      <bottom style="thin">
        <color auto="1"/>
      </bottom>
    </border>
    <border>
      <left style="medium">
        <color auto="1"/>
      </left>
      <right/>
      <top style="thin">
        <color auto="1"/>
      </top>
      <bottom style="medium">
        <color auto="1"/>
      </bottom>
    </border>
    <border>
      <left/>
      <right style="thin">
        <color auto="1"/>
      </right>
      <top style="thin">
        <color auto="1"/>
      </top>
      <bottom style="medium">
        <color auto="1"/>
      </bottom>
    </border>
  </borders>
  <cellStyleXfs count="35">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0" fillId="0" borderId="0" applyFont="0" applyFill="0" applyBorder="0" applyAlignment="0" applyProtection="0"/>
    <xf numFmtId="44" fontId="0"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0" fillId="0" borderId="0">
      <alignment/>
      <protection/>
    </xf>
    <xf numFmtId="43" fontId="10" fillId="0" borderId="0" applyFont="0" applyFill="0" applyBorder="0" applyAlignment="0" applyProtection="0"/>
    <xf numFmtId="0" fontId="18" fillId="0" borderId="0" applyNumberFormat="0" applyFill="0" applyBorder="0" applyAlignment="0" applyProtection="0"/>
    <xf numFmtId="0" fontId="4" fillId="0" borderId="0">
      <alignment/>
      <protection/>
    </xf>
    <xf numFmtId="0" fontId="2" fillId="0" borderId="0">
      <alignment/>
      <protection/>
    </xf>
    <xf numFmtId="9" fontId="2" fillId="0" borderId="0" applyFont="0" applyFill="0" applyBorder="0" applyAlignment="0" applyProtection="0"/>
    <xf numFmtId="44" fontId="0" fillId="0" borderId="0" applyFont="0" applyFill="0" applyBorder="0" applyAlignment="0" applyProtection="0"/>
    <xf numFmtId="0" fontId="2" fillId="0" borderId="0">
      <alignment/>
      <protection/>
    </xf>
    <xf numFmtId="9" fontId="2" fillId="0" borderId="0" applyFont="0" applyFill="0" applyBorder="0" applyAlignment="0" applyProtection="0"/>
    <xf numFmtId="44" fontId="2" fillId="0" borderId="0" applyFont="0" applyFill="0" applyBorder="0" applyAlignment="0" applyProtection="0"/>
    <xf numFmtId="0" fontId="2" fillId="0" borderId="0">
      <alignment/>
      <protection/>
    </xf>
    <xf numFmtId="9" fontId="2" fillId="0" borderId="0" applyFont="0" applyFill="0" applyBorder="0" applyAlignment="0" applyProtection="0"/>
    <xf numFmtId="44" fontId="2" fillId="0" borderId="0" applyFont="0" applyFill="0" applyBorder="0" applyAlignment="0" applyProtection="0"/>
    <xf numFmtId="0" fontId="2" fillId="0" borderId="0">
      <alignment/>
      <protection/>
    </xf>
    <xf numFmtId="44" fontId="2" fillId="0" borderId="0" applyFont="0" applyFill="0" applyBorder="0" applyAlignment="0" applyProtection="0"/>
  </cellStyleXfs>
  <cellXfs count="679">
    <xf numFmtId="0" fontId="0" fillId="0" borderId="0" xfId="0" applyAlignment="1">
      <alignment horizontal="left" vertical="top"/>
    </xf>
    <xf numFmtId="0" fontId="0" fillId="0" borderId="0" xfId="0" applyFont="1" applyAlignment="1">
      <alignment horizontal="left" vertical="top"/>
    </xf>
    <xf numFmtId="0" fontId="7" fillId="0" borderId="0" xfId="0" applyFont="1" applyAlignment="1">
      <alignment horizontal="left" vertical="top"/>
    </xf>
    <xf numFmtId="0" fontId="5" fillId="0" borderId="0" xfId="0" applyFont="1" applyAlignment="1">
      <alignment horizontal="left" vertical="top"/>
    </xf>
    <xf numFmtId="164" fontId="0" fillId="0" borderId="0" xfId="0" applyNumberFormat="1" applyFont="1" applyAlignment="1">
      <alignment horizontal="left" vertical="top"/>
    </xf>
    <xf numFmtId="164" fontId="0" fillId="0" borderId="0" xfId="0" applyNumberFormat="1" applyAlignment="1">
      <alignment horizontal="left" vertical="top"/>
    </xf>
    <xf numFmtId="0" fontId="5" fillId="0" borderId="0" xfId="0" applyFont="1" applyAlignment="1">
      <alignment horizontal="center" vertical="center"/>
    </xf>
    <xf numFmtId="0" fontId="5" fillId="0" borderId="0" xfId="0" applyFont="1" applyAlignment="1">
      <alignment horizontal="center"/>
    </xf>
    <xf numFmtId="0" fontId="5" fillId="0" borderId="1" xfId="0" applyFont="1" applyBorder="1" applyAlignment="1">
      <alignment horizontal="center" vertical="center"/>
    </xf>
    <xf numFmtId="0" fontId="5" fillId="0" borderId="1" xfId="0" applyFont="1" applyBorder="1" applyAlignment="1">
      <alignment horizontal="left" vertical="center"/>
    </xf>
    <xf numFmtId="0" fontId="5" fillId="0" borderId="0" xfId="0" applyFont="1" applyAlignment="1">
      <alignment horizontal="center" vertical="top"/>
    </xf>
    <xf numFmtId="1" fontId="5" fillId="0" borderId="1" xfId="0" applyNumberFormat="1" applyFont="1" applyBorder="1" applyAlignment="1">
      <alignment horizontal="center" vertical="center"/>
    </xf>
    <xf numFmtId="164" fontId="5" fillId="0" borderId="1" xfId="0" applyNumberFormat="1" applyFont="1" applyBorder="1" applyAlignment="1">
      <alignment horizontal="center"/>
    </xf>
    <xf numFmtId="0" fontId="13" fillId="0" borderId="0" xfId="0" applyFont="1" applyAlignment="1">
      <alignment horizontal="left" vertical="top" wrapText="1"/>
    </xf>
    <xf numFmtId="0" fontId="0" fillId="0" borderId="0" xfId="0" applyAlignment="1">
      <alignment horizontal="left" vertical="top" wrapText="1"/>
    </xf>
    <xf numFmtId="0" fontId="15" fillId="2" borderId="1" xfId="0" applyFont="1" applyFill="1" applyBorder="1" applyAlignment="1">
      <alignment horizontal="left" vertical="top"/>
    </xf>
    <xf numFmtId="0" fontId="0" fillId="2" borderId="1" xfId="0" applyFill="1" applyBorder="1" applyAlignment="1">
      <alignment horizontal="left" vertical="top"/>
    </xf>
    <xf numFmtId="0" fontId="14" fillId="2" borderId="1" xfId="0" applyFont="1" applyFill="1" applyBorder="1" applyAlignment="1">
      <alignment horizontal="left" vertical="top" wrapText="1"/>
    </xf>
    <xf numFmtId="0" fontId="14" fillId="3" borderId="1" xfId="0" applyFont="1" applyFill="1" applyBorder="1" applyAlignment="1">
      <alignment horizontal="left" vertical="top" wrapText="1"/>
    </xf>
    <xf numFmtId="0" fontId="16" fillId="3" borderId="1" xfId="0" applyFont="1" applyFill="1" applyBorder="1" applyAlignment="1">
      <alignment horizontal="left" vertical="top"/>
    </xf>
    <xf numFmtId="0" fontId="0" fillId="3" borderId="1" xfId="0" applyFill="1" applyBorder="1" applyAlignment="1">
      <alignment horizontal="left" vertical="top"/>
    </xf>
    <xf numFmtId="0" fontId="7" fillId="3" borderId="1" xfId="0" applyFont="1" applyFill="1" applyBorder="1" applyAlignment="1">
      <alignment horizontal="left" vertical="top" wrapText="1"/>
    </xf>
    <xf numFmtId="0" fontId="0" fillId="0" borderId="1" xfId="0" applyBorder="1" applyAlignment="1">
      <alignment horizontal="left" vertical="top"/>
    </xf>
    <xf numFmtId="0" fontId="7" fillId="0" borderId="1" xfId="0" applyFont="1" applyBorder="1" applyAlignment="1">
      <alignment horizontal="left" vertical="top"/>
    </xf>
    <xf numFmtId="0" fontId="0" fillId="3" borderId="1" xfId="0" applyFont="1" applyFill="1" applyBorder="1" applyAlignment="1">
      <alignment horizontal="left" vertical="top"/>
    </xf>
    <xf numFmtId="0" fontId="16" fillId="4" borderId="1" xfId="0" applyFont="1" applyFill="1" applyBorder="1" applyAlignment="1">
      <alignment horizontal="left" vertical="top"/>
    </xf>
    <xf numFmtId="0" fontId="0" fillId="4" borderId="1" xfId="0" applyFill="1" applyBorder="1" applyAlignment="1">
      <alignment horizontal="left" vertical="top"/>
    </xf>
    <xf numFmtId="0" fontId="0" fillId="4" borderId="0" xfId="0" applyFill="1" applyAlignment="1">
      <alignment horizontal="left" vertical="top"/>
    </xf>
    <xf numFmtId="0" fontId="14" fillId="4"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0" fillId="4" borderId="1" xfId="0" applyFont="1" applyFill="1" applyBorder="1" applyAlignment="1">
      <alignment horizontal="left" vertical="top"/>
    </xf>
    <xf numFmtId="0" fontId="13" fillId="2" borderId="0" xfId="0" applyFont="1" applyFill="1" applyAlignment="1">
      <alignment horizontal="left" vertical="top"/>
    </xf>
    <xf numFmtId="0" fontId="13" fillId="2" borderId="0" xfId="0" applyFont="1" applyFill="1"/>
    <xf numFmtId="0" fontId="0" fillId="2" borderId="0" xfId="0" applyFill="1" applyAlignment="1">
      <alignment horizontal="left" vertical="top"/>
    </xf>
    <xf numFmtId="0" fontId="14" fillId="2" borderId="0" xfId="0" applyFont="1" applyFill="1" applyAlignment="1">
      <alignment horizontal="left" vertical="top" wrapText="1"/>
    </xf>
    <xf numFmtId="0" fontId="0" fillId="3" borderId="0" xfId="0" applyFill="1" applyAlignment="1">
      <alignment horizontal="left" vertical="top"/>
    </xf>
    <xf numFmtId="0" fontId="13" fillId="2" borderId="1" xfId="0" applyFont="1" applyFill="1" applyBorder="1" applyAlignment="1">
      <alignment horizontal="left" vertical="top" wrapText="1"/>
    </xf>
    <xf numFmtId="0" fontId="16" fillId="5" borderId="1" xfId="0" applyFont="1" applyFill="1" applyBorder="1" applyAlignment="1">
      <alignment horizontal="left" vertical="top"/>
    </xf>
    <xf numFmtId="0" fontId="0" fillId="5" borderId="1" xfId="0" applyFill="1" applyBorder="1" applyAlignment="1">
      <alignment horizontal="left" vertical="top"/>
    </xf>
    <xf numFmtId="0" fontId="7" fillId="5" borderId="1" xfId="0" applyFont="1" applyFill="1" applyBorder="1" applyAlignment="1">
      <alignment horizontal="left" vertical="top"/>
    </xf>
    <xf numFmtId="0" fontId="16" fillId="6" borderId="1" xfId="0" applyFont="1" applyFill="1" applyBorder="1" applyAlignment="1">
      <alignment horizontal="left" vertical="top"/>
    </xf>
    <xf numFmtId="0" fontId="0" fillId="6" borderId="1" xfId="0" applyFill="1" applyBorder="1" applyAlignment="1">
      <alignment horizontal="left" vertical="top"/>
    </xf>
    <xf numFmtId="0" fontId="7" fillId="6" borderId="1" xfId="0" applyFont="1" applyFill="1" applyBorder="1" applyAlignment="1">
      <alignment horizontal="left" vertical="top"/>
    </xf>
    <xf numFmtId="0" fontId="16" fillId="7" borderId="1" xfId="0" applyFont="1" applyFill="1" applyBorder="1" applyAlignment="1">
      <alignment horizontal="left" vertical="top"/>
    </xf>
    <xf numFmtId="0" fontId="0" fillId="7" borderId="1" xfId="0" applyFill="1" applyBorder="1" applyAlignment="1">
      <alignment horizontal="left" vertical="top"/>
    </xf>
    <xf numFmtId="0" fontId="7" fillId="7" borderId="1" xfId="0" applyFont="1" applyFill="1" applyBorder="1" applyAlignment="1">
      <alignment horizontal="left" vertical="top"/>
    </xf>
    <xf numFmtId="0" fontId="16" fillId="0" borderId="1" xfId="0" applyFont="1" applyBorder="1" applyAlignment="1">
      <alignment horizontal="left" vertical="top"/>
    </xf>
    <xf numFmtId="0" fontId="0" fillId="5" borderId="1" xfId="0" applyFont="1" applyFill="1" applyBorder="1" applyAlignment="1">
      <alignment horizontal="left" vertical="top"/>
    </xf>
    <xf numFmtId="0" fontId="0" fillId="7" borderId="1" xfId="0" applyFont="1" applyFill="1" applyBorder="1" applyAlignment="1">
      <alignment horizontal="left" vertical="top"/>
    </xf>
    <xf numFmtId="0" fontId="0" fillId="6" borderId="1" xfId="0" applyFont="1" applyFill="1" applyBorder="1" applyAlignment="1">
      <alignment horizontal="left" vertical="top"/>
    </xf>
    <xf numFmtId="0" fontId="0" fillId="8" borderId="0" xfId="0" applyFill="1" applyAlignment="1">
      <alignment horizontal="left" vertical="top"/>
    </xf>
    <xf numFmtId="0" fontId="0" fillId="9" borderId="1" xfId="0" applyFill="1" applyBorder="1" applyAlignment="1">
      <alignment horizontal="left" vertical="top"/>
    </xf>
    <xf numFmtId="0" fontId="0" fillId="10" borderId="1" xfId="0" applyFill="1" applyBorder="1" applyAlignment="1">
      <alignment horizontal="left" vertical="top"/>
    </xf>
    <xf numFmtId="0" fontId="0" fillId="11" borderId="1" xfId="0" applyFill="1" applyBorder="1" applyAlignment="1">
      <alignment horizontal="left" vertical="top"/>
    </xf>
    <xf numFmtId="0" fontId="7" fillId="9" borderId="1" xfId="0" applyFont="1" applyFill="1" applyBorder="1" applyAlignment="1">
      <alignment horizontal="left" vertical="top"/>
    </xf>
    <xf numFmtId="0" fontId="7" fillId="10" borderId="1" xfId="0" applyFont="1" applyFill="1" applyBorder="1" applyAlignment="1">
      <alignment horizontal="left" vertical="top"/>
    </xf>
    <xf numFmtId="0" fontId="7" fillId="11" borderId="1" xfId="0" applyFont="1" applyFill="1" applyBorder="1" applyAlignment="1">
      <alignment horizontal="left" vertical="top"/>
    </xf>
    <xf numFmtId="0" fontId="0" fillId="3" borderId="2" xfId="0" applyFill="1" applyBorder="1" applyAlignment="1">
      <alignment horizontal="left" vertical="top"/>
    </xf>
    <xf numFmtId="0" fontId="7" fillId="3" borderId="2" xfId="0" applyFont="1" applyFill="1" applyBorder="1" applyAlignment="1">
      <alignment horizontal="left" vertical="top" wrapText="1"/>
    </xf>
    <xf numFmtId="0" fontId="0" fillId="3" borderId="2" xfId="0" applyFont="1" applyFill="1" applyBorder="1" applyAlignment="1">
      <alignment horizontal="left" vertical="top"/>
    </xf>
    <xf numFmtId="0" fontId="0" fillId="4" borderId="3" xfId="0" applyFill="1" applyBorder="1" applyAlignment="1">
      <alignment horizontal="left" vertical="top"/>
    </xf>
    <xf numFmtId="0" fontId="13" fillId="12" borderId="1" xfId="0" applyFont="1" applyFill="1" applyBorder="1" applyAlignment="1">
      <alignment horizontal="left" vertical="top"/>
    </xf>
    <xf numFmtId="0" fontId="13" fillId="12" borderId="1" xfId="0" applyFont="1" applyFill="1" applyBorder="1"/>
    <xf numFmtId="0" fontId="13" fillId="12" borderId="1" xfId="0" applyFont="1" applyFill="1" applyBorder="1" applyAlignment="1">
      <alignment horizontal="left" vertical="top" wrapText="1"/>
    </xf>
    <xf numFmtId="0" fontId="0" fillId="13" borderId="1" xfId="0" applyFont="1" applyFill="1" applyBorder="1" applyAlignment="1">
      <alignment horizontal="left" vertical="top"/>
    </xf>
    <xf numFmtId="0" fontId="0" fillId="13" borderId="1" xfId="0" applyFill="1" applyBorder="1" applyAlignment="1">
      <alignment horizontal="left" vertical="top"/>
    </xf>
    <xf numFmtId="0" fontId="13" fillId="13" borderId="1" xfId="0" applyFont="1" applyFill="1" applyBorder="1" applyAlignment="1">
      <alignment horizontal="left" vertical="top" wrapText="1"/>
    </xf>
    <xf numFmtId="0" fontId="0" fillId="13" borderId="1" xfId="0" applyFont="1" applyFill="1" applyBorder="1" applyAlignment="1">
      <alignment horizontal="left" vertical="top" wrapText="1"/>
    </xf>
    <xf numFmtId="0" fontId="0" fillId="13" borderId="2" xfId="0" applyFont="1" applyFill="1" applyBorder="1" applyAlignment="1">
      <alignment horizontal="left" vertical="top" wrapText="1"/>
    </xf>
    <xf numFmtId="0" fontId="0" fillId="14" borderId="1" xfId="0" applyFont="1" applyFill="1" applyBorder="1" applyAlignment="1">
      <alignment horizontal="left" vertical="top"/>
    </xf>
    <xf numFmtId="0" fontId="0" fillId="14" borderId="1" xfId="0" applyFill="1" applyBorder="1" applyAlignment="1">
      <alignment horizontal="left" vertical="top"/>
    </xf>
    <xf numFmtId="0" fontId="13" fillId="14" borderId="1" xfId="0" applyFont="1" applyFill="1" applyBorder="1" applyAlignment="1">
      <alignment horizontal="left" vertical="top" wrapText="1"/>
    </xf>
    <xf numFmtId="0" fontId="0" fillId="14" borderId="1" xfId="0" applyFont="1" applyFill="1" applyBorder="1" applyAlignment="1">
      <alignment horizontal="left" vertical="top" wrapText="1"/>
    </xf>
    <xf numFmtId="0" fontId="0" fillId="15" borderId="1" xfId="0" applyFont="1" applyFill="1" applyBorder="1" applyAlignment="1">
      <alignment horizontal="left" vertical="top"/>
    </xf>
    <xf numFmtId="0" fontId="0" fillId="15" borderId="1" xfId="0" applyFill="1" applyBorder="1" applyAlignment="1">
      <alignment horizontal="left" vertical="top"/>
    </xf>
    <xf numFmtId="0" fontId="0" fillId="16" borderId="1" xfId="0" applyFont="1" applyFill="1" applyBorder="1" applyAlignment="1">
      <alignment horizontal="left" vertical="top"/>
    </xf>
    <xf numFmtId="0" fontId="0" fillId="16" borderId="1" xfId="0" applyFill="1" applyBorder="1" applyAlignment="1">
      <alignment horizontal="left" vertical="top"/>
    </xf>
    <xf numFmtId="0" fontId="0" fillId="12" borderId="1" xfId="0" applyFont="1" applyFill="1" applyBorder="1" applyAlignment="1">
      <alignment horizontal="left" vertical="top"/>
    </xf>
    <xf numFmtId="0" fontId="0" fillId="12" borderId="1" xfId="0" applyFill="1" applyBorder="1" applyAlignment="1">
      <alignment horizontal="left" vertical="top"/>
    </xf>
    <xf numFmtId="0" fontId="0" fillId="17" borderId="1" xfId="0" applyFill="1" applyBorder="1" applyAlignment="1">
      <alignment horizontal="left" vertical="top"/>
    </xf>
    <xf numFmtId="1" fontId="0" fillId="0" borderId="0" xfId="0" applyNumberFormat="1" applyAlignment="1">
      <alignment horizontal="left" vertical="top"/>
    </xf>
    <xf numFmtId="0" fontId="7" fillId="5" borderId="2" xfId="0" applyFont="1" applyFill="1" applyBorder="1" applyAlignment="1">
      <alignment horizontal="left" vertical="top"/>
    </xf>
    <xf numFmtId="0" fontId="0" fillId="5" borderId="2" xfId="0" applyFill="1" applyBorder="1" applyAlignment="1">
      <alignment horizontal="left" vertical="top"/>
    </xf>
    <xf numFmtId="0" fontId="0" fillId="12" borderId="2" xfId="0" applyFill="1" applyBorder="1" applyAlignment="1">
      <alignment horizontal="left" vertical="top"/>
    </xf>
    <xf numFmtId="0" fontId="7" fillId="0" borderId="4" xfId="0" applyFont="1" applyBorder="1" applyAlignment="1">
      <alignment horizontal="left" vertical="top"/>
    </xf>
    <xf numFmtId="0" fontId="0" fillId="0" borderId="4" xfId="0" applyBorder="1" applyAlignment="1">
      <alignment horizontal="left" vertical="top"/>
    </xf>
    <xf numFmtId="0" fontId="7" fillId="10" borderId="2" xfId="0" applyFont="1" applyFill="1" applyBorder="1" applyAlignment="1">
      <alignment horizontal="left" vertical="top"/>
    </xf>
    <xf numFmtId="0" fontId="0" fillId="10" borderId="2" xfId="0" applyFill="1" applyBorder="1" applyAlignment="1">
      <alignment horizontal="left" vertical="top"/>
    </xf>
    <xf numFmtId="0" fontId="0" fillId="16" borderId="2" xfId="0" applyFill="1" applyBorder="1" applyAlignment="1">
      <alignment horizontal="left" vertical="top"/>
    </xf>
    <xf numFmtId="0" fontId="7" fillId="9" borderId="2" xfId="0" applyFont="1" applyFill="1" applyBorder="1" applyAlignment="1">
      <alignment horizontal="left" vertical="top"/>
    </xf>
    <xf numFmtId="0" fontId="0" fillId="9" borderId="2" xfId="0" applyFill="1" applyBorder="1" applyAlignment="1">
      <alignment horizontal="left" vertical="top"/>
    </xf>
    <xf numFmtId="0" fontId="0" fillId="15" borderId="2" xfId="0" applyFill="1" applyBorder="1" applyAlignment="1">
      <alignment horizontal="left" vertical="top"/>
    </xf>
    <xf numFmtId="0" fontId="16" fillId="7" borderId="2" xfId="0" applyFont="1" applyFill="1" applyBorder="1" applyAlignment="1">
      <alignment horizontal="left" vertical="top"/>
    </xf>
    <xf numFmtId="0" fontId="7" fillId="7" borderId="2" xfId="0" applyFont="1" applyFill="1" applyBorder="1" applyAlignment="1">
      <alignment horizontal="left" vertical="top"/>
    </xf>
    <xf numFmtId="0" fontId="0" fillId="7" borderId="2" xfId="0" applyFill="1" applyBorder="1" applyAlignment="1">
      <alignment horizontal="left" vertical="top"/>
    </xf>
    <xf numFmtId="0" fontId="0" fillId="7" borderId="2" xfId="0" applyFont="1" applyFill="1" applyBorder="1" applyAlignment="1">
      <alignment horizontal="left" vertical="top"/>
    </xf>
    <xf numFmtId="0" fontId="0" fillId="0" borderId="2" xfId="0" applyBorder="1" applyAlignment="1">
      <alignment horizontal="left" vertical="top"/>
    </xf>
    <xf numFmtId="14" fontId="0" fillId="0" borderId="0" xfId="0" applyNumberFormat="1" applyAlignment="1">
      <alignment horizontal="left" vertical="top"/>
    </xf>
    <xf numFmtId="0" fontId="3" fillId="0" borderId="3" xfId="0" applyFont="1" applyBorder="1" applyAlignment="1">
      <alignment horizontal="left" vertical="center"/>
    </xf>
    <xf numFmtId="1" fontId="3" fillId="0" borderId="3" xfId="0" applyNumberFormat="1" applyFont="1" applyBorder="1" applyAlignment="1">
      <alignment horizontal="center" vertical="center"/>
    </xf>
    <xf numFmtId="164" fontId="6" fillId="0" borderId="3" xfId="16" applyNumberFormat="1" applyFont="1" applyBorder="1" applyAlignment="1">
      <alignment horizontal="center"/>
    </xf>
    <xf numFmtId="0" fontId="31" fillId="0" borderId="0" xfId="0" applyFont="1" applyAlignment="1">
      <alignment horizontal="left" vertical="top"/>
    </xf>
    <xf numFmtId="0" fontId="0" fillId="18" borderId="1" xfId="0" applyFill="1" applyBorder="1" applyAlignment="1">
      <alignment horizontal="left" vertical="top"/>
    </xf>
    <xf numFmtId="0" fontId="43" fillId="0" borderId="0" xfId="0" applyFont="1" applyAlignment="1">
      <alignment horizontal="center" vertical="center" wrapText="1"/>
    </xf>
    <xf numFmtId="0" fontId="44" fillId="0" borderId="0" xfId="0" applyFont="1" applyAlignment="1">
      <alignment horizontal="left" vertical="center" wrapText="1"/>
    </xf>
    <xf numFmtId="0" fontId="44" fillId="0" borderId="0" xfId="0" applyFont="1" applyAlignment="1">
      <alignment horizontal="center" vertical="center" wrapText="1"/>
    </xf>
    <xf numFmtId="0" fontId="45" fillId="0" borderId="0" xfId="0" applyFont="1" applyAlignment="1">
      <alignment horizontal="left" vertical="center" wrapText="1" indent="1"/>
    </xf>
    <xf numFmtId="0" fontId="46" fillId="0" borderId="0" xfId="0" applyFont="1" applyAlignment="1">
      <alignment horizontal="center" vertical="center" wrapText="1"/>
    </xf>
    <xf numFmtId="0" fontId="47" fillId="0" borderId="0" xfId="0" applyFont="1" applyAlignment="1">
      <alignment horizontal="left" vertical="center" wrapText="1"/>
    </xf>
    <xf numFmtId="0" fontId="48" fillId="0" borderId="0" xfId="0" applyFont="1" applyAlignment="1">
      <alignment horizontal="left" vertical="center" wrapText="1"/>
    </xf>
    <xf numFmtId="0" fontId="5" fillId="0" borderId="0" xfId="0" applyFont="1" applyAlignment="1">
      <alignment horizontal="left" vertical="top" wrapText="1"/>
    </xf>
    <xf numFmtId="0" fontId="49" fillId="0" borderId="0" xfId="0" applyFont="1" applyAlignment="1">
      <alignment horizontal="left" vertical="center" wrapText="1"/>
    </xf>
    <xf numFmtId="0" fontId="50" fillId="0" borderId="0" xfId="0" applyFont="1" applyAlignment="1">
      <alignment horizontal="center" vertical="center" wrapText="1"/>
    </xf>
    <xf numFmtId="0" fontId="8" fillId="19" borderId="1" xfId="0" applyFont="1" applyFill="1" applyBorder="1" applyAlignment="1">
      <alignment horizontal="center" vertical="center" wrapText="1"/>
    </xf>
    <xf numFmtId="0" fontId="8" fillId="19" borderId="5" xfId="0" applyFont="1" applyFill="1" applyBorder="1" applyAlignment="1">
      <alignment horizontal="center" vertical="center" wrapText="1"/>
    </xf>
    <xf numFmtId="0" fontId="8" fillId="20" borderId="6" xfId="0" applyFont="1" applyFill="1" applyBorder="1" applyAlignment="1">
      <alignment horizontal="center" vertical="center" wrapText="1"/>
    </xf>
    <xf numFmtId="9" fontId="20" fillId="21" borderId="7" xfId="15" applyFont="1" applyFill="1" applyBorder="1" applyAlignment="1" applyProtection="1">
      <alignment horizontal="center" vertical="center" wrapText="1"/>
      <protection/>
    </xf>
    <xf numFmtId="9" fontId="20" fillId="22" borderId="7" xfId="15" applyFont="1" applyFill="1" applyBorder="1" applyAlignment="1" applyProtection="1">
      <alignment horizontal="center" vertical="center" wrapText="1"/>
      <protection/>
    </xf>
    <xf numFmtId="164" fontId="40" fillId="0" borderId="0" xfId="22" applyNumberFormat="1" applyFont="1" applyFill="1" applyBorder="1" applyAlignment="1" applyProtection="1">
      <alignment horizontal="center" vertical="center"/>
      <protection/>
    </xf>
    <xf numFmtId="1" fontId="40" fillId="0" borderId="0" xfId="22" applyNumberFormat="1" applyFont="1" applyFill="1" applyBorder="1" applyAlignment="1" applyProtection="1">
      <alignment horizontal="center" vertical="center"/>
      <protection/>
    </xf>
    <xf numFmtId="9" fontId="39" fillId="0" borderId="8" xfId="28" applyFont="1" applyBorder="1" applyAlignment="1" applyProtection="1">
      <alignment vertical="center" wrapText="1"/>
      <protection/>
    </xf>
    <xf numFmtId="0" fontId="39" fillId="0" borderId="9" xfId="28" applyNumberFormat="1" applyFont="1" applyBorder="1" applyAlignment="1" applyProtection="1">
      <alignment horizontal="center" vertical="center" wrapText="1"/>
      <protection/>
    </xf>
    <xf numFmtId="9" fontId="39" fillId="0" borderId="9" xfId="28" applyFont="1" applyBorder="1" applyAlignment="1" applyProtection="1">
      <alignment vertical="center" wrapText="1"/>
      <protection/>
    </xf>
    <xf numFmtId="9" fontId="39" fillId="0" borderId="10" xfId="28" applyFont="1" applyBorder="1" applyAlignment="1" applyProtection="1">
      <alignment vertical="center" wrapText="1"/>
      <protection/>
    </xf>
    <xf numFmtId="0" fontId="39" fillId="0" borderId="8" xfId="28" applyNumberFormat="1" applyFont="1" applyBorder="1" applyAlignment="1" applyProtection="1">
      <alignment horizontal="center" vertical="center" wrapText="1"/>
      <protection/>
    </xf>
    <xf numFmtId="44" fontId="39" fillId="0" borderId="8" xfId="29" applyFont="1" applyBorder="1" applyAlignment="1" applyProtection="1">
      <alignment vertical="center" wrapText="1"/>
      <protection/>
    </xf>
    <xf numFmtId="0" fontId="39" fillId="0" borderId="9" xfId="29" applyNumberFormat="1" applyFont="1" applyBorder="1" applyAlignment="1" applyProtection="1">
      <alignment horizontal="center" vertical="center" wrapText="1"/>
      <protection/>
    </xf>
    <xf numFmtId="44" fontId="39" fillId="0" borderId="9" xfId="29" applyFont="1" applyBorder="1" applyAlignment="1" applyProtection="1">
      <alignment vertical="center" wrapText="1"/>
      <protection/>
    </xf>
    <xf numFmtId="44" fontId="39" fillId="0" borderId="10" xfId="29" applyFont="1" applyBorder="1" applyAlignment="1" applyProtection="1">
      <alignment vertical="center" wrapText="1"/>
      <protection/>
    </xf>
    <xf numFmtId="0" fontId="39" fillId="0" borderId="8" xfId="29" applyNumberFormat="1" applyFont="1" applyBorder="1" applyAlignment="1" applyProtection="1">
      <alignment horizontal="center" vertical="center" wrapText="1"/>
      <protection/>
    </xf>
    <xf numFmtId="166" fontId="39" fillId="0" borderId="9" xfId="26" applyNumberFormat="1" applyFont="1" applyBorder="1" applyAlignment="1" applyProtection="1">
      <alignment horizontal="center" vertical="center" wrapText="1"/>
      <protection/>
    </xf>
    <xf numFmtId="166" fontId="39" fillId="0" borderId="8" xfId="26" applyNumberFormat="1" applyFont="1" applyBorder="1" applyAlignment="1" applyProtection="1">
      <alignment horizontal="center" vertical="center" wrapText="1"/>
      <protection/>
    </xf>
    <xf numFmtId="9" fontId="39" fillId="0" borderId="11" xfId="28" applyFont="1" applyBorder="1" applyAlignment="1" applyProtection="1">
      <alignment vertical="center" wrapText="1"/>
      <protection/>
    </xf>
    <xf numFmtId="9" fontId="39" fillId="0" borderId="12" xfId="28" applyFont="1" applyBorder="1" applyAlignment="1" applyProtection="1">
      <alignment horizontal="center" vertical="center" wrapText="1"/>
      <protection/>
    </xf>
    <xf numFmtId="9" fontId="39" fillId="0" borderId="12" xfId="28" applyFont="1" applyBorder="1" applyAlignment="1" applyProtection="1">
      <alignment vertical="center" wrapText="1"/>
      <protection/>
    </xf>
    <xf numFmtId="9" fontId="39" fillId="0" borderId="13" xfId="28" applyFont="1" applyBorder="1" applyAlignment="1" applyProtection="1">
      <alignment vertical="center" wrapText="1"/>
      <protection/>
    </xf>
    <xf numFmtId="9" fontId="39" fillId="0" borderId="11" xfId="28" applyFont="1" applyBorder="1" applyAlignment="1" applyProtection="1">
      <alignment horizontal="center" vertical="center" wrapText="1"/>
      <protection/>
    </xf>
    <xf numFmtId="166" fontId="39" fillId="0" borderId="14" xfId="26" applyNumberFormat="1" applyFont="1" applyBorder="1" applyAlignment="1" applyProtection="1">
      <alignment horizontal="center" vertical="center" wrapText="1"/>
      <protection/>
    </xf>
    <xf numFmtId="166" fontId="39" fillId="0" borderId="15" xfId="26" applyNumberFormat="1" applyFont="1" applyBorder="1" applyAlignment="1" applyProtection="1">
      <alignment horizontal="center" vertical="center" wrapText="1"/>
      <protection/>
    </xf>
    <xf numFmtId="9" fontId="25" fillId="0" borderId="0" xfId="15" applyFont="1" applyFill="1" applyBorder="1" applyAlignment="1" applyProtection="1">
      <alignment horizontal="center" vertical="center" wrapText="1"/>
      <protection/>
    </xf>
    <xf numFmtId="0" fontId="0" fillId="14" borderId="0" xfId="0" applyFont="1" applyFill="1" applyAlignment="1">
      <alignment horizontal="left" vertical="top"/>
    </xf>
    <xf numFmtId="0" fontId="0" fillId="0" borderId="0" xfId="0" applyFont="1" applyAlignment="1">
      <alignment horizontal="center" vertical="top"/>
    </xf>
    <xf numFmtId="0" fontId="0" fillId="0" borderId="0" xfId="0" applyFont="1" applyAlignment="1">
      <alignment horizontal="left"/>
    </xf>
    <xf numFmtId="0" fontId="12" fillId="0" borderId="0" xfId="0" applyFont="1" applyAlignment="1">
      <alignment horizontal="left" vertical="center"/>
    </xf>
    <xf numFmtId="0" fontId="21" fillId="0" borderId="0" xfId="0" applyFont="1" applyAlignment="1">
      <alignment vertical="center" wrapText="1"/>
    </xf>
    <xf numFmtId="0" fontId="21" fillId="0" borderId="0" xfId="0" applyFont="1" applyAlignment="1">
      <alignment horizontal="center" vertical="center" wrapText="1"/>
    </xf>
    <xf numFmtId="164" fontId="7" fillId="0" borderId="0" xfId="0" applyNumberFormat="1" applyFont="1" applyAlignment="1">
      <alignment horizontal="center" vertical="top"/>
    </xf>
    <xf numFmtId="0" fontId="7" fillId="0" borderId="0" xfId="0" applyFont="1" applyAlignment="1">
      <alignment horizontal="center" vertical="top"/>
    </xf>
    <xf numFmtId="10" fontId="7" fillId="0" borderId="0" xfId="0" applyNumberFormat="1" applyFont="1" applyAlignment="1">
      <alignment horizontal="center" vertical="top"/>
    </xf>
    <xf numFmtId="0" fontId="0" fillId="14" borderId="0" xfId="0" applyFont="1" applyFill="1" applyAlignment="1">
      <alignment horizontal="left" vertical="center"/>
    </xf>
    <xf numFmtId="164" fontId="27" fillId="0" borderId="0" xfId="0" applyNumberFormat="1" applyFont="1" applyAlignment="1">
      <alignment horizontal="center" vertical="center"/>
    </xf>
    <xf numFmtId="0" fontId="0" fillId="0" borderId="0" xfId="0" applyFont="1" applyAlignment="1">
      <alignment horizontal="left" vertical="center"/>
    </xf>
    <xf numFmtId="164" fontId="6" fillId="0" borderId="16" xfId="0" applyNumberFormat="1" applyFont="1" applyBorder="1" applyAlignment="1">
      <alignment horizontal="center" vertical="top"/>
    </xf>
    <xf numFmtId="0" fontId="7" fillId="14" borderId="0" xfId="0" applyFont="1" applyFill="1" applyAlignment="1">
      <alignment horizontal="left" vertical="center"/>
    </xf>
    <xf numFmtId="0" fontId="16" fillId="23" borderId="17" xfId="0" applyFont="1" applyFill="1" applyBorder="1" applyAlignment="1">
      <alignment horizontal="center" vertical="center" wrapText="1"/>
    </xf>
    <xf numFmtId="1" fontId="20" fillId="24" borderId="7" xfId="0" applyNumberFormat="1" applyFont="1" applyFill="1" applyBorder="1" applyAlignment="1">
      <alignment horizontal="center" vertical="center" wrapText="1"/>
    </xf>
    <xf numFmtId="164" fontId="20" fillId="24" borderId="7" xfId="0" applyNumberFormat="1" applyFont="1" applyFill="1" applyBorder="1" applyAlignment="1">
      <alignment horizontal="center" vertical="center" wrapText="1"/>
    </xf>
    <xf numFmtId="164" fontId="21" fillId="0" borderId="7" xfId="0" applyNumberFormat="1" applyFont="1" applyBorder="1" applyAlignment="1">
      <alignment horizontal="center" vertical="center" wrapText="1"/>
    </xf>
    <xf numFmtId="164" fontId="20" fillId="21" borderId="7" xfId="0" applyNumberFormat="1" applyFont="1" applyFill="1" applyBorder="1" applyAlignment="1">
      <alignment horizontal="center" vertical="center" wrapText="1"/>
    </xf>
    <xf numFmtId="0" fontId="7" fillId="0" borderId="0" xfId="0" applyFont="1" applyAlignment="1">
      <alignment horizontal="left" vertical="center"/>
    </xf>
    <xf numFmtId="164" fontId="20" fillId="22" borderId="7" xfId="0" applyNumberFormat="1" applyFont="1" applyFill="1" applyBorder="1" applyAlignment="1">
      <alignment horizontal="center" vertical="center" wrapText="1"/>
    </xf>
    <xf numFmtId="0" fontId="7" fillId="23" borderId="0" xfId="0" applyFont="1" applyFill="1" applyAlignment="1">
      <alignment horizontal="center" vertical="center"/>
    </xf>
    <xf numFmtId="0" fontId="7" fillId="7" borderId="0" xfId="0" applyFont="1" applyFill="1" applyAlignment="1">
      <alignment horizontal="left" vertical="center"/>
    </xf>
    <xf numFmtId="0" fontId="7" fillId="25" borderId="0" xfId="0" applyFont="1" applyFill="1" applyAlignment="1">
      <alignment horizontal="left" vertical="center"/>
    </xf>
    <xf numFmtId="0" fontId="16" fillId="0" borderId="0" xfId="0" applyFont="1" applyAlignment="1">
      <alignment horizontal="center" vertical="top"/>
    </xf>
    <xf numFmtId="1" fontId="23" fillId="0" borderId="18" xfId="0" applyNumberFormat="1" applyFont="1" applyBorder="1" applyAlignment="1">
      <alignment horizontal="center" vertical="center" wrapText="1"/>
    </xf>
    <xf numFmtId="9" fontId="23" fillId="0" borderId="18" xfId="0" applyNumberFormat="1" applyFont="1" applyBorder="1" applyAlignment="1">
      <alignment horizontal="center" vertical="center" wrapText="1"/>
    </xf>
    <xf numFmtId="164" fontId="23" fillId="0" borderId="19" xfId="0" applyNumberFormat="1" applyFont="1" applyBorder="1" applyAlignment="1">
      <alignment horizontal="center" vertical="center" wrapText="1"/>
    </xf>
    <xf numFmtId="1" fontId="23" fillId="0" borderId="19" xfId="0" applyNumberFormat="1" applyFont="1" applyBorder="1" applyAlignment="1">
      <alignment horizontal="center" vertical="center" wrapText="1"/>
    </xf>
    <xf numFmtId="164" fontId="23" fillId="7" borderId="20" xfId="0" applyNumberFormat="1" applyFont="1" applyFill="1" applyBorder="1" applyAlignment="1">
      <alignment horizontal="center" vertical="center" wrapText="1"/>
    </xf>
    <xf numFmtId="0" fontId="25" fillId="0" borderId="0" xfId="0" applyFont="1" applyAlignment="1">
      <alignment horizontal="center" vertical="center" wrapText="1"/>
    </xf>
    <xf numFmtId="164" fontId="25" fillId="0" borderId="21" xfId="0" applyNumberFormat="1" applyFont="1" applyBorder="1" applyAlignment="1">
      <alignment horizontal="center" vertical="center" wrapText="1"/>
    </xf>
    <xf numFmtId="0" fontId="23" fillId="0" borderId="22" xfId="0" applyFont="1" applyBorder="1" applyAlignment="1">
      <alignment horizontal="center" vertical="center" wrapText="1"/>
    </xf>
    <xf numFmtId="164" fontId="25" fillId="0" borderId="1" xfId="0" applyNumberFormat="1" applyFont="1" applyBorder="1" applyAlignment="1">
      <alignment horizontal="center" vertical="center" wrapText="1"/>
    </xf>
    <xf numFmtId="0" fontId="23" fillId="0" borderId="23" xfId="0" applyFont="1" applyBorder="1" applyAlignment="1">
      <alignment horizontal="center" vertical="center" wrapText="1"/>
    </xf>
    <xf numFmtId="0" fontId="32" fillId="0" borderId="24" xfId="0" applyFont="1" applyBorder="1" applyAlignment="1">
      <alignment horizontal="center" vertical="center" wrapText="1"/>
    </xf>
    <xf numFmtId="1" fontId="25" fillId="0" borderId="0" xfId="0" applyNumberFormat="1" applyFont="1" applyAlignment="1">
      <alignment horizontal="center" vertical="center" wrapText="1"/>
    </xf>
    <xf numFmtId="0" fontId="32" fillId="0" borderId="1" xfId="0" applyFont="1" applyBorder="1" applyAlignment="1">
      <alignment horizontal="center" vertical="center" wrapText="1"/>
    </xf>
    <xf numFmtId="164" fontId="25" fillId="0" borderId="0" xfId="0" applyNumberFormat="1" applyFont="1" applyAlignment="1">
      <alignment horizontal="center" vertical="center" wrapText="1"/>
    </xf>
    <xf numFmtId="9" fontId="23" fillId="0" borderId="0" xfId="0" applyNumberFormat="1" applyFont="1" applyAlignment="1">
      <alignment horizontal="center" vertical="center" wrapText="1"/>
    </xf>
    <xf numFmtId="0" fontId="32" fillId="0" borderId="25" xfId="0" applyFont="1" applyBorder="1" applyAlignment="1">
      <alignment horizontal="center" vertical="center" wrapText="1"/>
    </xf>
    <xf numFmtId="0" fontId="33" fillId="26" borderId="26" xfId="27" applyFont="1" applyFill="1" applyBorder="1" applyAlignment="1">
      <alignment vertical="center" wrapText="1"/>
      <protection/>
    </xf>
    <xf numFmtId="0" fontId="34" fillId="26" borderId="27" xfId="27" applyFont="1" applyFill="1" applyBorder="1" applyAlignment="1">
      <alignment vertical="center" wrapText="1"/>
      <protection/>
    </xf>
    <xf numFmtId="0" fontId="34" fillId="26" borderId="28" xfId="27" applyFont="1" applyFill="1" applyBorder="1" applyAlignment="1">
      <alignment vertical="center" wrapText="1"/>
      <protection/>
    </xf>
    <xf numFmtId="0" fontId="34" fillId="26" borderId="26" xfId="27" applyFont="1" applyFill="1" applyBorder="1" applyAlignment="1">
      <alignment vertical="center" wrapText="1"/>
      <protection/>
    </xf>
    <xf numFmtId="0" fontId="33" fillId="26" borderId="29" xfId="27" applyFont="1" applyFill="1" applyBorder="1" applyAlignment="1">
      <alignment vertical="center" wrapText="1"/>
      <protection/>
    </xf>
    <xf numFmtId="0" fontId="34" fillId="26" borderId="0" xfId="27" applyFont="1" applyFill="1" applyAlignment="1">
      <alignment vertical="center" wrapText="1"/>
      <protection/>
    </xf>
    <xf numFmtId="0" fontId="34" fillId="26" borderId="30" xfId="27" applyFont="1" applyFill="1" applyBorder="1" applyAlignment="1">
      <alignment vertical="center" wrapText="1"/>
      <protection/>
    </xf>
    <xf numFmtId="0" fontId="34" fillId="26" borderId="29" xfId="27" applyFont="1" applyFill="1" applyBorder="1" applyAlignment="1">
      <alignment vertical="center" wrapText="1"/>
      <protection/>
    </xf>
    <xf numFmtId="0" fontId="35" fillId="0" borderId="31" xfId="27" applyFont="1" applyBorder="1" applyAlignment="1">
      <alignment vertical="center" wrapText="1"/>
      <protection/>
    </xf>
    <xf numFmtId="0" fontId="36" fillId="0" borderId="32" xfId="27" applyFont="1" applyBorder="1" applyAlignment="1">
      <alignment vertical="center" wrapText="1"/>
      <protection/>
    </xf>
    <xf numFmtId="0" fontId="35" fillId="0" borderId="32" xfId="27" applyFont="1" applyBorder="1" applyAlignment="1">
      <alignment vertical="center" wrapText="1"/>
      <protection/>
    </xf>
    <xf numFmtId="0" fontId="35" fillId="0" borderId="10" xfId="27" applyFont="1" applyBorder="1" applyAlignment="1">
      <alignment vertical="center" wrapText="1"/>
      <protection/>
    </xf>
    <xf numFmtId="0" fontId="36" fillId="0" borderId="31" xfId="27" applyFont="1" applyBorder="1" applyAlignment="1">
      <alignment vertical="center" wrapText="1"/>
      <protection/>
    </xf>
    <xf numFmtId="0" fontId="37" fillId="27" borderId="11" xfId="27" applyFont="1" applyFill="1" applyBorder="1" applyAlignment="1">
      <alignment vertical="center" wrapText="1"/>
      <protection/>
    </xf>
    <xf numFmtId="0" fontId="38" fillId="27" borderId="12" xfId="27" applyFont="1" applyFill="1" applyBorder="1" applyAlignment="1">
      <alignment vertical="center" wrapText="1"/>
      <protection/>
    </xf>
    <xf numFmtId="0" fontId="38" fillId="27" borderId="13" xfId="27" applyFont="1" applyFill="1" applyBorder="1" applyAlignment="1">
      <alignment vertical="center" wrapText="1"/>
      <protection/>
    </xf>
    <xf numFmtId="0" fontId="38" fillId="27" borderId="11" xfId="27" applyFont="1" applyFill="1" applyBorder="1" applyAlignment="1">
      <alignment vertical="center" wrapText="1"/>
      <protection/>
    </xf>
    <xf numFmtId="0" fontId="39" fillId="0" borderId="8" xfId="27" applyFont="1" applyBorder="1" applyAlignment="1">
      <alignment vertical="center" wrapText="1"/>
      <protection/>
    </xf>
    <xf numFmtId="166" fontId="39" fillId="0" borderId="9" xfId="27" applyNumberFormat="1" applyFont="1" applyBorder="1" applyAlignment="1">
      <alignment horizontal="center" vertical="center" wrapText="1"/>
      <protection/>
    </xf>
    <xf numFmtId="0" fontId="39" fillId="0" borderId="9" xfId="27" applyFont="1" applyBorder="1" applyAlignment="1">
      <alignment vertical="center" wrapText="1"/>
      <protection/>
    </xf>
    <xf numFmtId="0" fontId="39" fillId="0" borderId="10" xfId="27" applyFont="1" applyBorder="1" applyAlignment="1">
      <alignment vertical="center" wrapText="1"/>
      <protection/>
    </xf>
    <xf numFmtId="166" fontId="39" fillId="0" borderId="8" xfId="27" applyNumberFormat="1" applyFont="1" applyBorder="1" applyAlignment="1">
      <alignment horizontal="center" vertical="center" wrapText="1"/>
      <protection/>
    </xf>
    <xf numFmtId="0" fontId="38" fillId="27" borderId="8" xfId="27" applyFont="1" applyFill="1" applyBorder="1" applyAlignment="1">
      <alignment vertical="center" wrapText="1"/>
      <protection/>
    </xf>
    <xf numFmtId="0" fontId="38" fillId="27" borderId="9" xfId="27" applyFont="1" applyFill="1" applyBorder="1" applyAlignment="1">
      <alignment horizontal="center" vertical="center" wrapText="1"/>
      <protection/>
    </xf>
    <xf numFmtId="0" fontId="38" fillId="27" borderId="9" xfId="27" applyFont="1" applyFill="1" applyBorder="1" applyAlignment="1">
      <alignment vertical="center" wrapText="1"/>
      <protection/>
    </xf>
    <xf numFmtId="0" fontId="38" fillId="27" borderId="10" xfId="27" applyFont="1" applyFill="1" applyBorder="1" applyAlignment="1">
      <alignment vertical="center" wrapText="1"/>
      <protection/>
    </xf>
    <xf numFmtId="0" fontId="38" fillId="27" borderId="8" xfId="27" applyFont="1" applyFill="1" applyBorder="1" applyAlignment="1">
      <alignment horizontal="center" vertical="center" wrapText="1"/>
      <protection/>
    </xf>
    <xf numFmtId="0" fontId="39" fillId="0" borderId="9" xfId="27" applyFont="1" applyBorder="1" applyAlignment="1">
      <alignment horizontal="center" vertical="center" wrapText="1"/>
      <protection/>
    </xf>
    <xf numFmtId="0" fontId="39" fillId="0" borderId="8" xfId="27" applyFont="1" applyBorder="1" applyAlignment="1">
      <alignment horizontal="center" vertical="center" wrapText="1"/>
      <protection/>
    </xf>
    <xf numFmtId="0" fontId="39" fillId="0" borderId="29" xfId="27" applyFont="1" applyBorder="1" applyAlignment="1">
      <alignment vertical="center" wrapText="1"/>
      <protection/>
    </xf>
    <xf numFmtId="0" fontId="39" fillId="0" borderId="0" xfId="27" applyFont="1" applyAlignment="1">
      <alignment vertical="center" wrapText="1"/>
      <protection/>
    </xf>
    <xf numFmtId="0" fontId="39" fillId="0" borderId="30" xfId="27" applyFont="1" applyBorder="1" applyAlignment="1">
      <alignment vertical="center" wrapText="1"/>
      <protection/>
    </xf>
    <xf numFmtId="0" fontId="39" fillId="0" borderId="11" xfId="27" applyFont="1" applyBorder="1" applyAlignment="1">
      <alignment vertical="center" wrapText="1"/>
      <protection/>
    </xf>
    <xf numFmtId="0" fontId="39" fillId="0" borderId="12" xfId="27" applyFont="1" applyBorder="1" applyAlignment="1">
      <alignment vertical="center" wrapText="1"/>
      <protection/>
    </xf>
    <xf numFmtId="0" fontId="39" fillId="0" borderId="13" xfId="27" applyFont="1" applyBorder="1" applyAlignment="1">
      <alignment vertical="center" wrapText="1"/>
      <protection/>
    </xf>
    <xf numFmtId="166" fontId="39" fillId="0" borderId="12" xfId="27" applyNumberFormat="1" applyFont="1" applyBorder="1" applyAlignment="1">
      <alignment horizontal="center" vertical="center" wrapText="1"/>
      <protection/>
    </xf>
    <xf numFmtId="0" fontId="39" fillId="0" borderId="12" xfId="27" applyFont="1" applyBorder="1" applyAlignment="1">
      <alignment horizontal="center" vertical="center" wrapText="1"/>
      <protection/>
    </xf>
    <xf numFmtId="166" fontId="39" fillId="0" borderId="11" xfId="27" applyNumberFormat="1" applyFont="1" applyBorder="1" applyAlignment="1">
      <alignment horizontal="center" vertical="center" wrapText="1"/>
      <protection/>
    </xf>
    <xf numFmtId="0" fontId="33" fillId="26" borderId="29" xfId="27" applyFont="1" applyFill="1" applyBorder="1" applyAlignment="1">
      <alignment vertical="top" wrapText="1"/>
      <protection/>
    </xf>
    <xf numFmtId="0" fontId="34" fillId="26" borderId="0" xfId="27" applyFont="1" applyFill="1" applyAlignment="1">
      <alignment vertical="top" wrapText="1"/>
      <protection/>
    </xf>
    <xf numFmtId="0" fontId="34" fillId="26" borderId="30" xfId="27" applyFont="1" applyFill="1" applyBorder="1" applyAlignment="1">
      <alignment vertical="top" wrapText="1"/>
      <protection/>
    </xf>
    <xf numFmtId="0" fontId="34" fillId="26" borderId="29" xfId="27" applyFont="1" applyFill="1" applyBorder="1" applyAlignment="1">
      <alignment vertical="top" wrapText="1"/>
      <protection/>
    </xf>
    <xf numFmtId="0" fontId="37" fillId="27" borderId="8" xfId="27" applyFont="1" applyFill="1" applyBorder="1" applyAlignment="1">
      <alignment vertical="center" wrapText="1"/>
      <protection/>
    </xf>
    <xf numFmtId="0" fontId="39" fillId="0" borderId="15" xfId="27" applyFont="1" applyBorder="1" applyAlignment="1">
      <alignment vertical="center" wrapText="1"/>
      <protection/>
    </xf>
    <xf numFmtId="0" fontId="39" fillId="0" borderId="14" xfId="27" applyFont="1" applyBorder="1" applyAlignment="1">
      <alignment vertical="center" wrapText="1"/>
      <protection/>
    </xf>
    <xf numFmtId="0" fontId="39" fillId="0" borderId="33" xfId="27" applyFont="1" applyBorder="1" applyAlignment="1">
      <alignment vertical="center" wrapText="1"/>
      <protection/>
    </xf>
    <xf numFmtId="0" fontId="32" fillId="0" borderId="0" xfId="0" applyFont="1" applyAlignment="1">
      <alignment horizontal="center" vertical="center" wrapText="1"/>
    </xf>
    <xf numFmtId="164" fontId="17" fillId="0" borderId="0" xfId="0" applyNumberFormat="1" applyFont="1" applyAlignment="1">
      <alignment horizontal="center" vertical="center" wrapText="1"/>
    </xf>
    <xf numFmtId="0" fontId="23" fillId="20" borderId="4" xfId="0" applyFont="1" applyFill="1" applyBorder="1" applyAlignment="1">
      <alignment horizontal="center" vertical="center" wrapText="1"/>
    </xf>
    <xf numFmtId="164" fontId="25" fillId="20" borderId="21" xfId="0" applyNumberFormat="1" applyFont="1" applyFill="1" applyBorder="1" applyAlignment="1">
      <alignment horizontal="center" vertical="center" wrapText="1"/>
    </xf>
    <xf numFmtId="9" fontId="23" fillId="20" borderId="21" xfId="0" applyNumberFormat="1" applyFont="1" applyFill="1" applyBorder="1" applyAlignment="1">
      <alignment horizontal="center" vertical="center" wrapText="1"/>
    </xf>
    <xf numFmtId="164" fontId="25" fillId="20" borderId="19" xfId="0" applyNumberFormat="1" applyFont="1" applyFill="1" applyBorder="1" applyAlignment="1">
      <alignment horizontal="center" vertical="center" wrapText="1"/>
    </xf>
    <xf numFmtId="1" fontId="25" fillId="20" borderId="0" xfId="0" applyNumberFormat="1" applyFont="1" applyFill="1" applyAlignment="1">
      <alignment horizontal="center" vertical="center" wrapText="1"/>
    </xf>
    <xf numFmtId="0" fontId="7" fillId="7" borderId="0" xfId="0" applyFont="1" applyFill="1" applyAlignment="1">
      <alignment horizontal="center" vertical="center"/>
    </xf>
    <xf numFmtId="0" fontId="22" fillId="25" borderId="34" xfId="0" applyFont="1" applyFill="1" applyBorder="1" applyAlignment="1">
      <alignment vertical="center"/>
    </xf>
    <xf numFmtId="0" fontId="22" fillId="25" borderId="35" xfId="0" applyFont="1" applyFill="1" applyBorder="1" applyAlignment="1">
      <alignment vertical="center"/>
    </xf>
    <xf numFmtId="0" fontId="22" fillId="25" borderId="36" xfId="0" applyFont="1" applyFill="1" applyBorder="1" applyAlignment="1">
      <alignment vertical="center"/>
    </xf>
    <xf numFmtId="0" fontId="24" fillId="25" borderId="37" xfId="0" applyFont="1" applyFill="1" applyBorder="1" applyAlignment="1">
      <alignment vertical="center"/>
    </xf>
    <xf numFmtId="0" fontId="24" fillId="25" borderId="38" xfId="0" applyFont="1" applyFill="1" applyBorder="1" applyAlignment="1">
      <alignment vertical="center"/>
    </xf>
    <xf numFmtId="0" fontId="24" fillId="25" borderId="39" xfId="0" applyFont="1" applyFill="1" applyBorder="1" applyAlignment="1">
      <alignment vertical="center"/>
    </xf>
    <xf numFmtId="164" fontId="25" fillId="0" borderId="1" xfId="0" applyNumberFormat="1" applyFont="1" applyBorder="1" applyAlignment="1">
      <alignment horizontal="center" vertical="center"/>
    </xf>
    <xf numFmtId="1" fontId="25" fillId="0" borderId="0" xfId="0" applyNumberFormat="1" applyFont="1" applyAlignment="1">
      <alignment horizontal="center" vertical="center"/>
    </xf>
    <xf numFmtId="0" fontId="26" fillId="0" borderId="4" xfId="0" applyFont="1" applyBorder="1" applyAlignment="1">
      <alignment horizontal="center" vertical="center"/>
    </xf>
    <xf numFmtId="0" fontId="26" fillId="0" borderId="0" xfId="0" applyFont="1" applyAlignment="1">
      <alignment horizontal="center" vertical="center"/>
    </xf>
    <xf numFmtId="164" fontId="25" fillId="0" borderId="0" xfId="0" applyNumberFormat="1" applyFont="1" applyAlignment="1">
      <alignment horizontal="center" vertical="center"/>
    </xf>
    <xf numFmtId="164" fontId="25" fillId="0" borderId="19" xfId="0" applyNumberFormat="1" applyFont="1" applyBorder="1" applyAlignment="1">
      <alignment horizontal="center" vertical="center" wrapText="1"/>
    </xf>
    <xf numFmtId="0" fontId="17" fillId="0" borderId="40" xfId="0" applyFont="1" applyBorder="1" applyAlignment="1">
      <alignment horizontal="center" vertical="center"/>
    </xf>
    <xf numFmtId="0" fontId="17" fillId="0" borderId="41" xfId="0" applyFont="1" applyBorder="1" applyAlignment="1">
      <alignment horizontal="center" vertical="center"/>
    </xf>
    <xf numFmtId="164" fontId="17" fillId="0" borderId="41" xfId="0" applyNumberFormat="1" applyFont="1" applyBorder="1" applyAlignment="1">
      <alignment horizontal="center" vertical="center"/>
    </xf>
    <xf numFmtId="164" fontId="17" fillId="0" borderId="0" xfId="0" applyNumberFormat="1" applyFont="1" applyAlignment="1">
      <alignment horizontal="left" vertical="center"/>
    </xf>
    <xf numFmtId="164" fontId="23" fillId="0" borderId="0" xfId="0" applyNumberFormat="1" applyFont="1" applyAlignment="1">
      <alignment horizontal="left" vertical="center"/>
    </xf>
    <xf numFmtId="9" fontId="5" fillId="0" borderId="0" xfId="15" applyFont="1" applyFill="1" applyBorder="1" applyAlignment="1" applyProtection="1">
      <alignment horizontal="center" vertical="top"/>
      <protection/>
    </xf>
    <xf numFmtId="164" fontId="41" fillId="0" borderId="0" xfId="0" applyNumberFormat="1" applyFont="1" applyAlignment="1">
      <alignment horizontal="left" vertical="top"/>
    </xf>
    <xf numFmtId="1" fontId="0" fillId="0" borderId="0" xfId="0" applyNumberFormat="1" applyFont="1" applyAlignment="1">
      <alignment horizontal="left" vertical="top"/>
    </xf>
    <xf numFmtId="9" fontId="4" fillId="0" borderId="0" xfId="15" applyFont="1" applyFill="1" applyBorder="1" applyAlignment="1" applyProtection="1">
      <alignment horizontal="center" vertical="top"/>
      <protection/>
    </xf>
    <xf numFmtId="1" fontId="41" fillId="0" borderId="0" xfId="0" applyNumberFormat="1" applyFont="1" applyAlignment="1">
      <alignment horizontal="left" vertical="top"/>
    </xf>
    <xf numFmtId="0" fontId="41" fillId="0" borderId="0" xfId="0" applyFont="1" applyAlignment="1">
      <alignment horizontal="left" vertical="top"/>
    </xf>
    <xf numFmtId="0" fontId="7" fillId="25" borderId="42" xfId="0" applyFont="1" applyFill="1" applyBorder="1" applyAlignment="1">
      <alignment horizontal="left" vertical="center"/>
    </xf>
    <xf numFmtId="0" fontId="30" fillId="0" borderId="1" xfId="0" applyFont="1" applyBorder="1" applyAlignment="1">
      <alignment horizontal="center" vertical="top" wrapText="1"/>
    </xf>
    <xf numFmtId="0" fontId="5" fillId="0" borderId="0" xfId="0" applyFont="1" applyAlignment="1">
      <alignment horizontal="center" vertical="top" wrapText="1"/>
    </xf>
    <xf numFmtId="0" fontId="1" fillId="0" borderId="0" xfId="0" applyFont="1" applyAlignment="1">
      <alignment horizontal="left" vertical="top" wrapText="1"/>
    </xf>
    <xf numFmtId="0" fontId="5" fillId="0" borderId="0" xfId="16" applyNumberFormat="1" applyFont="1" applyBorder="1" applyAlignment="1" applyProtection="1">
      <alignment horizontal="center" vertical="top"/>
      <protection/>
    </xf>
    <xf numFmtId="0" fontId="29" fillId="0" borderId="0" xfId="0" applyFont="1" applyAlignment="1">
      <alignment horizontal="left" vertical="top" wrapText="1"/>
    </xf>
    <xf numFmtId="0" fontId="0" fillId="0" borderId="0" xfId="0" applyAlignment="1">
      <alignment horizontal="center" vertical="top" wrapText="1"/>
    </xf>
    <xf numFmtId="0" fontId="0" fillId="0" borderId="0" xfId="16" applyNumberFormat="1" applyFont="1" applyBorder="1" applyAlignment="1" applyProtection="1">
      <alignment horizontal="center" vertical="top"/>
      <protection/>
    </xf>
    <xf numFmtId="0" fontId="14" fillId="0" borderId="0" xfId="0" applyFont="1" applyAlignment="1">
      <alignment horizontal="left" vertical="top" wrapText="1"/>
    </xf>
    <xf numFmtId="0" fontId="1" fillId="0" borderId="43" xfId="0" applyFont="1" applyBorder="1" applyAlignment="1">
      <alignment horizontal="left" vertical="top" wrapText="1"/>
    </xf>
    <xf numFmtId="0" fontId="5" fillId="0" borderId="43" xfId="16" applyNumberFormat="1" applyFont="1" applyBorder="1" applyAlignment="1" applyProtection="1">
      <alignment horizontal="center" vertical="top"/>
      <protection/>
    </xf>
    <xf numFmtId="0" fontId="7" fillId="0" borderId="0" xfId="0" applyFont="1" applyAlignment="1">
      <alignment horizontal="center" vertical="center"/>
    </xf>
    <xf numFmtId="0" fontId="7" fillId="25" borderId="0" xfId="0" applyFont="1" applyFill="1" applyAlignment="1">
      <alignment horizontal="center" vertical="center"/>
    </xf>
    <xf numFmtId="0" fontId="22" fillId="0" borderId="0" xfId="0" applyFont="1" applyAlignment="1">
      <alignment vertical="center"/>
    </xf>
    <xf numFmtId="0" fontId="24" fillId="8" borderId="18" xfId="0" applyFont="1" applyFill="1" applyBorder="1" applyAlignment="1">
      <alignment horizontal="center" vertical="center" wrapText="1"/>
    </xf>
    <xf numFmtId="0" fontId="17" fillId="0" borderId="44" xfId="0" applyFont="1" applyBorder="1" applyAlignment="1">
      <alignment horizontal="center" vertical="center" wrapText="1"/>
    </xf>
    <xf numFmtId="0" fontId="24" fillId="28" borderId="21" xfId="0" applyFont="1" applyFill="1" applyBorder="1" applyAlignment="1" applyProtection="1">
      <alignment horizontal="center" vertical="center" wrapText="1"/>
      <protection locked="0"/>
    </xf>
    <xf numFmtId="0" fontId="17" fillId="0" borderId="44" xfId="0" applyFont="1" applyBorder="1" applyAlignment="1" applyProtection="1">
      <alignment horizontal="center" vertical="center" wrapText="1"/>
      <protection locked="0"/>
    </xf>
    <xf numFmtId="0" fontId="0" fillId="0" borderId="0" xfId="0"/>
    <xf numFmtId="49" fontId="54" fillId="19" borderId="0" xfId="0" applyNumberFormat="1" applyFont="1" applyFill="1"/>
    <xf numFmtId="0" fontId="53" fillId="19" borderId="0" xfId="0" applyFont="1" applyFill="1"/>
    <xf numFmtId="0" fontId="54" fillId="19" borderId="0" xfId="0" applyFont="1" applyFill="1"/>
    <xf numFmtId="0" fontId="56" fillId="19" borderId="0" xfId="0" applyFont="1" applyFill="1" applyAlignment="1">
      <alignment horizontal="center" wrapText="1"/>
    </xf>
    <xf numFmtId="0" fontId="0" fillId="19" borderId="0" xfId="0" applyFill="1"/>
    <xf numFmtId="0" fontId="58" fillId="19" borderId="0" xfId="0" applyFont="1" applyFill="1"/>
    <xf numFmtId="0" fontId="59" fillId="19" borderId="43" xfId="0" applyFont="1" applyFill="1" applyBorder="1" applyAlignment="1">
      <alignment vertical="center"/>
    </xf>
    <xf numFmtId="0" fontId="59" fillId="19" borderId="0" xfId="0" applyFont="1" applyFill="1" applyAlignment="1">
      <alignment horizontal="center" vertical="center"/>
    </xf>
    <xf numFmtId="0" fontId="61" fillId="19" borderId="0" xfId="0" applyFont="1" applyFill="1" applyAlignment="1">
      <alignment vertical="center" wrapText="1"/>
    </xf>
    <xf numFmtId="167" fontId="62" fillId="0" borderId="1" xfId="0" applyNumberFormat="1" applyFont="1" applyBorder="1" applyAlignment="1">
      <alignment horizontal="center"/>
    </xf>
    <xf numFmtId="49" fontId="63" fillId="19" borderId="19" xfId="0" applyNumberFormat="1" applyFont="1" applyFill="1" applyBorder="1" applyAlignment="1">
      <alignment horizontal="center" vertical="center" wrapText="1"/>
    </xf>
    <xf numFmtId="49" fontId="65" fillId="0" borderId="3" xfId="0" applyNumberFormat="1" applyFont="1" applyBorder="1" applyAlignment="1">
      <alignment horizontal="center" vertical="center"/>
    </xf>
    <xf numFmtId="49" fontId="66" fillId="19" borderId="0" xfId="0" applyNumberFormat="1" applyFont="1" applyFill="1" applyAlignment="1">
      <alignment vertical="center" wrapText="1"/>
    </xf>
    <xf numFmtId="49" fontId="65" fillId="0" borderId="1" xfId="0" applyNumberFormat="1" applyFont="1" applyBorder="1" applyAlignment="1">
      <alignment horizontal="center" vertical="center"/>
    </xf>
    <xf numFmtId="164" fontId="65" fillId="0" borderId="1" xfId="0" applyNumberFormat="1" applyFont="1" applyBorder="1" applyAlignment="1">
      <alignment horizontal="center" vertical="center"/>
    </xf>
    <xf numFmtId="167" fontId="62" fillId="0" borderId="1" xfId="0" applyNumberFormat="1" applyFont="1" applyBorder="1" applyAlignment="1">
      <alignment horizontal="center" vertical="center"/>
    </xf>
    <xf numFmtId="0" fontId="67" fillId="19" borderId="0" xfId="0" applyFont="1" applyFill="1" applyAlignment="1">
      <alignment horizontal="center"/>
    </xf>
    <xf numFmtId="0" fontId="68" fillId="19" borderId="0" xfId="0" applyFont="1" applyFill="1" applyAlignment="1">
      <alignment horizontal="center" vertical="center" wrapText="1"/>
    </xf>
    <xf numFmtId="164" fontId="69" fillId="0" borderId="1" xfId="0" applyNumberFormat="1" applyFont="1" applyBorder="1" applyAlignment="1">
      <alignment horizontal="center"/>
    </xf>
    <xf numFmtId="167" fontId="62" fillId="0" borderId="0" xfId="0" applyNumberFormat="1" applyFont="1" applyAlignment="1">
      <alignment horizontal="center"/>
    </xf>
    <xf numFmtId="0" fontId="70" fillId="19" borderId="45" xfId="0" applyFont="1" applyFill="1" applyBorder="1" applyAlignment="1">
      <alignment horizontal="center" vertical="center" wrapText="1"/>
    </xf>
    <xf numFmtId="0" fontId="69" fillId="29" borderId="45" xfId="0" applyFont="1" applyFill="1" applyBorder="1"/>
    <xf numFmtId="167" fontId="64" fillId="0" borderId="0" xfId="0" applyNumberFormat="1" applyFont="1" applyAlignment="1">
      <alignment vertical="center" wrapText="1"/>
    </xf>
    <xf numFmtId="49" fontId="65" fillId="0" borderId="0" xfId="0" applyNumberFormat="1" applyFont="1" applyAlignment="1">
      <alignment horizontal="center" vertical="center"/>
    </xf>
    <xf numFmtId="49" fontId="65" fillId="0" borderId="0" xfId="0" applyNumberFormat="1" applyFont="1" applyAlignment="1">
      <alignment vertical="center"/>
    </xf>
    <xf numFmtId="0" fontId="59" fillId="19" borderId="0" xfId="0" applyFont="1" applyFill="1" applyAlignment="1">
      <alignment vertical="center"/>
    </xf>
    <xf numFmtId="164" fontId="65" fillId="0" borderId="0" xfId="0" applyNumberFormat="1" applyFont="1" applyAlignment="1">
      <alignment vertical="center"/>
    </xf>
    <xf numFmtId="167" fontId="62" fillId="0" borderId="0" xfId="0" applyNumberFormat="1" applyFont="1" applyAlignment="1">
      <alignment horizontal="center" vertical="center"/>
    </xf>
    <xf numFmtId="0" fontId="61" fillId="19" borderId="43" xfId="0" applyFont="1" applyFill="1" applyBorder="1" applyAlignment="1">
      <alignment horizontal="center" vertical="center" wrapText="1"/>
    </xf>
    <xf numFmtId="0" fontId="61" fillId="19" borderId="0" xfId="0" applyFont="1" applyFill="1" applyAlignment="1">
      <alignment horizontal="center" vertical="center" wrapText="1"/>
    </xf>
    <xf numFmtId="0" fontId="71" fillId="19" borderId="0" xfId="0" applyFont="1" applyFill="1" applyAlignment="1">
      <alignment horizontal="center" vertical="center" wrapText="1"/>
    </xf>
    <xf numFmtId="0" fontId="0" fillId="29" borderId="0" xfId="0" applyFill="1"/>
    <xf numFmtId="0" fontId="61" fillId="19" borderId="45" xfId="0" applyFont="1" applyFill="1" applyBorder="1" applyAlignment="1">
      <alignment horizontal="center" vertical="center" wrapText="1"/>
    </xf>
    <xf numFmtId="0" fontId="72" fillId="19" borderId="0" xfId="0" applyFont="1" applyFill="1" applyAlignment="1">
      <alignment horizontal="center" vertical="center" wrapText="1"/>
    </xf>
    <xf numFmtId="0" fontId="74" fillId="19" borderId="0" xfId="0" applyFont="1" applyFill="1" applyAlignment="1">
      <alignment horizontal="center" vertical="center" wrapText="1"/>
    </xf>
    <xf numFmtId="164" fontId="73" fillId="0" borderId="1" xfId="16" applyNumberFormat="1" applyFont="1" applyBorder="1" applyAlignment="1">
      <alignment horizontal="center"/>
    </xf>
    <xf numFmtId="0" fontId="73" fillId="0" borderId="1" xfId="0" applyFont="1" applyBorder="1"/>
    <xf numFmtId="0" fontId="73" fillId="0" borderId="1" xfId="0" applyFont="1" applyBorder="1" applyAlignment="1">
      <alignment horizontal="center" wrapText="1"/>
    </xf>
    <xf numFmtId="0" fontId="75" fillId="0" borderId="46" xfId="0" applyFont="1" applyBorder="1" applyAlignment="1">
      <alignment vertical="center" wrapText="1"/>
    </xf>
    <xf numFmtId="0" fontId="76" fillId="0" borderId="47" xfId="0" applyFont="1" applyBorder="1" applyAlignment="1">
      <alignment horizontal="center" vertical="center" wrapText="1"/>
    </xf>
    <xf numFmtId="0" fontId="76" fillId="0" borderId="48" xfId="0" applyFont="1" applyBorder="1" applyAlignment="1">
      <alignment horizontal="center" vertical="center" wrapText="1"/>
    </xf>
    <xf numFmtId="8" fontId="75" fillId="0" borderId="49" xfId="0" applyNumberFormat="1" applyFont="1" applyBorder="1" applyAlignment="1">
      <alignment horizontal="center" vertical="center" wrapText="1"/>
    </xf>
    <xf numFmtId="0" fontId="0" fillId="29" borderId="45" xfId="0" applyFill="1" applyBorder="1"/>
    <xf numFmtId="0" fontId="24" fillId="0" borderId="18" xfId="0" applyFont="1" applyBorder="1" applyAlignment="1">
      <alignment horizontal="center" vertical="center" wrapText="1"/>
    </xf>
    <xf numFmtId="0" fontId="23" fillId="8" borderId="18" xfId="0" applyFont="1" applyFill="1" applyBorder="1" applyAlignment="1">
      <alignment horizontal="center" vertical="center" wrapText="1"/>
    </xf>
    <xf numFmtId="164" fontId="77" fillId="0" borderId="1" xfId="26" applyNumberFormat="1" applyFont="1" applyBorder="1" applyAlignment="1" applyProtection="1">
      <alignment horizontal="center" vertical="top"/>
      <protection/>
    </xf>
    <xf numFmtId="0" fontId="77" fillId="0" borderId="1" xfId="26" applyNumberFormat="1" applyFont="1" applyBorder="1" applyAlignment="1" applyProtection="1">
      <alignment horizontal="center" vertical="top"/>
      <protection/>
    </xf>
    <xf numFmtId="0" fontId="77" fillId="0" borderId="1" xfId="26" applyNumberFormat="1" applyFont="1" applyBorder="1" applyAlignment="1" applyProtection="1">
      <alignment horizontal="center" vertical="top" wrapText="1"/>
      <protection/>
    </xf>
    <xf numFmtId="0" fontId="78" fillId="0" borderId="1" xfId="26" applyNumberFormat="1" applyFont="1" applyBorder="1" applyAlignment="1" applyProtection="1">
      <alignment horizontal="center" vertical="top" wrapText="1"/>
      <protection/>
    </xf>
    <xf numFmtId="0" fontId="77" fillId="0" borderId="2" xfId="26" applyNumberFormat="1" applyFont="1" applyBorder="1" applyAlignment="1" applyProtection="1">
      <alignment horizontal="center" vertical="top" wrapText="1"/>
      <protection/>
    </xf>
    <xf numFmtId="0" fontId="77" fillId="0" borderId="1" xfId="16" applyNumberFormat="1" applyFont="1" applyBorder="1" applyAlignment="1" applyProtection="1">
      <alignment horizontal="center" vertical="top"/>
      <protection/>
    </xf>
    <xf numFmtId="0" fontId="78" fillId="30" borderId="1" xfId="26" applyNumberFormat="1" applyFont="1" applyFill="1" applyBorder="1" applyAlignment="1" applyProtection="1">
      <alignment horizontal="center" vertical="top"/>
      <protection/>
    </xf>
    <xf numFmtId="165" fontId="77" fillId="0" borderId="1" xfId="16" applyNumberFormat="1" applyFont="1" applyBorder="1" applyAlignment="1" applyProtection="1">
      <alignment horizontal="center" vertical="top"/>
      <protection/>
    </xf>
    <xf numFmtId="0" fontId="77" fillId="0" borderId="1" xfId="16" applyNumberFormat="1" applyFont="1" applyBorder="1" applyAlignment="1" applyProtection="1">
      <alignment horizontal="center" vertical="top" wrapText="1"/>
      <protection/>
    </xf>
    <xf numFmtId="0" fontId="77" fillId="0" borderId="25" xfId="16" applyNumberFormat="1" applyFont="1" applyBorder="1" applyAlignment="1" applyProtection="1">
      <alignment horizontal="center" vertical="top" wrapText="1"/>
      <protection/>
    </xf>
    <xf numFmtId="165" fontId="77" fillId="0" borderId="1" xfId="16" applyNumberFormat="1" applyFont="1" applyBorder="1" applyAlignment="1" applyProtection="1">
      <alignment horizontal="center" vertical="top" wrapText="1"/>
      <protection/>
    </xf>
    <xf numFmtId="0" fontId="78" fillId="30" borderId="1" xfId="26" applyNumberFormat="1" applyFont="1" applyFill="1" applyBorder="1" applyAlignment="1" applyProtection="1">
      <alignment horizontal="center" vertical="top" wrapText="1"/>
      <protection/>
    </xf>
    <xf numFmtId="1" fontId="5" fillId="0" borderId="0" xfId="0" applyNumberFormat="1" applyFont="1" applyAlignment="1">
      <alignment horizontal="left" vertical="top"/>
    </xf>
    <xf numFmtId="0" fontId="28" fillId="0" borderId="0" xfId="0" applyFont="1" applyAlignment="1">
      <alignment horizontal="center" vertical="top" wrapText="1"/>
    </xf>
    <xf numFmtId="0" fontId="52" fillId="20" borderId="1" xfId="0" applyFont="1" applyFill="1" applyBorder="1" applyAlignment="1">
      <alignment horizontal="center" vertical="center" wrapText="1"/>
    </xf>
    <xf numFmtId="0" fontId="77" fillId="19" borderId="1" xfId="0" applyFont="1" applyFill="1" applyBorder="1" applyAlignment="1">
      <alignment horizontal="left" vertical="top"/>
    </xf>
    <xf numFmtId="0" fontId="77" fillId="19" borderId="1" xfId="0" applyFont="1" applyFill="1" applyBorder="1" applyAlignment="1">
      <alignment horizontal="left" vertical="top" wrapText="1"/>
    </xf>
    <xf numFmtId="0" fontId="52" fillId="30" borderId="1" xfId="0" applyFont="1" applyFill="1" applyBorder="1" applyAlignment="1">
      <alignment horizontal="left" vertical="top" wrapText="1"/>
    </xf>
    <xf numFmtId="0" fontId="30" fillId="0" borderId="0" xfId="0" applyFont="1" applyAlignment="1">
      <alignment horizontal="center" vertical="top" wrapText="1"/>
    </xf>
    <xf numFmtId="0" fontId="30" fillId="0" borderId="3" xfId="0" applyFont="1" applyBorder="1" applyAlignment="1">
      <alignment horizontal="center" vertical="top" wrapText="1"/>
    </xf>
    <xf numFmtId="0" fontId="78" fillId="20" borderId="1" xfId="0" applyFont="1" applyFill="1" applyBorder="1" applyAlignment="1">
      <alignment horizontal="center" vertical="top" wrapText="1"/>
    </xf>
    <xf numFmtId="0" fontId="79" fillId="0" borderId="1" xfId="0" applyFont="1" applyBorder="1" applyAlignment="1">
      <alignment horizontal="left" vertical="top"/>
    </xf>
    <xf numFmtId="0" fontId="52" fillId="19" borderId="1" xfId="0" applyFont="1" applyFill="1" applyBorder="1" applyAlignment="1">
      <alignment horizontal="left" vertical="top"/>
    </xf>
    <xf numFmtId="0" fontId="79" fillId="0" borderId="25" xfId="0" applyFont="1" applyBorder="1" applyAlignment="1">
      <alignment horizontal="left" vertical="top"/>
    </xf>
    <xf numFmtId="0" fontId="80" fillId="0" borderId="1" xfId="0" applyFont="1" applyBorder="1" applyAlignment="1">
      <alignment horizontal="left" vertical="top" wrapText="1"/>
    </xf>
    <xf numFmtId="0" fontId="79" fillId="0" borderId="1" xfId="0" applyFont="1" applyBorder="1" applyAlignment="1">
      <alignment horizontal="left" vertical="top" wrapText="1"/>
    </xf>
    <xf numFmtId="0" fontId="2" fillId="0" borderId="0" xfId="33">
      <alignment/>
      <protection/>
    </xf>
    <xf numFmtId="49" fontId="54" fillId="19" borderId="0" xfId="33" applyNumberFormat="1" applyFont="1" applyFill="1">
      <alignment/>
      <protection/>
    </xf>
    <xf numFmtId="0" fontId="53" fillId="19" borderId="0" xfId="33" applyFont="1" applyFill="1">
      <alignment/>
      <protection/>
    </xf>
    <xf numFmtId="0" fontId="54" fillId="19" borderId="0" xfId="33" applyFont="1" applyFill="1">
      <alignment/>
      <protection/>
    </xf>
    <xf numFmtId="0" fontId="56" fillId="19" borderId="0" xfId="33" applyFont="1" applyFill="1" applyAlignment="1">
      <alignment horizontal="center" wrapText="1"/>
      <protection/>
    </xf>
    <xf numFmtId="0" fontId="2" fillId="19" borderId="0" xfId="33" applyFill="1">
      <alignment/>
      <protection/>
    </xf>
    <xf numFmtId="0" fontId="58" fillId="19" borderId="0" xfId="33" applyFont="1" applyFill="1">
      <alignment/>
      <protection/>
    </xf>
    <xf numFmtId="0" fontId="59" fillId="19" borderId="43" xfId="33" applyFont="1" applyFill="1" applyBorder="1" applyAlignment="1">
      <alignment vertical="center"/>
      <protection/>
    </xf>
    <xf numFmtId="0" fontId="59" fillId="19" borderId="0" xfId="33" applyFont="1" applyFill="1" applyAlignment="1">
      <alignment horizontal="center" vertical="center"/>
      <protection/>
    </xf>
    <xf numFmtId="0" fontId="61" fillId="19" borderId="0" xfId="33" applyFont="1" applyFill="1" applyAlignment="1">
      <alignment vertical="center" wrapText="1"/>
      <protection/>
    </xf>
    <xf numFmtId="167" fontId="62" fillId="0" borderId="1" xfId="33" applyNumberFormat="1" applyFont="1" applyBorder="1" applyAlignment="1">
      <alignment horizontal="center"/>
      <protection/>
    </xf>
    <xf numFmtId="49" fontId="63" fillId="19" borderId="19" xfId="33" applyNumberFormat="1" applyFont="1" applyFill="1" applyBorder="1" applyAlignment="1">
      <alignment horizontal="center" vertical="center" wrapText="1"/>
      <protection/>
    </xf>
    <xf numFmtId="49" fontId="65" fillId="0" borderId="3" xfId="33" applyNumberFormat="1" applyFont="1" applyBorder="1" applyAlignment="1">
      <alignment horizontal="center" vertical="center"/>
      <protection/>
    </xf>
    <xf numFmtId="49" fontId="66" fillId="19" borderId="0" xfId="33" applyNumberFormat="1" applyFont="1" applyFill="1" applyAlignment="1">
      <alignment vertical="center" wrapText="1"/>
      <protection/>
    </xf>
    <xf numFmtId="49" fontId="65" fillId="0" borderId="1" xfId="33" applyNumberFormat="1" applyFont="1" applyBorder="1" applyAlignment="1">
      <alignment horizontal="center" vertical="center"/>
      <protection/>
    </xf>
    <xf numFmtId="164" fontId="65" fillId="0" borderId="1" xfId="33" applyNumberFormat="1" applyFont="1" applyBorder="1" applyAlignment="1">
      <alignment horizontal="center" vertical="center"/>
      <protection/>
    </xf>
    <xf numFmtId="167" fontId="62" fillId="0" borderId="1" xfId="33" applyNumberFormat="1" applyFont="1" applyBorder="1" applyAlignment="1">
      <alignment horizontal="center" vertical="center"/>
      <protection/>
    </xf>
    <xf numFmtId="0" fontId="67" fillId="19" borderId="0" xfId="33" applyFont="1" applyFill="1" applyAlignment="1">
      <alignment horizontal="center"/>
      <protection/>
    </xf>
    <xf numFmtId="0" fontId="68" fillId="19" borderId="0" xfId="33" applyFont="1" applyFill="1" applyAlignment="1">
      <alignment horizontal="center" vertical="center" wrapText="1"/>
      <protection/>
    </xf>
    <xf numFmtId="164" fontId="69" fillId="0" borderId="1" xfId="33" applyNumberFormat="1" applyFont="1" applyBorder="1" applyAlignment="1">
      <alignment horizontal="center"/>
      <protection/>
    </xf>
    <xf numFmtId="167" fontId="62" fillId="0" borderId="0" xfId="33" applyNumberFormat="1" applyFont="1" applyAlignment="1">
      <alignment horizontal="center"/>
      <protection/>
    </xf>
    <xf numFmtId="0" fontId="70" fillId="19" borderId="45" xfId="33" applyFont="1" applyFill="1" applyBorder="1" applyAlignment="1">
      <alignment horizontal="center" vertical="center" wrapText="1"/>
      <protection/>
    </xf>
    <xf numFmtId="0" fontId="69" fillId="29" borderId="45" xfId="33" applyFont="1" applyFill="1" applyBorder="1">
      <alignment/>
      <protection/>
    </xf>
    <xf numFmtId="167" fontId="64" fillId="0" borderId="0" xfId="33" applyNumberFormat="1" applyFont="1" applyAlignment="1">
      <alignment vertical="center" wrapText="1"/>
      <protection/>
    </xf>
    <xf numFmtId="49" fontId="65" fillId="0" borderId="0" xfId="33" applyNumberFormat="1" applyFont="1" applyAlignment="1">
      <alignment horizontal="center" vertical="center"/>
      <protection/>
    </xf>
    <xf numFmtId="49" fontId="65" fillId="0" borderId="0" xfId="33" applyNumberFormat="1" applyFont="1" applyAlignment="1">
      <alignment vertical="center"/>
      <protection/>
    </xf>
    <xf numFmtId="0" fontId="59" fillId="19" borderId="0" xfId="33" applyFont="1" applyFill="1" applyAlignment="1">
      <alignment vertical="center"/>
      <protection/>
    </xf>
    <xf numFmtId="164" fontId="65" fillId="0" borderId="0" xfId="33" applyNumberFormat="1" applyFont="1" applyAlignment="1">
      <alignment vertical="center"/>
      <protection/>
    </xf>
    <xf numFmtId="167" fontId="62" fillId="0" borderId="0" xfId="33" applyNumberFormat="1" applyFont="1" applyAlignment="1">
      <alignment horizontal="center" vertical="center"/>
      <protection/>
    </xf>
    <xf numFmtId="0" fontId="61" fillId="19" borderId="43" xfId="33" applyFont="1" applyFill="1" applyBorder="1" applyAlignment="1">
      <alignment horizontal="center" vertical="center" wrapText="1"/>
      <protection/>
    </xf>
    <xf numFmtId="0" fontId="61" fillId="19" borderId="0" xfId="33" applyFont="1" applyFill="1" applyAlignment="1">
      <alignment horizontal="center" vertical="center" wrapText="1"/>
      <protection/>
    </xf>
    <xf numFmtId="0" fontId="71" fillId="19" borderId="0" xfId="33" applyFont="1" applyFill="1" applyAlignment="1">
      <alignment horizontal="center" vertical="center" wrapText="1"/>
      <protection/>
    </xf>
    <xf numFmtId="0" fontId="2" fillId="29" borderId="0" xfId="33" applyFill="1">
      <alignment/>
      <protection/>
    </xf>
    <xf numFmtId="0" fontId="61" fillId="19" borderId="45" xfId="33" applyFont="1" applyFill="1" applyBorder="1" applyAlignment="1">
      <alignment horizontal="center" vertical="center" wrapText="1"/>
      <protection/>
    </xf>
    <xf numFmtId="0" fontId="72" fillId="19" borderId="0" xfId="33" applyFont="1" applyFill="1" applyAlignment="1">
      <alignment horizontal="center" vertical="center" wrapText="1"/>
      <protection/>
    </xf>
    <xf numFmtId="0" fontId="74" fillId="19" borderId="0" xfId="33" applyFont="1" applyFill="1" applyAlignment="1">
      <alignment horizontal="center" vertical="center" wrapText="1"/>
      <protection/>
    </xf>
    <xf numFmtId="164" fontId="73" fillId="0" borderId="1" xfId="34" applyNumberFormat="1" applyFont="1" applyBorder="1" applyAlignment="1">
      <alignment horizontal="center"/>
    </xf>
    <xf numFmtId="0" fontId="73" fillId="0" borderId="1" xfId="33" applyFont="1" applyBorder="1">
      <alignment/>
      <protection/>
    </xf>
    <xf numFmtId="0" fontId="73" fillId="0" borderId="1" xfId="33" applyFont="1" applyBorder="1" applyAlignment="1">
      <alignment horizontal="center" wrapText="1"/>
      <protection/>
    </xf>
    <xf numFmtId="0" fontId="75" fillId="0" borderId="46" xfId="33" applyFont="1" applyBorder="1" applyAlignment="1">
      <alignment vertical="center" wrapText="1"/>
      <protection/>
    </xf>
    <xf numFmtId="0" fontId="76" fillId="0" borderId="47" xfId="33" applyFont="1" applyBorder="1" applyAlignment="1">
      <alignment horizontal="center" vertical="center" wrapText="1"/>
      <protection/>
    </xf>
    <xf numFmtId="0" fontId="76" fillId="0" borderId="48" xfId="33" applyFont="1" applyBorder="1" applyAlignment="1">
      <alignment horizontal="center" vertical="center" wrapText="1"/>
      <protection/>
    </xf>
    <xf numFmtId="8" fontId="75" fillId="0" borderId="49" xfId="33" applyNumberFormat="1" applyFont="1" applyBorder="1" applyAlignment="1">
      <alignment horizontal="center" vertical="center" wrapText="1"/>
      <protection/>
    </xf>
    <xf numFmtId="6" fontId="2" fillId="0" borderId="0" xfId="33" applyNumberFormat="1" applyAlignment="1">
      <alignment horizontal="left"/>
      <protection/>
    </xf>
    <xf numFmtId="164" fontId="25" fillId="0" borderId="27" xfId="0" applyNumberFormat="1" applyFont="1" applyBorder="1" applyAlignment="1">
      <alignment horizontal="center" vertical="center"/>
    </xf>
    <xf numFmtId="0" fontId="6" fillId="7" borderId="26" xfId="0" applyFont="1" applyFill="1" applyBorder="1" applyAlignment="1">
      <alignment horizontal="left" vertical="top"/>
    </xf>
    <xf numFmtId="0" fontId="6" fillId="7" borderId="27" xfId="0" applyFont="1" applyFill="1" applyBorder="1" applyAlignment="1">
      <alignment horizontal="center" vertical="top"/>
    </xf>
    <xf numFmtId="164" fontId="6" fillId="7" borderId="28" xfId="26" applyNumberFormat="1" applyFont="1" applyFill="1" applyBorder="1" applyAlignment="1" applyProtection="1">
      <alignment horizontal="center" vertical="center"/>
      <protection/>
    </xf>
    <xf numFmtId="0" fontId="6" fillId="8" borderId="29" xfId="0" applyFont="1" applyFill="1" applyBorder="1" applyAlignment="1">
      <alignment horizontal="left" vertical="top"/>
    </xf>
    <xf numFmtId="164" fontId="6" fillId="8" borderId="0" xfId="0" applyNumberFormat="1" applyFont="1" applyFill="1" applyAlignment="1">
      <alignment horizontal="center" vertical="top"/>
    </xf>
    <xf numFmtId="164" fontId="6" fillId="8" borderId="30" xfId="26" applyNumberFormat="1" applyFont="1" applyFill="1" applyBorder="1" applyAlignment="1" applyProtection="1">
      <alignment horizontal="center" vertical="top"/>
      <protection/>
    </xf>
    <xf numFmtId="0" fontId="6" fillId="31" borderId="29" xfId="0" applyFont="1" applyFill="1" applyBorder="1" applyAlignment="1">
      <alignment horizontal="left" vertical="center"/>
    </xf>
    <xf numFmtId="1" fontId="6" fillId="31" borderId="0" xfId="0" applyNumberFormat="1" applyFont="1" applyFill="1" applyAlignment="1">
      <alignment horizontal="center" vertical="center"/>
    </xf>
    <xf numFmtId="1" fontId="6" fillId="31" borderId="30" xfId="0" applyNumberFormat="1" applyFont="1" applyFill="1" applyBorder="1" applyAlignment="1">
      <alignment horizontal="center" vertical="center"/>
    </xf>
    <xf numFmtId="0" fontId="6" fillId="8" borderId="29" xfId="0" applyFont="1" applyFill="1" applyBorder="1" applyAlignment="1">
      <alignment horizontal="left" vertical="center"/>
    </xf>
    <xf numFmtId="0" fontId="6" fillId="31" borderId="50" xfId="0" applyFont="1" applyFill="1" applyBorder="1" applyAlignment="1">
      <alignment horizontal="left" vertical="top"/>
    </xf>
    <xf numFmtId="164" fontId="6" fillId="31" borderId="51" xfId="0" applyNumberFormat="1" applyFont="1" applyFill="1" applyBorder="1" applyAlignment="1">
      <alignment horizontal="center" vertical="top"/>
    </xf>
    <xf numFmtId="10" fontId="6" fillId="31" borderId="49" xfId="0" applyNumberFormat="1" applyFont="1" applyFill="1" applyBorder="1" applyAlignment="1">
      <alignment horizontal="center" vertical="top"/>
    </xf>
    <xf numFmtId="0" fontId="8" fillId="0" borderId="0" xfId="27" applyFont="1" applyAlignment="1">
      <alignment horizontal="center" vertical="center" wrapText="1"/>
      <protection/>
    </xf>
    <xf numFmtId="1" fontId="84" fillId="0" borderId="2" xfId="0" applyNumberFormat="1" applyFont="1" applyBorder="1" applyAlignment="1" applyProtection="1">
      <alignment horizontal="center" vertical="center" wrapText="1"/>
      <protection locked="0"/>
    </xf>
    <xf numFmtId="164" fontId="84" fillId="0" borderId="1" xfId="0" applyNumberFormat="1" applyFont="1" applyBorder="1" applyAlignment="1">
      <alignment horizontal="center" vertical="center" wrapText="1"/>
    </xf>
    <xf numFmtId="164" fontId="84" fillId="0" borderId="2" xfId="0" applyNumberFormat="1" applyFont="1" applyBorder="1" applyAlignment="1">
      <alignment horizontal="center" vertical="center" wrapText="1"/>
    </xf>
    <xf numFmtId="164" fontId="84" fillId="7" borderId="1" xfId="0" applyNumberFormat="1" applyFont="1" applyFill="1" applyBorder="1" applyAlignment="1">
      <alignment horizontal="center" vertical="center" wrapText="1"/>
    </xf>
    <xf numFmtId="0" fontId="86" fillId="0" borderId="0" xfId="0" applyFont="1" applyAlignment="1">
      <alignment horizontal="left" vertical="top"/>
    </xf>
    <xf numFmtId="1" fontId="84" fillId="0" borderId="45" xfId="0" applyNumberFormat="1" applyFont="1" applyBorder="1" applyAlignment="1">
      <alignment horizontal="center" vertical="center" wrapText="1"/>
    </xf>
    <xf numFmtId="9" fontId="87" fillId="0" borderId="1" xfId="15" applyFont="1" applyFill="1" applyBorder="1" applyAlignment="1" applyProtection="1">
      <alignment horizontal="center" vertical="center" wrapText="1"/>
      <protection locked="0"/>
    </xf>
    <xf numFmtId="164" fontId="87" fillId="0" borderId="1" xfId="0" applyNumberFormat="1" applyFont="1" applyBorder="1" applyAlignment="1" applyProtection="1">
      <alignment horizontal="center" vertical="center" wrapText="1"/>
      <protection locked="0"/>
    </xf>
    <xf numFmtId="164" fontId="84" fillId="0" borderId="6" xfId="0" applyNumberFormat="1" applyFont="1" applyBorder="1" applyAlignment="1">
      <alignment horizontal="center" vertical="center" wrapText="1"/>
    </xf>
    <xf numFmtId="1" fontId="84" fillId="0" borderId="23" xfId="0" applyNumberFormat="1" applyFont="1" applyBorder="1" applyAlignment="1" applyProtection="1">
      <alignment horizontal="center" vertical="center" wrapText="1"/>
      <protection locked="0"/>
    </xf>
    <xf numFmtId="164" fontId="84" fillId="0" borderId="52" xfId="0" applyNumberFormat="1" applyFont="1" applyBorder="1" applyAlignment="1">
      <alignment horizontal="center" vertical="center" wrapText="1"/>
    </xf>
    <xf numFmtId="164" fontId="84" fillId="0" borderId="23" xfId="0" applyNumberFormat="1" applyFont="1" applyBorder="1" applyAlignment="1">
      <alignment horizontal="center" vertical="center" wrapText="1"/>
    </xf>
    <xf numFmtId="164" fontId="84" fillId="7" borderId="52" xfId="0" applyNumberFormat="1" applyFont="1" applyFill="1" applyBorder="1" applyAlignment="1">
      <alignment horizontal="center" vertical="center" wrapText="1"/>
    </xf>
    <xf numFmtId="9" fontId="87" fillId="0" borderId="52" xfId="15" applyFont="1" applyFill="1" applyBorder="1" applyAlignment="1" applyProtection="1">
      <alignment horizontal="center" vertical="center" wrapText="1"/>
      <protection locked="0"/>
    </xf>
    <xf numFmtId="164" fontId="87" fillId="0" borderId="52" xfId="0" applyNumberFormat="1" applyFont="1" applyBorder="1" applyAlignment="1" applyProtection="1">
      <alignment horizontal="center" vertical="center" wrapText="1"/>
      <protection locked="0"/>
    </xf>
    <xf numFmtId="164" fontId="84" fillId="0" borderId="53" xfId="0" applyNumberFormat="1" applyFont="1" applyBorder="1" applyAlignment="1">
      <alignment horizontal="center" vertical="center" wrapText="1"/>
    </xf>
    <xf numFmtId="1" fontId="84" fillId="0" borderId="54" xfId="0" applyNumberFormat="1" applyFont="1" applyBorder="1" applyAlignment="1">
      <alignment horizontal="center" vertical="center" wrapText="1"/>
    </xf>
    <xf numFmtId="1" fontId="5" fillId="0" borderId="37" xfId="0" applyNumberFormat="1" applyFont="1" applyBorder="1" applyAlignment="1">
      <alignment horizontal="center" vertical="center" wrapText="1"/>
    </xf>
    <xf numFmtId="164" fontId="6" fillId="0" borderId="55" xfId="0" applyNumberFormat="1" applyFont="1" applyBorder="1" applyAlignment="1">
      <alignment horizontal="center" vertical="center" wrapText="1"/>
    </xf>
    <xf numFmtId="9" fontId="4" fillId="0" borderId="38" xfId="0" applyNumberFormat="1" applyFont="1" applyBorder="1" applyAlignment="1">
      <alignment horizontal="center" vertical="center" wrapText="1"/>
    </xf>
    <xf numFmtId="164" fontId="5" fillId="0" borderId="38" xfId="0" applyNumberFormat="1" applyFont="1" applyBorder="1" applyAlignment="1">
      <alignment horizontal="center" vertical="center" wrapText="1"/>
    </xf>
    <xf numFmtId="1" fontId="5" fillId="0" borderId="39" xfId="0" applyNumberFormat="1" applyFont="1" applyBorder="1" applyAlignment="1">
      <alignment horizontal="center" vertical="center" wrapText="1"/>
    </xf>
    <xf numFmtId="164" fontId="6" fillId="7" borderId="55" xfId="0" applyNumberFormat="1" applyFont="1" applyFill="1" applyBorder="1" applyAlignment="1">
      <alignment horizontal="center" vertical="center" wrapText="1"/>
    </xf>
    <xf numFmtId="164" fontId="6" fillId="0" borderId="3" xfId="26" applyNumberFormat="1" applyFont="1" applyBorder="1" applyAlignment="1">
      <alignment horizontal="center" vertical="center" wrapText="1"/>
    </xf>
    <xf numFmtId="1" fontId="5" fillId="0" borderId="38" xfId="0" applyNumberFormat="1" applyFont="1" applyBorder="1" applyAlignment="1">
      <alignment horizontal="center" vertical="center" wrapText="1"/>
    </xf>
    <xf numFmtId="1" fontId="5" fillId="0" borderId="0" xfId="0" applyNumberFormat="1" applyFont="1" applyAlignment="1">
      <alignment horizontal="center" vertical="center" wrapText="1"/>
    </xf>
    <xf numFmtId="1" fontId="5" fillId="0" borderId="4" xfId="0" applyNumberFormat="1" applyFont="1" applyBorder="1" applyAlignment="1">
      <alignment horizontal="center" vertical="center" wrapText="1"/>
    </xf>
    <xf numFmtId="164" fontId="6" fillId="0" borderId="1" xfId="0" applyNumberFormat="1" applyFont="1" applyBorder="1" applyAlignment="1">
      <alignment horizontal="center" vertical="center" wrapText="1"/>
    </xf>
    <xf numFmtId="9" fontId="4" fillId="0" borderId="0" xfId="0" applyNumberFormat="1" applyFont="1" applyAlignment="1">
      <alignment horizontal="center" vertical="center" wrapText="1"/>
    </xf>
    <xf numFmtId="164" fontId="5" fillId="0" borderId="0" xfId="0" applyNumberFormat="1" applyFont="1" applyAlignment="1">
      <alignment horizontal="center" vertical="center" wrapText="1"/>
    </xf>
    <xf numFmtId="164" fontId="6" fillId="7" borderId="1" xfId="0" applyNumberFormat="1" applyFont="1" applyFill="1" applyBorder="1" applyAlignment="1">
      <alignment horizontal="center" vertical="center" wrapText="1"/>
    </xf>
    <xf numFmtId="164" fontId="6" fillId="0" borderId="1" xfId="26" applyNumberFormat="1" applyFont="1" applyBorder="1" applyAlignment="1">
      <alignment horizontal="center" vertical="center" wrapText="1"/>
    </xf>
    <xf numFmtId="1" fontId="5" fillId="0" borderId="56" xfId="0" applyNumberFormat="1" applyFont="1" applyBorder="1" applyAlignment="1">
      <alignment horizontal="center" vertical="center" wrapText="1"/>
    </xf>
    <xf numFmtId="164" fontId="5" fillId="0" borderId="16" xfId="0" applyNumberFormat="1" applyFont="1" applyBorder="1" applyAlignment="1">
      <alignment horizontal="center" vertical="center" wrapText="1"/>
    </xf>
    <xf numFmtId="9" fontId="4" fillId="0" borderId="16" xfId="0" applyNumberFormat="1" applyFont="1" applyBorder="1" applyAlignment="1">
      <alignment horizontal="center" vertical="center" wrapText="1"/>
    </xf>
    <xf numFmtId="1" fontId="5" fillId="0" borderId="57" xfId="0" applyNumberFormat="1" applyFont="1" applyBorder="1" applyAlignment="1">
      <alignment horizontal="center" vertical="center" wrapText="1"/>
    </xf>
    <xf numFmtId="10" fontId="6" fillId="7" borderId="1" xfId="0" applyNumberFormat="1" applyFont="1" applyFill="1" applyBorder="1" applyAlignment="1">
      <alignment horizontal="center" vertical="center" wrapText="1"/>
    </xf>
    <xf numFmtId="9" fontId="6" fillId="0" borderId="7" xfId="15" applyFont="1" applyBorder="1" applyAlignment="1">
      <alignment horizontal="center" vertical="center" wrapText="1"/>
    </xf>
    <xf numFmtId="1" fontId="5" fillId="0" borderId="16" xfId="0" applyNumberFormat="1" applyFont="1" applyBorder="1" applyAlignment="1">
      <alignment horizontal="center" vertical="center" wrapText="1"/>
    </xf>
    <xf numFmtId="10" fontId="6" fillId="7" borderId="7" xfId="0" applyNumberFormat="1" applyFont="1" applyFill="1" applyBorder="1" applyAlignment="1">
      <alignment horizontal="center" vertical="center" wrapText="1"/>
    </xf>
    <xf numFmtId="164" fontId="88" fillId="0" borderId="55" xfId="0" applyNumberFormat="1" applyFont="1" applyBorder="1" applyAlignment="1">
      <alignment horizontal="center" vertical="center" wrapText="1"/>
    </xf>
    <xf numFmtId="164" fontId="88" fillId="0" borderId="1" xfId="0" applyNumberFormat="1" applyFont="1" applyBorder="1" applyAlignment="1">
      <alignment horizontal="center" vertical="center" wrapText="1"/>
    </xf>
    <xf numFmtId="164" fontId="84" fillId="0" borderId="1" xfId="0" applyNumberFormat="1" applyFont="1" applyBorder="1" applyAlignment="1" applyProtection="1">
      <alignment horizontal="center" vertical="center" wrapText="1"/>
      <protection locked="0"/>
    </xf>
    <xf numFmtId="164" fontId="84" fillId="0" borderId="2" xfId="0" applyNumberFormat="1" applyFont="1" applyBorder="1" applyAlignment="1" applyProtection="1">
      <alignment horizontal="center" vertical="center" wrapText="1"/>
      <protection locked="0"/>
    </xf>
    <xf numFmtId="164" fontId="84" fillId="0" borderId="52" xfId="0" applyNumberFormat="1" applyFont="1" applyBorder="1" applyAlignment="1" applyProtection="1">
      <alignment horizontal="center" vertical="center" wrapText="1"/>
      <protection locked="0"/>
    </xf>
    <xf numFmtId="164" fontId="84" fillId="0" borderId="23" xfId="0" applyNumberFormat="1" applyFont="1" applyBorder="1" applyAlignment="1" applyProtection="1">
      <alignment horizontal="center" vertical="center" wrapText="1"/>
      <protection locked="0"/>
    </xf>
    <xf numFmtId="164" fontId="6" fillId="7" borderId="7" xfId="0" applyNumberFormat="1" applyFont="1" applyFill="1" applyBorder="1" applyAlignment="1">
      <alignment horizontal="center" vertical="center" wrapText="1"/>
    </xf>
    <xf numFmtId="0" fontId="4" fillId="20" borderId="4" xfId="0" applyFont="1" applyFill="1" applyBorder="1" applyAlignment="1">
      <alignment horizontal="center" vertical="center" wrapText="1"/>
    </xf>
    <xf numFmtId="164" fontId="5" fillId="20" borderId="21" xfId="0" applyNumberFormat="1" applyFont="1" applyFill="1" applyBorder="1" applyAlignment="1">
      <alignment horizontal="center" vertical="center" wrapText="1"/>
    </xf>
    <xf numFmtId="9" fontId="4" fillId="20" borderId="21" xfId="0" applyNumberFormat="1" applyFont="1" applyFill="1" applyBorder="1" applyAlignment="1">
      <alignment horizontal="center" vertical="center" wrapText="1"/>
    </xf>
    <xf numFmtId="164" fontId="5" fillId="20" borderId="19" xfId="0" applyNumberFormat="1" applyFont="1" applyFill="1" applyBorder="1" applyAlignment="1">
      <alignment horizontal="center" vertical="center" wrapText="1"/>
    </xf>
    <xf numFmtId="1" fontId="5" fillId="20" borderId="0" xfId="0" applyNumberFormat="1" applyFont="1" applyFill="1" applyAlignment="1">
      <alignment horizontal="center" vertical="center" wrapText="1"/>
    </xf>
    <xf numFmtId="0" fontId="5" fillId="0" borderId="37" xfId="0" applyFont="1" applyBorder="1" applyAlignment="1">
      <alignment horizontal="center" vertical="center" wrapText="1"/>
    </xf>
    <xf numFmtId="164" fontId="5" fillId="0" borderId="4" xfId="0" applyNumberFormat="1" applyFont="1" applyBorder="1" applyAlignment="1">
      <alignment horizontal="center" vertical="center" wrapText="1"/>
    </xf>
    <xf numFmtId="10" fontId="84" fillId="7" borderId="52" xfId="0" applyNumberFormat="1" applyFont="1" applyFill="1" applyBorder="1" applyAlignment="1">
      <alignment horizontal="center" vertical="center" wrapText="1"/>
    </xf>
    <xf numFmtId="164" fontId="5" fillId="0" borderId="1" xfId="0" applyNumberFormat="1" applyFont="1" applyBorder="1" applyAlignment="1">
      <alignment horizontal="center" vertical="center"/>
    </xf>
    <xf numFmtId="164" fontId="5" fillId="0" borderId="0" xfId="0" applyNumberFormat="1" applyFont="1" applyAlignment="1">
      <alignment horizontal="center" vertical="center"/>
    </xf>
    <xf numFmtId="164" fontId="5" fillId="32" borderId="56" xfId="0" applyNumberFormat="1" applyFont="1" applyFill="1" applyBorder="1" applyAlignment="1" applyProtection="1">
      <alignment horizontal="center" vertical="center"/>
      <protection locked="0"/>
    </xf>
    <xf numFmtId="164" fontId="6" fillId="32" borderId="1" xfId="0" applyNumberFormat="1" applyFont="1" applyFill="1" applyBorder="1" applyAlignment="1" applyProtection="1">
      <alignment horizontal="center" vertical="center"/>
      <protection locked="0"/>
    </xf>
    <xf numFmtId="164" fontId="5" fillId="32" borderId="1" xfId="0" applyNumberFormat="1" applyFont="1" applyFill="1" applyBorder="1" applyAlignment="1" applyProtection="1">
      <alignment horizontal="center" vertical="center"/>
      <protection locked="0"/>
    </xf>
    <xf numFmtId="0" fontId="19" fillId="23" borderId="7" xfId="0" applyFont="1" applyFill="1" applyBorder="1" applyAlignment="1" applyProtection="1">
      <alignment horizontal="center" vertical="center" wrapText="1"/>
      <protection locked="0"/>
    </xf>
    <xf numFmtId="10" fontId="85" fillId="0" borderId="3" xfId="0" applyNumberFormat="1" applyFont="1" applyBorder="1" applyAlignment="1">
      <alignment horizontal="center" vertical="center" wrapText="1"/>
    </xf>
    <xf numFmtId="10" fontId="85" fillId="0" borderId="52" xfId="0" applyNumberFormat="1" applyFont="1" applyBorder="1" applyAlignment="1">
      <alignment horizontal="center" vertical="center" wrapText="1"/>
    </xf>
    <xf numFmtId="10" fontId="85" fillId="0" borderId="3" xfId="0" applyNumberFormat="1" applyFont="1" applyBorder="1" applyAlignment="1" applyProtection="1">
      <alignment horizontal="center" vertical="center" wrapText="1"/>
      <protection locked="0"/>
    </xf>
    <xf numFmtId="10" fontId="85" fillId="0" borderId="52" xfId="0" applyNumberFormat="1" applyFont="1" applyBorder="1" applyAlignment="1" applyProtection="1">
      <alignment horizontal="center" vertical="center" wrapText="1"/>
      <protection locked="0"/>
    </xf>
    <xf numFmtId="0" fontId="11" fillId="33" borderId="0" xfId="0" applyFont="1" applyFill="1" applyAlignment="1">
      <alignment horizontal="center" vertical="top"/>
    </xf>
    <xf numFmtId="0" fontId="5" fillId="0" borderId="16" xfId="0" applyFont="1" applyBorder="1" applyAlignment="1">
      <alignment horizontal="center" vertical="center"/>
    </xf>
    <xf numFmtId="0" fontId="22" fillId="25" borderId="40" xfId="0" applyFont="1" applyFill="1" applyBorder="1" applyAlignment="1">
      <alignment horizontal="center" vertical="center"/>
    </xf>
    <xf numFmtId="0" fontId="22" fillId="25" borderId="41" xfId="0" applyFont="1" applyFill="1" applyBorder="1" applyAlignment="1">
      <alignment horizontal="center" vertical="center"/>
    </xf>
    <xf numFmtId="0" fontId="22" fillId="25" borderId="58" xfId="0" applyFont="1" applyFill="1" applyBorder="1" applyAlignment="1">
      <alignment horizontal="center" vertical="center"/>
    </xf>
    <xf numFmtId="1" fontId="6" fillId="31" borderId="29" xfId="0" applyNumberFormat="1" applyFont="1" applyFill="1" applyBorder="1" applyAlignment="1">
      <alignment horizontal="center" vertical="center"/>
    </xf>
    <xf numFmtId="1" fontId="6" fillId="31" borderId="30" xfId="0" applyNumberFormat="1" applyFont="1" applyFill="1" applyBorder="1" applyAlignment="1">
      <alignment horizontal="center" vertical="center"/>
    </xf>
    <xf numFmtId="164" fontId="3" fillId="8" borderId="29" xfId="26" applyNumberFormat="1" applyFont="1" applyFill="1" applyBorder="1" applyAlignment="1" applyProtection="1">
      <alignment horizontal="center" vertical="top"/>
      <protection/>
    </xf>
    <xf numFmtId="164" fontId="3" fillId="8" borderId="30" xfId="26" applyNumberFormat="1" applyFont="1" applyFill="1" applyBorder="1" applyAlignment="1" applyProtection="1">
      <alignment horizontal="center" vertical="top"/>
      <protection/>
    </xf>
    <xf numFmtId="10" fontId="6" fillId="31" borderId="50" xfId="0" applyNumberFormat="1" applyFont="1" applyFill="1" applyBorder="1" applyAlignment="1">
      <alignment horizontal="center" vertical="top"/>
    </xf>
    <xf numFmtId="10" fontId="6" fillId="31" borderId="49" xfId="0" applyNumberFormat="1" applyFont="1" applyFill="1" applyBorder="1" applyAlignment="1">
      <alignment horizontal="center" vertical="top"/>
    </xf>
    <xf numFmtId="164" fontId="27" fillId="0" borderId="0" xfId="0" applyNumberFormat="1" applyFont="1" applyAlignment="1">
      <alignment horizontal="center" vertical="center" wrapText="1"/>
    </xf>
    <xf numFmtId="0" fontId="22" fillId="25" borderId="34" xfId="0" applyFont="1" applyFill="1" applyBorder="1" applyAlignment="1">
      <alignment horizontal="center" vertical="center"/>
    </xf>
    <xf numFmtId="0" fontId="22" fillId="25" borderId="35" xfId="0" applyFont="1" applyFill="1" applyBorder="1" applyAlignment="1">
      <alignment horizontal="center" vertical="center"/>
    </xf>
    <xf numFmtId="0" fontId="22" fillId="25" borderId="36" xfId="0" applyFont="1" applyFill="1" applyBorder="1" applyAlignment="1">
      <alignment horizontal="center" vertical="center"/>
    </xf>
    <xf numFmtId="0" fontId="4" fillId="8" borderId="29" xfId="0" applyFont="1" applyFill="1" applyBorder="1" applyAlignment="1">
      <alignment horizontal="center" vertical="top"/>
    </xf>
    <xf numFmtId="0" fontId="4" fillId="8" borderId="30" xfId="0" applyFont="1" applyFill="1" applyBorder="1" applyAlignment="1">
      <alignment horizontal="center" vertical="top"/>
    </xf>
    <xf numFmtId="164" fontId="6" fillId="31" borderId="50" xfId="0" applyNumberFormat="1" applyFont="1" applyFill="1" applyBorder="1" applyAlignment="1">
      <alignment horizontal="center" vertical="top"/>
    </xf>
    <xf numFmtId="164" fontId="6" fillId="31" borderId="49" xfId="0" applyNumberFormat="1" applyFont="1" applyFill="1" applyBorder="1" applyAlignment="1">
      <alignment horizontal="center" vertical="top"/>
    </xf>
    <xf numFmtId="164" fontId="40" fillId="0" borderId="0" xfId="22" applyNumberFormat="1" applyFont="1" applyFill="1" applyBorder="1" applyAlignment="1" applyProtection="1">
      <alignment horizontal="center" vertical="center"/>
      <protection locked="0"/>
    </xf>
    <xf numFmtId="0" fontId="6" fillId="7" borderId="26" xfId="0" applyFont="1" applyFill="1" applyBorder="1" applyAlignment="1">
      <alignment horizontal="center" vertical="center"/>
    </xf>
    <xf numFmtId="0" fontId="6" fillId="7" borderId="28" xfId="0" applyFont="1" applyFill="1" applyBorder="1" applyAlignment="1">
      <alignment horizontal="center" vertical="center"/>
    </xf>
    <xf numFmtId="164" fontId="6" fillId="8" borderId="29" xfId="0" applyNumberFormat="1" applyFont="1" applyFill="1" applyBorder="1" applyAlignment="1">
      <alignment horizontal="center" vertical="top"/>
    </xf>
    <xf numFmtId="164" fontId="6" fillId="8" borderId="30" xfId="0" applyNumberFormat="1" applyFont="1" applyFill="1" applyBorder="1" applyAlignment="1">
      <alignment horizontal="center" vertical="top"/>
    </xf>
    <xf numFmtId="0" fontId="83" fillId="26" borderId="27" xfId="27" applyFont="1" applyFill="1" applyBorder="1" applyAlignment="1">
      <alignment horizontal="center" vertical="center" wrapText="1"/>
      <protection/>
    </xf>
    <xf numFmtId="0" fontId="83" fillId="26" borderId="47" xfId="27" applyFont="1" applyFill="1" applyBorder="1" applyAlignment="1">
      <alignment horizontal="center" vertical="center" wrapText="1"/>
      <protection/>
    </xf>
    <xf numFmtId="0" fontId="83" fillId="26" borderId="59" xfId="0" applyFont="1" applyFill="1" applyBorder="1" applyAlignment="1">
      <alignment horizontal="center" vertical="center"/>
    </xf>
    <xf numFmtId="0" fontId="83" fillId="26" borderId="41" xfId="0" applyFont="1" applyFill="1" applyBorder="1" applyAlignment="1">
      <alignment horizontal="center" vertical="center"/>
    </xf>
    <xf numFmtId="164" fontId="6" fillId="7" borderId="26" xfId="26" applyNumberFormat="1" applyFont="1" applyFill="1" applyBorder="1" applyAlignment="1" applyProtection="1">
      <alignment horizontal="center" vertical="center"/>
      <protection/>
    </xf>
    <xf numFmtId="164" fontId="6" fillId="7" borderId="28" xfId="26" applyNumberFormat="1" applyFont="1" applyFill="1" applyBorder="1" applyAlignment="1" applyProtection="1">
      <alignment horizontal="center" vertical="center"/>
      <protection/>
    </xf>
    <xf numFmtId="164" fontId="6" fillId="8" borderId="29" xfId="26" applyNumberFormat="1" applyFont="1" applyFill="1" applyBorder="1" applyAlignment="1" applyProtection="1">
      <alignment horizontal="center" vertical="top"/>
      <protection/>
    </xf>
    <xf numFmtId="164" fontId="6" fillId="8" borderId="30" xfId="26" applyNumberFormat="1" applyFont="1" applyFill="1" applyBorder="1" applyAlignment="1" applyProtection="1">
      <alignment horizontal="center" vertical="top"/>
      <protection/>
    </xf>
    <xf numFmtId="0" fontId="42" fillId="0" borderId="0" xfId="0" applyFont="1" applyAlignment="1">
      <alignment horizontal="center" vertical="center" wrapText="1"/>
    </xf>
    <xf numFmtId="0" fontId="6" fillId="0" borderId="60" xfId="0" applyFont="1" applyBorder="1" applyAlignment="1">
      <alignment horizontal="right" vertical="center"/>
    </xf>
    <xf numFmtId="0" fontId="6" fillId="0" borderId="6" xfId="0" applyFont="1" applyBorder="1" applyAlignment="1">
      <alignment horizontal="right" vertical="center"/>
    </xf>
    <xf numFmtId="164" fontId="5" fillId="32" borderId="2" xfId="0" applyNumberFormat="1" applyFont="1" applyFill="1" applyBorder="1" applyAlignment="1" applyProtection="1">
      <alignment horizontal="left" vertical="center"/>
      <protection locked="0"/>
    </xf>
    <xf numFmtId="164" fontId="5" fillId="32" borderId="6" xfId="0" applyNumberFormat="1" applyFont="1" applyFill="1" applyBorder="1" applyAlignment="1" applyProtection="1">
      <alignment horizontal="left" vertical="center"/>
      <protection locked="0"/>
    </xf>
    <xf numFmtId="164" fontId="6" fillId="32" borderId="2" xfId="0" applyNumberFormat="1" applyFont="1" applyFill="1" applyBorder="1" applyAlignment="1" applyProtection="1">
      <alignment horizontal="center" vertical="center"/>
      <protection locked="0"/>
    </xf>
    <xf numFmtId="164" fontId="6" fillId="32" borderId="45" xfId="0" applyNumberFormat="1" applyFont="1" applyFill="1" applyBorder="1" applyAlignment="1" applyProtection="1">
      <alignment horizontal="center" vertical="center"/>
      <protection locked="0"/>
    </xf>
    <xf numFmtId="164" fontId="6" fillId="32" borderId="6" xfId="0" applyNumberFormat="1" applyFont="1" applyFill="1" applyBorder="1" applyAlignment="1" applyProtection="1">
      <alignment horizontal="center" vertical="center"/>
      <protection locked="0"/>
    </xf>
    <xf numFmtId="164" fontId="25" fillId="32" borderId="1" xfId="0" applyNumberFormat="1" applyFont="1" applyFill="1" applyBorder="1" applyAlignment="1" applyProtection="1">
      <alignment horizontal="center" vertical="center"/>
      <protection locked="0"/>
    </xf>
    <xf numFmtId="168" fontId="5" fillId="0" borderId="1" xfId="16" applyNumberFormat="1" applyFont="1" applyFill="1" applyBorder="1" applyAlignment="1" applyProtection="1">
      <alignment horizontal="center" vertical="center"/>
      <protection/>
    </xf>
    <xf numFmtId="164" fontId="17" fillId="31" borderId="1" xfId="0" applyNumberFormat="1" applyFont="1" applyFill="1" applyBorder="1" applyAlignment="1">
      <alignment horizontal="center" vertical="center"/>
    </xf>
    <xf numFmtId="9" fontId="17" fillId="31" borderId="1" xfId="15" applyFont="1" applyFill="1" applyBorder="1" applyAlignment="1" applyProtection="1">
      <alignment horizontal="center" vertical="center"/>
      <protection/>
    </xf>
    <xf numFmtId="0" fontId="6" fillId="0" borderId="61" xfId="0" applyFont="1" applyBorder="1" applyAlignment="1">
      <alignment horizontal="right" vertical="center" wrapText="1"/>
    </xf>
    <xf numFmtId="0" fontId="6" fillId="0" borderId="57" xfId="0" applyFont="1" applyBorder="1" applyAlignment="1">
      <alignment horizontal="right" vertical="center" wrapText="1"/>
    </xf>
    <xf numFmtId="0" fontId="17" fillId="31" borderId="2" xfId="0" applyFont="1" applyFill="1" applyBorder="1" applyAlignment="1">
      <alignment horizontal="center" vertical="center"/>
    </xf>
    <xf numFmtId="0" fontId="17" fillId="31" borderId="6" xfId="0" applyFont="1" applyFill="1" applyBorder="1" applyAlignment="1">
      <alignment horizontal="center" vertical="center"/>
    </xf>
    <xf numFmtId="0" fontId="32" fillId="0" borderId="2" xfId="0" applyFont="1" applyBorder="1" applyAlignment="1">
      <alignment horizontal="center" vertical="center"/>
    </xf>
    <xf numFmtId="0" fontId="32" fillId="0" borderId="6" xfId="0" applyFont="1" applyBorder="1" applyAlignment="1">
      <alignment horizontal="center" vertical="center"/>
    </xf>
    <xf numFmtId="0" fontId="6" fillId="0" borderId="62" xfId="0" applyFont="1" applyBorder="1" applyAlignment="1">
      <alignment horizontal="right" vertical="center"/>
    </xf>
    <xf numFmtId="0" fontId="6" fillId="0" borderId="63" xfId="0" applyFont="1" applyBorder="1" applyAlignment="1">
      <alignment horizontal="right" vertical="center"/>
    </xf>
    <xf numFmtId="164" fontId="5" fillId="32" borderId="56" xfId="0" applyNumberFormat="1" applyFont="1" applyFill="1" applyBorder="1" applyAlignment="1" applyProtection="1">
      <alignment horizontal="left" vertical="center"/>
      <protection locked="0"/>
    </xf>
    <xf numFmtId="164" fontId="5" fillId="32" borderId="57" xfId="0" applyNumberFormat="1" applyFont="1" applyFill="1" applyBorder="1" applyAlignment="1" applyProtection="1">
      <alignment horizontal="left" vertical="center"/>
      <protection locked="0"/>
    </xf>
    <xf numFmtId="0" fontId="17" fillId="31" borderId="56" xfId="0" applyFont="1" applyFill="1" applyBorder="1" applyAlignment="1">
      <alignment horizontal="center" vertical="center"/>
    </xf>
    <xf numFmtId="0" fontId="17" fillId="31" borderId="57" xfId="0" applyFont="1" applyFill="1" applyBorder="1" applyAlignment="1">
      <alignment horizontal="center" vertical="center"/>
    </xf>
    <xf numFmtId="164" fontId="17" fillId="31" borderId="3" xfId="0" applyNumberFormat="1" applyFont="1" applyFill="1" applyBorder="1" applyAlignment="1">
      <alignment horizontal="center" vertical="center"/>
    </xf>
    <xf numFmtId="9" fontId="17" fillId="31" borderId="3" xfId="15" applyFont="1" applyFill="1" applyBorder="1" applyAlignment="1" applyProtection="1">
      <alignment horizontal="center" vertical="center"/>
      <protection/>
    </xf>
    <xf numFmtId="164" fontId="89" fillId="34" borderId="59" xfId="0" applyNumberFormat="1" applyFont="1" applyFill="1" applyBorder="1" applyAlignment="1">
      <alignment horizontal="center" vertical="center"/>
    </xf>
    <xf numFmtId="164" fontId="89" fillId="34" borderId="41" xfId="0" applyNumberFormat="1" applyFont="1" applyFill="1" applyBorder="1" applyAlignment="1">
      <alignment horizontal="center" vertical="center"/>
    </xf>
    <xf numFmtId="164" fontId="89" fillId="34" borderId="47" xfId="0" applyNumberFormat="1" applyFont="1" applyFill="1" applyBorder="1" applyAlignment="1">
      <alignment horizontal="center" vertical="center"/>
    </xf>
    <xf numFmtId="1" fontId="40" fillId="0" borderId="0" xfId="22" applyNumberFormat="1" applyFont="1" applyFill="1" applyBorder="1" applyAlignment="1" applyProtection="1">
      <alignment horizontal="center" vertical="center"/>
      <protection locked="0"/>
    </xf>
    <xf numFmtId="164" fontId="73" fillId="0" borderId="1" xfId="16" applyNumberFormat="1" applyFont="1" applyBorder="1" applyAlignment="1">
      <alignment horizontal="center"/>
    </xf>
    <xf numFmtId="0" fontId="0" fillId="0" borderId="1" xfId="0" applyBorder="1" applyAlignment="1">
      <alignment horizontal="center"/>
    </xf>
    <xf numFmtId="0" fontId="0" fillId="0" borderId="43" xfId="0" applyBorder="1" applyAlignment="1">
      <alignment horizontal="center"/>
    </xf>
    <xf numFmtId="49" fontId="60" fillId="7" borderId="2" xfId="0" applyNumberFormat="1" applyFont="1" applyFill="1" applyBorder="1" applyAlignment="1">
      <alignment horizontal="center" vertical="center" wrapText="1"/>
    </xf>
    <xf numFmtId="49" fontId="60" fillId="7" borderId="45" xfId="0" applyNumberFormat="1" applyFont="1" applyFill="1" applyBorder="1" applyAlignment="1">
      <alignment horizontal="center" vertical="center" wrapText="1"/>
    </xf>
    <xf numFmtId="0" fontId="39" fillId="0" borderId="0" xfId="0" applyFont="1" applyAlignment="1">
      <alignment horizontal="center" vertical="center" wrapText="1"/>
    </xf>
    <xf numFmtId="0" fontId="71" fillId="19" borderId="0" xfId="0" applyFont="1" applyFill="1" applyAlignment="1">
      <alignment horizontal="center" vertical="center" wrapText="1"/>
    </xf>
    <xf numFmtId="0" fontId="71" fillId="19" borderId="30" xfId="0" applyFont="1" applyFill="1" applyBorder="1" applyAlignment="1">
      <alignment horizontal="center" vertical="center" wrapText="1"/>
    </xf>
    <xf numFmtId="0" fontId="73" fillId="0" borderId="2"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6" xfId="0" applyFont="1" applyBorder="1" applyAlignment="1">
      <alignment horizontal="center" vertical="center" wrapText="1"/>
    </xf>
    <xf numFmtId="164" fontId="73" fillId="0" borderId="2" xfId="16" applyNumberFormat="1" applyFont="1" applyBorder="1" applyAlignment="1">
      <alignment horizontal="center"/>
    </xf>
    <xf numFmtId="164" fontId="73" fillId="0" borderId="6" xfId="16" applyNumberFormat="1" applyFont="1" applyBorder="1" applyAlignment="1">
      <alignment horizontal="center"/>
    </xf>
    <xf numFmtId="0" fontId="73" fillId="0" borderId="22" xfId="0" applyFont="1" applyBorder="1" applyAlignment="1">
      <alignment horizontal="center" wrapText="1"/>
    </xf>
    <xf numFmtId="0" fontId="73" fillId="0" borderId="43" xfId="0" applyFont="1" applyBorder="1" applyAlignment="1">
      <alignment horizontal="center" wrapText="1"/>
    </xf>
    <xf numFmtId="0" fontId="73" fillId="0" borderId="17" xfId="0" applyFont="1" applyBorder="1" applyAlignment="1">
      <alignment horizontal="center" wrapText="1"/>
    </xf>
    <xf numFmtId="0" fontId="73" fillId="0" borderId="56" xfId="0" applyFont="1" applyBorder="1" applyAlignment="1">
      <alignment horizontal="center" wrapText="1"/>
    </xf>
    <xf numFmtId="0" fontId="73" fillId="0" borderId="16" xfId="0" applyFont="1" applyBorder="1" applyAlignment="1">
      <alignment horizontal="center" wrapText="1"/>
    </xf>
    <xf numFmtId="0" fontId="73" fillId="0" borderId="57" xfId="0" applyFont="1" applyBorder="1" applyAlignment="1">
      <alignment horizontal="center" wrapText="1"/>
    </xf>
    <xf numFmtId="0" fontId="73" fillId="0" borderId="2" xfId="0" applyFont="1" applyBorder="1" applyAlignment="1">
      <alignment horizontal="center"/>
    </xf>
    <xf numFmtId="0" fontId="73" fillId="0" borderId="45" xfId="0" applyFont="1" applyBorder="1" applyAlignment="1">
      <alignment horizontal="center"/>
    </xf>
    <xf numFmtId="0" fontId="73" fillId="0" borderId="6" xfId="0" applyFont="1" applyBorder="1" applyAlignment="1">
      <alignment horizontal="center"/>
    </xf>
    <xf numFmtId="0" fontId="0" fillId="0" borderId="2" xfId="0" applyBorder="1" applyAlignment="1">
      <alignment horizontal="center"/>
    </xf>
    <xf numFmtId="0" fontId="0" fillId="0" borderId="45" xfId="0" applyBorder="1" applyAlignment="1">
      <alignment horizontal="center"/>
    </xf>
    <xf numFmtId="0" fontId="0" fillId="0" borderId="6" xfId="0" applyBorder="1" applyAlignment="1">
      <alignment horizontal="center"/>
    </xf>
    <xf numFmtId="0" fontId="0" fillId="0" borderId="4" xfId="0" applyBorder="1" applyAlignment="1">
      <alignment horizontal="center" vertical="center" wrapText="1"/>
    </xf>
    <xf numFmtId="0" fontId="0" fillId="0" borderId="0" xfId="0" applyAlignment="1">
      <alignment horizontal="center" vertical="center" wrapText="1"/>
    </xf>
    <xf numFmtId="0" fontId="0" fillId="0" borderId="56" xfId="0" applyBorder="1" applyAlignment="1">
      <alignment horizontal="center" vertical="center" wrapText="1"/>
    </xf>
    <xf numFmtId="0" fontId="0" fillId="0" borderId="16" xfId="0" applyBorder="1" applyAlignment="1">
      <alignment horizontal="center" vertical="center" wrapText="1"/>
    </xf>
    <xf numFmtId="0" fontId="73" fillId="0" borderId="43" xfId="0" applyFont="1" applyBorder="1" applyAlignment="1">
      <alignment horizontal="center"/>
    </xf>
    <xf numFmtId="49" fontId="55" fillId="8" borderId="2" xfId="0" applyNumberFormat="1" applyFont="1" applyFill="1" applyBorder="1" applyAlignment="1">
      <alignment horizontal="center" vertical="center" wrapText="1"/>
    </xf>
    <xf numFmtId="49" fontId="55" fillId="8" borderId="45" xfId="0" applyNumberFormat="1" applyFont="1" applyFill="1" applyBorder="1" applyAlignment="1">
      <alignment horizontal="center" vertical="center" wrapText="1"/>
    </xf>
    <xf numFmtId="6" fontId="73" fillId="0" borderId="2" xfId="0" applyNumberFormat="1" applyFont="1" applyBorder="1" applyAlignment="1">
      <alignment horizontal="center"/>
    </xf>
    <xf numFmtId="6" fontId="73" fillId="0" borderId="45" xfId="0" applyNumberFormat="1" applyFont="1" applyBorder="1" applyAlignment="1">
      <alignment horizontal="center"/>
    </xf>
    <xf numFmtId="49" fontId="60" fillId="7" borderId="4" xfId="0" applyNumberFormat="1" applyFont="1" applyFill="1" applyBorder="1" applyAlignment="1">
      <alignment horizontal="center" vertical="center" wrapText="1"/>
    </xf>
    <xf numFmtId="49" fontId="60" fillId="7" borderId="0" xfId="0" applyNumberFormat="1" applyFont="1" applyFill="1" applyAlignment="1">
      <alignment horizontal="center" vertical="center" wrapText="1"/>
    </xf>
    <xf numFmtId="0" fontId="73" fillId="8" borderId="0" xfId="0" applyFont="1" applyFill="1" applyAlignment="1">
      <alignment horizontal="left" vertical="center" wrapText="1"/>
    </xf>
    <xf numFmtId="0" fontId="73" fillId="8" borderId="2" xfId="0" applyFont="1" applyFill="1" applyBorder="1" applyAlignment="1">
      <alignment horizontal="center" vertical="center" wrapText="1"/>
    </xf>
    <xf numFmtId="0" fontId="73" fillId="8" borderId="45" xfId="0" applyFont="1" applyFill="1" applyBorder="1" applyAlignment="1">
      <alignment horizontal="center" vertical="center" wrapText="1"/>
    </xf>
    <xf numFmtId="0" fontId="73" fillId="8" borderId="6" xfId="0" applyFont="1" applyFill="1" applyBorder="1" applyAlignment="1">
      <alignment horizontal="center" vertical="center" wrapText="1"/>
    </xf>
    <xf numFmtId="0" fontId="73" fillId="0" borderId="1" xfId="0" applyFont="1" applyBorder="1" applyAlignment="1">
      <alignment horizontal="left" vertical="center" wrapText="1"/>
    </xf>
    <xf numFmtId="0" fontId="73" fillId="0" borderId="0" xfId="0" applyFont="1" applyAlignment="1">
      <alignment horizontal="center" vertical="center" wrapText="1"/>
    </xf>
    <xf numFmtId="0" fontId="73" fillId="0" borderId="16" xfId="0" applyFont="1" applyBorder="1" applyAlignment="1">
      <alignment horizontal="center" vertical="center" wrapText="1"/>
    </xf>
    <xf numFmtId="0" fontId="73" fillId="0" borderId="0" xfId="0" applyFont="1" applyAlignment="1">
      <alignment horizontal="center"/>
    </xf>
    <xf numFmtId="167" fontId="62" fillId="0" borderId="0" xfId="0" applyNumberFormat="1" applyFont="1" applyAlignment="1">
      <alignment horizontal="center" vertical="center"/>
    </xf>
    <xf numFmtId="164" fontId="65" fillId="0" borderId="0" xfId="0" applyNumberFormat="1" applyFont="1" applyAlignment="1">
      <alignment horizontal="center" vertical="center"/>
    </xf>
    <xf numFmtId="167" fontId="62" fillId="0" borderId="25" xfId="0" applyNumberFormat="1" applyFont="1" applyBorder="1" applyAlignment="1">
      <alignment horizontal="center" vertical="center"/>
    </xf>
    <xf numFmtId="167" fontId="62" fillId="0" borderId="3" xfId="0" applyNumberFormat="1" applyFont="1" applyBorder="1" applyAlignment="1">
      <alignment horizontal="center" vertical="center"/>
    </xf>
    <xf numFmtId="164" fontId="65" fillId="0" borderId="25" xfId="0" applyNumberFormat="1" applyFont="1" applyBorder="1" applyAlignment="1">
      <alignment horizontal="center" vertical="center"/>
    </xf>
    <xf numFmtId="164" fontId="65" fillId="0" borderId="3" xfId="0" applyNumberFormat="1" applyFont="1" applyBorder="1" applyAlignment="1">
      <alignment horizontal="center" vertical="center"/>
    </xf>
    <xf numFmtId="49" fontId="57" fillId="8" borderId="1" xfId="0" applyNumberFormat="1" applyFont="1" applyFill="1" applyBorder="1" applyAlignment="1">
      <alignment horizontal="center" vertical="center"/>
    </xf>
    <xf numFmtId="49" fontId="60" fillId="7" borderId="6" xfId="0" applyNumberFormat="1" applyFont="1" applyFill="1" applyBorder="1" applyAlignment="1">
      <alignment horizontal="center" vertical="center" wrapText="1"/>
    </xf>
    <xf numFmtId="49" fontId="60" fillId="35" borderId="22" xfId="0" applyNumberFormat="1" applyFont="1" applyFill="1" applyBorder="1" applyAlignment="1">
      <alignment horizontal="center" vertical="center" wrapText="1"/>
    </xf>
    <xf numFmtId="49" fontId="60" fillId="35" borderId="17" xfId="0" applyNumberFormat="1" applyFont="1" applyFill="1" applyBorder="1" applyAlignment="1">
      <alignment horizontal="center" vertical="center" wrapText="1"/>
    </xf>
    <xf numFmtId="49" fontId="60" fillId="35" borderId="4" xfId="0" applyNumberFormat="1" applyFont="1" applyFill="1" applyBorder="1" applyAlignment="1">
      <alignment horizontal="center" vertical="center" wrapText="1"/>
    </xf>
    <xf numFmtId="49" fontId="60" fillId="35" borderId="19" xfId="0" applyNumberFormat="1" applyFont="1" applyFill="1" applyBorder="1" applyAlignment="1">
      <alignment horizontal="center" vertical="center" wrapText="1"/>
    </xf>
    <xf numFmtId="49" fontId="60" fillId="35" borderId="56" xfId="0" applyNumberFormat="1" applyFont="1" applyFill="1" applyBorder="1" applyAlignment="1">
      <alignment horizontal="center" vertical="center" wrapText="1"/>
    </xf>
    <xf numFmtId="49" fontId="60" fillId="35" borderId="57" xfId="0" applyNumberFormat="1" applyFont="1" applyFill="1" applyBorder="1" applyAlignment="1">
      <alignment horizontal="center" vertical="center" wrapText="1"/>
    </xf>
    <xf numFmtId="167" fontId="62" fillId="0" borderId="1" xfId="0" applyNumberFormat="1" applyFont="1" applyBorder="1" applyAlignment="1">
      <alignment horizontal="center"/>
    </xf>
    <xf numFmtId="167" fontId="62" fillId="35" borderId="22" xfId="0" applyNumberFormat="1" applyFont="1" applyFill="1" applyBorder="1" applyAlignment="1">
      <alignment horizontal="center"/>
    </xf>
    <xf numFmtId="167" fontId="62" fillId="35" borderId="4" xfId="0" applyNumberFormat="1" applyFont="1" applyFill="1" applyBorder="1" applyAlignment="1">
      <alignment horizontal="center"/>
    </xf>
    <xf numFmtId="167" fontId="62" fillId="35" borderId="56" xfId="0" applyNumberFormat="1" applyFont="1" applyFill="1" applyBorder="1" applyAlignment="1">
      <alignment horizontal="center"/>
    </xf>
    <xf numFmtId="167" fontId="64" fillId="0" borderId="1" xfId="0" applyNumberFormat="1" applyFont="1" applyBorder="1" applyAlignment="1">
      <alignment horizontal="center" vertical="center" wrapText="1"/>
    </xf>
    <xf numFmtId="167" fontId="62" fillId="0" borderId="0" xfId="0" applyNumberFormat="1" applyFont="1" applyAlignment="1">
      <alignment horizontal="center"/>
    </xf>
    <xf numFmtId="0" fontId="53" fillId="19" borderId="0" xfId="0" applyFont="1" applyFill="1" applyAlignment="1">
      <alignment horizontal="center" vertical="top"/>
    </xf>
    <xf numFmtId="49" fontId="57" fillId="8" borderId="56" xfId="0" applyNumberFormat="1" applyFont="1" applyFill="1" applyBorder="1" applyAlignment="1">
      <alignment horizontal="center" vertical="center" wrapText="1"/>
    </xf>
    <xf numFmtId="49" fontId="57" fillId="8" borderId="16" xfId="0" applyNumberFormat="1" applyFont="1" applyFill="1" applyBorder="1" applyAlignment="1">
      <alignment horizontal="center" vertical="center"/>
    </xf>
    <xf numFmtId="49" fontId="60" fillId="7" borderId="22" xfId="0" applyNumberFormat="1" applyFont="1" applyFill="1" applyBorder="1" applyAlignment="1">
      <alignment horizontal="center" vertical="center" wrapText="1"/>
    </xf>
    <xf numFmtId="49" fontId="60" fillId="7" borderId="43" xfId="0" applyNumberFormat="1" applyFont="1" applyFill="1" applyBorder="1" applyAlignment="1">
      <alignment horizontal="center" vertical="center" wrapText="1"/>
    </xf>
    <xf numFmtId="167" fontId="64" fillId="0" borderId="17" xfId="0" applyNumberFormat="1" applyFont="1" applyBorder="1" applyAlignment="1">
      <alignment horizontal="center" vertical="center" wrapText="1"/>
    </xf>
    <xf numFmtId="167" fontId="64" fillId="0" borderId="19" xfId="0" applyNumberFormat="1" applyFont="1" applyBorder="1" applyAlignment="1">
      <alignment horizontal="center" vertical="center" wrapText="1"/>
    </xf>
    <xf numFmtId="167" fontId="64" fillId="0" borderId="57" xfId="0" applyNumberFormat="1" applyFont="1" applyBorder="1" applyAlignment="1">
      <alignment horizontal="center" vertical="center" wrapText="1"/>
    </xf>
    <xf numFmtId="164" fontId="73" fillId="0" borderId="1" xfId="34" applyNumberFormat="1" applyFont="1" applyBorder="1" applyAlignment="1">
      <alignment horizontal="center"/>
    </xf>
    <xf numFmtId="0" fontId="2" fillId="0" borderId="1" xfId="33" applyBorder="1" applyAlignment="1">
      <alignment horizontal="center"/>
      <protection/>
    </xf>
    <xf numFmtId="49" fontId="60" fillId="7" borderId="2" xfId="33" applyNumberFormat="1" applyFont="1" applyFill="1" applyBorder="1" applyAlignment="1">
      <alignment horizontal="center" vertical="center" wrapText="1"/>
      <protection/>
    </xf>
    <xf numFmtId="49" fontId="60" fillId="7" borderId="45" xfId="33" applyNumberFormat="1" applyFont="1" applyFill="1" applyBorder="1" applyAlignment="1">
      <alignment horizontal="center" vertical="center" wrapText="1"/>
      <protection/>
    </xf>
    <xf numFmtId="0" fontId="39" fillId="0" borderId="0" xfId="33" applyFont="1" applyAlignment="1">
      <alignment horizontal="center" vertical="center" wrapText="1"/>
      <protection/>
    </xf>
    <xf numFmtId="0" fontId="71" fillId="19" borderId="0" xfId="33" applyFont="1" applyFill="1" applyAlignment="1">
      <alignment horizontal="center" vertical="center" wrapText="1"/>
      <protection/>
    </xf>
    <xf numFmtId="0" fontId="71" fillId="19" borderId="30" xfId="33" applyFont="1" applyFill="1" applyBorder="1" applyAlignment="1">
      <alignment horizontal="center" vertical="center" wrapText="1"/>
      <protection/>
    </xf>
    <xf numFmtId="0" fontId="73" fillId="0" borderId="2" xfId="33" applyFont="1" applyBorder="1" applyAlignment="1">
      <alignment horizontal="center" vertical="center" wrapText="1"/>
      <protection/>
    </xf>
    <xf numFmtId="0" fontId="73" fillId="0" borderId="45" xfId="33" applyFont="1" applyBorder="1" applyAlignment="1">
      <alignment horizontal="center" vertical="center" wrapText="1"/>
      <protection/>
    </xf>
    <xf numFmtId="0" fontId="73" fillId="0" borderId="6" xfId="33" applyFont="1" applyBorder="1" applyAlignment="1">
      <alignment horizontal="center" vertical="center" wrapText="1"/>
      <protection/>
    </xf>
    <xf numFmtId="164" fontId="82" fillId="0" borderId="1" xfId="34" applyNumberFormat="1" applyFont="1" applyBorder="1" applyAlignment="1">
      <alignment horizontal="center"/>
    </xf>
    <xf numFmtId="164" fontId="73" fillId="0" borderId="2" xfId="34" applyNumberFormat="1" applyFont="1" applyBorder="1" applyAlignment="1">
      <alignment horizontal="center"/>
    </xf>
    <xf numFmtId="164" fontId="73" fillId="0" borderId="6" xfId="34" applyNumberFormat="1" applyFont="1" applyBorder="1" applyAlignment="1">
      <alignment horizontal="center"/>
    </xf>
    <xf numFmtId="0" fontId="73" fillId="0" borderId="22" xfId="33" applyFont="1" applyBorder="1" applyAlignment="1">
      <alignment horizontal="center" wrapText="1"/>
      <protection/>
    </xf>
    <xf numFmtId="0" fontId="73" fillId="0" borderId="43" xfId="33" applyFont="1" applyBorder="1" applyAlignment="1">
      <alignment horizontal="center" wrapText="1"/>
      <protection/>
    </xf>
    <xf numFmtId="0" fontId="73" fillId="0" borderId="17" xfId="33" applyFont="1" applyBorder="1" applyAlignment="1">
      <alignment horizontal="center" wrapText="1"/>
      <protection/>
    </xf>
    <xf numFmtId="0" fontId="73" fillId="0" borderId="56" xfId="33" applyFont="1" applyBorder="1" applyAlignment="1">
      <alignment horizontal="center" wrapText="1"/>
      <protection/>
    </xf>
    <xf numFmtId="0" fontId="73" fillId="0" borderId="16" xfId="33" applyFont="1" applyBorder="1" applyAlignment="1">
      <alignment horizontal="center" wrapText="1"/>
      <protection/>
    </xf>
    <xf numFmtId="0" fontId="73" fillId="0" borderId="57" xfId="33" applyFont="1" applyBorder="1" applyAlignment="1">
      <alignment horizontal="center" wrapText="1"/>
      <protection/>
    </xf>
    <xf numFmtId="0" fontId="73" fillId="0" borderId="2" xfId="33" applyFont="1" applyBorder="1" applyAlignment="1">
      <alignment horizontal="center"/>
      <protection/>
    </xf>
    <xf numFmtId="0" fontId="73" fillId="0" borderId="45" xfId="33" applyFont="1" applyBorder="1" applyAlignment="1">
      <alignment horizontal="center"/>
      <protection/>
    </xf>
    <xf numFmtId="0" fontId="73" fillId="0" borderId="6" xfId="33" applyFont="1" applyBorder="1" applyAlignment="1">
      <alignment horizontal="center"/>
      <protection/>
    </xf>
    <xf numFmtId="0" fontId="2" fillId="0" borderId="2" xfId="33" applyBorder="1" applyAlignment="1">
      <alignment horizontal="center"/>
      <protection/>
    </xf>
    <xf numFmtId="0" fontId="2" fillId="0" borderId="45" xfId="33" applyBorder="1" applyAlignment="1">
      <alignment horizontal="center"/>
      <protection/>
    </xf>
    <xf numFmtId="0" fontId="2" fillId="0" borderId="6" xfId="33" applyBorder="1" applyAlignment="1">
      <alignment horizontal="center"/>
      <protection/>
    </xf>
    <xf numFmtId="0" fontId="2" fillId="0" borderId="4" xfId="33" applyBorder="1" applyAlignment="1">
      <alignment horizontal="center" vertical="center" wrapText="1"/>
      <protection/>
    </xf>
    <xf numFmtId="0" fontId="2" fillId="0" borderId="0" xfId="33" applyAlignment="1">
      <alignment horizontal="center" vertical="center" wrapText="1"/>
      <protection/>
    </xf>
    <xf numFmtId="0" fontId="2" fillId="0" borderId="56" xfId="33" applyBorder="1" applyAlignment="1">
      <alignment horizontal="center" vertical="center" wrapText="1"/>
      <protection/>
    </xf>
    <xf numFmtId="0" fontId="2" fillId="0" borderId="16" xfId="33" applyBorder="1" applyAlignment="1">
      <alignment horizontal="center" vertical="center" wrapText="1"/>
      <protection/>
    </xf>
    <xf numFmtId="0" fontId="73" fillId="0" borderId="43" xfId="33" applyFont="1" applyBorder="1" applyAlignment="1">
      <alignment horizontal="center"/>
      <protection/>
    </xf>
    <xf numFmtId="49" fontId="55" fillId="8" borderId="2" xfId="33" applyNumberFormat="1" applyFont="1" applyFill="1" applyBorder="1" applyAlignment="1">
      <alignment horizontal="center" vertical="center" wrapText="1"/>
      <protection/>
    </xf>
    <xf numFmtId="49" fontId="55" fillId="8" borderId="45" xfId="33" applyNumberFormat="1" applyFont="1" applyFill="1" applyBorder="1" applyAlignment="1">
      <alignment horizontal="center" vertical="center" wrapText="1"/>
      <protection/>
    </xf>
    <xf numFmtId="0" fontId="81" fillId="0" borderId="1" xfId="33" applyFont="1" applyBorder="1" applyAlignment="1">
      <alignment horizontal="center"/>
      <protection/>
    </xf>
    <xf numFmtId="6" fontId="73" fillId="0" borderId="2" xfId="33" applyNumberFormat="1" applyFont="1" applyBorder="1" applyAlignment="1">
      <alignment horizontal="center"/>
      <protection/>
    </xf>
    <xf numFmtId="6" fontId="73" fillId="0" borderId="45" xfId="33" applyNumberFormat="1" applyFont="1" applyBorder="1" applyAlignment="1">
      <alignment horizontal="center"/>
      <protection/>
    </xf>
    <xf numFmtId="49" fontId="60" fillId="7" borderId="4" xfId="33" applyNumberFormat="1" applyFont="1" applyFill="1" applyBorder="1" applyAlignment="1">
      <alignment horizontal="center" vertical="center" wrapText="1"/>
      <protection/>
    </xf>
    <xf numFmtId="49" fontId="60" fillId="7" borderId="0" xfId="33" applyNumberFormat="1" applyFont="1" applyFill="1" applyAlignment="1">
      <alignment horizontal="center" vertical="center" wrapText="1"/>
      <protection/>
    </xf>
    <xf numFmtId="0" fontId="73" fillId="8" borderId="0" xfId="33" applyFont="1" applyFill="1" applyAlignment="1">
      <alignment horizontal="left" vertical="center" wrapText="1"/>
      <protection/>
    </xf>
    <xf numFmtId="0" fontId="73" fillId="8" borderId="2" xfId="33" applyFont="1" applyFill="1" applyBorder="1" applyAlignment="1">
      <alignment horizontal="center" vertical="center" wrapText="1"/>
      <protection/>
    </xf>
    <xf numFmtId="0" fontId="73" fillId="8" borderId="45" xfId="33" applyFont="1" applyFill="1" applyBorder="1" applyAlignment="1">
      <alignment horizontal="center" vertical="center" wrapText="1"/>
      <protection/>
    </xf>
    <xf numFmtId="0" fontId="73" fillId="8" borderId="6" xfId="33" applyFont="1" applyFill="1" applyBorder="1" applyAlignment="1">
      <alignment horizontal="center" vertical="center" wrapText="1"/>
      <protection/>
    </xf>
    <xf numFmtId="0" fontId="73" fillId="0" borderId="1" xfId="33" applyFont="1" applyBorder="1" applyAlignment="1">
      <alignment horizontal="left" vertical="center" wrapText="1"/>
      <protection/>
    </xf>
    <xf numFmtId="0" fontId="73" fillId="0" borderId="0" xfId="33" applyFont="1" applyAlignment="1">
      <alignment horizontal="center" vertical="center" wrapText="1"/>
      <protection/>
    </xf>
    <xf numFmtId="0" fontId="73" fillId="0" borderId="16" xfId="33" applyFont="1" applyBorder="1" applyAlignment="1">
      <alignment horizontal="center" vertical="center" wrapText="1"/>
      <protection/>
    </xf>
    <xf numFmtId="0" fontId="73" fillId="0" borderId="0" xfId="33" applyFont="1" applyAlignment="1">
      <alignment horizontal="center"/>
      <protection/>
    </xf>
    <xf numFmtId="167" fontId="62" fillId="0" borderId="0" xfId="33" applyNumberFormat="1" applyFont="1" applyAlignment="1">
      <alignment horizontal="center" vertical="center"/>
      <protection/>
    </xf>
    <xf numFmtId="164" fontId="65" fillId="0" borderId="0" xfId="33" applyNumberFormat="1" applyFont="1" applyAlignment="1">
      <alignment horizontal="center" vertical="center"/>
      <protection/>
    </xf>
    <xf numFmtId="167" fontId="62" fillId="0" borderId="25" xfId="33" applyNumberFormat="1" applyFont="1" applyBorder="1" applyAlignment="1">
      <alignment horizontal="center" vertical="center"/>
      <protection/>
    </xf>
    <xf numFmtId="167" fontId="62" fillId="0" borderId="3" xfId="33" applyNumberFormat="1" applyFont="1" applyBorder="1" applyAlignment="1">
      <alignment horizontal="center" vertical="center"/>
      <protection/>
    </xf>
    <xf numFmtId="164" fontId="65" fillId="0" borderId="25" xfId="33" applyNumberFormat="1" applyFont="1" applyBorder="1" applyAlignment="1">
      <alignment horizontal="center" vertical="center"/>
      <protection/>
    </xf>
    <xf numFmtId="164" fontId="65" fillId="0" borderId="3" xfId="33" applyNumberFormat="1" applyFont="1" applyBorder="1" applyAlignment="1">
      <alignment horizontal="center" vertical="center"/>
      <protection/>
    </xf>
    <xf numFmtId="49" fontId="57" fillId="8" borderId="1" xfId="33" applyNumberFormat="1" applyFont="1" applyFill="1" applyBorder="1" applyAlignment="1">
      <alignment horizontal="center" vertical="center"/>
      <protection/>
    </xf>
    <xf numFmtId="49" fontId="60" fillId="7" borderId="6" xfId="33" applyNumberFormat="1" applyFont="1" applyFill="1" applyBorder="1" applyAlignment="1">
      <alignment horizontal="center" vertical="center" wrapText="1"/>
      <protection/>
    </xf>
    <xf numFmtId="49" fontId="60" fillId="35" borderId="22" xfId="33" applyNumberFormat="1" applyFont="1" applyFill="1" applyBorder="1" applyAlignment="1">
      <alignment horizontal="center" vertical="center" wrapText="1"/>
      <protection/>
    </xf>
    <xf numFmtId="49" fontId="60" fillId="35" borderId="17" xfId="33" applyNumberFormat="1" applyFont="1" applyFill="1" applyBorder="1" applyAlignment="1">
      <alignment horizontal="center" vertical="center" wrapText="1"/>
      <protection/>
    </xf>
    <xf numFmtId="49" fontId="60" fillId="35" borderId="4" xfId="33" applyNumberFormat="1" applyFont="1" applyFill="1" applyBorder="1" applyAlignment="1">
      <alignment horizontal="center" vertical="center" wrapText="1"/>
      <protection/>
    </xf>
    <xf numFmtId="49" fontId="60" fillId="35" borderId="19" xfId="33" applyNumberFormat="1" applyFont="1" applyFill="1" applyBorder="1" applyAlignment="1">
      <alignment horizontal="center" vertical="center" wrapText="1"/>
      <protection/>
    </xf>
    <xf numFmtId="49" fontId="60" fillId="35" borderId="56" xfId="33" applyNumberFormat="1" applyFont="1" applyFill="1" applyBorder="1" applyAlignment="1">
      <alignment horizontal="center" vertical="center" wrapText="1"/>
      <protection/>
    </xf>
    <xf numFmtId="49" fontId="60" fillId="35" borderId="57" xfId="33" applyNumberFormat="1" applyFont="1" applyFill="1" applyBorder="1" applyAlignment="1">
      <alignment horizontal="center" vertical="center" wrapText="1"/>
      <protection/>
    </xf>
    <xf numFmtId="167" fontId="62" fillId="0" borderId="1" xfId="33" applyNumberFormat="1" applyFont="1" applyBorder="1" applyAlignment="1">
      <alignment horizontal="center"/>
      <protection/>
    </xf>
    <xf numFmtId="167" fontId="62" fillId="35" borderId="22" xfId="33" applyNumberFormat="1" applyFont="1" applyFill="1" applyBorder="1" applyAlignment="1">
      <alignment horizontal="center"/>
      <protection/>
    </xf>
    <xf numFmtId="167" fontId="62" fillId="35" borderId="4" xfId="33" applyNumberFormat="1" applyFont="1" applyFill="1" applyBorder="1" applyAlignment="1">
      <alignment horizontal="center"/>
      <protection/>
    </xf>
    <xf numFmtId="167" fontId="62" fillId="35" borderId="56" xfId="33" applyNumberFormat="1" applyFont="1" applyFill="1" applyBorder="1" applyAlignment="1">
      <alignment horizontal="center"/>
      <protection/>
    </xf>
    <xf numFmtId="167" fontId="64" fillId="0" borderId="1" xfId="33" applyNumberFormat="1" applyFont="1" applyBorder="1" applyAlignment="1">
      <alignment horizontal="center" vertical="center" wrapText="1"/>
      <protection/>
    </xf>
    <xf numFmtId="167" fontId="62" fillId="0" borderId="0" xfId="33" applyNumberFormat="1" applyFont="1" applyAlignment="1">
      <alignment horizontal="center"/>
      <protection/>
    </xf>
    <xf numFmtId="0" fontId="53" fillId="19" borderId="0" xfId="33" applyFont="1" applyFill="1" applyAlignment="1">
      <alignment horizontal="center" vertical="top"/>
      <protection/>
    </xf>
    <xf numFmtId="49" fontId="57" fillId="8" borderId="56" xfId="33" applyNumberFormat="1" applyFont="1" applyFill="1" applyBorder="1" applyAlignment="1">
      <alignment horizontal="center" vertical="center"/>
      <protection/>
    </xf>
    <xf numFmtId="49" fontId="57" fillId="8" borderId="16" xfId="33" applyNumberFormat="1" applyFont="1" applyFill="1" applyBorder="1" applyAlignment="1">
      <alignment horizontal="center" vertical="center"/>
      <protection/>
    </xf>
    <xf numFmtId="49" fontId="60" fillId="7" borderId="22" xfId="33" applyNumberFormat="1" applyFont="1" applyFill="1" applyBorder="1" applyAlignment="1">
      <alignment horizontal="center" vertical="center" wrapText="1"/>
      <protection/>
    </xf>
    <xf numFmtId="49" fontId="60" fillId="7" borderId="43" xfId="33" applyNumberFormat="1" applyFont="1" applyFill="1" applyBorder="1" applyAlignment="1">
      <alignment horizontal="center" vertical="center" wrapText="1"/>
      <protection/>
    </xf>
    <xf numFmtId="167" fontId="64" fillId="0" borderId="17" xfId="33" applyNumberFormat="1" applyFont="1" applyBorder="1" applyAlignment="1">
      <alignment horizontal="center" vertical="center" wrapText="1"/>
      <protection/>
    </xf>
    <xf numFmtId="167" fontId="64" fillId="0" borderId="19" xfId="33" applyNumberFormat="1" applyFont="1" applyBorder="1" applyAlignment="1">
      <alignment horizontal="center" vertical="center" wrapText="1"/>
      <protection/>
    </xf>
    <xf numFmtId="167" fontId="64" fillId="0" borderId="57" xfId="33" applyNumberFormat="1" applyFont="1" applyBorder="1" applyAlignment="1">
      <alignment horizontal="center" vertical="center" wrapText="1"/>
      <protection/>
    </xf>
  </cellXfs>
  <cellStyles count="21">
    <cellStyle name="Normal" xfId="0" builtinId="0"/>
    <cellStyle name="Percent" xfId="15" builtinId="5"/>
    <cellStyle name="Currency" xfId="16" builtinId="4"/>
    <cellStyle name="Currency [0]" xfId="17" builtinId="7"/>
    <cellStyle name="Comma" xfId="18" builtinId="3"/>
    <cellStyle name="Comma [0]" xfId="19" builtinId="6"/>
    <cellStyle name="Normal 2" xfId="20"/>
    <cellStyle name="Comma 2" xfId="21"/>
    <cellStyle name="Hyperlink" xfId="22" builtinId="8"/>
    <cellStyle name="Normal 3" xfId="23"/>
    <cellStyle name="Normal 4" xfId="24"/>
    <cellStyle name="Percent 2" xfId="25"/>
    <cellStyle name="Currency 2" xfId="26"/>
    <cellStyle name="Normal 5" xfId="27"/>
    <cellStyle name="Percent 3" xfId="28"/>
    <cellStyle name="Currency 3" xfId="29"/>
    <cellStyle name="Normal 5 2" xfId="30"/>
    <cellStyle name="Percent 3 2" xfId="31"/>
    <cellStyle name="Currency 3 2" xfId="32"/>
    <cellStyle name="Normal 6" xfId="33"/>
    <cellStyle name="Currency 4" xfId="34"/>
  </cellStyles>
  <dxfs count="2452">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patternFill>
          <bgColor rgb="FF0070C0"/>
        </patternFill>
      </fill>
    </dxf>
    <dxf>
      <font>
        <color theme="0"/>
      </font>
      <fill>
        <patternFill>
          <bgColor rgb="FF0070C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ill>
        <patternFill>
          <bgColor theme="6" tint="0.399949997663498"/>
        </patternFill>
      </fill>
    </dxf>
    <dxf>
      <fill>
        <patternFill>
          <bgColor theme="1"/>
        </patternFill>
      </fill>
    </dxf>
    <dxf>
      <fill>
        <patternFill>
          <bgColor theme="6" tint="0.399949997663498"/>
        </patternFill>
      </fill>
    </dxf>
    <dxf>
      <fill>
        <patternFill>
          <bgColor theme="1"/>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color theme="1"/>
      </font>
      <fill>
        <patternFill>
          <bgColor theme="1"/>
        </patternFill>
      </fill>
    </dxf>
    <dxf>
      <font>
        <color theme="1"/>
      </font>
      <fill>
        <patternFill>
          <bgColor rgb="FFC4D79B"/>
        </patternFill>
      </fill>
    </dxf>
    <dxf>
      <font>
        <color theme="0"/>
      </font>
      <fill>
        <patternFill>
          <bgColor theme="0"/>
        </patternFill>
      </fill>
    </dxf>
    <dxf>
      <font>
        <color theme="1"/>
      </font>
      <fill>
        <patternFill>
          <bgColor rgb="FFC4D79B"/>
        </patternFill>
      </fill>
    </dxf>
    <dxf>
      <font>
        <color theme="0"/>
      </font>
      <fill>
        <patternFill>
          <bgColor theme="0"/>
        </patternFill>
      </fill>
    </dxf>
    <dxf>
      <font>
        <b/>
        <i val="0"/>
        <color rgb="FFFF0000"/>
      </font>
    </dxf>
    <dxf>
      <font>
        <b/>
        <i val="0"/>
        <color rgb="FF00B05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8.xml" /><Relationship Id="rId28" Type="http://schemas.openxmlformats.org/officeDocument/2006/relationships/customXml" Target="../customXml/item3.xml" /><Relationship Id="rId16" Type="http://schemas.openxmlformats.org/officeDocument/2006/relationships/worksheet" Target="worksheets/sheet13.xml" /><Relationship Id="rId9" Type="http://schemas.openxmlformats.org/officeDocument/2006/relationships/worksheet" Target="worksheets/sheet6.xml" /><Relationship Id="rId33" Type="http://schemas.openxmlformats.org/officeDocument/2006/relationships/sheetMetadata" Target="metadata.xml" /><Relationship Id="rId31" Type="http://schemas.openxmlformats.org/officeDocument/2006/relationships/externalLink" Target="externalLinks/externalLink1.xml" /><Relationship Id="rId13" Type="http://schemas.openxmlformats.org/officeDocument/2006/relationships/worksheet" Target="worksheets/sheet10.xml" /><Relationship Id="rId14" Type="http://schemas.openxmlformats.org/officeDocument/2006/relationships/worksheet" Target="worksheets/sheet11.xml" /><Relationship Id="rId20" Type="http://schemas.openxmlformats.org/officeDocument/2006/relationships/worksheet" Target="worksheets/sheet17.xml" /><Relationship Id="rId32" Type="http://schemas.openxmlformats.org/officeDocument/2006/relationships/externalLink" Target="externalLinks/externalLink2.xml" /><Relationship Id="rId5" Type="http://schemas.openxmlformats.org/officeDocument/2006/relationships/worksheet" Target="worksheets/sheet2.xml" /><Relationship Id="rId34" Type="http://schemas.openxmlformats.org/officeDocument/2006/relationships/calcChain" Target="calcChain.xml" /><Relationship Id="rId1" Type="http://schemas.openxmlformats.org/officeDocument/2006/relationships/theme" Target="theme/theme1.xml" /><Relationship Id="rId21" Type="http://schemas.openxmlformats.org/officeDocument/2006/relationships/worksheet" Target="worksheets/sheet18.xml" /><Relationship Id="rId4" Type="http://schemas.openxmlformats.org/officeDocument/2006/relationships/worksheet" Target="worksheets/sheet1.xml" /><Relationship Id="rId29" Type="http://schemas.openxmlformats.org/officeDocument/2006/relationships/customXml" Target="../customXml/item4.xml" /><Relationship Id="rId23" Type="http://schemas.openxmlformats.org/officeDocument/2006/relationships/worksheet" Target="worksheets/sheet20.xml" /><Relationship Id="rId26" Type="http://schemas.openxmlformats.org/officeDocument/2006/relationships/customXml" Target="../customXml/item1.xml" /><Relationship Id="rId7" Type="http://schemas.openxmlformats.org/officeDocument/2006/relationships/worksheet" Target="worksheets/sheet4.xml" /><Relationship Id="rId8" Type="http://schemas.openxmlformats.org/officeDocument/2006/relationships/worksheet" Target="worksheets/sheet5.xml" /><Relationship Id="rId24" Type="http://schemas.openxmlformats.org/officeDocument/2006/relationships/worksheet" Target="worksheets/sheet21.xml" /><Relationship Id="rId27" Type="http://schemas.openxmlformats.org/officeDocument/2006/relationships/customXml" Target="../customXml/item2.xml" /><Relationship Id="rId18" Type="http://schemas.openxmlformats.org/officeDocument/2006/relationships/worksheet" Target="worksheets/sheet15.xml" /><Relationship Id="rId15" Type="http://schemas.openxmlformats.org/officeDocument/2006/relationships/worksheet" Target="worksheets/sheet12.xml" /><Relationship Id="rId10" Type="http://schemas.openxmlformats.org/officeDocument/2006/relationships/worksheet" Target="worksheets/sheet7.xml" /><Relationship Id="rId12" Type="http://schemas.openxmlformats.org/officeDocument/2006/relationships/worksheet" Target="worksheets/sheet9.xml" /><Relationship Id="rId19" Type="http://schemas.openxmlformats.org/officeDocument/2006/relationships/worksheet" Target="worksheets/sheet16.xml" /><Relationship Id="rId30" Type="http://schemas.openxmlformats.org/officeDocument/2006/relationships/customXml" Target="../customXml/item5.xml" /><Relationship Id="rId2" Type="http://schemas.microsoft.com/office/2006/relationships/vbaProject" Target="vbaProject.bin" /><Relationship Id="rId3" Type="http://schemas.openxmlformats.org/officeDocument/2006/relationships/styles" Target="styles.xml" /><Relationship Id="rId22" Type="http://schemas.openxmlformats.org/officeDocument/2006/relationships/worksheet" Target="worksheets/sheet19.xml" /><Relationship Id="rId25" Type="http://schemas.openxmlformats.org/officeDocument/2006/relationships/sharedStrings" Target="sharedStrings.xml" /><Relationship Id="rId17" Type="http://schemas.openxmlformats.org/officeDocument/2006/relationships/worksheet" Target="worksheets/sheet14.xml" /><Relationship Id="rId6" Type="http://schemas.openxmlformats.org/officeDocument/2006/relationships/worksheet" Target="worksheets/sheet3.xml" /></Relationships>
</file>

<file path=xl/ctrProps/ctrProp1.xml><?xml version="1.0" encoding="utf-8"?>
<formControlPr xmlns="http://schemas.microsoft.com/office/spreadsheetml/2009/9/main" objectType="Button" lockText="1"/>
</file>

<file path=xl/ctrProps/ctrProp2.xml><?xml version="1.0" encoding="utf-8"?>
<formControlPr xmlns="http://schemas.microsoft.com/office/spreadsheetml/2009/9/main" objectType="Button" lockText="1"/>
</file>

<file path=xl/ctrProps/ctrProp3.xml><?xml version="1.0" encoding="utf-8"?>
<formControlPr xmlns="http://schemas.microsoft.com/office/spreadsheetml/2009/9/main" objectType="Button" lockText="1"/>
</file>

<file path=xl/ctrProps/ctrProp4.xml><?xml version="1.0" encoding="utf-8"?>
<formControlPr xmlns="http://schemas.microsoft.com/office/spreadsheetml/2009/9/main" objectType="Button" lockText="1"/>
</file>

<file path=xl/ctrProps/ctrProp5.xml><?xml version="1.0" encoding="utf-8"?>
<formControlPr xmlns="http://schemas.microsoft.com/office/spreadsheetml/2009/9/main" objectType="Button" lockText="1"/>
</file>

<file path=xl/ctrProps/ctrProp6.xml><?xml version="1.0" encoding="utf-8"?>
<formControlPr xmlns="http://schemas.microsoft.com/office/spreadsheetml/2009/9/main" objectType="Button" lockText="1"/>
</file>

<file path=xl/ctrProps/ctrProp7.xml><?xml version="1.0" encoding="utf-8"?>
<formControlPr xmlns="http://schemas.microsoft.com/office/spreadsheetml/2009/9/main" objectType="Button" lockText="1"/>
</file>

<file path=xl/drawings/_rels/drawing2.xml.rels><?xml version="1.0" encoding="UTF-8" standalone="yes"?><Relationships xmlns="http://schemas.openxmlformats.org/package/2006/relationships"><Relationship Id="rId1" Type="http://schemas.openxmlformats.org/officeDocument/2006/relationships/image" Target="../media/image1.png" /></Relationships>
</file>

<file path=xl/drawings/_rels/drawing4.xml.rels><?xml version="1.0" encoding="UTF-8" standalone="yes"?><Relationships xmlns="http://schemas.openxmlformats.org/package/2006/relationships"><Relationship Id="rId1" Type="http://schemas.openxmlformats.org/officeDocument/2006/relationships/image" Target="../media/image2.png" /></Relationships>
</file>

<file path=xl/drawings/_rels/drawing5.xml.rels><?xml version="1.0" encoding="UTF-8" standalone="yes"?><Relationships xmlns="http://schemas.openxmlformats.org/package/2006/relationships"><Relationship Id="rId1" Type="http://schemas.openxmlformats.org/officeDocument/2006/relationships/image" Target="../media/image2.png" /></Relationships>
</file>

<file path=xl/drawings/_rels/drawing6.xml.rels><?xml version="1.0" encoding="UTF-8" standalone="yes"?><Relationships xmlns="http://schemas.openxmlformats.org/package/2006/relationships"><Relationship Id="rId1" Type="http://schemas.openxmlformats.org/officeDocument/2006/relationships/image" Target="../media/image2.png" /></Relationships>
</file>

<file path=xl/drawings/_rels/drawing7.xml.rels><?xml version="1.0" encoding="UTF-8" standalone="yes"?><Relationships xmlns="http://schemas.openxmlformats.org/package/2006/relationships"><Relationship Id="rId1" Type="http://schemas.openxmlformats.org/officeDocument/2006/relationships/image" Target="../media/image2.png" /></Relationships>
</file>

<file path=xl/drawings/_rels/drawing8.xml.rels><?xml version="1.0" encoding="UTF-8" standalone="yes"?><Relationships xmlns="http://schemas.openxmlformats.org/package/2006/relationships"><Relationship Id="rId1" Type="http://schemas.openxmlformats.org/officeDocument/2006/relationships/image" Target="../media/image2.png" /></Relationships>
</file>

<file path=xl/drawings/_rels/drawing9.xml.rels><?xml version="1.0" encoding="UTF-8" standalone="yes"?><Relationships xmlns="http://schemas.openxmlformats.org/package/2006/relationships"><Relationship Id="rId1" Type="http://schemas.openxmlformats.org/officeDocument/2006/relationships/image" Target="../media/image2.png" /></Relationships>
</file>

<file path=xl/drawings/_rels/drawing10.xml.rels><?xml version="1.0" encoding="UTF-8" standalone="yes"?><Relationships xmlns="http://schemas.openxmlformats.org/package/2006/relationships"><Relationship Id="rId1"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3</xdr:col>
      <xdr:colOff>632460</xdr:colOff>
      <xdr:row>3</xdr:row>
      <xdr:rowOff>7620</xdr:rowOff>
    </xdr:from>
    <xdr:to>
      <xdr:col>5</xdr:col>
      <xdr:colOff>1653540</xdr:colOff>
      <xdr:row>5</xdr:row>
      <xdr:rowOff>53340</xdr:rowOff>
    </xdr:to>
    <xdr:sp macro="[0]!FormatWorkbook">
      <xdr:nvSpPr>
        <xdr:cNvPr id="2" name="Rectangle: Rounded Corners 1">
          <a:extLst>
            <a:ext uri="{FF2B5EF4-FFF2-40B4-BE49-F238E27FC236}">
              <a16:creationId xmlns:a16="http://schemas.microsoft.com/office/drawing/2014/main" id="{00000000-0008-0000-0000-000002000000}"/>
            </a:ext>
          </a:extLst>
        </xdr:cNvPr>
        <xdr:cNvSpPr/>
      </xdr:nvSpPr>
      <xdr:spPr>
        <a:xfrm>
          <a:off x="3533775" y="657225"/>
          <a:ext cx="1924050" cy="428625"/>
        </a:xfrm>
        <a:prstGeom prst="roundRect"/>
      </xdr:spPr>
      <xdr:style>
        <a:lnRef idx="2">
          <a:schemeClr val="accent1">
            <a:shade val="15000"/>
          </a:schemeClr>
        </a:lnRef>
        <a:fillRef idx="1">
          <a:schemeClr val="accent1"/>
        </a:fillRef>
        <a:effectRef idx="0">
          <a:schemeClr val="accent1"/>
        </a:effectRef>
        <a:fontRef idx="minor">
          <a:schemeClr val="bg1"/>
        </a:fontRef>
      </xdr:style>
      <xdr:txBody>
        <a:bodyPr vertOverflow="clip" horzOverflow="clip" rtlCol="0" anchor="t"/>
        <a:lstStyle/>
        <a:p>
          <a:pPr algn="ctr"/>
          <a:r>
            <a:rPr lang="en-US" sz="1800" b="1">
              <a:solidFill>
                <a:schemeClr val="bg1"/>
              </a:solidFill>
            </a:rPr>
            <a:t>Format</a:t>
          </a:r>
          <a:r>
            <a:rPr lang="en-US" sz="1800" b="1" baseline="0">
              <a:solidFill>
                <a:schemeClr val="bg1"/>
              </a:solidFill>
            </a:rPr>
            <a:t> Workbook</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0</xdr:col>
      <xdr:colOff>32385</xdr:colOff>
      <xdr:row>0</xdr:row>
      <xdr:rowOff>0</xdr:rowOff>
    </xdr:from>
    <xdr:to>
      <xdr:col>0</xdr:col>
      <xdr:colOff>8747760</xdr:colOff>
      <xdr:row>35</xdr:row>
      <xdr:rowOff>129540</xdr:rowOff>
    </xdr:to>
    <xdr:sp>
      <xdr:nvSpPr>
        <xdr:cNvPr id="6" name="TextBox 5">
          <a:extLst>
            <a:ext uri="{FF2B5EF4-FFF2-40B4-BE49-F238E27FC236}">
              <a16:creationId xmlns:a16="http://schemas.microsoft.com/office/drawing/2014/main" id="{00000000-0008-0000-0400-000006000000}"/>
            </a:ext>
          </a:extLst>
        </xdr:cNvPr>
        <xdr:cNvSpPr txBox="1"/>
      </xdr:nvSpPr>
      <xdr:spPr>
        <a:xfrm>
          <a:off x="28575" y="0"/>
          <a:ext cx="7343775" cy="6257925"/>
        </a:xfrm>
        <a:prstGeom prst="rect"/>
        <a:solidFill>
          <a:schemeClr val="bg1"/>
        </a:solidFill>
        <a:ln w="9525" cmpd="sng">
          <a:solidFill>
            <a:schemeClr val="bg1">
              <a:shade val="50000"/>
            </a:schemeClr>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endParaRPr lang="en-US" sz="1100"/>
        </a:p>
        <a:p>
          <a:endParaRPr lang="en-US" sz="1100"/>
        </a:p>
        <a:p>
          <a:endParaRPr lang="en-US" sz="1100"/>
        </a:p>
        <a:p>
          <a:endParaRPr lang="en-US" sz="1100"/>
        </a:p>
        <a:p>
          <a:endParaRPr lang="en-US" sz="1100"/>
        </a:p>
        <a:p>
          <a:pPr algn="ctr"/>
          <a:r>
            <a:rPr lang="en-US" sz="1300" b="1">
              <a:solidFill>
                <a:schemeClr val="tx1"/>
              </a:solidFill>
              <a:effectLst/>
              <a:latin typeface="+mn-lt"/>
              <a:ea typeface="+mn-ea"/>
              <a:cs typeface="+mn-cs"/>
            </a:rPr>
            <a:t>Welcome to the Questco Renewal Workbook</a:t>
          </a:r>
          <a:endParaRPr lang="en-US" sz="1300">
            <a:solidFill>
              <a:schemeClr val="tx1"/>
            </a:solidFill>
            <a:effectLst/>
            <a:latin typeface="+mn-lt"/>
            <a:ea typeface="+mn-ea"/>
            <a:cs typeface="+mn-cs"/>
          </a:endParaRPr>
        </a:p>
        <a:p>
          <a:r>
            <a:rPr lang="en-US" sz="1100">
              <a:solidFill>
                <a:schemeClr val="tx1"/>
              </a:solidFill>
              <a:effectLst/>
              <a:latin typeface="+mn-lt"/>
              <a:ea typeface="+mn-ea"/>
              <a:cs typeface="+mn-cs"/>
            </a:rPr>
            <a:t> </a:t>
          </a:r>
        </a:p>
        <a:p>
          <a:pPr algn="ctr"/>
          <a:r>
            <a:rPr lang="en-US" sz="1100">
              <a:solidFill>
                <a:schemeClr val="tx1"/>
              </a:solidFill>
              <a:effectLst/>
              <a:latin typeface="+mn-lt"/>
              <a:ea typeface="+mn-ea"/>
              <a:cs typeface="+mn-cs"/>
            </a:rPr>
            <a:t>Questco is pleased to present this interactive workbook to help guide you through your benefit renewal process.  </a:t>
          </a:r>
        </a:p>
        <a:p>
          <a:endParaRPr lang="en-US" sz="1100">
            <a:solidFill>
              <a:schemeClr val="tx1"/>
            </a:solidFill>
            <a:effectLst/>
            <a:latin typeface="+mn-lt"/>
            <a:ea typeface="+mn-ea"/>
            <a:cs typeface="+mn-cs"/>
          </a:endParaRPr>
        </a:p>
        <a:p>
          <a:r>
            <a:rPr lang="en-US" sz="1100">
              <a:solidFill>
                <a:schemeClr val="tx1"/>
              </a:solidFill>
              <a:effectLst/>
              <a:latin typeface="+mn-lt"/>
              <a:ea typeface="+mn-ea"/>
              <a:cs typeface="+mn-cs"/>
            </a:rPr>
            <a:t>This workbook allows you to explore and evaluate plan options and experiment with various employer contribution scenarios. You can choose to continue your current plan or change one or more options.</a:t>
          </a:r>
        </a:p>
        <a:p>
          <a:r>
            <a:rPr lang="en-US" sz="1100">
              <a:solidFill>
                <a:schemeClr val="tx1"/>
              </a:solidFill>
              <a:effectLst/>
              <a:latin typeface="+mn-lt"/>
              <a:ea typeface="+mn-ea"/>
              <a:cs typeface="+mn-cs"/>
            </a:rPr>
            <a:t> </a:t>
          </a:r>
        </a:p>
        <a:p>
          <a:r>
            <a:rPr lang="en-US" sz="1100">
              <a:solidFill>
                <a:schemeClr val="tx1"/>
              </a:solidFill>
              <a:effectLst/>
              <a:latin typeface="+mn-lt"/>
              <a:ea typeface="+mn-ea"/>
              <a:cs typeface="+mn-cs"/>
            </a:rPr>
            <a:t>In the workbook, you will find:</a:t>
          </a:r>
        </a:p>
        <a:p>
          <a:pPr lvl="1"/>
          <a:r>
            <a:rPr lang="en-US" sz="1100">
              <a:solidFill>
                <a:srgbClr val="004282"/>
              </a:solidFill>
              <a:effectLst/>
              <a:latin typeface="+mn-lt"/>
              <a:ea typeface="+mn-ea"/>
              <a:cs typeface="+mn-cs"/>
              <a:sym typeface="Symbol" panose="05050102010706020507" pitchFamily="18" charset="2"/>
            </a:rPr>
            <a:t></a:t>
          </a:r>
          <a:r>
            <a:rPr lang="en-US" sz="1100" baseline="0">
              <a:solidFill>
                <a:schemeClr val="tx1"/>
              </a:solidFill>
              <a:effectLst/>
              <a:latin typeface="+mn-lt"/>
              <a:ea typeface="+mn-ea"/>
              <a:cs typeface="+mn-cs"/>
              <a:sym typeface="Symbol" panose="05050102010706020507" pitchFamily="18" charset="2"/>
            </a:rPr>
            <a:t>  </a:t>
          </a:r>
          <a:r>
            <a:rPr lang="en-US" sz="1100" u="none" b="1">
              <a:solidFill>
                <a:srgbClr val="004282"/>
              </a:solidFill>
              <a:effectLst/>
              <a:latin typeface="+mn-lt"/>
              <a:ea typeface="+mn-ea"/>
              <a:cs typeface="+mn-cs"/>
            </a:rPr>
            <a:t>Cost breakdowns</a:t>
          </a:r>
          <a:r>
            <a:rPr lang="en-US" sz="1100" u="none" b="1" baseline="0">
              <a:solidFill>
                <a:srgbClr val="004282"/>
              </a:solidFill>
              <a:effectLst/>
              <a:latin typeface="+mn-lt"/>
              <a:ea typeface="+mn-ea"/>
              <a:cs typeface="+mn-cs"/>
            </a:rPr>
            <a:t> </a:t>
          </a:r>
          <a:r>
            <a:rPr lang="en-US" sz="1100">
              <a:solidFill>
                <a:srgbClr val="004282"/>
              </a:solidFill>
              <a:effectLst/>
              <a:latin typeface="+mn-lt"/>
              <a:ea typeface="+mn-ea"/>
              <a:cs typeface="+mn-cs"/>
            </a:rPr>
            <a:t>of current plan rates, renewal rates, and alternative lower-cost plans.</a:t>
          </a:r>
        </a:p>
        <a:p>
          <a:pPr lvl="1"/>
          <a:r>
            <a:rPr lang="en-US" sz="1100">
              <a:solidFill>
                <a:srgbClr val="004282"/>
              </a:solidFill>
              <a:effectLst/>
              <a:latin typeface="+mn-lt"/>
              <a:ea typeface="+mn-ea"/>
              <a:cs typeface="+mn-cs"/>
              <a:sym typeface="Symbol" panose="05050102010706020507" pitchFamily="18" charset="2"/>
            </a:rPr>
            <a:t>  </a:t>
          </a:r>
          <a:r>
            <a:rPr lang="en-US" sz="1100" u="none" b="1">
              <a:solidFill>
                <a:srgbClr val="004282"/>
              </a:solidFill>
              <a:effectLst/>
              <a:latin typeface="+mn-lt"/>
              <a:ea typeface="+mn-ea"/>
              <a:cs typeface="+mn-cs"/>
            </a:rPr>
            <a:t>Benefit plan comparisons </a:t>
          </a:r>
          <a:r>
            <a:rPr lang="en-US" sz="1100">
              <a:solidFill>
                <a:srgbClr val="004282"/>
              </a:solidFill>
              <a:effectLst/>
              <a:latin typeface="+mn-lt"/>
              <a:ea typeface="+mn-ea"/>
              <a:cs typeface="+mn-cs"/>
            </a:rPr>
            <a:t>for medical and ancillary plans to help you evaluate your options.</a:t>
          </a:r>
        </a:p>
        <a:p>
          <a:pPr lvl="1"/>
          <a:r>
            <a:rPr lang="en-US" sz="1100">
              <a:solidFill>
                <a:srgbClr val="004282"/>
              </a:solidFill>
              <a:effectLst/>
              <a:latin typeface="+mn-lt"/>
              <a:ea typeface="+mn-ea"/>
              <a:cs typeface="+mn-cs"/>
              <a:sym typeface="Symbol" panose="05050102010706020507" pitchFamily="18" charset="2"/>
            </a:rPr>
            <a:t>  </a:t>
          </a:r>
          <a:r>
            <a:rPr lang="en-US" sz="1100" u="none" b="1">
              <a:solidFill>
                <a:srgbClr val="004282"/>
              </a:solidFill>
              <a:effectLst/>
              <a:latin typeface="+mn-lt"/>
              <a:ea typeface="+mn-ea"/>
              <a:cs typeface="+mn-cs"/>
            </a:rPr>
            <a:t>Dropdown features </a:t>
          </a:r>
          <a:r>
            <a:rPr lang="en-US" sz="1100">
              <a:solidFill>
                <a:srgbClr val="004282"/>
              </a:solidFill>
              <a:effectLst/>
              <a:latin typeface="+mn-lt"/>
              <a:ea typeface="+mn-ea"/>
              <a:cs typeface="+mn-cs"/>
            </a:rPr>
            <a:t>to explore different employer contribution scenarios, helping you find the best fit for your strategy this upcoming year</a:t>
          </a:r>
          <a:r>
            <a:rPr lang="en-US" sz="1100">
              <a:solidFill>
                <a:schemeClr val="tx1"/>
              </a:solidFill>
              <a:effectLst/>
              <a:latin typeface="+mn-lt"/>
              <a:ea typeface="+mn-ea"/>
              <a:cs typeface="+mn-cs"/>
            </a:rPr>
            <a:t>.</a:t>
          </a:r>
        </a:p>
        <a:p>
          <a:pPr lvl="1"/>
          <a:endParaRPr lang="en-US" sz="1100">
            <a:solidFill>
              <a:schemeClr val="tx1"/>
            </a:solidFill>
            <a:effectLst/>
            <a:latin typeface="+mn-lt"/>
            <a:ea typeface="+mn-ea"/>
            <a:cs typeface="+mn-cs"/>
          </a:endParaRPr>
        </a:p>
        <a:p>
          <a:pPr algn="ctr"/>
          <a:r>
            <a:rPr lang="en-US" sz="1100">
              <a:solidFill>
                <a:schemeClr val="tx1"/>
              </a:solidFill>
              <a:effectLst/>
              <a:latin typeface="+mn-lt"/>
              <a:ea typeface="+mn-ea"/>
              <a:cs typeface="+mn-cs"/>
            </a:rPr>
            <a:t> </a:t>
          </a:r>
          <a:r>
            <a:rPr lang="en-US" sz="1100" u="sng">
              <a:solidFill>
                <a:schemeClr val="tx1"/>
              </a:solidFill>
              <a:effectLst/>
              <a:latin typeface="+mn-lt"/>
              <a:ea typeface="+mn-ea"/>
              <a:cs typeface="+mn-cs"/>
            </a:rPr>
            <a:t>WORKBOOK</a:t>
          </a:r>
          <a:r>
            <a:rPr lang="en-US" sz="1100" u="sng" baseline="0">
              <a:solidFill>
                <a:schemeClr val="tx1"/>
              </a:solidFill>
              <a:effectLst/>
              <a:latin typeface="+mn-lt"/>
              <a:ea typeface="+mn-ea"/>
              <a:cs typeface="+mn-cs"/>
            </a:rPr>
            <a:t> TAB OVERVIEW</a:t>
          </a:r>
          <a:r>
            <a:rPr lang="en-US" sz="1100" u="sng">
              <a:solidFill>
                <a:schemeClr val="tx1"/>
              </a:solidFill>
              <a:effectLst/>
              <a:latin typeface="+mn-lt"/>
              <a:ea typeface="+mn-ea"/>
              <a:cs typeface="+mn-cs"/>
            </a:rPr>
            <a:t>:</a:t>
          </a:r>
          <a:endParaRPr lang="en-US" sz="1100">
            <a:solidFill>
              <a:schemeClr val="tx1"/>
            </a:solidFill>
            <a:effectLst/>
            <a:latin typeface="+mn-lt"/>
            <a:ea typeface="+mn-ea"/>
            <a:cs typeface="+mn-cs"/>
          </a:endParaRPr>
        </a:p>
        <a:p>
          <a:r>
            <a:rPr lang="en-US" sz="1100" u="none">
              <a:solidFill>
                <a:schemeClr val="tx1"/>
              </a:solidFill>
              <a:effectLst/>
              <a:latin typeface="+mn-lt"/>
              <a:ea typeface="+mn-ea"/>
              <a:cs typeface="+mn-cs"/>
            </a:rPr>
            <a:t> </a:t>
          </a:r>
          <a:endParaRPr lang="en-US" sz="1100">
            <a:solidFill>
              <a:schemeClr val="tx1"/>
            </a:solidFill>
            <a:effectLst/>
            <a:latin typeface="+mn-lt"/>
            <a:ea typeface="+mn-ea"/>
            <a:cs typeface="+mn-cs"/>
          </a:endParaRPr>
        </a:p>
        <a:p>
          <a:r>
            <a:rPr lang="en-US" sz="1100" u="sng" b="1">
              <a:solidFill>
                <a:srgbClr val="246DB4"/>
              </a:solidFill>
              <a:effectLst/>
              <a:latin typeface="+mn-lt"/>
              <a:ea typeface="+mn-ea"/>
              <a:cs typeface="+mn-cs"/>
            </a:rPr>
            <a:t>TOTAL</a:t>
          </a:r>
          <a:r>
            <a:rPr lang="en-US" sz="1100" u="sng" b="1" baseline="0">
              <a:solidFill>
                <a:srgbClr val="246DB4"/>
              </a:solidFill>
              <a:effectLst/>
              <a:latin typeface="+mn-lt"/>
              <a:ea typeface="+mn-ea"/>
              <a:cs typeface="+mn-cs"/>
            </a:rPr>
            <a:t> COST</a:t>
          </a:r>
          <a:endParaRPr lang="en-US" sz="1100" b="1">
            <a:solidFill>
              <a:srgbClr val="246DB4"/>
            </a:solidFill>
            <a:effectLst/>
            <a:latin typeface="+mn-lt"/>
            <a:ea typeface="+mn-ea"/>
            <a:cs typeface="+mn-cs"/>
          </a:endParaRPr>
        </a:p>
        <a:p>
          <a:pPr lvl="0"/>
          <a:r>
            <a:rPr lang="en-US" sz="1100" b="1">
              <a:solidFill>
                <a:schemeClr val="tx1"/>
              </a:solidFill>
              <a:effectLst/>
              <a:latin typeface="+mn-lt"/>
              <a:ea typeface="+mn-ea"/>
              <a:cs typeface="+mn-cs"/>
              <a:sym typeface="Symbol" panose="05050102010706020507" pitchFamily="18" charset="2"/>
            </a:rPr>
            <a:t></a:t>
          </a:r>
          <a:r>
            <a:rPr lang="en-US" sz="1100" b="1" baseline="0">
              <a:solidFill>
                <a:schemeClr val="tx1"/>
              </a:solidFill>
              <a:effectLst/>
              <a:latin typeface="+mn-lt"/>
              <a:ea typeface="+mn-ea"/>
              <a:cs typeface="+mn-cs"/>
              <a:sym typeface="Symbol" panose="05050102010706020507" pitchFamily="18" charset="2"/>
            </a:rPr>
            <a:t>  </a:t>
          </a:r>
          <a:r>
            <a:rPr lang="en-US" sz="1100" b="1">
              <a:solidFill>
                <a:schemeClr val="tx1"/>
              </a:solidFill>
              <a:effectLst/>
              <a:latin typeface="+mn-lt"/>
              <a:ea typeface="+mn-ea"/>
              <a:cs typeface="+mn-cs"/>
            </a:rPr>
            <a:t>Current Employee Participation Counts</a:t>
          </a:r>
          <a:r>
            <a:rPr lang="en-US" sz="1100">
              <a:solidFill>
                <a:schemeClr val="tx1"/>
              </a:solidFill>
              <a:effectLst/>
              <a:latin typeface="+mn-lt"/>
              <a:ea typeface="+mn-ea"/>
              <a:cs typeface="+mn-cs"/>
            </a:rPr>
            <a:t> - Shows the current number of employees enrolled in the Medical, Dental, and Vision plans, as applicable.  </a:t>
          </a:r>
        </a:p>
        <a:p>
          <a:pPr lvl="0"/>
          <a:r>
            <a:rPr lang="en-US" sz="1100" b="1">
              <a:solidFill>
                <a:schemeClr val="tx1"/>
              </a:solidFill>
              <a:effectLst/>
              <a:latin typeface="+mn-lt"/>
              <a:ea typeface="+mn-ea"/>
              <a:cs typeface="+mn-cs"/>
              <a:sym typeface="Symbol" panose="05050102010706020507" pitchFamily="18" charset="2"/>
            </a:rPr>
            <a:t>  </a:t>
          </a:r>
          <a:r>
            <a:rPr lang="en-US" sz="1100" b="1">
              <a:solidFill>
                <a:schemeClr val="tx1"/>
              </a:solidFill>
              <a:effectLst/>
              <a:latin typeface="+mn-lt"/>
              <a:ea typeface="+mn-ea"/>
              <a:cs typeface="+mn-cs"/>
            </a:rPr>
            <a:t>Total Cost Comparison </a:t>
          </a:r>
          <a:r>
            <a:rPr lang="en-US" sz="1100">
              <a:solidFill>
                <a:schemeClr val="tx1"/>
              </a:solidFill>
              <a:effectLst/>
              <a:latin typeface="+mn-lt"/>
              <a:ea typeface="+mn-ea"/>
              <a:cs typeface="+mn-cs"/>
            </a:rPr>
            <a:t>- Compares the current total employer cost with the estimated renewal total employer cost based on current employee counts.  </a:t>
          </a:r>
        </a:p>
        <a:p>
          <a:r>
            <a:rPr lang="en-US" sz="1100" u="none">
              <a:solidFill>
                <a:schemeClr val="tx1"/>
              </a:solidFill>
              <a:effectLst/>
              <a:latin typeface="+mn-lt"/>
              <a:ea typeface="+mn-ea"/>
              <a:cs typeface="+mn-cs"/>
            </a:rPr>
            <a:t> </a:t>
          </a:r>
          <a:endParaRPr lang="en-US" sz="1100">
            <a:solidFill>
              <a:schemeClr val="tx1"/>
            </a:solidFill>
            <a:effectLst/>
            <a:latin typeface="+mn-lt"/>
            <a:ea typeface="+mn-ea"/>
            <a:cs typeface="+mn-cs"/>
          </a:endParaRPr>
        </a:p>
        <a:p>
          <a:r>
            <a:rPr lang="en-US" sz="1100" u="sng" b="1">
              <a:solidFill>
                <a:srgbClr val="246DB4"/>
              </a:solidFill>
              <a:effectLst/>
              <a:latin typeface="+mn-lt"/>
              <a:ea typeface="+mn-ea"/>
              <a:cs typeface="+mn-cs"/>
            </a:rPr>
            <a:t>COMPANY</a:t>
          </a:r>
          <a:r>
            <a:rPr lang="en-US" sz="1100" u="sng" b="1" baseline="0">
              <a:solidFill>
                <a:srgbClr val="246DB4"/>
              </a:solidFill>
              <a:effectLst/>
              <a:latin typeface="+mn-lt"/>
              <a:ea typeface="+mn-ea"/>
              <a:cs typeface="+mn-cs"/>
            </a:rPr>
            <a:t> </a:t>
          </a:r>
          <a:r>
            <a:rPr lang="en-US" sz="1100" u="sng" b="1">
              <a:solidFill>
                <a:srgbClr val="246DB4"/>
              </a:solidFill>
              <a:effectLst/>
              <a:latin typeface="+mn-lt"/>
              <a:ea typeface="+mn-ea"/>
              <a:cs typeface="+mn-cs"/>
            </a:rPr>
            <a:t>BENEFIT</a:t>
          </a:r>
          <a:r>
            <a:rPr lang="en-US" sz="1100" u="sng" b="1" baseline="0">
              <a:solidFill>
                <a:srgbClr val="246DB4"/>
              </a:solidFill>
              <a:effectLst/>
              <a:latin typeface="+mn-lt"/>
              <a:ea typeface="+mn-ea"/>
              <a:cs typeface="+mn-cs"/>
            </a:rPr>
            <a:t> GROUP(S</a:t>
          </a:r>
          <a:r>
            <a:rPr lang="en-US" sz="1100" u="sng" b="1">
              <a:solidFill>
                <a:srgbClr val="246DB4"/>
              </a:solidFill>
              <a:effectLst/>
              <a:latin typeface="+mn-lt"/>
              <a:ea typeface="+mn-ea"/>
              <a:cs typeface="+mn-cs"/>
            </a:rPr>
            <a:t>)</a:t>
          </a:r>
          <a:endParaRPr lang="en-US" sz="1100" b="1">
            <a:solidFill>
              <a:srgbClr val="246DB4"/>
            </a:solidFill>
            <a:effectLst/>
            <a:latin typeface="+mn-lt"/>
            <a:ea typeface="+mn-ea"/>
            <a:cs typeface="+mn-cs"/>
          </a:endParaRPr>
        </a:p>
        <a:p>
          <a:pPr lvl="0"/>
          <a:r>
            <a:rPr lang="en-US" sz="1100" b="1">
              <a:solidFill>
                <a:schemeClr val="tx1"/>
              </a:solidFill>
              <a:effectLst/>
              <a:latin typeface="+mn-lt"/>
              <a:ea typeface="+mn-ea"/>
              <a:cs typeface="+mn-cs"/>
              <a:sym typeface="Symbol" panose="05050102010706020507" pitchFamily="18" charset="2"/>
            </a:rPr>
            <a:t></a:t>
          </a:r>
          <a:r>
            <a:rPr lang="en-US" sz="1100" b="1">
              <a:solidFill>
                <a:schemeClr val="tx1"/>
              </a:solidFill>
              <a:effectLst/>
              <a:latin typeface="+mn-lt"/>
              <a:ea typeface="+mn-ea"/>
              <a:cs typeface="+mn-cs"/>
            </a:rPr>
            <a:t>  Renewal Rates </a:t>
          </a:r>
          <a:r>
            <a:rPr lang="en-US" sz="1100">
              <a:solidFill>
                <a:schemeClr val="tx1"/>
              </a:solidFill>
              <a:effectLst/>
              <a:latin typeface="+mn-lt"/>
              <a:ea typeface="+mn-ea"/>
              <a:cs typeface="+mn-cs"/>
            </a:rPr>
            <a:t>– Displays the renewal rates for current medical and ancillary plan offerings.</a:t>
          </a:r>
        </a:p>
        <a:p>
          <a:pPr lvl="0"/>
          <a:r>
            <a:rPr lang="en-US" sz="1100" b="1">
              <a:solidFill>
                <a:schemeClr val="tx1"/>
              </a:solidFill>
              <a:effectLst/>
              <a:latin typeface="+mn-lt"/>
              <a:ea typeface="+mn-ea"/>
              <a:cs typeface="+mn-cs"/>
              <a:sym typeface="Symbol" panose="05050102010706020507" pitchFamily="18" charset="2"/>
            </a:rPr>
            <a:t></a:t>
          </a:r>
          <a:r>
            <a:rPr lang="en-US" sz="1100" b="1">
              <a:solidFill>
                <a:schemeClr val="tx1"/>
              </a:solidFill>
              <a:effectLst/>
              <a:latin typeface="+mn-lt"/>
              <a:ea typeface="+mn-ea"/>
              <a:cs typeface="+mn-cs"/>
            </a:rPr>
            <a:t>  Renewal Cost Comparison</a:t>
          </a:r>
          <a:r>
            <a:rPr lang="en-US" sz="1100">
              <a:solidFill>
                <a:schemeClr val="tx1"/>
              </a:solidFill>
              <a:effectLst/>
              <a:latin typeface="+mn-lt"/>
              <a:ea typeface="+mn-ea"/>
              <a:cs typeface="+mn-cs"/>
            </a:rPr>
            <a:t> - Provides a side-by-side comparison of current plan costs versus renewal rates.</a:t>
          </a:r>
        </a:p>
        <a:p>
          <a:pPr lvl="0"/>
          <a:r>
            <a:rPr lang="en-US" sz="1100" b="1">
              <a:solidFill>
                <a:schemeClr val="tx1"/>
              </a:solidFill>
              <a:effectLst/>
              <a:latin typeface="+mn-lt"/>
              <a:ea typeface="+mn-ea"/>
              <a:cs typeface="+mn-cs"/>
              <a:sym typeface="Symbol" panose="05050102010706020507" pitchFamily="18" charset="2"/>
            </a:rPr>
            <a:t></a:t>
          </a:r>
          <a:r>
            <a:rPr lang="en-US" sz="1100" b="1">
              <a:solidFill>
                <a:schemeClr val="tx1"/>
              </a:solidFill>
              <a:effectLst/>
              <a:latin typeface="+mn-lt"/>
              <a:ea typeface="+mn-ea"/>
              <a:cs typeface="+mn-cs"/>
            </a:rPr>
            <a:t>  Alternate Plan Cost Comparison</a:t>
          </a:r>
          <a:r>
            <a:rPr lang="en-US" sz="1100">
              <a:solidFill>
                <a:schemeClr val="tx1"/>
              </a:solidFill>
              <a:effectLst/>
              <a:latin typeface="+mn-lt"/>
              <a:ea typeface="+mn-ea"/>
              <a:cs typeface="+mn-cs"/>
            </a:rPr>
            <a:t> - Allows you to compare the costs of current plans with alternate plan options.</a:t>
          </a:r>
        </a:p>
        <a:p>
          <a:pPr lvl="0"/>
          <a:r>
            <a:rPr lang="en-US" sz="1100" b="1">
              <a:solidFill>
                <a:schemeClr val="tx1"/>
              </a:solidFill>
              <a:effectLst/>
              <a:latin typeface="+mn-lt"/>
              <a:ea typeface="+mn-ea"/>
              <a:cs typeface="+mn-cs"/>
              <a:sym typeface="Symbol" panose="05050102010706020507" pitchFamily="18" charset="2"/>
            </a:rPr>
            <a:t></a:t>
          </a:r>
          <a:r>
            <a:rPr lang="en-US" sz="1100" b="1">
              <a:solidFill>
                <a:schemeClr val="tx1"/>
              </a:solidFill>
              <a:effectLst/>
              <a:latin typeface="+mn-lt"/>
              <a:ea typeface="+mn-ea"/>
              <a:cs typeface="+mn-cs"/>
            </a:rPr>
            <a:t>  Employer Contributions</a:t>
          </a:r>
          <a:r>
            <a:rPr lang="en-US" sz="1100">
              <a:solidFill>
                <a:schemeClr val="tx1"/>
              </a:solidFill>
              <a:effectLst/>
              <a:latin typeface="+mn-lt"/>
              <a:ea typeface="+mn-ea"/>
              <a:cs typeface="+mn-cs"/>
            </a:rPr>
            <a:t> – Shows the current employer contributions for each plan. Dropdown menus enable you to experiment with different contribution scenarios, either by percentage or dollar amounts.</a:t>
          </a:r>
        </a:p>
        <a:p>
          <a:r>
            <a:rPr lang="en-US" sz="1100">
              <a:solidFill>
                <a:schemeClr val="tx1"/>
              </a:solidFill>
              <a:effectLst/>
              <a:latin typeface="+mn-lt"/>
              <a:ea typeface="+mn-ea"/>
              <a:cs typeface="+mn-cs"/>
            </a:rPr>
            <a:t> </a:t>
          </a:r>
        </a:p>
        <a:p>
          <a:r>
            <a:rPr lang="en-US" sz="1100" u="sng" b="1">
              <a:solidFill>
                <a:srgbClr val="246DB4"/>
              </a:solidFill>
              <a:effectLst/>
              <a:latin typeface="+mn-lt"/>
              <a:ea typeface="+mn-ea"/>
              <a:cs typeface="+mn-cs"/>
            </a:rPr>
            <a:t>SUMMARIES</a:t>
          </a:r>
          <a:endParaRPr lang="en-US" sz="1100" b="1">
            <a:solidFill>
              <a:srgbClr val="246DB4"/>
            </a:solidFill>
            <a:effectLst/>
            <a:latin typeface="+mn-lt"/>
            <a:ea typeface="+mn-ea"/>
            <a:cs typeface="+mn-cs"/>
          </a:endParaRPr>
        </a:p>
        <a:p>
          <a:pPr lvl="0"/>
          <a:r>
            <a:rPr lang="en-US" sz="1100" b="1">
              <a:solidFill>
                <a:schemeClr val="tx1"/>
              </a:solidFill>
              <a:effectLst/>
              <a:latin typeface="+mn-lt"/>
              <a:ea typeface="+mn-ea"/>
              <a:cs typeface="+mn-cs"/>
              <a:sym typeface="Symbol" panose="05050102010706020507" pitchFamily="18" charset="2"/>
            </a:rPr>
            <a:t></a:t>
          </a:r>
          <a:r>
            <a:rPr lang="en-US" sz="1100" b="1">
              <a:solidFill>
                <a:schemeClr val="tx1"/>
              </a:solidFill>
              <a:effectLst/>
              <a:latin typeface="+mn-lt"/>
              <a:ea typeface="+mn-ea"/>
              <a:cs typeface="+mn-cs"/>
            </a:rPr>
            <a:t>  Plan Design Comparisons</a:t>
          </a:r>
          <a:r>
            <a:rPr lang="en-US" sz="1100">
              <a:solidFill>
                <a:schemeClr val="tx1"/>
              </a:solidFill>
              <a:effectLst/>
              <a:latin typeface="+mn-lt"/>
              <a:ea typeface="+mn-ea"/>
              <a:cs typeface="+mn-cs"/>
            </a:rPr>
            <a:t> - Provides a side-by-side comparison of your current medical and ancillary plans with alternate plan options.</a:t>
          </a:r>
        </a:p>
        <a:p>
          <a:pPr lvl="0"/>
          <a:r>
            <a:rPr lang="en-US" sz="1100" b="1">
              <a:solidFill>
                <a:schemeClr val="tx1"/>
              </a:solidFill>
              <a:effectLst/>
              <a:latin typeface="+mn-lt"/>
              <a:ea typeface="+mn-ea"/>
              <a:cs typeface="+mn-cs"/>
              <a:sym typeface="Symbol" panose="05050102010706020507" pitchFamily="18" charset="2"/>
            </a:rPr>
            <a:t></a:t>
          </a:r>
          <a:r>
            <a:rPr lang="en-US" sz="1100" b="1">
              <a:solidFill>
                <a:schemeClr val="tx1"/>
              </a:solidFill>
              <a:effectLst/>
              <a:latin typeface="+mn-lt"/>
              <a:ea typeface="+mn-ea"/>
              <a:cs typeface="+mn-cs"/>
            </a:rPr>
            <a:t>  Plan Scenarios</a:t>
          </a:r>
          <a:r>
            <a:rPr lang="en-US" sz="1100">
              <a:solidFill>
                <a:schemeClr val="tx1"/>
              </a:solidFill>
              <a:effectLst/>
              <a:latin typeface="+mn-lt"/>
              <a:ea typeface="+mn-ea"/>
              <a:cs typeface="+mn-cs"/>
            </a:rPr>
            <a:t> - Displays the plans you select in the Company Benefit</a:t>
          </a:r>
          <a:r>
            <a:rPr lang="en-US" sz="1100" baseline="0">
              <a:solidFill>
                <a:schemeClr val="tx1"/>
              </a:solidFill>
              <a:effectLst/>
              <a:latin typeface="+mn-lt"/>
              <a:ea typeface="+mn-ea"/>
              <a:cs typeface="+mn-cs"/>
            </a:rPr>
            <a:t> Group</a:t>
          </a:r>
          <a:r>
            <a:rPr lang="en-US" sz="1100">
              <a:solidFill>
                <a:schemeClr val="tx1"/>
              </a:solidFill>
              <a:effectLst/>
              <a:latin typeface="+mn-lt"/>
              <a:ea typeface="+mn-ea"/>
              <a:cs typeface="+mn-cs"/>
            </a:rPr>
            <a:t> tabs as alternate plans for comparison.</a:t>
          </a:r>
        </a:p>
        <a:p>
          <a:r>
            <a:rPr lang="en-US" sz="1100">
              <a:solidFill>
                <a:schemeClr val="tx1"/>
              </a:solidFill>
              <a:effectLst/>
              <a:latin typeface="+mn-lt"/>
              <a:ea typeface="+mn-ea"/>
              <a:cs typeface="+mn-cs"/>
            </a:rPr>
            <a:t> </a:t>
          </a:r>
        </a:p>
        <a:p>
          <a:pPr algn="ctr"/>
          <a:r>
            <a:rPr lang="en-US" sz="1100">
              <a:solidFill>
                <a:schemeClr val="tx1"/>
              </a:solidFill>
              <a:effectLst/>
              <a:latin typeface="+mn-lt"/>
              <a:ea typeface="+mn-ea"/>
              <a:cs typeface="+mn-cs"/>
            </a:rPr>
            <a:t>We hope you find this workbook helpful and look forward to assisting you with your renewal process.</a:t>
          </a:r>
        </a:p>
        <a:p>
          <a:endParaRPr lang="en-US" sz="1100"/>
        </a:p>
      </xdr:txBody>
    </xdr:sp>
    <xdr:clientData/>
  </xdr:twoCellAnchor>
  <xdr:twoCellAnchor editAs="oneCell">
    <xdr:from>
      <xdr:col>0</xdr:col>
      <xdr:colOff>177164</xdr:colOff>
      <xdr:row>0</xdr:row>
      <xdr:rowOff>57150</xdr:rowOff>
    </xdr:from>
    <xdr:to>
      <xdr:col>0</xdr:col>
      <xdr:colOff>2903219</xdr:colOff>
      <xdr:row>3</xdr:row>
      <xdr:rowOff>32903</xdr:rowOff>
    </xdr:to>
    <xdr:pic>
      <xdr:nvPicPr>
        <xdr:cNvPr id="7" name="Picture 6">
          <a:extLst>
            <a:ext uri="{FF2B5EF4-FFF2-40B4-BE49-F238E27FC236}">
              <a16:creationId xmlns:a16="http://schemas.microsoft.com/office/drawing/2014/main" id="{00000000-0008-0000-0400-000007000000}"/>
            </a:ext>
          </a:extLst>
        </xdr:cNvPr>
        <xdr:cNvPicPr>
          <a:picLocks noChangeArrowheads="1" noChangeAspect="1"/>
        </xdr:cNvPicPr>
      </xdr:nvPicPr>
      <xdr:blipFill>
        <a:blip r:embed="rId1">
          <a:extLst>
            <a:ext uri="{28A0092B-C50C-407E-A947-70E740481C1C}">
              <a14:useLocalDpi xmlns:a14="http://schemas.microsoft.com/office/drawing/2010/main"/>
            </a:ext>
          </a:extLst>
        </a:blip>
        <a:stretch>
          <a:fillRect/>
        </a:stretch>
      </xdr:blipFill>
      <xdr:spPr bwMode="auto">
        <a:xfrm>
          <a:off x="180975" y="57150"/>
          <a:ext cx="2724150" cy="457200"/>
        </a:xfrm>
        <a:prstGeom prst="rect"/>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7622</xdr:colOff>
      <xdr:row>0</xdr:row>
      <xdr:rowOff>144780</xdr:rowOff>
    </xdr:from>
    <xdr:to>
      <xdr:col>5</xdr:col>
      <xdr:colOff>1179196</xdr:colOff>
      <xdr:row>1</xdr:row>
      <xdr:rowOff>405765</xdr:rowOff>
    </xdr:to>
    <xdr:sp>
      <xdr:nvSpPr>
        <xdr:cNvPr id="3" name="Rectangle: Rounded Corners 2">
          <a:extLst>
            <a:ext uri="{FF2B5EF4-FFF2-40B4-BE49-F238E27FC236}">
              <a16:creationId xmlns:a16="http://schemas.microsoft.com/office/drawing/2014/main" id="{00000000-0008-0000-0500-000003000000}"/>
            </a:ext>
          </a:extLst>
        </xdr:cNvPr>
        <xdr:cNvSpPr/>
      </xdr:nvSpPr>
      <xdr:spPr>
        <a:xfrm>
          <a:off x="2114550" y="142875"/>
          <a:ext cx="5972175" cy="409575"/>
        </a:xfrm>
        <a:prstGeom prst="roundRect"/>
        <a:solidFill>
          <a:srgbClr val="004282"/>
        </a:solidFill>
        <a:ln>
          <a:no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b"/>
        <a:lstStyle/>
        <a:p>
          <a:pPr algn="ctr" defTabSz="914400" fontAlgn="auto" indent="0" lvl="0" marL="0" marR="0" hangingPunct="1" eaLnBrk="1" latinLnBrk="0" rtl="0">
            <a:lnSpc>
              <a:spcPct val="100000"/>
            </a:lnSpc>
            <a:spcBef>
              <a:spcPts val="0"/>
            </a:spcBef>
            <a:spcAft>
              <a:spcPts val="0"/>
            </a:spcAft>
            <a:buClrTx/>
            <a:buSzTx/>
            <a:buFontTx/>
            <a:buNone/>
          </a:pPr>
          <a:r>
            <a:rPr lang="en-US" sz="1800" b="1" i="0" baseline="0">
              <a:solidFill>
                <a:schemeClr val="bg1"/>
              </a:solidFill>
              <a:effectLst/>
              <a:latin typeface="Arial" panose="020B0604020202020204" pitchFamily="34" charset="0"/>
              <a:ea typeface="+mn-ea"/>
              <a:cs typeface="Arial" panose="020B0604020202020204" pitchFamily="34" charset="0"/>
            </a:rPr>
            <a:t>Total Cost Recap (Medical, Dental, Vision)</a:t>
          </a:r>
          <a:endParaRPr lang="en-US" sz="1800">
            <a:solidFill>
              <a:srgbClr val="000000"/>
            </a:solidFill>
            <a:effectLst/>
            <a:latin typeface="Arial" panose="020B0604020202020204" pitchFamily="34" charset="0"/>
            <a:cs typeface="Arial" panose="020B0604020202020204" pitchFamily="34" charset="0"/>
          </a:endParaRPr>
        </a:p>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0</xdr:row>
      <xdr:rowOff>0</xdr:rowOff>
    </xdr:from>
    <xdr:to>
      <xdr:col>4</xdr:col>
      <xdr:colOff>945664</xdr:colOff>
      <xdr:row>2</xdr:row>
      <xdr:rowOff>190500</xdr:rowOff>
    </xdr:to>
    <xdr:pic>
      <xdr:nvPicPr>
        <xdr:cNvPr id="2" name="Picture 1">
          <a:extLst>
            <a:ext uri="{FF2B5EF4-FFF2-40B4-BE49-F238E27FC236}">
              <a16:creationId xmlns:a16="http://schemas.microsoft.com/office/drawing/2014/main" id="{00000000-0008-0000-0600-000002000000}"/>
            </a:ext>
          </a:extLst>
        </xdr:cNvPr>
        <xdr:cNvPicPr>
          <a:picLocks noChangeArrowheads="1" noChangeAspect="1"/>
        </xdr:cNvPicPr>
      </xdr:nvPicPr>
      <xdr:blipFill>
        <a:blip r:embed="rId1">
          <a:extLst>
            <a:ext uri="{28A0092B-C50C-407E-A947-70E740481C1C}">
              <a14:useLocalDpi xmlns:a14="http://schemas.microsoft.com/office/drawing/2010/main"/>
            </a:ext>
          </a:extLst>
        </a:blip>
        <a:stretch>
          <a:fillRect/>
        </a:stretch>
      </xdr:blipFill>
      <xdr:spPr bwMode="auto">
        <a:xfrm>
          <a:off x="0" y="0"/>
          <a:ext cx="4181475" cy="781050"/>
        </a:xfrm>
        <a:prstGeom prst="rect"/>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31750</xdr:colOff>
          <xdr:row>9</xdr:row>
          <xdr:rowOff>222250</xdr:rowOff>
        </xdr:from>
        <xdr:to>
          <xdr:col>2</xdr:col>
          <xdr:colOff>609600</xdr:colOff>
          <xdr:row>11</xdr:row>
          <xdr:rowOff>0</xdr:rowOff>
        </xdr:to>
        <xdr:sp macro="[0]!Loc">
          <xdr:nvSpPr>
            <xdr:cNvPr id="3081" name="Button 9" hidden="1">
              <a:extLst>
                <a:ext uri="{63B3BB69-23CF-44E3-9099-C40C66FF867C}">
                  <a14:compatExt spid="_x0000_s3081"/>
                </a:ext>
                <a:ext uri="{FF2B5EF4-FFF2-40B4-BE49-F238E27FC236}">
                  <a16:creationId xmlns:a16="http://schemas.microsoft.com/office/drawing/2014/main" id="{00000000-0008-0000-0600-0000090c0000}"/>
                </a:ext>
              </a:extLst>
            </xdr:cNvPr>
            <xdr:cNvSpPr>
              <a:spLocks noRot="1"/>
            </xdr:cNvSpPr>
          </xdr:nvSpPr>
          <xdr:spPr>
            <a:xfrm>
              <a:off x="28575" y="2590800"/>
              <a:ext cx="581025" cy="238125"/>
            </a:xfrm>
            <a:prstGeom prst="rect"/>
            <a:ln>
              <a:solidFill>
                <a:srgbClr val="000000"/>
              </a:solidFill>
            </a:ln>
          </xdr:spPr>
          <xdr:txBody>
            <a:bodyPr lIns="36576" tIns="32004" rIns="36576" bIns="32004" vertOverflow="clip" wrap="square" anchor="ctr" upright="1"/>
            <a:p>
              <a:pPr algn="ctr" rtl="0"/>
              <a:r>
                <a:rPr lang="en-US" sz="1000" u="none" b="0" i="0" baseline="0">
                  <a:solidFill>
                    <a:srgbClr val="000000"/>
                  </a:solidFill>
                  <a:latin typeface="Times New Roman"/>
                  <a:cs typeface="Times New Roman"/>
                </a:rPr>
                <a:t>Open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0</xdr:row>
      <xdr:rowOff>0</xdr:rowOff>
    </xdr:from>
    <xdr:to>
      <xdr:col>4</xdr:col>
      <xdr:colOff>945664</xdr:colOff>
      <xdr:row>2</xdr:row>
      <xdr:rowOff>190500</xdr:rowOff>
    </xdr:to>
    <xdr:pic>
      <xdr:nvPicPr>
        <xdr:cNvPr id="2" name="Picture 1">
          <a:extLst>
            <a:ext uri="{FF2B5EF4-FFF2-40B4-BE49-F238E27FC236}">
              <a16:creationId xmlns:a16="http://schemas.microsoft.com/office/drawing/2014/main" id="{00000000-0008-0000-0700-000002000000}"/>
            </a:ext>
          </a:extLst>
        </xdr:cNvPr>
        <xdr:cNvPicPr>
          <a:picLocks noChangeArrowheads="1" noChangeAspect="1"/>
        </xdr:cNvPicPr>
      </xdr:nvPicPr>
      <xdr:blipFill>
        <a:blip r:embed="rId1">
          <a:extLst>
            <a:ext uri="{28A0092B-C50C-407E-A947-70E740481C1C}">
              <a14:useLocalDpi xmlns:a14="http://schemas.microsoft.com/office/drawing/2010/main"/>
            </a:ext>
          </a:extLst>
        </a:blip>
        <a:stretch>
          <a:fillRect/>
        </a:stretch>
      </xdr:blipFill>
      <xdr:spPr bwMode="auto">
        <a:xfrm>
          <a:off x="0" y="0"/>
          <a:ext cx="4181475" cy="781050"/>
        </a:xfrm>
        <a:prstGeom prst="rect"/>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31750</xdr:colOff>
          <xdr:row>9</xdr:row>
          <xdr:rowOff>222250</xdr:rowOff>
        </xdr:from>
        <xdr:to>
          <xdr:col>2</xdr:col>
          <xdr:colOff>609600</xdr:colOff>
          <xdr:row>11</xdr:row>
          <xdr:rowOff>0</xdr:rowOff>
        </xdr:to>
        <xdr:sp macro="[0]!Loc">
          <xdr:nvSpPr>
            <xdr:cNvPr id="9221" name="Button 5" hidden="1">
              <a:extLst>
                <a:ext uri="{63B3BB69-23CF-44E3-9099-C40C66FF867C}">
                  <a14:compatExt spid="_x0000_s9221"/>
                </a:ext>
                <a:ext uri="{FF2B5EF4-FFF2-40B4-BE49-F238E27FC236}">
                  <a16:creationId xmlns:a16="http://schemas.microsoft.com/office/drawing/2014/main" id="{00000000-0008-0000-0700-000005240000}"/>
                </a:ext>
              </a:extLst>
            </xdr:cNvPr>
            <xdr:cNvSpPr>
              <a:spLocks noRot="1"/>
            </xdr:cNvSpPr>
          </xdr:nvSpPr>
          <xdr:spPr>
            <a:xfrm>
              <a:off x="28575" y="2590800"/>
              <a:ext cx="581025" cy="238125"/>
            </a:xfrm>
            <a:prstGeom prst="rect"/>
            <a:ln>
              <a:solidFill>
                <a:srgbClr val="000000"/>
              </a:solidFill>
            </a:ln>
          </xdr:spPr>
          <xdr:txBody>
            <a:bodyPr lIns="36576" tIns="32004" rIns="36576" bIns="32004" vertOverflow="clip" wrap="square" anchor="ctr" upright="1"/>
            <a:p>
              <a:pPr algn="ctr" rtl="0"/>
              <a:r>
                <a:rPr lang="en-US" sz="1000" u="none" b="0" i="0" baseline="0">
                  <a:solidFill>
                    <a:srgbClr val="000000"/>
                  </a:solidFill>
                  <a:latin typeface="Times New Roman"/>
                  <a:cs typeface="Times New Roman"/>
                </a:rPr>
                <a:t>Open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0</xdr:row>
      <xdr:rowOff>0</xdr:rowOff>
    </xdr:from>
    <xdr:to>
      <xdr:col>4</xdr:col>
      <xdr:colOff>945664</xdr:colOff>
      <xdr:row>2</xdr:row>
      <xdr:rowOff>190500</xdr:rowOff>
    </xdr:to>
    <xdr:pic>
      <xdr:nvPicPr>
        <xdr:cNvPr id="2" name="Picture 1">
          <a:extLst>
            <a:ext uri="{FF2B5EF4-FFF2-40B4-BE49-F238E27FC236}">
              <a16:creationId xmlns:a16="http://schemas.microsoft.com/office/drawing/2014/main" id="{00000000-0008-0000-0800-000002000000}"/>
            </a:ext>
          </a:extLst>
        </xdr:cNvPr>
        <xdr:cNvPicPr>
          <a:picLocks noChangeArrowheads="1" noChangeAspect="1"/>
        </xdr:cNvPicPr>
      </xdr:nvPicPr>
      <xdr:blipFill>
        <a:blip r:embed="rId1">
          <a:extLst>
            <a:ext uri="{28A0092B-C50C-407E-A947-70E740481C1C}">
              <a14:useLocalDpi xmlns:a14="http://schemas.microsoft.com/office/drawing/2010/main"/>
            </a:ext>
          </a:extLst>
        </a:blip>
        <a:stretch>
          <a:fillRect/>
        </a:stretch>
      </xdr:blipFill>
      <xdr:spPr bwMode="auto">
        <a:xfrm>
          <a:off x="0" y="0"/>
          <a:ext cx="4181475" cy="781050"/>
        </a:xfrm>
        <a:prstGeom prst="rect"/>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31750</xdr:colOff>
          <xdr:row>9</xdr:row>
          <xdr:rowOff>222250</xdr:rowOff>
        </xdr:from>
        <xdr:to>
          <xdr:col>2</xdr:col>
          <xdr:colOff>609600</xdr:colOff>
          <xdr:row>11</xdr:row>
          <xdr:rowOff>0</xdr:rowOff>
        </xdr:to>
        <xdr:sp macro="[0]!Loc">
          <xdr:nvSpPr>
            <xdr:cNvPr id="10244" name="Button 4" hidden="1">
              <a:extLst>
                <a:ext uri="{63B3BB69-23CF-44E3-9099-C40C66FF867C}">
                  <a14:compatExt spid="_x0000_s10244"/>
                </a:ext>
                <a:ext uri="{FF2B5EF4-FFF2-40B4-BE49-F238E27FC236}">
                  <a16:creationId xmlns:a16="http://schemas.microsoft.com/office/drawing/2014/main" id="{00000000-0008-0000-0800-000004280000}"/>
                </a:ext>
              </a:extLst>
            </xdr:cNvPr>
            <xdr:cNvSpPr>
              <a:spLocks noRot="1"/>
            </xdr:cNvSpPr>
          </xdr:nvSpPr>
          <xdr:spPr>
            <a:xfrm>
              <a:off x="28575" y="2590800"/>
              <a:ext cx="581025" cy="238125"/>
            </a:xfrm>
            <a:prstGeom prst="rect"/>
            <a:ln>
              <a:solidFill>
                <a:srgbClr val="000000"/>
              </a:solidFill>
            </a:ln>
          </xdr:spPr>
          <xdr:txBody>
            <a:bodyPr lIns="36576" tIns="32004" rIns="36576" bIns="32004" vertOverflow="clip" wrap="square" anchor="ctr" upright="1"/>
            <a:p>
              <a:pPr algn="ctr" rtl="0"/>
              <a:r>
                <a:rPr lang="en-US" sz="1000" u="none" b="0" i="0" baseline="0">
                  <a:solidFill>
                    <a:srgbClr val="000000"/>
                  </a:solidFill>
                  <a:latin typeface="Times New Roman"/>
                  <a:cs typeface="Times New Roman"/>
                </a:rPr>
                <a:t>Open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0</xdr:row>
      <xdr:rowOff>0</xdr:rowOff>
    </xdr:from>
    <xdr:to>
      <xdr:col>4</xdr:col>
      <xdr:colOff>945664</xdr:colOff>
      <xdr:row>2</xdr:row>
      <xdr:rowOff>190500</xdr:rowOff>
    </xdr:to>
    <xdr:pic>
      <xdr:nvPicPr>
        <xdr:cNvPr id="2" name="Picture 1">
          <a:extLst>
            <a:ext uri="{FF2B5EF4-FFF2-40B4-BE49-F238E27FC236}">
              <a16:creationId xmlns:a16="http://schemas.microsoft.com/office/drawing/2014/main" id="{00000000-0008-0000-0900-000002000000}"/>
            </a:ext>
          </a:extLst>
        </xdr:cNvPr>
        <xdr:cNvPicPr>
          <a:picLocks noChangeArrowheads="1" noChangeAspect="1"/>
        </xdr:cNvPicPr>
      </xdr:nvPicPr>
      <xdr:blipFill>
        <a:blip r:embed="rId1">
          <a:extLst>
            <a:ext uri="{28A0092B-C50C-407E-A947-70E740481C1C}">
              <a14:useLocalDpi xmlns:a14="http://schemas.microsoft.com/office/drawing/2010/main"/>
            </a:ext>
          </a:extLst>
        </a:blip>
        <a:stretch>
          <a:fillRect/>
        </a:stretch>
      </xdr:blipFill>
      <xdr:spPr bwMode="auto">
        <a:xfrm>
          <a:off x="0" y="0"/>
          <a:ext cx="4181475" cy="781050"/>
        </a:xfrm>
        <a:prstGeom prst="rect"/>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31750</xdr:colOff>
          <xdr:row>9</xdr:row>
          <xdr:rowOff>222250</xdr:rowOff>
        </xdr:from>
        <xdr:to>
          <xdr:col>2</xdr:col>
          <xdr:colOff>609600</xdr:colOff>
          <xdr:row>11</xdr:row>
          <xdr:rowOff>0</xdr:rowOff>
        </xdr:to>
        <xdr:sp macro="[0]!Loc">
          <xdr:nvSpPr>
            <xdr:cNvPr id="11268" name="Button 4" hidden="1">
              <a:extLst>
                <a:ext uri="{63B3BB69-23CF-44E3-9099-C40C66FF867C}">
                  <a14:compatExt spid="_x0000_s11268"/>
                </a:ext>
                <a:ext uri="{FF2B5EF4-FFF2-40B4-BE49-F238E27FC236}">
                  <a16:creationId xmlns:a16="http://schemas.microsoft.com/office/drawing/2014/main" id="{00000000-0008-0000-0900-0000042c0000}"/>
                </a:ext>
              </a:extLst>
            </xdr:cNvPr>
            <xdr:cNvSpPr>
              <a:spLocks noRot="1"/>
            </xdr:cNvSpPr>
          </xdr:nvSpPr>
          <xdr:spPr>
            <a:xfrm>
              <a:off x="28575" y="2590800"/>
              <a:ext cx="581025" cy="238125"/>
            </a:xfrm>
            <a:prstGeom prst="rect"/>
            <a:ln>
              <a:solidFill>
                <a:srgbClr val="000000"/>
              </a:solidFill>
            </a:ln>
          </xdr:spPr>
          <xdr:txBody>
            <a:bodyPr lIns="36576" tIns="32004" rIns="36576" bIns="32004" vertOverflow="clip" wrap="square" anchor="ctr" upright="1"/>
            <a:p>
              <a:pPr algn="ctr" rtl="0"/>
              <a:r>
                <a:rPr lang="en-US" sz="1000" u="none" b="0" i="0" baseline="0">
                  <a:solidFill>
                    <a:srgbClr val="000000"/>
                  </a:solidFill>
                  <a:latin typeface="Times New Roman"/>
                  <a:cs typeface="Times New Roman"/>
                </a:rPr>
                <a:t>Open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0</xdr:row>
      <xdr:rowOff>0</xdr:rowOff>
    </xdr:from>
    <xdr:to>
      <xdr:col>4</xdr:col>
      <xdr:colOff>945664</xdr:colOff>
      <xdr:row>2</xdr:row>
      <xdr:rowOff>190500</xdr:rowOff>
    </xdr:to>
    <xdr:pic>
      <xdr:nvPicPr>
        <xdr:cNvPr id="2" name="Picture 1">
          <a:extLst>
            <a:ext uri="{FF2B5EF4-FFF2-40B4-BE49-F238E27FC236}">
              <a16:creationId xmlns:a16="http://schemas.microsoft.com/office/drawing/2014/main" id="{00000000-0008-0000-0a00-000002000000}"/>
            </a:ext>
          </a:extLst>
        </xdr:cNvPr>
        <xdr:cNvPicPr>
          <a:picLocks noChangeArrowheads="1" noChangeAspect="1"/>
        </xdr:cNvPicPr>
      </xdr:nvPicPr>
      <xdr:blipFill>
        <a:blip r:embed="rId1">
          <a:extLst>
            <a:ext uri="{28A0092B-C50C-407E-A947-70E740481C1C}">
              <a14:useLocalDpi xmlns:a14="http://schemas.microsoft.com/office/drawing/2010/main"/>
            </a:ext>
          </a:extLst>
        </a:blip>
        <a:stretch>
          <a:fillRect/>
        </a:stretch>
      </xdr:blipFill>
      <xdr:spPr bwMode="auto">
        <a:xfrm>
          <a:off x="0" y="0"/>
          <a:ext cx="4181475" cy="781050"/>
        </a:xfrm>
        <a:prstGeom prst="rect"/>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31750</xdr:colOff>
          <xdr:row>9</xdr:row>
          <xdr:rowOff>222250</xdr:rowOff>
        </xdr:from>
        <xdr:to>
          <xdr:col>2</xdr:col>
          <xdr:colOff>609600</xdr:colOff>
          <xdr:row>11</xdr:row>
          <xdr:rowOff>0</xdr:rowOff>
        </xdr:to>
        <xdr:sp macro="[0]!Loc">
          <xdr:nvSpPr>
            <xdr:cNvPr id="12292" name="Button 4" hidden="1">
              <a:extLst>
                <a:ext uri="{63B3BB69-23CF-44E3-9099-C40C66FF867C}">
                  <a14:compatExt spid="_x0000_s12292"/>
                </a:ext>
                <a:ext uri="{FF2B5EF4-FFF2-40B4-BE49-F238E27FC236}">
                  <a16:creationId xmlns:a16="http://schemas.microsoft.com/office/drawing/2014/main" id="{00000000-0008-0000-0a00-000004300000}"/>
                </a:ext>
              </a:extLst>
            </xdr:cNvPr>
            <xdr:cNvSpPr>
              <a:spLocks noRot="1"/>
            </xdr:cNvSpPr>
          </xdr:nvSpPr>
          <xdr:spPr>
            <a:xfrm>
              <a:off x="28575" y="2590800"/>
              <a:ext cx="581025" cy="238125"/>
            </a:xfrm>
            <a:prstGeom prst="rect"/>
            <a:ln>
              <a:solidFill>
                <a:srgbClr val="000000"/>
              </a:solidFill>
            </a:ln>
          </xdr:spPr>
          <xdr:txBody>
            <a:bodyPr lIns="36576" tIns="32004" rIns="36576" bIns="32004" vertOverflow="clip" wrap="square" anchor="ctr" upright="1"/>
            <a:p>
              <a:pPr algn="ctr" rtl="0"/>
              <a:r>
                <a:rPr lang="en-US" sz="1000" u="none" b="0" i="0" baseline="0">
                  <a:solidFill>
                    <a:srgbClr val="000000"/>
                  </a:solidFill>
                  <a:latin typeface="Times New Roman"/>
                  <a:cs typeface="Times New Roman"/>
                </a:rPr>
                <a:t>Open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0</xdr:row>
      <xdr:rowOff>0</xdr:rowOff>
    </xdr:from>
    <xdr:to>
      <xdr:col>4</xdr:col>
      <xdr:colOff>945664</xdr:colOff>
      <xdr:row>2</xdr:row>
      <xdr:rowOff>190500</xdr:rowOff>
    </xdr:to>
    <xdr:pic>
      <xdr:nvPicPr>
        <xdr:cNvPr id="2" name="Picture 1">
          <a:extLst>
            <a:ext uri="{FF2B5EF4-FFF2-40B4-BE49-F238E27FC236}">
              <a16:creationId xmlns:a16="http://schemas.microsoft.com/office/drawing/2014/main" id="{6366d8fe-489f-4de3-8bf9-af069f41621c}"/>
            </a:ext>
          </a:extLst>
        </xdr:cNvPr>
        <xdr:cNvPicPr>
          <a:picLocks noChangeArrowheads="1" noChangeAspect="1"/>
        </xdr:cNvPicPr>
      </xdr:nvPicPr>
      <xdr:blipFill>
        <a:blip r:embed="rId1">
          <a:extLst>
            <a:ext uri="{28A0092B-C50C-407E-A947-70E740481C1C}">
              <a14:useLocalDpi xmlns:a14="http://schemas.microsoft.com/office/drawing/2010/main"/>
            </a:ext>
          </a:extLst>
        </a:blip>
        <a:stretch>
          <a:fillRect/>
        </a:stretch>
      </xdr:blipFill>
      <xdr:spPr bwMode="auto">
        <a:xfrm>
          <a:off x="0" y="0"/>
          <a:ext cx="4181475" cy="781050"/>
        </a:xfrm>
        <a:prstGeom prst="rect"/>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31750</xdr:colOff>
          <xdr:row>9</xdr:row>
          <xdr:rowOff>222250</xdr:rowOff>
        </xdr:from>
        <xdr:to>
          <xdr:col>2</xdr:col>
          <xdr:colOff>609600</xdr:colOff>
          <xdr:row>11</xdr:row>
          <xdr:rowOff>0</xdr:rowOff>
        </xdr:to>
        <xdr:sp macro="[0]!Loc">
          <xdr:nvSpPr>
            <xdr:cNvPr id="13316" name="Button 4" hidden="1">
              <a:extLst>
                <a:ext uri="{63B3BB69-23CF-44E3-9099-C40C66FF867C}">
                  <a14:compatExt spid="_x0000_s13316"/>
                </a:ext>
                <a:ext uri="{FF2B5EF4-FFF2-40B4-BE49-F238E27FC236}">
                  <a16:creationId xmlns:a16="http://schemas.microsoft.com/office/drawing/2014/main" id="{00000000-0008-0000-0b00-000004340000}"/>
                </a:ext>
              </a:extLst>
            </xdr:cNvPr>
            <xdr:cNvSpPr>
              <a:spLocks noRot="1"/>
            </xdr:cNvSpPr>
          </xdr:nvSpPr>
          <xdr:spPr>
            <a:xfrm>
              <a:off x="28575" y="2590800"/>
              <a:ext cx="581025" cy="238125"/>
            </a:xfrm>
            <a:prstGeom prst="rect"/>
            <a:ln>
              <a:solidFill>
                <a:srgbClr val="000000"/>
              </a:solidFill>
            </a:ln>
          </xdr:spPr>
          <xdr:txBody>
            <a:bodyPr lIns="36576" tIns="32004" rIns="36576" bIns="32004" vertOverflow="clip" wrap="square" anchor="ctr" upright="1"/>
            <a:p>
              <a:pPr algn="ctr" rtl="0"/>
              <a:r>
                <a:rPr lang="en-US" sz="1000" u="none" b="0" i="0" baseline="0">
                  <a:solidFill>
                    <a:srgbClr val="000000"/>
                  </a:solidFill>
                  <a:latin typeface="Times New Roman"/>
                  <a:cs typeface="Times New Roman"/>
                </a:rPr>
                <a:t>Open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0</xdr:row>
      <xdr:rowOff>0</xdr:rowOff>
    </xdr:from>
    <xdr:to>
      <xdr:col>4</xdr:col>
      <xdr:colOff>942489</xdr:colOff>
      <xdr:row>2</xdr:row>
      <xdr:rowOff>190500</xdr:rowOff>
    </xdr:to>
    <xdr:pic>
      <xdr:nvPicPr>
        <xdr:cNvPr id="2" name="Picture 1">
          <a:extLst>
            <a:ext uri="{FF2B5EF4-FFF2-40B4-BE49-F238E27FC236}">
              <a16:creationId xmlns:a16="http://schemas.microsoft.com/office/drawing/2014/main" id="{00000000-0008-0000-0c00-000002000000}"/>
            </a:ext>
          </a:extLst>
        </xdr:cNvPr>
        <xdr:cNvPicPr>
          <a:picLocks noChangeArrowheads="1" noChangeAspect="1"/>
        </xdr:cNvPicPr>
      </xdr:nvPicPr>
      <xdr:blipFill>
        <a:blip r:embed="rId1">
          <a:extLst>
            <a:ext uri="{28A0092B-C50C-407E-A947-70E740481C1C}">
              <a14:useLocalDpi xmlns:a14="http://schemas.microsoft.com/office/drawing/2010/main"/>
            </a:ext>
          </a:extLst>
        </a:blip>
        <a:stretch>
          <a:fillRect/>
        </a:stretch>
      </xdr:blipFill>
      <xdr:spPr bwMode="auto">
        <a:xfrm>
          <a:off x="0" y="0"/>
          <a:ext cx="4181475" cy="781050"/>
        </a:xfrm>
        <a:prstGeom prst="rect"/>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31750</xdr:colOff>
          <xdr:row>9</xdr:row>
          <xdr:rowOff>222250</xdr:rowOff>
        </xdr:from>
        <xdr:to>
          <xdr:col>2</xdr:col>
          <xdr:colOff>609600</xdr:colOff>
          <xdr:row>11</xdr:row>
          <xdr:rowOff>0</xdr:rowOff>
        </xdr:to>
        <xdr:sp macro="[0]!Loc">
          <xdr:nvSpPr>
            <xdr:cNvPr id="4101" name="Button 5" hidden="1">
              <a:extLst>
                <a:ext uri="{63B3BB69-23CF-44E3-9099-C40C66FF867C}">
                  <a14:compatExt spid="_x0000_s4101"/>
                </a:ext>
                <a:ext uri="{FF2B5EF4-FFF2-40B4-BE49-F238E27FC236}">
                  <a16:creationId xmlns:a16="http://schemas.microsoft.com/office/drawing/2014/main" id="{00000000-0008-0000-0c00-000005100000}"/>
                </a:ext>
              </a:extLst>
            </xdr:cNvPr>
            <xdr:cNvSpPr>
              <a:spLocks noRot="1"/>
            </xdr:cNvSpPr>
          </xdr:nvSpPr>
          <xdr:spPr>
            <a:xfrm>
              <a:off x="28575" y="2590800"/>
              <a:ext cx="581025" cy="238125"/>
            </a:xfrm>
            <a:prstGeom prst="rect"/>
            <a:ln>
              <a:solidFill>
                <a:srgbClr val="000000"/>
              </a:solidFill>
            </a:ln>
          </xdr:spPr>
          <xdr:txBody>
            <a:bodyPr lIns="36576" tIns="32004" rIns="36576" bIns="32004" vertOverflow="clip" wrap="square" anchor="ctr" upright="1"/>
            <a:p>
              <a:pPr algn="ctr" rtl="0"/>
              <a:r>
                <a:rPr lang="en-US" sz="1000" u="none" b="0" i="0" baseline="0">
                  <a:solidFill>
                    <a:srgbClr val="000000"/>
                  </a:solidFill>
                  <a:latin typeface="Times New Roman"/>
                  <a:cs typeface="Times New Roman"/>
                </a:rPr>
                <a:t>Open</a:t>
              </a:r>
            </a:p>
          </xdr:txBody>
        </xdr:sp>
        <xdr:clientData fPrintsWithSheet="0"/>
      </xdr:twoCellAnchor>
    </mc:Choice>
    <mc:Fallback/>
  </mc:AlternateContent>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IMPORTS/WIP/WIP_Benefit%20Renewal%20Workbook_AfterFields.xlsm" TargetMode="External" /><Relationship Id="rId3" Type="http://schemas.openxmlformats.org/officeDocument/2006/relationships/externalLinkPath" Target="https://employersolution.sharepoint.com/sites/PHR-ClientSpaceProfessionalServices/Shared Documents/Caseland/QUEST - QuestCo/Benefits Module/Updated Renewal Workbook Template/Working Version Template - No Fill/WIP_Benefit Renewal Workbook_AfterFields.xlsm" TargetMode="External" /></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2\Business%20Development\sales\Quotes\Enrollment%20Forms%20-%20Questco%20Plan\UHC%20Master%20Plan\2024\Final%202024%20Templates\Questco%20Full%20Plan%20Grid%20Proposal%20Template%202024%20-%20Final.xlsx" TargetMode="External" /><Relationship Id="rId3" Type="http://schemas.openxmlformats.org/officeDocument/2006/relationships/externalLinkPath" Target="file:///\\10.0.0.2\Business Development\sales\Quotes\Enrollment Forms - Questco Plan\UHC Master Plan\2024\Final 2024 Templates\Questco Full Plan Grid Proposal Template 2024 - Final.xlsx" TargetMode="External" /></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lternateUrl r:id="rId3"/>
    </xxl21:alternateUrls>
    <sheetNames>
      <sheetName val="Renewal Sheet"/>
      <sheetName val="CSExport"/>
      <sheetName val="ClassesPlans"/>
      <sheetName val="CurrentPlans"/>
      <sheetName val="RenewalPlans"/>
      <sheetName val="Welcome"/>
      <sheetName val="Total Cost"/>
      <sheetName val="Class 1"/>
      <sheetName val="Class 2"/>
      <sheetName val="Class 3"/>
      <sheetName val="Class 4"/>
      <sheetName val="Class 5"/>
      <sheetName val="Class 6"/>
      <sheetName val="Class 7"/>
      <sheetName val="Health Summary"/>
      <sheetName val="Dental Summary"/>
      <sheetName val="Vision Summary"/>
      <sheetName val="STD Summary"/>
      <sheetName val="LTD Summary"/>
      <sheetName val="Life 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lternateUrl r:id="rId3"/>
    </xxl21:alternateUrls>
    <sheetNames>
      <sheetName val="Input"/>
      <sheetName val="Choice Premier"/>
      <sheetName val="Primary Advantage"/>
      <sheetName val="Flex"/>
      <sheetName val="HSA"/>
      <sheetName val="SC Plans"/>
      <sheetName val="HI, NV Plans"/>
      <sheetName val="Dental &amp; Vision"/>
      <sheetName val="2024 Rates"/>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printerSettings" Target="../printerSettings/printerSettings1.bin" /><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4.xml.rels><?xml version="1.0" encoding="UTF-8" standalone="yes"?><Relationships xmlns="http://schemas.openxmlformats.org/package/2006/relationships"><Relationship Id="rId1" Type="http://schemas.openxmlformats.org/officeDocument/2006/relationships/printerSettings" Target="../printerSettings/printerSettings3.bin" /></Relationships>
</file>

<file path=xl/worksheets/_rels/sheet5.xml.rels><?xml version="1.0" encoding="UTF-8" standalone="yes"?><Relationships xmlns="http://schemas.openxmlformats.org/package/2006/relationships"><Relationship Id="rId2" Type="http://schemas.openxmlformats.org/officeDocument/2006/relationships/printerSettings" Target="../printerSettings/printerSettings4.bin" /><Relationship Id="rId1" Type="http://schemas.openxmlformats.org/officeDocument/2006/relationships/drawing" Target="../drawings/drawing2.xml" /></Relationships>
</file>

<file path=xl/worksheets/_rels/sheet6.xml.rels><?xml version="1.0" encoding="UTF-8" standalone="yes"?><Relationships xmlns="http://schemas.openxmlformats.org/package/2006/relationships"><Relationship Id="rId2" Type="http://schemas.openxmlformats.org/officeDocument/2006/relationships/printerSettings" Target="../printerSettings/printerSettings5.bin" /><Relationship Id="rId1"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5" Type="http://schemas.openxmlformats.org/officeDocument/2006/relationships/printerSettings" Target="../printerSettings/printerSettings6.bin" /><Relationship Id="rId2" Type="http://schemas.openxmlformats.org/officeDocument/2006/relationships/ctrlProp" Target="../ctrProps/ctrProp1.xml" /><Relationship Id="rId1" Type="http://schemas.openxmlformats.org/officeDocument/2006/relationships/comments" Target="../comments7.xml" /><Relationship Id="rId3" Type="http://schemas.openxmlformats.org/officeDocument/2006/relationships/drawing" Target="../drawings/drawing4.xml" /><Relationship Id="rId4" Type="http://schemas.openxmlformats.org/officeDocument/2006/relationships/vmlDrawing" Target="../drawings/vmlDrawing1.vml" /></Relationships>
</file>

<file path=xl/worksheets/_rels/sheet8.xml.rels><?xml version="1.0" encoding="UTF-8" standalone="yes"?><Relationships xmlns="http://schemas.openxmlformats.org/package/2006/relationships"><Relationship Id="rId2" Type="http://schemas.openxmlformats.org/officeDocument/2006/relationships/drawing" Target="../drawings/drawing5.xml" /><Relationship Id="rId1" Type="http://schemas.openxmlformats.org/officeDocument/2006/relationships/ctrlProp" Target="../ctrProps/ctrProp2.xml" /><Relationship Id="rId3" Type="http://schemas.openxmlformats.org/officeDocument/2006/relationships/vmlDrawing" Target="../drawings/vmlDrawing2.vml" /><Relationship Id="rId4" Type="http://schemas.openxmlformats.org/officeDocument/2006/relationships/printerSettings" Target="../printerSettings/printerSettings7.bin" /></Relationships>
</file>

<file path=xl/worksheets/_rels/sheet9.xml.rels><?xml version="1.0" encoding="UTF-8" standalone="yes"?><Relationships xmlns="http://schemas.openxmlformats.org/package/2006/relationships"><Relationship Id="rId2" Type="http://schemas.openxmlformats.org/officeDocument/2006/relationships/drawing" Target="../drawings/drawing6.xml" /><Relationship Id="rId1" Type="http://schemas.openxmlformats.org/officeDocument/2006/relationships/ctrlProp" Target="../ctrProps/ctrProp3.xml" /><Relationship Id="rId3" Type="http://schemas.openxmlformats.org/officeDocument/2006/relationships/vmlDrawing" Target="../drawings/vmlDrawing3.vml" /><Relationship Id="rId4" Type="http://schemas.openxmlformats.org/officeDocument/2006/relationships/printerSettings" Target="../printerSettings/printerSettings8.bin" /></Relationships>
</file>

<file path=xl/worksheets/_rels/sheet10.xml.rels><?xml version="1.0" encoding="UTF-8" standalone="yes"?><Relationships xmlns="http://schemas.openxmlformats.org/package/2006/relationships"><Relationship Id="rId2" Type="http://schemas.openxmlformats.org/officeDocument/2006/relationships/drawing" Target="../drawings/drawing7.xml" /><Relationship Id="rId1" Type="http://schemas.openxmlformats.org/officeDocument/2006/relationships/ctrlProp" Target="../ctrProps/ctrProp4.xml" /><Relationship Id="rId3" Type="http://schemas.openxmlformats.org/officeDocument/2006/relationships/vmlDrawing" Target="../drawings/vmlDrawing4.vml" /><Relationship Id="rId4" Type="http://schemas.openxmlformats.org/officeDocument/2006/relationships/printerSettings" Target="../printerSettings/printerSettings9.bin" /></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8.xml" /><Relationship Id="rId1" Type="http://schemas.openxmlformats.org/officeDocument/2006/relationships/ctrlProp" Target="../ctrProps/ctrProp5.xml" /><Relationship Id="rId3" Type="http://schemas.openxmlformats.org/officeDocument/2006/relationships/vmlDrawing" Target="../drawings/vmlDrawing5.vml" /><Relationship Id="rId4" Type="http://schemas.openxmlformats.org/officeDocument/2006/relationships/printerSettings" Target="../printerSettings/printerSettings10.bin" /></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9.xml" /><Relationship Id="rId1" Type="http://schemas.openxmlformats.org/officeDocument/2006/relationships/ctrlProp" Target="../ctrProps/ctrProp6.xml" /><Relationship Id="rId3" Type="http://schemas.openxmlformats.org/officeDocument/2006/relationships/vmlDrawing" Target="../drawings/vmlDrawing6.vml" /><Relationship Id="rId4" Type="http://schemas.openxmlformats.org/officeDocument/2006/relationships/printerSettings" Target="../printerSettings/printerSettings11.bin" /></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0.xml" /><Relationship Id="rId1" Type="http://schemas.openxmlformats.org/officeDocument/2006/relationships/ctrlProp" Target="../ctrProps/ctrProp7.xml" /><Relationship Id="rId3" Type="http://schemas.openxmlformats.org/officeDocument/2006/relationships/vmlDrawing" Target="../drawings/vmlDrawing7.vml" /><Relationship Id="rId4" Type="http://schemas.openxmlformats.org/officeDocument/2006/relationships/printerSettings" Target="../printerSettings/printerSettings12.bin" /></Relationships>
</file>

<file path=xl/worksheets/_rels/sheet14.xml.rels><?xml version="1.0" encoding="UTF-8" standalone="yes"?><Relationships xmlns="http://schemas.openxmlformats.org/package/2006/relationships"><Relationship Id="rId1" Type="http://schemas.openxmlformats.org/officeDocument/2006/relationships/printerSettings" Target="../printerSettings/printerSettings13.bin" /></Relationships>
</file>

<file path=xl/worksheets/_rels/sheet15.xml.rels><?xml version="1.0" encoding="UTF-8" standalone="yes"?><Relationships xmlns="http://schemas.openxmlformats.org/package/2006/relationships"><Relationship Id="rId1" Type="http://schemas.openxmlformats.org/officeDocument/2006/relationships/printerSettings" Target="../printerSettings/printerSettings14.bin" /></Relationships>
</file>

<file path=xl/worksheets/_rels/sheet16.xml.rels><?xml version="1.0" encoding="UTF-8" standalone="yes"?><Relationships xmlns="http://schemas.openxmlformats.org/package/2006/relationships"><Relationship Id="rId1" Type="http://schemas.openxmlformats.org/officeDocument/2006/relationships/printerSettings" Target="../printerSettings/printerSettings15.bin" /></Relationships>
</file>

<file path=xl/worksheets/_rels/sheet17.xml.rels><?xml version="1.0" encoding="UTF-8" standalone="yes"?><Relationships xmlns="http://schemas.openxmlformats.org/package/2006/relationships"><Relationship Id="rId1" Type="http://schemas.openxmlformats.org/officeDocument/2006/relationships/printerSettings" Target="../printerSettings/printerSettings16.bin" /></Relationships>
</file>

<file path=xl/worksheets/_rels/sheet18.xml.rels><?xml version="1.0" encoding="UTF-8" standalone="yes"?><Relationships xmlns="http://schemas.openxmlformats.org/package/2006/relationships"><Relationship Id="rId1" Type="http://schemas.openxmlformats.org/officeDocument/2006/relationships/printerSettings" Target="../printerSettings/printerSettings17.bin" /></Relationships>
</file>

<file path=xl/worksheets/_rels/sheet19.xml.rels><?xml version="1.0" encoding="UTF-8" standalone="yes"?><Relationships xmlns="http://schemas.openxmlformats.org/package/2006/relationships"><Relationship Id="rId1" Type="http://schemas.openxmlformats.org/officeDocument/2006/relationships/printerSettings" Target="../printerSettings/printerSettings18.bin" /></Relationships>
</file>

<file path=xl/worksheets/_rels/sheet20.xml.rels><?xml version="1.0" encoding="UTF-8" standalone="yes"?><Relationships xmlns="http://schemas.openxmlformats.org/package/2006/relationships"><Relationship Id="rId1" Type="http://schemas.openxmlformats.org/officeDocument/2006/relationships/printerSettings" Target="../printerSettings/printerSettings19.bin" /></Relationships>
</file>

<file path=xl/worksheets/_rels/sheet21.xml.rels><?xml version="1.0" encoding="UTF-8" standalone="yes"?><Relationships xmlns="http://schemas.openxmlformats.org/package/2006/relationships"><Relationship Id="rId1" Type="http://schemas.openxmlformats.org/officeDocument/2006/relationships/printerSettings" Target="../printerSettings/printerSettings20.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F8B166C6-410A-4D74-9B77-0B57B1781B17}">
  <sheetPr codeName="Sheet21"/>
  <dimension ref="A1:F15"/>
  <sheetViews>
    <sheetView workbookViewId="0" topLeftCell="A1">
      <selection pane="topLeft" activeCell="E7" sqref="E7"/>
    </sheetView>
  </sheetViews>
  <sheetFormatPr defaultRowHeight="13"/>
  <cols>
    <col min="1" max="1" width="18.3333333333333" customWidth="1"/>
    <col min="2" max="2" width="24.8333333333333" customWidth="1"/>
    <col min="3" max="5" width="9.33333333333333" style="5"/>
    <col min="6" max="6" width="24.3333333333333" customWidth="1"/>
    <col min="7" max="7" width="9.33333333333333" style="5"/>
  </cols>
  <sheetData>
    <row r="1" spans="1:1" ht="25.5">
      <c r="A1" s="101" t="str">
        <f>IF(B8="No","NOT READY FOR CLIENT","READY FOR CLIENT")</f>
        <v>READY FOR CLIENT</v>
      </c>
    </row>
    <row r="4" spans="1:6" ht="15" customHeight="1">
      <c r="A4" t="s">
        <v>0</v>
      </c>
      <c r="B4" s="97">
        <v>45505</v>
      </c>
      <c r="C4" s="4"/>
      <c r="D4" s="4"/>
      <c r="E4" s="4"/>
      <c r="F4" s="1"/>
    </row>
    <row r="5" spans="1:2" ht="15" customHeight="1">
      <c r="A5" s="1" t="s">
        <v>1</v>
      </c>
      <c r="B5" s="1" t="s">
        <v>458</v>
      </c>
    </row>
    <row r="6" spans="1:2" ht="15" customHeight="1">
      <c r="A6" s="1" t="s">
        <v>2</v>
      </c>
      <c r="B6" s="1" t="s">
        <v>459</v>
      </c>
    </row>
    <row r="7" spans="1:2" ht="15" customHeight="1">
      <c r="A7" s="1" t="s">
        <v>3</v>
      </c>
      <c r="B7" s="1" t="s">
        <v>460</v>
      </c>
    </row>
    <row r="8" spans="1:3" ht="15" customHeight="1" hidden="1">
      <c r="A8" s="1"/>
      <c r="B8" s="1" t="s">
        <v>454</v>
      </c>
      <c r="C8"/>
    </row>
    <row r="9" spans="1:2" ht="15" customHeight="1">
      <c r="A9" t="s">
        <v>4</v>
      </c>
      <c r="B9" t="s">
        <v>461</v>
      </c>
    </row>
    <row r="10" spans="1:2" ht="15" customHeight="1">
      <c r="A10" t="s">
        <v>5</v>
      </c>
      <c r="B10" t="s">
        <v>462</v>
      </c>
    </row>
    <row r="11" spans="1:2" ht="15" customHeight="1">
      <c r="A11" t="s">
        <v>6</v>
      </c>
      <c r="B11" t="s">
        <v>463</v>
      </c>
    </row>
    <row r="12" spans="1:2" ht="15" customHeight="1">
      <c r="A12" t="s">
        <v>7</v>
      </c>
      <c r="B12" t="s">
        <v>464</v>
      </c>
    </row>
    <row r="13" spans="1:2" ht="15" customHeight="1">
      <c r="A13" t="s">
        <v>8</v>
      </c>
      <c r="B13" t="s">
        <v>465</v>
      </c>
    </row>
    <row r="14" spans="1:2" ht="15" customHeight="1">
      <c r="A14" t="s">
        <v>9</v>
      </c>
      <c r="B14" t="s">
        <v>465</v>
      </c>
    </row>
    <row r="15" spans="1:2" ht="13">
      <c r="A15" s="1" t="s">
        <v>10</v>
      </c>
      <c r="B15">
        <v>2025</v>
      </c>
    </row>
  </sheetData>
  <conditionalFormatting sqref="A1">
    <cfRule type="expression" priority="1" dxfId="2451">
      <formula>$A$1="READY FOR CLIENT"</formula>
    </cfRule>
    <cfRule type="expression" priority="2" dxfId="2450">
      <formula>$A$1="NOT READY FOR CLIENT"</formula>
    </cfRule>
  </conditionalFormatting>
  <pageMargins left="0.7" right="0.7" top="0.75" bottom="0.75" header="0.3" footer="0.3"/>
  <pageSetup orientation="portrait" paperSize="1"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8932097E-3991-4CD6-8AA9-62A9CFF02591}">
  <sheetPr codeName="Sheet16"/>
  <dimension ref="A1:H72"/>
  <sheetViews>
    <sheetView workbookViewId="0" topLeftCell="A47">
      <selection pane="topLeft" activeCell="D90" sqref="D90"/>
    </sheetView>
  </sheetViews>
  <sheetFormatPr defaultRowHeight="13"/>
  <cols>
    <col min="1" max="1" width="21.8333333333333" customWidth="1"/>
    <col min="2" max="8" width="14" customWidth="1"/>
  </cols>
  <sheetData>
    <row r="1" spans="1:2" ht="13">
      <c r="A1" t="s">
        <v>0</v>
      </c>
      <c r="B1" s="97">
        <f>CSExport!B4</f>
        <v>45505</v>
      </c>
    </row>
    <row r="2" spans="1:2" ht="13">
      <c r="A2" s="1" t="s">
        <v>1</v>
      </c>
      <c r="B2" s="1" t="s">
        <v>1</v>
      </c>
    </row>
    <row r="3" spans="1:2" ht="13">
      <c r="A3" s="1" t="s">
        <v>2</v>
      </c>
      <c r="B3" s="1"/>
    </row>
    <row r="4" spans="1:2" ht="13">
      <c r="A4" s="1"/>
      <c r="B4" s="1"/>
    </row>
    <row r="6" spans="2:8" ht="13">
      <c r="B6" t="s">
        <v>11</v>
      </c>
      <c r="C6" t="s">
        <v>12</v>
      </c>
      <c r="D6" t="s">
        <v>13</v>
      </c>
      <c r="E6" t="s">
        <v>14</v>
      </c>
      <c r="F6" t="s">
        <v>15</v>
      </c>
      <c r="G6" t="s">
        <v>16</v>
      </c>
      <c r="H6" t="s">
        <v>17</v>
      </c>
    </row>
    <row r="7" spans="1:8" ht="13">
      <c r="A7" s="1" t="s">
        <v>18</v>
      </c>
      <c r="B7" s="1" t="s">
        <v>467</v>
      </c>
      <c r="C7" s="1" t="s">
        <v>469</v>
      </c>
      <c r="D7" t="s">
        <v>471</v>
      </c>
      <c r="E7" t="s">
        <v>465</v>
      </c>
      <c r="F7" t="s">
        <v>465</v>
      </c>
      <c r="G7" t="s">
        <v>465</v>
      </c>
      <c r="H7" t="s">
        <v>465</v>
      </c>
    </row>
    <row r="8" spans="1:8" ht="13">
      <c r="A8" s="1" t="s">
        <v>19</v>
      </c>
      <c r="B8" s="1" t="s">
        <v>466</v>
      </c>
      <c r="C8" s="1" t="s">
        <v>468</v>
      </c>
      <c r="D8" t="s">
        <v>470</v>
      </c>
      <c r="E8" t="s">
        <v>465</v>
      </c>
      <c r="F8" t="s">
        <v>465</v>
      </c>
      <c r="G8" t="s">
        <v>465</v>
      </c>
      <c r="H8" t="s">
        <v>465</v>
      </c>
    </row>
    <row r="9" spans="1:8" ht="13">
      <c r="A9" s="1" t="s">
        <v>20</v>
      </c>
      <c r="B9" s="80">
        <v>28</v>
      </c>
      <c r="C9" s="80">
        <v>28</v>
      </c>
      <c r="D9" s="80">
        <v>28</v>
      </c>
      <c r="E9" s="80">
        <v>0</v>
      </c>
      <c r="F9" s="80">
        <v>0</v>
      </c>
      <c r="G9" s="80">
        <v>0</v>
      </c>
      <c r="H9" s="80">
        <v>0</v>
      </c>
    </row>
    <row r="10" spans="1:8" ht="13">
      <c r="A10" s="1" t="s">
        <v>21</v>
      </c>
      <c r="B10" s="80">
        <v>6</v>
      </c>
      <c r="C10" s="80">
        <v>6</v>
      </c>
      <c r="D10" s="80">
        <v>6</v>
      </c>
      <c r="E10" s="80">
        <v>0</v>
      </c>
      <c r="F10" s="80">
        <v>0</v>
      </c>
      <c r="G10" s="80">
        <v>0</v>
      </c>
      <c r="H10" s="80">
        <v>0</v>
      </c>
    </row>
    <row r="11" spans="1:8" ht="13">
      <c r="A11" s="1" t="s">
        <v>22</v>
      </c>
      <c r="B11" s="80">
        <v>4</v>
      </c>
      <c r="C11" s="80">
        <v>4</v>
      </c>
      <c r="D11" s="80">
        <v>4</v>
      </c>
      <c r="E11" s="80">
        <v>0</v>
      </c>
      <c r="F11" s="80">
        <v>0</v>
      </c>
      <c r="G11" s="80">
        <v>0</v>
      </c>
      <c r="H11" s="80">
        <v>0</v>
      </c>
    </row>
    <row r="12" spans="1:8" ht="13">
      <c r="A12" s="1" t="s">
        <v>23</v>
      </c>
      <c r="B12" s="80">
        <v>0</v>
      </c>
      <c r="C12" s="80">
        <v>0</v>
      </c>
      <c r="D12" s="80">
        <v>0</v>
      </c>
      <c r="E12" s="80">
        <v>0</v>
      </c>
      <c r="F12" s="80">
        <v>0</v>
      </c>
      <c r="G12" s="80">
        <v>0</v>
      </c>
      <c r="H12" s="80">
        <v>0</v>
      </c>
    </row>
    <row r="13" spans="1:8" ht="13">
      <c r="A13" s="1" t="s">
        <v>24</v>
      </c>
      <c r="B13" s="80">
        <v>0</v>
      </c>
      <c r="C13" s="80">
        <v>0</v>
      </c>
      <c r="D13" s="80">
        <v>0</v>
      </c>
      <c r="E13" s="80">
        <v>0</v>
      </c>
      <c r="F13" s="80">
        <v>0</v>
      </c>
      <c r="G13" s="80">
        <v>0</v>
      </c>
      <c r="H13" s="80">
        <v>0</v>
      </c>
    </row>
    <row r="14" spans="1:8" ht="13">
      <c r="A14" s="1" t="s">
        <v>25</v>
      </c>
      <c r="B14" s="80">
        <v>0</v>
      </c>
      <c r="C14" s="80">
        <v>0</v>
      </c>
      <c r="D14" s="80">
        <v>0</v>
      </c>
      <c r="E14" s="80">
        <v>0</v>
      </c>
      <c r="F14" s="80">
        <v>0</v>
      </c>
      <c r="G14" s="80">
        <v>0</v>
      </c>
      <c r="H14" s="80">
        <v>0</v>
      </c>
    </row>
    <row r="15" spans="1:8" ht="13">
      <c r="A15" s="1" t="s">
        <v>26</v>
      </c>
      <c r="B15" s="80">
        <v>0</v>
      </c>
      <c r="C15" s="80">
        <v>0</v>
      </c>
      <c r="D15" s="80">
        <v>0</v>
      </c>
      <c r="E15" s="80">
        <v>0</v>
      </c>
      <c r="F15" s="80">
        <v>0</v>
      </c>
      <c r="G15" s="80">
        <v>0</v>
      </c>
      <c r="H15" s="80">
        <v>0</v>
      </c>
    </row>
    <row r="16" spans="1:8" ht="13">
      <c r="A16" s="1" t="s">
        <v>27</v>
      </c>
      <c r="B16" s="80">
        <v>0</v>
      </c>
      <c r="C16" s="80">
        <v>0</v>
      </c>
      <c r="D16" s="80">
        <v>0</v>
      </c>
      <c r="E16" s="80">
        <v>0</v>
      </c>
      <c r="F16" s="80">
        <v>0</v>
      </c>
      <c r="G16" s="80">
        <v>0</v>
      </c>
      <c r="H16" s="80">
        <v>0</v>
      </c>
    </row>
    <row r="17" spans="1:8" ht="13">
      <c r="A17" t="s">
        <v>28</v>
      </c>
      <c r="B17" s="80">
        <v>0</v>
      </c>
      <c r="C17" s="80">
        <v>0</v>
      </c>
      <c r="D17" s="80">
        <v>0</v>
      </c>
      <c r="E17" s="80">
        <v>0</v>
      </c>
      <c r="F17" s="80">
        <v>0</v>
      </c>
      <c r="G17" s="80">
        <v>0</v>
      </c>
      <c r="H17" s="80">
        <v>0</v>
      </c>
    </row>
    <row r="18" spans="1:8" ht="13">
      <c r="A18" s="1" t="s">
        <v>29</v>
      </c>
      <c r="B18" s="80">
        <f>ROW(BEGIN_RENEW_HEALTH)</f>
        <v>4</v>
      </c>
      <c r="C18" s="80">
        <f t="shared" si="0" ref="C18">IF(C7="","",B18+Class1_RenewalHealthCount)</f>
        <v>4</v>
      </c>
      <c r="D18" s="80">
        <f>IF(D7="","",C18+Class2_RenewalHealthCount)</f>
        <v>4</v>
      </c>
      <c r="E18" s="80" t="str">
        <f>IF(E7="","",D18+Class3_RenewalHealthCount)</f>
        <v/>
      </c>
      <c r="F18" s="80" t="str">
        <f>IF(F7="","",E18+Class4_RenewalHealthCount)</f>
        <v/>
      </c>
      <c r="G18" s="80" t="str">
        <f>IF(G7="","",F18+Class5_RenewalHealthCount)</f>
        <v/>
      </c>
      <c r="H18" s="80" t="str">
        <f>IF(H7="","",G18+Class6_RenewalHealthCount)</f>
        <v/>
      </c>
    </row>
    <row r="19" spans="1:8" ht="13">
      <c r="A19" s="1" t="s">
        <v>30</v>
      </c>
      <c r="B19" s="80">
        <f>ROW(BEGIN_Renew_Dental)</f>
        <v>10</v>
      </c>
      <c r="C19" s="80">
        <f t="shared" si="1" ref="C19">IF(C7="","",B19+Class1_RenewalDentalCount)</f>
        <v>10</v>
      </c>
      <c r="D19" s="80">
        <f>IF(D7="","",C19+Class2_RenewalDentalCount)</f>
        <v>10</v>
      </c>
      <c r="E19" s="80" t="str">
        <f>IF(E7="","",D19+Class3_RenewalDentalCount)</f>
        <v/>
      </c>
      <c r="F19" s="80" t="str">
        <f>IF(F7="","",E19+Class4_RenewalDentalCount)</f>
        <v/>
      </c>
      <c r="G19" s="80" t="str">
        <f>IF(G7="","",F19+Class5_RenewalDentalCount)</f>
        <v/>
      </c>
      <c r="H19" s="80" t="str">
        <f>IF(H7="","",G19+Class6_RenewalDentalCount)</f>
        <v/>
      </c>
    </row>
    <row r="20" spans="1:8" ht="13">
      <c r="A20" s="1" t="s">
        <v>31</v>
      </c>
      <c r="B20" s="80">
        <f>ROW(BEGIN_Renew_Vision)</f>
        <v>16</v>
      </c>
      <c r="C20" s="80">
        <f t="shared" si="2" ref="C20">IF(C7="","",B20+Class1_RenewalVisionCount)</f>
        <v>16</v>
      </c>
      <c r="D20" s="80">
        <f>IF(D7="","",C20+Class2_RenewalVisionCount)</f>
        <v>16</v>
      </c>
      <c r="E20" s="80" t="str">
        <f>IF(E7="","",D20+Class3_RenewalVisionCount)</f>
        <v/>
      </c>
      <c r="F20" s="80" t="str">
        <f>IF(F7="","",E20+Class4_RenewalVisionCount)</f>
        <v/>
      </c>
      <c r="G20" s="80" t="str">
        <f>IF(G7="","",F20+Class5_RenewalVisionCount)</f>
        <v/>
      </c>
      <c r="H20" s="80" t="str">
        <f>IF(H7="","",G20+Class6_RenewalVisionCount)</f>
        <v/>
      </c>
    </row>
    <row r="21" spans="1:8" ht="13">
      <c r="A21" s="1" t="s">
        <v>32</v>
      </c>
      <c r="B21" s="80">
        <f>ROW(BEGIN_CURRENT_HEALTH)</f>
        <v>4</v>
      </c>
      <c r="C21" s="80">
        <f>IF(C$7="","",B21+Class1_CurrentHealthCount)</f>
        <v>32</v>
      </c>
      <c r="D21" s="80">
        <f>IF(D$7="","",C21+Class2_CurrentHealthCount)</f>
        <v>60</v>
      </c>
      <c r="E21" s="80" t="str">
        <f>IF(E$7="","",D21+Class3_CurrentHealthCount)</f>
        <v/>
      </c>
      <c r="F21" s="80" t="str">
        <f>IF(F$7="","",E21+Class4_CurrentHealthCount)</f>
        <v/>
      </c>
      <c r="G21" s="80" t="str">
        <f>IF(G$7="","",F21+Class5_CurrentHealthCount)</f>
        <v/>
      </c>
      <c r="H21" s="80" t="str">
        <f>IF(H$7="","",G21+Class6_CurrentHealthCount)</f>
        <v/>
      </c>
    </row>
    <row r="22" spans="1:8" ht="13">
      <c r="A22" s="1" t="s">
        <v>33</v>
      </c>
      <c r="B22" s="80">
        <f>ROW(BEGIN_CURRENT_DENTAL)</f>
        <v>9</v>
      </c>
      <c r="C22" s="80">
        <f>IF(C$7="","",B22+Class1_CurrentDentalCount)</f>
        <v>15</v>
      </c>
      <c r="D22" s="80">
        <f>IF(D$7="","",C22+Class2_CurrentDentalCount)</f>
        <v>21</v>
      </c>
      <c r="E22" s="80" t="str">
        <f>IF(E$7="","",D22+Class3_CurrentDentalCount)</f>
        <v/>
      </c>
      <c r="F22" s="80" t="str">
        <f>IF(F$7="","",E22+Class4_CurrentDentalCount)</f>
        <v/>
      </c>
      <c r="G22" s="80" t="str">
        <f>IF(G$7="","",F22+Class5_CurrentDentalCount)</f>
        <v/>
      </c>
      <c r="H22" s="80" t="str">
        <f>IF(H$7="","",G22+Class6_CurrentDentalCount)</f>
        <v/>
      </c>
    </row>
    <row r="23" spans="1:8" ht="13">
      <c r="A23" s="1" t="s">
        <v>34</v>
      </c>
      <c r="B23" s="80">
        <f>ROW(BEGIN_CURRENT_VISION)</f>
        <v>14</v>
      </c>
      <c r="C23" s="80">
        <f>IF(C$7="","",B23+Class1_CurrentVisionCount)</f>
        <v>18</v>
      </c>
      <c r="D23" s="80">
        <f>IF(D$7="","",C23+Class2_CurrentVisionCount)</f>
        <v>22</v>
      </c>
      <c r="E23" s="80" t="str">
        <f>IF(E$7="","",D23+Class3_CurrentVisionCount)</f>
        <v/>
      </c>
      <c r="F23" s="80" t="str">
        <f>IF(F$7="","",E23+Class4_CurrentVisionCount)</f>
        <v/>
      </c>
      <c r="G23" s="80" t="str">
        <f>IF(G$7="","",F23+Class5_CurrentVisionCount)</f>
        <v/>
      </c>
      <c r="H23" s="80" t="str">
        <f>IF(H$7="","",G23+Class6_CurrentVisionCount)</f>
        <v/>
      </c>
    </row>
    <row r="26" spans="1:2" ht="17.5">
      <c r="A26" s="472" t="s">
        <v>35</v>
      </c>
      <c r="B26" s="472"/>
    </row>
    <row r="28" spans="1:2" ht="15">
      <c r="A28" s="92" t="s">
        <v>36</v>
      </c>
      <c r="B28" s="1"/>
    </row>
    <row r="29" spans="1:3" ht="13">
      <c r="A29" s="93" t="s">
        <v>37</v>
      </c>
      <c r="B29" s="2"/>
      <c r="C29" s="2"/>
    </row>
    <row r="30" spans="1:1" ht="13">
      <c r="A30" s="94" t="s">
        <v>38</v>
      </c>
    </row>
    <row r="31" spans="1:2" ht="13">
      <c r="A31" s="95"/>
      <c r="B31" s="1"/>
    </row>
    <row r="32" spans="1:2" ht="13">
      <c r="A32" s="95"/>
      <c r="B32" s="1"/>
    </row>
    <row r="33" spans="1:1" ht="13">
      <c r="A33" s="96"/>
    </row>
    <row r="34" spans="1:2" ht="15">
      <c r="A34" s="92" t="s">
        <v>39</v>
      </c>
      <c r="B34" s="1"/>
    </row>
    <row r="35" spans="1:3" ht="13">
      <c r="A35" s="93" t="s">
        <v>37</v>
      </c>
      <c r="B35" s="2"/>
      <c r="C35" s="2"/>
    </row>
    <row r="36" spans="1:1" ht="13">
      <c r="A36" s="94" t="s">
        <v>38</v>
      </c>
    </row>
    <row r="37" spans="1:2" ht="13">
      <c r="A37" s="95"/>
      <c r="B37" s="1"/>
    </row>
    <row r="38" spans="1:2" ht="13">
      <c r="A38" s="95"/>
      <c r="B38" s="1"/>
    </row>
    <row r="39" spans="1:1" ht="13">
      <c r="A39" s="96"/>
    </row>
    <row r="40" spans="1:2" ht="15">
      <c r="A40" s="92" t="s">
        <v>40</v>
      </c>
      <c r="B40" s="1"/>
    </row>
    <row r="41" spans="1:3" ht="13">
      <c r="A41" s="93" t="s">
        <v>37</v>
      </c>
      <c r="B41" s="2"/>
      <c r="C41" s="2"/>
    </row>
    <row r="42" spans="1:1" ht="13">
      <c r="A42" s="94" t="s">
        <v>38</v>
      </c>
    </row>
    <row r="43" spans="1:2" ht="13">
      <c r="A43" s="95"/>
      <c r="B43" s="1"/>
    </row>
    <row r="44" spans="1:2" ht="13">
      <c r="A44" s="95"/>
      <c r="B44" s="1"/>
    </row>
    <row r="45" spans="1:1" ht="13">
      <c r="A45" s="96"/>
    </row>
    <row r="46" spans="1:2" ht="15">
      <c r="A46" s="92" t="s">
        <v>41</v>
      </c>
      <c r="B46" s="1"/>
    </row>
    <row r="47" spans="1:3" ht="13">
      <c r="A47" s="93" t="s">
        <v>37</v>
      </c>
      <c r="B47" s="2"/>
      <c r="C47" s="2"/>
    </row>
    <row r="48" spans="1:1" ht="13">
      <c r="A48" s="94" t="s">
        <v>38</v>
      </c>
    </row>
    <row r="49" spans="1:2" ht="13">
      <c r="A49" s="95"/>
      <c r="B49" s="1"/>
    </row>
    <row r="50" spans="1:2" ht="13">
      <c r="A50" s="95" t="s">
        <v>42</v>
      </c>
      <c r="B50" s="1"/>
    </row>
    <row r="51" spans="1:1" ht="13">
      <c r="A51" s="96"/>
    </row>
    <row r="52" spans="1:2" ht="15">
      <c r="A52" s="92" t="s">
        <v>43</v>
      </c>
      <c r="B52" s="1"/>
    </row>
    <row r="53" spans="1:3" ht="13">
      <c r="A53" s="93" t="s">
        <v>37</v>
      </c>
      <c r="B53" s="2"/>
      <c r="C53" s="2"/>
    </row>
    <row r="54" spans="1:1" ht="13">
      <c r="A54" s="94" t="s">
        <v>38</v>
      </c>
    </row>
    <row r="55" spans="1:2" ht="13">
      <c r="A55" s="95"/>
      <c r="B55" s="1"/>
    </row>
    <row r="56" spans="1:2" ht="13">
      <c r="A56" s="95" t="s">
        <v>42</v>
      </c>
      <c r="B56" s="1"/>
    </row>
    <row r="57" spans="1:1" ht="13">
      <c r="A57" s="96"/>
    </row>
    <row r="58" spans="1:2" ht="15">
      <c r="A58" s="92" t="s">
        <v>44</v>
      </c>
      <c r="B58" s="1"/>
    </row>
    <row r="59" spans="1:3" ht="13">
      <c r="A59" s="93" t="s">
        <v>37</v>
      </c>
      <c r="B59" s="2"/>
      <c r="C59" s="2"/>
    </row>
    <row r="60" spans="1:1" ht="13">
      <c r="A60" s="94" t="s">
        <v>38</v>
      </c>
    </row>
    <row r="61" spans="1:2" ht="13">
      <c r="A61" s="95"/>
      <c r="B61" s="1"/>
    </row>
    <row r="62" spans="1:2" ht="13">
      <c r="A62" s="95" t="s">
        <v>42</v>
      </c>
      <c r="B62" s="1"/>
    </row>
    <row r="63" spans="1:1" ht="13">
      <c r="A63" s="96"/>
    </row>
    <row r="64" spans="1:1" ht="13">
      <c r="A64" s="96"/>
    </row>
    <row r="65" spans="1:2" ht="15">
      <c r="A65" s="92" t="s">
        <v>45</v>
      </c>
      <c r="B65" s="1"/>
    </row>
    <row r="66" spans="1:3" ht="13">
      <c r="A66" s="93" t="s">
        <v>37</v>
      </c>
      <c r="B66" s="2"/>
      <c r="C66" s="2"/>
    </row>
    <row r="67" spans="1:1" ht="13">
      <c r="A67" s="94" t="s">
        <v>38</v>
      </c>
    </row>
    <row r="68" spans="1:2" ht="13">
      <c r="A68" s="95"/>
      <c r="B68" s="1"/>
    </row>
    <row r="71" spans="1:1" ht="13">
      <c r="A71" t="s">
        <v>46</v>
      </c>
    </row>
    <row r="72" spans="1:1" ht="13">
      <c r="A72" s="5">
        <v>2.50</v>
      </c>
    </row>
  </sheetData>
  <mergeCells count="1">
    <mergeCell ref="A26:B26"/>
  </mergeCells>
  <pageMargins left="0.7" right="0.7" top="0.75" bottom="0.75" header="0.3" footer="0.3"/>
  <pageSetup orientation="portrait" paperSize="1"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81821028-EBA1-43A8-B761-20D7920C6F91}">
  <sheetPr codeName="Sheet17"/>
  <dimension ref="A1:BT21"/>
  <sheetViews>
    <sheetView workbookViewId="0" topLeftCell="A1">
      <selection pane="topLeft" activeCell="R1" sqref="R1"/>
    </sheetView>
  </sheetViews>
  <sheetFormatPr defaultRowHeight="13"/>
  <cols>
    <col min="1" max="1" width="10.3333333333333" customWidth="1"/>
    <col min="3" max="3" width="15.8333333333333" customWidth="1"/>
    <col min="4" max="4" width="13.6666666666667" customWidth="1"/>
    <col min="6" max="6" width="11.8333333333333" customWidth="1"/>
    <col min="20" max="21" width="9" customWidth="1"/>
    <col min="22" max="22" width="12.6666666666667" bestFit="1" customWidth="1"/>
    <col min="23" max="23" width="16.3333333333333" bestFit="1" customWidth="1"/>
    <col min="24" max="24" width="12.5" customWidth="1"/>
    <col min="25" max="25" width="19" bestFit="1" customWidth="1"/>
    <col min="26" max="26" width="20" bestFit="1" customWidth="1"/>
    <col min="27" max="27" width="24.5" bestFit="1" customWidth="1"/>
    <col min="28" max="28" width="31.6666666666667" bestFit="1" customWidth="1"/>
    <col min="29" max="29" width="24.6666666666667" bestFit="1" customWidth="1"/>
    <col min="30" max="30" width="27.5" bestFit="1" customWidth="1"/>
    <col min="31" max="31" width="23.1666666666667" bestFit="1" customWidth="1"/>
    <col min="32" max="32" width="28.6666666666667" bestFit="1" customWidth="1"/>
    <col min="33" max="33" width="21.8333333333333" bestFit="1" customWidth="1"/>
    <col min="34" max="34" width="22.6666666666667" bestFit="1" customWidth="1"/>
    <col min="35" max="35" width="20.3333333333333" bestFit="1" customWidth="1"/>
    <col min="36" max="36" width="34.5" bestFit="1" customWidth="1"/>
    <col min="37" max="37" width="21.6666666666667" bestFit="1" customWidth="1"/>
    <col min="38" max="38" width="26.6666666666667" bestFit="1" customWidth="1"/>
    <col min="39" max="39" width="20.1666666666667" bestFit="1" customWidth="1"/>
    <col min="40" max="40" width="21.8333333333333" bestFit="1" customWidth="1"/>
    <col min="41" max="41" width="19.1666666666667" bestFit="1" customWidth="1"/>
    <col min="42" max="42" width="16.3333333333333" bestFit="1" customWidth="1"/>
    <col min="43" max="43" width="15.8333333333333" bestFit="1" customWidth="1"/>
    <col min="44" max="44" width="22.8333333333333" bestFit="1" customWidth="1"/>
    <col min="45" max="45" width="22.3333333333333" bestFit="1" customWidth="1"/>
    <col min="46" max="46" width="12.6666666666667" bestFit="1" customWidth="1"/>
    <col min="47" max="47" width="24.3333333333333" bestFit="1" customWidth="1"/>
  </cols>
  <sheetData>
    <row r="1" spans="1:72" ht="13">
      <c r="A1">
        <f>COLUMN(A3)</f>
        <v>1</v>
      </c>
      <c r="B1">
        <f t="shared" si="0" ref="B1:V1">COLUMN(B3)</f>
        <v>2</v>
      </c>
      <c r="C1">
        <f t="shared" si="0"/>
        <v>3</v>
      </c>
      <c r="D1">
        <f t="shared" si="0"/>
        <v>4</v>
      </c>
      <c r="E1">
        <f t="shared" si="0"/>
        <v>5</v>
      </c>
      <c r="F1">
        <f t="shared" si="0"/>
        <v>6</v>
      </c>
      <c r="G1">
        <f t="shared" si="0"/>
        <v>7</v>
      </c>
      <c r="H1">
        <f t="shared" si="0"/>
        <v>8</v>
      </c>
      <c r="I1">
        <f t="shared" si="0"/>
        <v>9</v>
      </c>
      <c r="J1">
        <f t="shared" si="0"/>
        <v>10</v>
      </c>
      <c r="K1">
        <f>COLUMN(K3)</f>
        <v>11</v>
      </c>
      <c r="L1">
        <f t="shared" si="0"/>
        <v>12</v>
      </c>
      <c r="M1">
        <f t="shared" si="0"/>
        <v>13</v>
      </c>
      <c r="N1">
        <f t="shared" si="0"/>
        <v>14</v>
      </c>
      <c r="O1">
        <f>COLUMN(O3)</f>
        <v>15</v>
      </c>
      <c r="P1">
        <f t="shared" si="0"/>
        <v>16</v>
      </c>
      <c r="Q1">
        <f t="shared" si="0"/>
        <v>17</v>
      </c>
      <c r="R1">
        <f t="shared" si="0"/>
        <v>18</v>
      </c>
      <c r="S1">
        <f t="shared" si="0"/>
        <v>19</v>
      </c>
      <c r="T1">
        <f t="shared" si="0"/>
        <v>20</v>
      </c>
      <c r="U1">
        <f>COLUMN(U3)</f>
        <v>21</v>
      </c>
      <c r="V1">
        <f t="shared" si="0"/>
        <v>22</v>
      </c>
      <c r="W1">
        <f t="shared" si="1" ref="W1:AU1">COLUMN(W3)</f>
        <v>23</v>
      </c>
      <c r="X1">
        <f t="shared" si="1"/>
        <v>24</v>
      </c>
      <c r="Y1">
        <f t="shared" si="1"/>
        <v>25</v>
      </c>
      <c r="Z1">
        <f t="shared" si="1"/>
        <v>26</v>
      </c>
      <c r="AA1">
        <f t="shared" si="1"/>
        <v>27</v>
      </c>
      <c r="AB1">
        <f t="shared" si="1"/>
        <v>28</v>
      </c>
      <c r="AC1">
        <f t="shared" si="1"/>
        <v>29</v>
      </c>
      <c r="AD1">
        <f t="shared" si="1"/>
        <v>30</v>
      </c>
      <c r="AE1">
        <f t="shared" si="1"/>
        <v>31</v>
      </c>
      <c r="AF1">
        <f t="shared" si="1"/>
        <v>32</v>
      </c>
      <c r="AG1">
        <f t="shared" si="1"/>
        <v>33</v>
      </c>
      <c r="AH1">
        <f t="shared" si="1"/>
        <v>34</v>
      </c>
      <c r="AI1">
        <f t="shared" si="1"/>
        <v>35</v>
      </c>
      <c r="AJ1">
        <f t="shared" si="1"/>
        <v>36</v>
      </c>
      <c r="AK1">
        <f t="shared" si="1"/>
        <v>37</v>
      </c>
      <c r="AL1">
        <f t="shared" si="1"/>
        <v>38</v>
      </c>
      <c r="AM1">
        <f t="shared" si="1"/>
        <v>39</v>
      </c>
      <c r="AN1">
        <f t="shared" si="1"/>
        <v>40</v>
      </c>
      <c r="AO1">
        <f t="shared" si="1"/>
        <v>41</v>
      </c>
      <c r="AP1">
        <f t="shared" si="1"/>
        <v>42</v>
      </c>
      <c r="AQ1">
        <f t="shared" si="1"/>
        <v>43</v>
      </c>
      <c r="AR1">
        <f t="shared" si="1"/>
        <v>44</v>
      </c>
      <c r="AS1">
        <f t="shared" si="1"/>
        <v>45</v>
      </c>
      <c r="AT1">
        <f t="shared" si="1"/>
        <v>46</v>
      </c>
      <c r="AU1">
        <f t="shared" si="1"/>
        <v>47</v>
      </c>
      <c r="AX1">
        <v>48</v>
      </c>
      <c r="AY1">
        <v>49</v>
      </c>
      <c r="AZ1">
        <v>50</v>
      </c>
      <c r="BA1">
        <v>51</v>
      </c>
      <c r="BB1">
        <v>52</v>
      </c>
      <c r="BC1">
        <v>53</v>
      </c>
      <c r="BD1">
        <v>54</v>
      </c>
      <c r="BE1">
        <v>55</v>
      </c>
      <c r="BF1">
        <v>56</v>
      </c>
      <c r="BG1">
        <v>57</v>
      </c>
      <c r="BH1">
        <v>58</v>
      </c>
      <c r="BI1">
        <v>59</v>
      </c>
      <c r="BJ1">
        <v>60</v>
      </c>
      <c r="BK1">
        <v>61</v>
      </c>
      <c r="BL1">
        <v>62</v>
      </c>
      <c r="BM1">
        <v>63</v>
      </c>
      <c r="BN1">
        <v>64</v>
      </c>
      <c r="BO1">
        <v>65</v>
      </c>
      <c r="BP1">
        <v>66</v>
      </c>
      <c r="BQ1">
        <v>67</v>
      </c>
      <c r="BR1">
        <v>68</v>
      </c>
      <c r="BS1">
        <v>69</v>
      </c>
      <c r="BT1">
        <v>70</v>
      </c>
    </row>
    <row r="2" spans="1:47" ht="15">
      <c r="A2" s="37" t="s">
        <v>36</v>
      </c>
      <c r="B2" s="37"/>
      <c r="C2" s="38"/>
      <c r="D2" s="38"/>
      <c r="E2" s="38"/>
      <c r="F2" s="38"/>
      <c r="G2" s="38"/>
      <c r="H2" s="38"/>
      <c r="I2" s="38"/>
      <c r="J2" s="38"/>
      <c r="K2" s="38"/>
      <c r="L2" s="38"/>
      <c r="M2" s="38"/>
      <c r="N2" s="38"/>
      <c r="O2" s="38"/>
      <c r="P2" s="38"/>
      <c r="Q2" s="38"/>
      <c r="R2" s="38"/>
      <c r="S2" s="38"/>
      <c r="T2" s="38"/>
      <c r="U2" s="38"/>
      <c r="V2" s="38"/>
      <c r="W2" s="38"/>
      <c r="X2" s="38"/>
      <c r="Y2" s="38"/>
      <c r="Z2" s="38"/>
      <c r="AA2" s="38"/>
      <c r="AB2" s="38"/>
      <c r="AC2" s="38"/>
      <c r="AD2" s="38"/>
      <c r="AE2" s="38"/>
      <c r="AF2" s="38"/>
      <c r="AG2" s="38"/>
      <c r="AH2" s="38"/>
      <c r="AI2" s="38"/>
      <c r="AJ2" s="38"/>
      <c r="AK2" s="38"/>
      <c r="AL2" s="38"/>
      <c r="AM2" s="38"/>
      <c r="AN2" s="38"/>
      <c r="AO2" s="38"/>
      <c r="AP2" s="38"/>
      <c r="AQ2" s="38"/>
      <c r="AR2" s="38"/>
      <c r="AS2" s="38"/>
      <c r="AT2" s="38"/>
      <c r="AU2" s="38"/>
    </row>
    <row r="3" spans="1:48" ht="13">
      <c r="A3" s="39" t="s">
        <v>47</v>
      </c>
      <c r="B3" s="39" t="s">
        <v>48</v>
      </c>
      <c r="C3" s="39" t="s">
        <v>49</v>
      </c>
      <c r="D3" s="39" t="s">
        <v>50</v>
      </c>
      <c r="E3" s="39" t="s">
        <v>51</v>
      </c>
      <c r="F3" s="39" t="s">
        <v>52</v>
      </c>
      <c r="G3" s="39" t="s">
        <v>53</v>
      </c>
      <c r="H3" s="39" t="s">
        <v>54</v>
      </c>
      <c r="I3" s="39" t="s">
        <v>55</v>
      </c>
      <c r="J3" s="39" t="s">
        <v>56</v>
      </c>
      <c r="K3" s="39" t="s">
        <v>57</v>
      </c>
      <c r="L3" s="39" t="s">
        <v>58</v>
      </c>
      <c r="M3" s="39" t="s">
        <v>59</v>
      </c>
      <c r="N3" s="39" t="s">
        <v>60</v>
      </c>
      <c r="O3" s="39" t="s">
        <v>61</v>
      </c>
      <c r="P3" s="39" t="s">
        <v>62</v>
      </c>
      <c r="Q3" s="39" t="s">
        <v>63</v>
      </c>
      <c r="R3" s="39" t="s">
        <v>64</v>
      </c>
      <c r="S3" s="39" t="s">
        <v>65</v>
      </c>
      <c r="T3" s="39" t="s">
        <v>66</v>
      </c>
      <c r="U3" s="39" t="s">
        <v>67</v>
      </c>
      <c r="V3" s="39" t="s">
        <v>68</v>
      </c>
      <c r="W3" s="39" t="s">
        <v>69</v>
      </c>
      <c r="X3" s="39" t="s">
        <v>70</v>
      </c>
      <c r="Y3" s="39" t="s">
        <v>71</v>
      </c>
      <c r="Z3" s="39" t="s">
        <v>72</v>
      </c>
      <c r="AA3" s="39" t="s">
        <v>73</v>
      </c>
      <c r="AB3" s="39" t="s">
        <v>74</v>
      </c>
      <c r="AC3" s="39" t="s">
        <v>75</v>
      </c>
      <c r="AD3" s="39" t="s">
        <v>76</v>
      </c>
      <c r="AE3" s="39" t="s">
        <v>77</v>
      </c>
      <c r="AF3" s="39" t="s">
        <v>78</v>
      </c>
      <c r="AG3" s="39" t="s">
        <v>79</v>
      </c>
      <c r="AH3" s="39" t="s">
        <v>80</v>
      </c>
      <c r="AI3" s="39" t="s">
        <v>81</v>
      </c>
      <c r="AJ3" s="39" t="s">
        <v>82</v>
      </c>
      <c r="AK3" s="39" t="s">
        <v>83</v>
      </c>
      <c r="AL3" s="39" t="s">
        <v>84</v>
      </c>
      <c r="AM3" s="39" t="s">
        <v>85</v>
      </c>
      <c r="AN3" s="39" t="s">
        <v>86</v>
      </c>
      <c r="AO3" s="39" t="s">
        <v>87</v>
      </c>
      <c r="AP3" s="39" t="s">
        <v>88</v>
      </c>
      <c r="AQ3" s="39" t="s">
        <v>89</v>
      </c>
      <c r="AR3" s="39" t="s">
        <v>90</v>
      </c>
      <c r="AS3" s="39" t="s">
        <v>91</v>
      </c>
      <c r="AT3" s="39" t="s">
        <v>92</v>
      </c>
      <c r="AU3" s="39" t="s">
        <v>93</v>
      </c>
      <c r="AV3" s="1"/>
    </row>
    <row r="4" spans="1:50" ht="13">
      <c r="A4" s="38"/>
      <c r="B4" s="38"/>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c r="AN4" s="38"/>
      <c r="AO4" s="38"/>
      <c r="AP4" s="38"/>
      <c r="AQ4" s="38"/>
      <c r="AR4" s="38"/>
      <c r="AS4" s="38"/>
      <c r="AT4" s="38"/>
      <c r="AU4" s="38"/>
      <c r="AX4" s="39" t="s">
        <v>48</v>
      </c>
    </row>
    <row r="5" spans="1:50" ht="13">
      <c r="A5" s="47"/>
      <c r="B5" s="47"/>
      <c r="C5" s="47"/>
      <c r="D5" s="47"/>
      <c r="E5" s="38"/>
      <c r="F5" s="38"/>
      <c r="G5" s="47"/>
      <c r="H5" s="38"/>
      <c r="I5" s="38"/>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X5" s="39" t="s">
        <v>52</v>
      </c>
    </row>
    <row r="6" spans="1:50" ht="13">
      <c r="A6" s="22"/>
      <c r="B6" s="22"/>
      <c r="C6" s="22"/>
      <c r="D6" s="22"/>
      <c r="E6" s="22"/>
      <c r="F6" s="22"/>
      <c r="G6" s="22"/>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X6" s="39" t="s">
        <v>53</v>
      </c>
    </row>
    <row r="7" spans="1:50" ht="15">
      <c r="A7" s="40" t="s">
        <v>39</v>
      </c>
      <c r="B7" s="40"/>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X7" s="39" t="s">
        <v>54</v>
      </c>
    </row>
    <row r="8" spans="1:50" ht="13">
      <c r="A8" s="42" t="s">
        <v>47</v>
      </c>
      <c r="B8" s="42" t="s">
        <v>48</v>
      </c>
      <c r="C8" s="42" t="s">
        <v>49</v>
      </c>
      <c r="D8" s="42" t="s">
        <v>50</v>
      </c>
      <c r="E8" s="42" t="s">
        <v>51</v>
      </c>
      <c r="F8" s="42" t="s">
        <v>52</v>
      </c>
      <c r="G8" s="42" t="s">
        <v>53</v>
      </c>
      <c r="H8" s="42" t="s">
        <v>54</v>
      </c>
      <c r="I8" s="42" t="s">
        <v>55</v>
      </c>
      <c r="J8" s="42" t="s">
        <v>56</v>
      </c>
      <c r="K8" s="42" t="s">
        <v>57</v>
      </c>
      <c r="L8" s="42" t="s">
        <v>58</v>
      </c>
      <c r="M8" s="42" t="s">
        <v>59</v>
      </c>
      <c r="N8" s="42" t="s">
        <v>60</v>
      </c>
      <c r="O8" s="42" t="s">
        <v>61</v>
      </c>
      <c r="P8" s="42" t="s">
        <v>62</v>
      </c>
      <c r="Q8" s="42" t="s">
        <v>63</v>
      </c>
      <c r="R8" s="42" t="s">
        <v>64</v>
      </c>
      <c r="S8" s="42" t="s">
        <v>65</v>
      </c>
      <c r="T8" s="42" t="s">
        <v>66</v>
      </c>
      <c r="U8" s="42" t="s">
        <v>67</v>
      </c>
      <c r="V8" s="42" t="s">
        <v>68</v>
      </c>
      <c r="W8" s="42" t="s">
        <v>94</v>
      </c>
      <c r="X8" s="42" t="s">
        <v>95</v>
      </c>
      <c r="Y8" s="42" t="s">
        <v>88</v>
      </c>
      <c r="Z8" s="42" t="s">
        <v>89</v>
      </c>
      <c r="AA8" s="42" t="s">
        <v>96</v>
      </c>
      <c r="AB8" s="42" t="s">
        <v>97</v>
      </c>
      <c r="AC8" s="42" t="s">
        <v>98</v>
      </c>
      <c r="AD8" s="42" t="s">
        <v>99</v>
      </c>
      <c r="AE8" s="41"/>
      <c r="AF8" s="41"/>
      <c r="AG8" s="41"/>
      <c r="AH8" s="41"/>
      <c r="AI8" s="41"/>
      <c r="AJ8" s="41"/>
      <c r="AK8" s="41"/>
      <c r="AL8" s="41"/>
      <c r="AM8" s="41"/>
      <c r="AN8" s="41"/>
      <c r="AO8" s="41"/>
      <c r="AP8" s="41"/>
      <c r="AQ8" s="41"/>
      <c r="AR8" s="41"/>
      <c r="AS8" s="41"/>
      <c r="AT8" s="41"/>
      <c r="AU8" s="41"/>
      <c r="AX8" s="39" t="s">
        <v>55</v>
      </c>
    </row>
    <row r="9" spans="1:50" ht="13">
      <c r="A9" s="41"/>
      <c r="B9" s="41"/>
      <c r="C9" s="41"/>
      <c r="D9" s="41"/>
      <c r="E9" s="41"/>
      <c r="F9" s="41"/>
      <c r="G9" s="41"/>
      <c r="H9" s="41"/>
      <c r="I9" s="41"/>
      <c r="J9" s="41"/>
      <c r="K9" s="41"/>
      <c r="L9" s="41"/>
      <c r="M9" s="41"/>
      <c r="N9" s="41"/>
      <c r="O9" s="41"/>
      <c r="P9" s="41"/>
      <c r="Q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X9" s="39" t="s">
        <v>56</v>
      </c>
    </row>
    <row r="10" spans="1:50" ht="13">
      <c r="A10" s="41"/>
      <c r="B10" s="49"/>
      <c r="C10" s="49"/>
      <c r="D10" s="49"/>
      <c r="E10" s="41"/>
      <c r="F10" s="41"/>
      <c r="G10" s="41"/>
      <c r="H10" s="41"/>
      <c r="I10" s="41"/>
      <c r="J10" s="41"/>
      <c r="K10" s="41"/>
      <c r="L10" s="41"/>
      <c r="M10" s="41"/>
      <c r="N10" s="41"/>
      <c r="O10" s="41"/>
      <c r="P10" s="41"/>
      <c r="Q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X10" s="39" t="s">
        <v>59</v>
      </c>
    </row>
    <row r="11" spans="1:50" ht="13">
      <c r="A11" s="22"/>
      <c r="B11" s="22"/>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X11" s="39" t="s">
        <v>60</v>
      </c>
    </row>
    <row r="12" spans="1:50" ht="15">
      <c r="A12" s="43" t="s">
        <v>40</v>
      </c>
      <c r="B12" s="43"/>
      <c r="C12" s="44"/>
      <c r="D12" s="44"/>
      <c r="E12" s="44"/>
      <c r="F12" s="44"/>
      <c r="G12" s="44"/>
      <c r="H12" s="44"/>
      <c r="I12" s="44"/>
      <c r="J12" s="44"/>
      <c r="K12" s="4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X12" s="39" t="s">
        <v>62</v>
      </c>
    </row>
    <row r="13" spans="1:50" ht="13">
      <c r="A13" s="45" t="s">
        <v>47</v>
      </c>
      <c r="B13" s="45" t="s">
        <v>48</v>
      </c>
      <c r="C13" s="45" t="s">
        <v>49</v>
      </c>
      <c r="D13" s="45" t="s">
        <v>50</v>
      </c>
      <c r="E13" s="45" t="s">
        <v>51</v>
      </c>
      <c r="F13" s="45" t="s">
        <v>52</v>
      </c>
      <c r="G13" s="45" t="s">
        <v>53</v>
      </c>
      <c r="H13" s="45" t="s">
        <v>54</v>
      </c>
      <c r="I13" s="45" t="s">
        <v>55</v>
      </c>
      <c r="J13" s="45" t="s">
        <v>56</v>
      </c>
      <c r="K13" s="45" t="s">
        <v>57</v>
      </c>
      <c r="L13" s="45" t="s">
        <v>58</v>
      </c>
      <c r="M13" s="45" t="s">
        <v>59</v>
      </c>
      <c r="N13" s="45" t="s">
        <v>60</v>
      </c>
      <c r="O13" s="45" t="s">
        <v>61</v>
      </c>
      <c r="P13" s="45" t="s">
        <v>62</v>
      </c>
      <c r="Q13" s="45" t="s">
        <v>63</v>
      </c>
      <c r="R13" s="45" t="s">
        <v>64</v>
      </c>
      <c r="S13" s="45" t="s">
        <v>65</v>
      </c>
      <c r="T13" s="45" t="s">
        <v>66</v>
      </c>
      <c r="U13" s="45" t="s">
        <v>67</v>
      </c>
      <c r="V13" s="45" t="s">
        <v>68</v>
      </c>
      <c r="W13" s="45" t="s">
        <v>100</v>
      </c>
      <c r="X13" s="45" t="s">
        <v>101</v>
      </c>
      <c r="Y13" s="45" t="s">
        <v>102</v>
      </c>
      <c r="Z13" s="45" t="s">
        <v>103</v>
      </c>
      <c r="AA13" s="45" t="s">
        <v>104</v>
      </c>
      <c r="AB13" s="45" t="s">
        <v>105</v>
      </c>
      <c r="AC13" s="45" t="s">
        <v>106</v>
      </c>
      <c r="AD13" s="45" t="s">
        <v>107</v>
      </c>
      <c r="AE13" s="45" t="s">
        <v>108</v>
      </c>
      <c r="AF13" s="45" t="s">
        <v>109</v>
      </c>
      <c r="AG13" s="45" t="s">
        <v>110</v>
      </c>
      <c r="AH13" s="45" t="s">
        <v>111</v>
      </c>
      <c r="AI13" s="45" t="s">
        <v>112</v>
      </c>
      <c r="AJ13" s="45" t="s">
        <v>113</v>
      </c>
      <c r="AK13" s="45"/>
      <c r="AL13" s="44"/>
      <c r="AM13" s="44"/>
      <c r="AN13" s="44"/>
      <c r="AO13" s="44"/>
      <c r="AP13" s="44"/>
      <c r="AQ13" s="44"/>
      <c r="AR13" s="44"/>
      <c r="AS13" s="44"/>
      <c r="AT13" s="44"/>
      <c r="AU13" s="44"/>
      <c r="AX13" s="39" t="s">
        <v>63</v>
      </c>
    </row>
    <row r="14" spans="1:50" ht="13">
      <c r="A14" s="44"/>
      <c r="B14" s="44"/>
      <c r="C14" s="44"/>
      <c r="D14" s="44"/>
      <c r="E14" s="44"/>
      <c r="F14" s="44"/>
      <c r="G14" s="44"/>
      <c r="H14" s="44"/>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X14" s="39" t="s">
        <v>64</v>
      </c>
    </row>
    <row r="15" spans="1:50" ht="13">
      <c r="A15" s="44"/>
      <c r="B15" s="48"/>
      <c r="C15" s="48"/>
      <c r="D15" s="48"/>
      <c r="E15" s="44"/>
      <c r="F15" s="44"/>
      <c r="G15" s="4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X15" s="39" t="s">
        <v>66</v>
      </c>
    </row>
    <row r="16" spans="1:50" ht="13">
      <c r="A16" s="22"/>
      <c r="B16" s="22"/>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X16" s="39" t="s">
        <v>68</v>
      </c>
    </row>
    <row r="17" spans="1:47" ht="15">
      <c r="A17" s="46" t="s">
        <v>45</v>
      </c>
      <c r="B17" s="46"/>
      <c r="C17" s="23"/>
      <c r="D17" s="23"/>
      <c r="E17" s="23"/>
      <c r="F17" s="23"/>
      <c r="G17" s="23"/>
      <c r="H17" s="23"/>
      <c r="I17" s="23"/>
      <c r="J17" s="23"/>
      <c r="K17" s="23"/>
      <c r="L17" s="23"/>
      <c r="M17" s="23"/>
      <c r="N17" s="23"/>
      <c r="O17" s="23"/>
      <c r="P17" s="23"/>
      <c r="Q17" s="23"/>
      <c r="R17" s="23"/>
      <c r="S17" s="23"/>
      <c r="T17" s="23"/>
      <c r="U17" s="23"/>
      <c r="V17" s="23"/>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row>
    <row r="18" spans="1:47" ht="13">
      <c r="A18" s="23" t="s">
        <v>47</v>
      </c>
      <c r="B18" s="23" t="s">
        <v>114</v>
      </c>
      <c r="C18" s="23" t="s">
        <v>48</v>
      </c>
      <c r="D18" s="23" t="s">
        <v>49</v>
      </c>
      <c r="E18" s="23" t="s">
        <v>50</v>
      </c>
      <c r="F18" s="23" t="s">
        <v>51</v>
      </c>
      <c r="G18" s="23" t="s">
        <v>52</v>
      </c>
      <c r="H18" s="23" t="s">
        <v>53</v>
      </c>
      <c r="I18" s="23" t="s">
        <v>54</v>
      </c>
      <c r="J18" s="23" t="s">
        <v>55</v>
      </c>
      <c r="K18" s="23" t="s">
        <v>57</v>
      </c>
      <c r="L18" s="23" t="s">
        <v>56</v>
      </c>
      <c r="M18" s="23" t="s">
        <v>58</v>
      </c>
      <c r="N18" s="23" t="s">
        <v>59</v>
      </c>
      <c r="O18" s="23" t="s">
        <v>61</v>
      </c>
      <c r="P18" s="23" t="s">
        <v>60</v>
      </c>
      <c r="Q18" s="23" t="s">
        <v>62</v>
      </c>
      <c r="R18" s="23" t="s">
        <v>63</v>
      </c>
      <c r="S18" s="23" t="s">
        <v>64</v>
      </c>
      <c r="T18" s="23" t="s">
        <v>65</v>
      </c>
      <c r="U18" s="23" t="s">
        <v>66</v>
      </c>
      <c r="V18" s="23" t="s">
        <v>67</v>
      </c>
      <c r="W18" s="23" t="s">
        <v>68</v>
      </c>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row>
    <row r="19" spans="1:48" ht="13">
      <c r="A19" s="22"/>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row>
    <row r="20" spans="1:48" ht="13">
      <c r="A20" s="22"/>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row>
    <row r="21" spans="1:48" ht="13">
      <c r="A21" s="22"/>
      <c r="B21" s="22"/>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11616A33-4890-473F-B6BB-2DF4FF90EF95}">
  <sheetPr codeName="Sheet18"/>
  <dimension ref="A1:AY42"/>
  <sheetViews>
    <sheetView workbookViewId="0" topLeftCell="A1">
      <pane xSplit="2" ySplit="1" topLeftCell="AE2" activePane="bottomRight" state="frozen"/>
      <selection pane="topLeft" activeCell="A1" sqref="A1"/>
      <selection pane="bottomLeft" activeCell="A18" sqref="A18"/>
      <selection pane="topRight" activeCell="A18" sqref="A18"/>
      <selection pane="bottomRight" activeCell="AR5" sqref="AR5"/>
    </sheetView>
  </sheetViews>
  <sheetFormatPr defaultRowHeight="13"/>
  <cols>
    <col min="1" max="1" width="23.5" customWidth="1"/>
    <col min="2" max="48" width="13.3333333333333" customWidth="1"/>
  </cols>
  <sheetData>
    <row r="1" spans="2:50" ht="13">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f t="shared" si="0" ref="AC1:AV1">AB1+1</f>
        <v>28</v>
      </c>
      <c r="AD1">
        <f t="shared" si="0"/>
        <v>29</v>
      </c>
      <c r="AE1">
        <f t="shared" si="0"/>
        <v>30</v>
      </c>
      <c r="AF1">
        <f t="shared" si="0"/>
        <v>31</v>
      </c>
      <c r="AG1">
        <f t="shared" si="0"/>
        <v>32</v>
      </c>
      <c r="AH1">
        <f t="shared" si="0"/>
        <v>33</v>
      </c>
      <c r="AI1">
        <f t="shared" si="0"/>
        <v>34</v>
      </c>
      <c r="AJ1">
        <f t="shared" si="0"/>
        <v>35</v>
      </c>
      <c r="AK1">
        <f t="shared" si="0"/>
        <v>36</v>
      </c>
      <c r="AL1">
        <f t="shared" si="0"/>
        <v>37</v>
      </c>
      <c r="AM1">
        <f t="shared" si="0"/>
        <v>38</v>
      </c>
      <c r="AN1">
        <f t="shared" si="0"/>
        <v>39</v>
      </c>
      <c r="AO1">
        <f t="shared" si="0"/>
        <v>40</v>
      </c>
      <c r="AP1">
        <f t="shared" si="0"/>
        <v>41</v>
      </c>
      <c r="AQ1">
        <f t="shared" si="0"/>
        <v>42</v>
      </c>
      <c r="AR1">
        <f t="shared" si="0"/>
        <v>43</v>
      </c>
      <c r="AS1">
        <f t="shared" si="0"/>
        <v>44</v>
      </c>
      <c r="AT1">
        <f t="shared" si="0"/>
        <v>45</v>
      </c>
      <c r="AU1">
        <f t="shared" si="0"/>
        <v>46</v>
      </c>
      <c r="AV1">
        <f t="shared" si="0"/>
        <v>47</v>
      </c>
      <c r="AW1">
        <f>AV1+1</f>
        <v>48</v>
      </c>
      <c r="AX1">
        <f>AW1+1</f>
        <v>49</v>
      </c>
    </row>
    <row r="2" spans="1:50" ht="15">
      <c r="A2" s="15" t="s">
        <v>36</v>
      </c>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row>
    <row r="3" spans="1:51" s="14" customFormat="1" ht="37.9" customHeight="1">
      <c r="A3" s="17" t="s">
        <v>115</v>
      </c>
      <c r="B3" s="17" t="s">
        <v>48</v>
      </c>
      <c r="C3" s="17" t="s">
        <v>49</v>
      </c>
      <c r="D3" s="17" t="s">
        <v>116</v>
      </c>
      <c r="E3" s="17" t="s">
        <v>117</v>
      </c>
      <c r="F3" s="17" t="s">
        <v>51</v>
      </c>
      <c r="G3" s="17" t="s">
        <v>118</v>
      </c>
      <c r="H3" s="17" t="s">
        <v>119</v>
      </c>
      <c r="I3" s="17" t="s">
        <v>120</v>
      </c>
      <c r="J3" s="17" t="s">
        <v>121</v>
      </c>
      <c r="K3" s="17" t="s">
        <v>54</v>
      </c>
      <c r="L3" s="17" t="s">
        <v>55</v>
      </c>
      <c r="M3" s="17" t="s">
        <v>56</v>
      </c>
      <c r="N3" s="17" t="s">
        <v>57</v>
      </c>
      <c r="O3" s="17" t="s">
        <v>58</v>
      </c>
      <c r="P3" s="17" t="s">
        <v>59</v>
      </c>
      <c r="Q3" s="17" t="s">
        <v>60</v>
      </c>
      <c r="R3" s="17" t="s">
        <v>62</v>
      </c>
      <c r="S3" s="17" t="s">
        <v>61</v>
      </c>
      <c r="T3" s="17" t="s">
        <v>63</v>
      </c>
      <c r="U3" s="17" t="s">
        <v>64</v>
      </c>
      <c r="V3" s="17" t="s">
        <v>65</v>
      </c>
      <c r="W3" s="17" t="s">
        <v>66</v>
      </c>
      <c r="X3" s="17" t="s">
        <v>68</v>
      </c>
      <c r="Y3" s="17" t="s">
        <v>67</v>
      </c>
      <c r="Z3" s="17" t="s">
        <v>122</v>
      </c>
      <c r="AA3" s="17" t="s">
        <v>123</v>
      </c>
      <c r="AB3" s="17" t="s">
        <v>124</v>
      </c>
      <c r="AC3" s="17" t="s">
        <v>125</v>
      </c>
      <c r="AD3" s="17" t="s">
        <v>126</v>
      </c>
      <c r="AE3" s="17" t="s">
        <v>127</v>
      </c>
      <c r="AF3" s="17" t="s">
        <v>128</v>
      </c>
      <c r="AG3" s="17" t="s">
        <v>129</v>
      </c>
      <c r="AH3" s="17" t="s">
        <v>130</v>
      </c>
      <c r="AI3" s="17" t="s">
        <v>131</v>
      </c>
      <c r="AJ3" s="17" t="s">
        <v>132</v>
      </c>
      <c r="AK3" s="17" t="s">
        <v>133</v>
      </c>
      <c r="AL3" s="17" t="s">
        <v>134</v>
      </c>
      <c r="AM3" s="17" t="s">
        <v>135</v>
      </c>
      <c r="AN3" s="17" t="s">
        <v>136</v>
      </c>
      <c r="AO3" s="17" t="s">
        <v>137</v>
      </c>
      <c r="AP3" s="17" t="s">
        <v>138</v>
      </c>
      <c r="AQ3" s="17" t="s">
        <v>139</v>
      </c>
      <c r="AR3" s="17" t="s">
        <v>140</v>
      </c>
      <c r="AS3" s="17" t="s">
        <v>141</v>
      </c>
      <c r="AT3" s="17" t="s">
        <v>142</v>
      </c>
      <c r="AU3" s="17" t="s">
        <v>143</v>
      </c>
      <c r="AV3" s="17" t="s">
        <v>144</v>
      </c>
      <c r="AW3" s="17" t="s">
        <v>145</v>
      </c>
      <c r="AX3" s="17" t="s">
        <v>146</v>
      </c>
      <c r="AY3" s="13"/>
    </row>
    <row r="4" spans="1:51" s="14" customFormat="1" ht="14.5" customHeight="1">
      <c r="A4" s="36"/>
      <c r="B4" s="36"/>
      <c r="C4" s="36"/>
      <c r="D4" s="36"/>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13"/>
    </row>
    <row r="5" spans="1:50" ht="13">
      <c r="A5" s="61"/>
      <c r="B5" s="61"/>
      <c r="C5" s="61"/>
      <c r="D5" s="61"/>
      <c r="E5" s="62"/>
      <c r="F5" s="62"/>
      <c r="G5" s="62"/>
      <c r="H5" s="62"/>
      <c r="I5" s="62"/>
      <c r="J5" s="62"/>
      <c r="K5" s="62"/>
      <c r="L5" s="62"/>
      <c r="M5" s="62"/>
      <c r="N5" s="62"/>
      <c r="O5" s="62"/>
      <c r="P5" s="62"/>
      <c r="Q5" s="62"/>
      <c r="R5" s="62"/>
      <c r="S5" s="62"/>
      <c r="T5" s="62"/>
      <c r="U5" s="62"/>
      <c r="V5" s="62"/>
      <c r="W5" s="62"/>
      <c r="X5" s="62"/>
      <c r="Y5" s="62"/>
      <c r="Z5" s="62"/>
      <c r="AA5" s="63"/>
      <c r="AB5" s="63"/>
      <c r="AC5" s="63"/>
      <c r="AD5" s="63"/>
      <c r="AE5" s="63"/>
      <c r="AF5" s="63"/>
      <c r="AG5" s="63"/>
      <c r="AH5" s="63"/>
      <c r="AI5" s="63"/>
      <c r="AJ5" s="63"/>
      <c r="AK5" s="63"/>
      <c r="AL5" s="63"/>
      <c r="AM5" s="63"/>
      <c r="AN5" s="63"/>
      <c r="AO5" s="63"/>
      <c r="AP5" s="63"/>
      <c r="AQ5" s="63"/>
      <c r="AR5" s="63"/>
      <c r="AS5" s="63"/>
      <c r="AT5" s="63"/>
      <c r="AU5" s="63"/>
      <c r="AV5" s="63"/>
      <c r="AW5" s="63"/>
      <c r="AX5" s="63"/>
    </row>
    <row r="6" spans="1:50" ht="13">
      <c r="A6" s="31"/>
      <c r="B6" s="31"/>
      <c r="C6" s="31"/>
      <c r="D6" s="31"/>
      <c r="E6" s="32"/>
      <c r="F6" s="32"/>
      <c r="G6" s="32"/>
      <c r="H6" s="32"/>
      <c r="I6" s="32"/>
      <c r="J6" s="32"/>
      <c r="K6" s="32"/>
      <c r="L6" s="32"/>
      <c r="M6" s="32"/>
      <c r="N6" s="32"/>
      <c r="O6" s="32"/>
      <c r="P6" s="32"/>
      <c r="Q6" s="32"/>
      <c r="R6" s="32"/>
      <c r="S6" s="32"/>
      <c r="T6" s="32"/>
      <c r="U6" s="32"/>
      <c r="V6" s="32"/>
      <c r="W6" s="32"/>
      <c r="X6" s="32"/>
      <c r="Y6" s="32"/>
      <c r="Z6" s="33"/>
      <c r="AA6" s="33"/>
      <c r="AB6" s="33"/>
      <c r="AC6" s="33"/>
      <c r="AD6" s="33"/>
      <c r="AE6" s="33"/>
      <c r="AF6" s="33"/>
      <c r="AG6" s="33"/>
      <c r="AH6" s="33"/>
      <c r="AI6" s="33"/>
      <c r="AJ6" s="33"/>
      <c r="AK6" s="33"/>
      <c r="AL6" s="33"/>
      <c r="AM6" s="33"/>
      <c r="AN6" s="33"/>
      <c r="AO6" s="34"/>
      <c r="AP6" s="34"/>
      <c r="AQ6" s="34"/>
      <c r="AR6" s="33"/>
      <c r="AS6" s="33"/>
      <c r="AT6" s="33"/>
      <c r="AU6" s="33"/>
      <c r="AV6" s="33"/>
      <c r="AW6" s="33"/>
      <c r="AX6" s="33"/>
    </row>
    <row r="8" spans="1:38" ht="15">
      <c r="A8" s="19" t="s">
        <v>39</v>
      </c>
      <c r="B8" s="19"/>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57"/>
    </row>
    <row r="9" spans="1:38" ht="39">
      <c r="A9" s="18" t="s">
        <v>115</v>
      </c>
      <c r="B9" s="18" t="s">
        <v>48</v>
      </c>
      <c r="C9" s="18" t="s">
        <v>49</v>
      </c>
      <c r="D9" s="18" t="s">
        <v>116</v>
      </c>
      <c r="E9" s="18" t="s">
        <v>117</v>
      </c>
      <c r="F9" s="18" t="s">
        <v>51</v>
      </c>
      <c r="G9" s="18" t="s">
        <v>118</v>
      </c>
      <c r="H9" s="18" t="s">
        <v>119</v>
      </c>
      <c r="I9" s="18" t="s">
        <v>120</v>
      </c>
      <c r="J9" s="18" t="s">
        <v>121</v>
      </c>
      <c r="K9" s="18" t="s">
        <v>54</v>
      </c>
      <c r="L9" s="18" t="s">
        <v>55</v>
      </c>
      <c r="M9" s="18" t="s">
        <v>56</v>
      </c>
      <c r="N9" s="18" t="s">
        <v>57</v>
      </c>
      <c r="O9" s="18" t="s">
        <v>58</v>
      </c>
      <c r="P9" s="18" t="s">
        <v>59</v>
      </c>
      <c r="Q9" s="18" t="s">
        <v>60</v>
      </c>
      <c r="R9" s="18" t="s">
        <v>62</v>
      </c>
      <c r="S9" s="18" t="s">
        <v>61</v>
      </c>
      <c r="T9" s="18" t="s">
        <v>63</v>
      </c>
      <c r="U9" s="18" t="s">
        <v>64</v>
      </c>
      <c r="V9" s="18" t="s">
        <v>65</v>
      </c>
      <c r="W9" s="18" t="s">
        <v>66</v>
      </c>
      <c r="X9" s="18" t="s">
        <v>68</v>
      </c>
      <c r="Y9" s="18" t="s">
        <v>67</v>
      </c>
      <c r="Z9" s="18" t="s">
        <v>123</v>
      </c>
      <c r="AA9" s="18" t="s">
        <v>124</v>
      </c>
      <c r="AB9" s="21" t="s">
        <v>147</v>
      </c>
      <c r="AC9" s="21" t="s">
        <v>148</v>
      </c>
      <c r="AD9" s="21" t="s">
        <v>149</v>
      </c>
      <c r="AE9" s="21" t="s">
        <v>150</v>
      </c>
      <c r="AF9" s="21" t="s">
        <v>151</v>
      </c>
      <c r="AG9" s="18" t="s">
        <v>141</v>
      </c>
      <c r="AH9" s="18" t="s">
        <v>142</v>
      </c>
      <c r="AI9" s="21" t="s">
        <v>152</v>
      </c>
      <c r="AJ9" s="21" t="s">
        <v>153</v>
      </c>
      <c r="AK9" s="21" t="s">
        <v>154</v>
      </c>
      <c r="AL9" s="58" t="s">
        <v>155</v>
      </c>
    </row>
    <row r="10" spans="1:38" s="1" customFormat="1" ht="13">
      <c r="A10" s="24"/>
      <c r="B10" s="24"/>
      <c r="C10" s="24"/>
      <c r="D10" s="24"/>
      <c r="E10" s="24"/>
      <c r="F10" s="24"/>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59"/>
    </row>
    <row r="11" spans="1:38" ht="13">
      <c r="A11" s="65"/>
      <c r="B11" s="64"/>
      <c r="C11" s="64"/>
      <c r="D11" s="64"/>
      <c r="E11" s="65"/>
      <c r="F11" s="65"/>
      <c r="G11" s="65"/>
      <c r="H11" s="64"/>
      <c r="I11" s="65"/>
      <c r="J11" s="65"/>
      <c r="K11" s="65"/>
      <c r="L11" s="65"/>
      <c r="M11" s="65"/>
      <c r="N11" s="65"/>
      <c r="O11" s="65"/>
      <c r="P11" s="65"/>
      <c r="Q11" s="65"/>
      <c r="R11" s="65"/>
      <c r="S11" s="65"/>
      <c r="T11" s="65"/>
      <c r="U11" s="65"/>
      <c r="V11" s="65"/>
      <c r="W11" s="65"/>
      <c r="X11" s="65"/>
      <c r="Y11" s="65"/>
      <c r="Z11" s="65"/>
      <c r="AA11" s="66"/>
      <c r="AB11" s="67"/>
      <c r="AC11" s="67"/>
      <c r="AD11" s="67"/>
      <c r="AE11" s="67"/>
      <c r="AF11" s="67"/>
      <c r="AG11" s="66"/>
      <c r="AH11" s="66"/>
      <c r="AI11" s="67"/>
      <c r="AJ11" s="67"/>
      <c r="AK11" s="67"/>
      <c r="AL11" s="68"/>
    </row>
    <row r="12" spans="1:38" ht="13">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row>
    <row r="14" spans="1:44" ht="15">
      <c r="A14" s="25" t="s">
        <v>40</v>
      </c>
      <c r="B14" s="25"/>
      <c r="C14" s="26"/>
      <c r="D14" s="26"/>
      <c r="E14" s="26"/>
      <c r="F14" s="26"/>
      <c r="G14" s="26"/>
      <c r="H14" s="26"/>
      <c r="I14" s="26"/>
      <c r="J14" s="26"/>
      <c r="K14" s="26"/>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60"/>
      <c r="AN14" s="60"/>
      <c r="AO14" s="27"/>
      <c r="AP14" s="27"/>
      <c r="AQ14" s="27"/>
      <c r="AR14" s="27"/>
    </row>
    <row r="15" spans="1:44" ht="39">
      <c r="A15" s="28" t="s">
        <v>115</v>
      </c>
      <c r="B15" s="28" t="s">
        <v>48</v>
      </c>
      <c r="C15" s="28" t="s">
        <v>49</v>
      </c>
      <c r="D15" s="28" t="s">
        <v>116</v>
      </c>
      <c r="E15" s="28" t="s">
        <v>117</v>
      </c>
      <c r="F15" s="28" t="s">
        <v>51</v>
      </c>
      <c r="G15" s="28" t="s">
        <v>118</v>
      </c>
      <c r="H15" s="28" t="s">
        <v>119</v>
      </c>
      <c r="I15" s="28" t="s">
        <v>120</v>
      </c>
      <c r="J15" s="28" t="s">
        <v>121</v>
      </c>
      <c r="K15" s="28" t="s">
        <v>54</v>
      </c>
      <c r="L15" s="28" t="s">
        <v>55</v>
      </c>
      <c r="M15" s="28" t="s">
        <v>56</v>
      </c>
      <c r="N15" s="28" t="s">
        <v>57</v>
      </c>
      <c r="O15" s="28" t="s">
        <v>58</v>
      </c>
      <c r="P15" s="28" t="s">
        <v>59</v>
      </c>
      <c r="Q15" s="28" t="s">
        <v>60</v>
      </c>
      <c r="R15" s="28" t="s">
        <v>62</v>
      </c>
      <c r="S15" s="28" t="s">
        <v>61</v>
      </c>
      <c r="T15" s="28" t="s">
        <v>63</v>
      </c>
      <c r="U15" s="28" t="s">
        <v>64</v>
      </c>
      <c r="V15" s="28" t="s">
        <v>65</v>
      </c>
      <c r="W15" s="28" t="s">
        <v>66</v>
      </c>
      <c r="X15" s="28" t="s">
        <v>68</v>
      </c>
      <c r="Y15" s="28" t="s">
        <v>67</v>
      </c>
      <c r="Z15" s="28" t="s">
        <v>156</v>
      </c>
      <c r="AA15" s="28" t="s">
        <v>157</v>
      </c>
      <c r="AB15" s="28" t="s">
        <v>158</v>
      </c>
      <c r="AC15" s="28" t="s">
        <v>159</v>
      </c>
      <c r="AD15" s="28" t="s">
        <v>160</v>
      </c>
      <c r="AE15" s="29" t="s">
        <v>161</v>
      </c>
      <c r="AF15" s="29" t="s">
        <v>162</v>
      </c>
      <c r="AG15" s="29" t="s">
        <v>163</v>
      </c>
      <c r="AH15" s="29" t="s">
        <v>164</v>
      </c>
      <c r="AI15" s="29" t="s">
        <v>165</v>
      </c>
      <c r="AJ15" s="28" t="s">
        <v>166</v>
      </c>
      <c r="AK15" s="28" t="s">
        <v>167</v>
      </c>
      <c r="AL15" s="28" t="s">
        <v>168</v>
      </c>
      <c r="AM15" s="28" t="s">
        <v>169</v>
      </c>
      <c r="AN15" s="29" t="s">
        <v>170</v>
      </c>
      <c r="AO15" s="29" t="s">
        <v>171</v>
      </c>
      <c r="AP15" s="29" t="s">
        <v>172</v>
      </c>
      <c r="AQ15" s="29" t="s">
        <v>173</v>
      </c>
      <c r="AR15" s="28" t="s">
        <v>174</v>
      </c>
    </row>
    <row r="16" spans="1:44" s="1" customFormat="1" ht="13">
      <c r="A16" s="30"/>
      <c r="B16" s="30"/>
      <c r="C16" s="30"/>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row>
    <row r="17" spans="1:44" ht="13">
      <c r="A17" s="70"/>
      <c r="B17" s="69"/>
      <c r="C17" s="69"/>
      <c r="D17" s="69"/>
      <c r="E17" s="70"/>
      <c r="F17" s="70"/>
      <c r="G17" s="70"/>
      <c r="H17" s="69"/>
      <c r="I17" s="70"/>
      <c r="J17" s="70"/>
      <c r="K17" s="70"/>
      <c r="L17" s="70"/>
      <c r="M17" s="70"/>
      <c r="N17" s="70"/>
      <c r="O17" s="70"/>
      <c r="P17" s="70"/>
      <c r="Q17" s="70"/>
      <c r="R17" s="70"/>
      <c r="S17" s="70"/>
      <c r="T17" s="70"/>
      <c r="U17" s="70"/>
      <c r="V17" s="70"/>
      <c r="W17" s="70"/>
      <c r="X17" s="70"/>
      <c r="Y17" s="70"/>
      <c r="Z17" s="70"/>
      <c r="AA17" s="71"/>
      <c r="AB17" s="71"/>
      <c r="AC17" s="71"/>
      <c r="AD17" s="71"/>
      <c r="AE17" s="72"/>
      <c r="AF17" s="72"/>
      <c r="AG17" s="72"/>
      <c r="AH17" s="72"/>
      <c r="AI17" s="72"/>
      <c r="AJ17" s="71"/>
      <c r="AK17" s="71"/>
      <c r="AL17" s="71"/>
      <c r="AM17" s="71"/>
      <c r="AN17" s="72"/>
      <c r="AO17" s="72"/>
      <c r="AP17" s="72"/>
      <c r="AQ17" s="72"/>
      <c r="AR17" s="71"/>
    </row>
    <row r="18" spans="1:44" ht="13">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row>
    <row r="20" spans="1:37" ht="13">
      <c r="A20" s="54" t="s">
        <v>41</v>
      </c>
      <c r="B20" s="54"/>
      <c r="C20" s="54"/>
      <c r="D20" s="54"/>
      <c r="E20" s="54"/>
      <c r="F20" s="54"/>
      <c r="G20" s="54"/>
      <c r="H20" s="54"/>
      <c r="I20" s="54"/>
      <c r="J20" s="54"/>
      <c r="K20" s="54"/>
      <c r="L20" s="54"/>
      <c r="M20" s="54"/>
      <c r="N20" s="54"/>
      <c r="O20" s="54"/>
      <c r="P20" s="54"/>
      <c r="Q20" s="54"/>
      <c r="R20" s="54"/>
      <c r="S20" s="54"/>
      <c r="T20" s="54"/>
      <c r="U20" s="54"/>
      <c r="V20" s="54"/>
      <c r="W20" s="54"/>
      <c r="X20" s="54"/>
      <c r="Y20" s="54"/>
      <c r="Z20" s="54"/>
      <c r="AA20" s="54"/>
      <c r="AB20" s="54"/>
      <c r="AC20" s="54"/>
      <c r="AD20" s="54"/>
      <c r="AE20" s="54"/>
      <c r="AF20" s="54"/>
      <c r="AG20" s="54"/>
      <c r="AH20" s="54"/>
      <c r="AI20" s="54"/>
      <c r="AJ20" s="89"/>
      <c r="AK20" s="84"/>
    </row>
    <row r="21" spans="1:37" ht="13">
      <c r="A21" s="54" t="s">
        <v>115</v>
      </c>
      <c r="B21" s="54" t="s">
        <v>48</v>
      </c>
      <c r="C21" s="54" t="s">
        <v>49</v>
      </c>
      <c r="D21" s="54" t="s">
        <v>116</v>
      </c>
      <c r="E21" s="54" t="s">
        <v>117</v>
      </c>
      <c r="F21" s="54" t="s">
        <v>51</v>
      </c>
      <c r="G21" s="54" t="s">
        <v>118</v>
      </c>
      <c r="H21" s="54" t="s">
        <v>119</v>
      </c>
      <c r="I21" s="54" t="s">
        <v>120</v>
      </c>
      <c r="J21" s="54" t="s">
        <v>121</v>
      </c>
      <c r="K21" s="54" t="s">
        <v>54</v>
      </c>
      <c r="L21" s="54" t="s">
        <v>55</v>
      </c>
      <c r="M21" s="54" t="s">
        <v>56</v>
      </c>
      <c r="N21" s="54" t="s">
        <v>57</v>
      </c>
      <c r="O21" s="54" t="s">
        <v>58</v>
      </c>
      <c r="P21" s="54" t="s">
        <v>59</v>
      </c>
      <c r="Q21" s="54" t="s">
        <v>60</v>
      </c>
      <c r="R21" s="54" t="s">
        <v>62</v>
      </c>
      <c r="S21" s="54" t="s">
        <v>61</v>
      </c>
      <c r="T21" s="54" t="s">
        <v>63</v>
      </c>
      <c r="U21" s="54" t="s">
        <v>64</v>
      </c>
      <c r="V21" s="54" t="s">
        <v>65</v>
      </c>
      <c r="W21" s="54" t="s">
        <v>66</v>
      </c>
      <c r="X21" s="54" t="s">
        <v>68</v>
      </c>
      <c r="Y21" s="54" t="s">
        <v>67</v>
      </c>
      <c r="Z21" s="54" t="s">
        <v>175</v>
      </c>
      <c r="AA21" s="54" t="s">
        <v>176</v>
      </c>
      <c r="AB21" s="54" t="s">
        <v>177</v>
      </c>
      <c r="AC21" s="54" t="s">
        <v>178</v>
      </c>
      <c r="AD21" s="54" t="s">
        <v>179</v>
      </c>
      <c r="AE21" s="54" t="s">
        <v>180</v>
      </c>
      <c r="AF21" s="54" t="s">
        <v>181</v>
      </c>
      <c r="AG21" s="54" t="s">
        <v>182</v>
      </c>
      <c r="AH21" s="54" t="s">
        <v>183</v>
      </c>
      <c r="AI21" s="54" t="s">
        <v>184</v>
      </c>
      <c r="AJ21" s="89" t="s">
        <v>185</v>
      </c>
      <c r="AK21" s="84"/>
    </row>
    <row r="22" spans="1:37" ht="13">
      <c r="A22" s="51"/>
      <c r="B22" s="51"/>
      <c r="C22" s="51"/>
      <c r="D22" s="51"/>
      <c r="E22" s="51"/>
      <c r="F22" s="51"/>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90"/>
      <c r="AK22" s="85"/>
    </row>
    <row r="23" spans="1:37" ht="13">
      <c r="A23" s="74"/>
      <c r="B23" s="73"/>
      <c r="C23" s="73"/>
      <c r="D23" s="73"/>
      <c r="E23" s="74"/>
      <c r="F23" s="74"/>
      <c r="G23" s="74"/>
      <c r="H23" s="74"/>
      <c r="I23" s="74"/>
      <c r="J23" s="74"/>
      <c r="K23" s="74"/>
      <c r="L23" s="74"/>
      <c r="M23" s="74"/>
      <c r="N23" s="74"/>
      <c r="O23" s="74"/>
      <c r="P23" s="74"/>
      <c r="Q23" s="74"/>
      <c r="R23" s="74"/>
      <c r="S23" s="74"/>
      <c r="T23" s="74"/>
      <c r="U23" s="74"/>
      <c r="V23" s="74"/>
      <c r="W23" s="74"/>
      <c r="X23" s="74"/>
      <c r="Y23" s="74"/>
      <c r="Z23" s="74"/>
      <c r="AA23" s="74"/>
      <c r="AB23" s="74"/>
      <c r="AC23" s="74"/>
      <c r="AD23" s="74"/>
      <c r="AE23" s="74"/>
      <c r="AF23" s="74"/>
      <c r="AG23" s="74"/>
      <c r="AH23" s="74"/>
      <c r="AI23" s="74"/>
      <c r="AJ23" s="91"/>
      <c r="AK23" s="85"/>
    </row>
    <row r="24" spans="1:37" ht="13">
      <c r="A24" s="51"/>
      <c r="B24" s="51"/>
      <c r="C24" s="51"/>
      <c r="D24" s="51"/>
      <c r="E24" s="51"/>
      <c r="F24" s="51"/>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90"/>
      <c r="AK24" s="85"/>
    </row>
    <row r="25" s="50" customFormat="1" ht="13"/>
    <row r="26" spans="1:36" ht="13">
      <c r="A26" s="55" t="s">
        <v>43</v>
      </c>
      <c r="B26" s="55"/>
      <c r="C26" s="55"/>
      <c r="D26" s="55"/>
      <c r="E26" s="55"/>
      <c r="F26" s="55"/>
      <c r="G26" s="55"/>
      <c r="H26" s="55"/>
      <c r="I26" s="55"/>
      <c r="J26" s="55"/>
      <c r="K26" s="55"/>
      <c r="L26" s="55"/>
      <c r="M26" s="55"/>
      <c r="N26" s="55"/>
      <c r="O26" s="55"/>
      <c r="P26" s="55"/>
      <c r="Q26" s="55"/>
      <c r="R26" s="55"/>
      <c r="S26" s="55"/>
      <c r="T26" s="55"/>
      <c r="U26" s="55"/>
      <c r="V26" s="55"/>
      <c r="W26" s="55"/>
      <c r="X26" s="55"/>
      <c r="Y26" s="55"/>
      <c r="Z26" s="55"/>
      <c r="AA26" s="55"/>
      <c r="AB26" s="55"/>
      <c r="AC26" s="55"/>
      <c r="AD26" s="55"/>
      <c r="AE26" s="55"/>
      <c r="AF26" s="55"/>
      <c r="AG26" s="55"/>
      <c r="AH26" s="55"/>
      <c r="AI26" s="86"/>
      <c r="AJ26" s="84"/>
    </row>
    <row r="27" spans="1:36" ht="13">
      <c r="A27" s="55" t="s">
        <v>115</v>
      </c>
      <c r="B27" s="55" t="s">
        <v>48</v>
      </c>
      <c r="C27" s="55" t="s">
        <v>49</v>
      </c>
      <c r="D27" s="55" t="s">
        <v>116</v>
      </c>
      <c r="E27" s="55" t="s">
        <v>117</v>
      </c>
      <c r="F27" s="55" t="s">
        <v>51</v>
      </c>
      <c r="G27" s="55" t="s">
        <v>118</v>
      </c>
      <c r="H27" s="55" t="s">
        <v>119</v>
      </c>
      <c r="I27" s="55" t="s">
        <v>120</v>
      </c>
      <c r="J27" s="55" t="s">
        <v>121</v>
      </c>
      <c r="K27" s="55" t="s">
        <v>54</v>
      </c>
      <c r="L27" s="55" t="s">
        <v>55</v>
      </c>
      <c r="M27" s="55" t="s">
        <v>56</v>
      </c>
      <c r="N27" s="55" t="s">
        <v>57</v>
      </c>
      <c r="O27" s="55" t="s">
        <v>58</v>
      </c>
      <c r="P27" s="55" t="s">
        <v>59</v>
      </c>
      <c r="Q27" s="55" t="s">
        <v>60</v>
      </c>
      <c r="R27" s="55" t="s">
        <v>62</v>
      </c>
      <c r="S27" s="55" t="s">
        <v>61</v>
      </c>
      <c r="T27" s="55" t="s">
        <v>63</v>
      </c>
      <c r="U27" s="55" t="s">
        <v>64</v>
      </c>
      <c r="V27" s="55" t="s">
        <v>65</v>
      </c>
      <c r="W27" s="55" t="s">
        <v>66</v>
      </c>
      <c r="X27" s="55" t="s">
        <v>68</v>
      </c>
      <c r="Y27" s="55" t="s">
        <v>67</v>
      </c>
      <c r="Z27" s="55" t="s">
        <v>175</v>
      </c>
      <c r="AA27" s="55" t="s">
        <v>186</v>
      </c>
      <c r="AB27" s="55" t="s">
        <v>187</v>
      </c>
      <c r="AC27" s="55" t="s">
        <v>188</v>
      </c>
      <c r="AD27" s="55" t="s">
        <v>189</v>
      </c>
      <c r="AE27" s="55" t="s">
        <v>190</v>
      </c>
      <c r="AF27" s="55" t="s">
        <v>177</v>
      </c>
      <c r="AG27" s="55" t="s">
        <v>191</v>
      </c>
      <c r="AH27" s="55" t="s">
        <v>192</v>
      </c>
      <c r="AI27" s="86" t="s">
        <v>193</v>
      </c>
      <c r="AJ27" s="84"/>
    </row>
    <row r="28" spans="1:36" ht="13">
      <c r="A28" s="52"/>
      <c r="B28" s="52"/>
      <c r="C28" s="52"/>
      <c r="D28" s="52"/>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87"/>
      <c r="AJ28" s="85"/>
    </row>
    <row r="29" spans="1:36" ht="13">
      <c r="A29" s="76"/>
      <c r="B29" s="75"/>
      <c r="C29" s="75"/>
      <c r="D29" s="75"/>
      <c r="E29" s="76"/>
      <c r="F29" s="76"/>
      <c r="G29" s="76"/>
      <c r="H29" s="76"/>
      <c r="I29" s="76"/>
      <c r="J29" s="76"/>
      <c r="K29" s="76"/>
      <c r="L29" s="76"/>
      <c r="M29" s="76"/>
      <c r="N29" s="76"/>
      <c r="O29" s="76"/>
      <c r="P29" s="76"/>
      <c r="Q29" s="76"/>
      <c r="R29" s="76"/>
      <c r="S29" s="76"/>
      <c r="T29" s="76"/>
      <c r="U29" s="76"/>
      <c r="V29" s="76"/>
      <c r="W29" s="76"/>
      <c r="X29" s="76"/>
      <c r="Y29" s="76"/>
      <c r="Z29" s="76"/>
      <c r="AA29" s="76"/>
      <c r="AB29" s="76"/>
      <c r="AC29" s="76"/>
      <c r="AD29" s="76"/>
      <c r="AE29" s="76"/>
      <c r="AF29" s="76"/>
      <c r="AG29" s="76"/>
      <c r="AH29" s="76"/>
      <c r="AI29" s="88"/>
      <c r="AJ29" s="85"/>
    </row>
    <row r="30" spans="1:36" ht="13">
      <c r="A30" s="52"/>
      <c r="B30" s="52"/>
      <c r="C30" s="52"/>
      <c r="D30" s="52"/>
      <c r="E30" s="52"/>
      <c r="F30" s="52"/>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87"/>
      <c r="AJ30" s="85"/>
    </row>
    <row r="32" spans="1:35" ht="13">
      <c r="A32" s="39" t="s">
        <v>44</v>
      </c>
      <c r="B32" s="39"/>
      <c r="C32" s="39"/>
      <c r="D32" s="39"/>
      <c r="E32" s="39"/>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84"/>
    </row>
    <row r="33" spans="1:35" ht="13">
      <c r="A33" s="39" t="s">
        <v>115</v>
      </c>
      <c r="B33" s="39" t="s">
        <v>48</v>
      </c>
      <c r="C33" s="39" t="s">
        <v>49</v>
      </c>
      <c r="D33" s="39" t="s">
        <v>116</v>
      </c>
      <c r="E33" s="39" t="s">
        <v>117</v>
      </c>
      <c r="F33" s="39" t="s">
        <v>51</v>
      </c>
      <c r="G33" s="39" t="s">
        <v>118</v>
      </c>
      <c r="H33" s="39" t="s">
        <v>119</v>
      </c>
      <c r="I33" s="39" t="s">
        <v>120</v>
      </c>
      <c r="J33" s="39" t="s">
        <v>121</v>
      </c>
      <c r="K33" s="39" t="s">
        <v>54</v>
      </c>
      <c r="L33" s="39" t="s">
        <v>55</v>
      </c>
      <c r="M33" s="39" t="s">
        <v>56</v>
      </c>
      <c r="N33" s="39" t="s">
        <v>57</v>
      </c>
      <c r="O33" s="39" t="s">
        <v>58</v>
      </c>
      <c r="P33" s="39" t="s">
        <v>59</v>
      </c>
      <c r="Q33" s="39" t="s">
        <v>60</v>
      </c>
      <c r="R33" s="39" t="s">
        <v>62</v>
      </c>
      <c r="S33" s="39" t="s">
        <v>61</v>
      </c>
      <c r="T33" s="39" t="s">
        <v>63</v>
      </c>
      <c r="U33" s="39" t="s">
        <v>64</v>
      </c>
      <c r="V33" s="39" t="s">
        <v>65</v>
      </c>
      <c r="W33" s="39" t="s">
        <v>66</v>
      </c>
      <c r="X33" s="39" t="s">
        <v>68</v>
      </c>
      <c r="Y33" s="39" t="s">
        <v>67</v>
      </c>
      <c r="Z33" s="39" t="s">
        <v>194</v>
      </c>
      <c r="AA33" s="39" t="s">
        <v>195</v>
      </c>
      <c r="AB33" s="39" t="s">
        <v>196</v>
      </c>
      <c r="AC33" s="39" t="s">
        <v>197</v>
      </c>
      <c r="AD33" s="39" t="s">
        <v>198</v>
      </c>
      <c r="AE33" s="39" t="s">
        <v>199</v>
      </c>
      <c r="AF33" s="39" t="s">
        <v>200</v>
      </c>
      <c r="AG33" s="39" t="s">
        <v>201</v>
      </c>
      <c r="AH33" s="81" t="s">
        <v>202</v>
      </c>
      <c r="AI33" s="84"/>
    </row>
    <row r="34" spans="1:35" ht="13">
      <c r="A34" s="38"/>
      <c r="B34" s="38"/>
      <c r="C34" s="38"/>
      <c r="D34" s="38"/>
      <c r="E34" s="38"/>
      <c r="F34" s="38"/>
      <c r="G34" s="38"/>
      <c r="H34" s="38"/>
      <c r="I34" s="38"/>
      <c r="J34" s="38"/>
      <c r="K34" s="38"/>
      <c r="L34" s="38"/>
      <c r="M34" s="38"/>
      <c r="N34" s="38"/>
      <c r="O34" s="38"/>
      <c r="P34" s="38"/>
      <c r="Q34" s="38"/>
      <c r="R34" s="38"/>
      <c r="S34" s="38"/>
      <c r="T34" s="38"/>
      <c r="U34" s="38"/>
      <c r="V34" s="38"/>
      <c r="W34" s="38"/>
      <c r="X34" s="38"/>
      <c r="Y34" s="39"/>
      <c r="Z34" s="38"/>
      <c r="AA34" s="38"/>
      <c r="AB34" s="38"/>
      <c r="AC34" s="38"/>
      <c r="AD34" s="38"/>
      <c r="AE34" s="38"/>
      <c r="AF34" s="38"/>
      <c r="AG34" s="38"/>
      <c r="AH34" s="82"/>
      <c r="AI34" s="85"/>
    </row>
    <row r="35" spans="1:35" ht="13">
      <c r="A35" s="78"/>
      <c r="B35" s="77"/>
      <c r="C35" s="77"/>
      <c r="D35" s="77"/>
      <c r="E35" s="78"/>
      <c r="F35" s="78"/>
      <c r="G35" s="78"/>
      <c r="H35" s="78"/>
      <c r="I35" s="78"/>
      <c r="J35" s="78"/>
      <c r="K35" s="78"/>
      <c r="L35" s="78"/>
      <c r="M35" s="78"/>
      <c r="N35" s="78"/>
      <c r="O35" s="78"/>
      <c r="P35" s="78"/>
      <c r="Q35" s="78"/>
      <c r="R35" s="78"/>
      <c r="S35" s="78"/>
      <c r="T35" s="102"/>
      <c r="U35" s="102"/>
      <c r="V35" s="102"/>
      <c r="W35" s="102"/>
      <c r="X35" s="102"/>
      <c r="Y35" s="102"/>
      <c r="Z35" s="102"/>
      <c r="AA35" s="78"/>
      <c r="AB35" s="78"/>
      <c r="AC35" s="78"/>
      <c r="AD35" s="78"/>
      <c r="AE35" s="78"/>
      <c r="AF35" s="78"/>
      <c r="AG35" s="78"/>
      <c r="AH35" s="83"/>
      <c r="AI35" s="85"/>
    </row>
    <row r="36" spans="1:35" ht="13">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82"/>
      <c r="AI36" s="85"/>
    </row>
    <row r="38" spans="1:27" ht="13">
      <c r="A38" s="56" t="s">
        <v>45</v>
      </c>
      <c r="B38" s="56"/>
      <c r="C38" s="56"/>
      <c r="D38" s="56"/>
      <c r="E38" s="56"/>
      <c r="F38" s="56"/>
      <c r="G38" s="56"/>
      <c r="H38" s="56"/>
      <c r="I38" s="56"/>
      <c r="J38" s="56"/>
      <c r="K38" s="56"/>
      <c r="L38" s="56"/>
      <c r="M38" s="56"/>
      <c r="N38" s="56"/>
      <c r="O38" s="56"/>
      <c r="P38" s="56"/>
      <c r="Q38" s="56"/>
      <c r="R38" s="56"/>
      <c r="S38" s="56"/>
      <c r="T38" s="56"/>
      <c r="U38" s="56"/>
      <c r="V38" s="56"/>
      <c r="W38" s="56"/>
      <c r="X38" s="56"/>
      <c r="Y38" s="56"/>
      <c r="Z38" s="56"/>
      <c r="AA38" s="56"/>
    </row>
    <row r="39" spans="1:27" ht="13">
      <c r="A39" s="56" t="s">
        <v>115</v>
      </c>
      <c r="B39" s="56" t="s">
        <v>48</v>
      </c>
      <c r="C39" s="56" t="s">
        <v>49</v>
      </c>
      <c r="D39" s="56" t="s">
        <v>116</v>
      </c>
      <c r="E39" s="56" t="s">
        <v>117</v>
      </c>
      <c r="F39" s="56" t="s">
        <v>51</v>
      </c>
      <c r="G39" s="56" t="s">
        <v>118</v>
      </c>
      <c r="H39" s="56" t="s">
        <v>119</v>
      </c>
      <c r="I39" s="56" t="s">
        <v>120</v>
      </c>
      <c r="J39" s="56" t="s">
        <v>121</v>
      </c>
      <c r="K39" s="56" t="s">
        <v>54</v>
      </c>
      <c r="L39" s="56" t="s">
        <v>55</v>
      </c>
      <c r="M39" s="56" t="s">
        <v>56</v>
      </c>
      <c r="N39" s="56" t="s">
        <v>57</v>
      </c>
      <c r="O39" s="56" t="s">
        <v>58</v>
      </c>
      <c r="P39" s="56" t="s">
        <v>59</v>
      </c>
      <c r="Q39" s="56" t="s">
        <v>60</v>
      </c>
      <c r="R39" s="56" t="s">
        <v>62</v>
      </c>
      <c r="S39" s="56" t="s">
        <v>61</v>
      </c>
      <c r="T39" s="56" t="s">
        <v>63</v>
      </c>
      <c r="U39" s="56" t="s">
        <v>64</v>
      </c>
      <c r="V39" s="56" t="s">
        <v>65</v>
      </c>
      <c r="W39" s="56" t="s">
        <v>66</v>
      </c>
      <c r="X39" s="56" t="s">
        <v>68</v>
      </c>
      <c r="Y39" s="56" t="s">
        <v>67</v>
      </c>
      <c r="Z39" s="56" t="s">
        <v>114</v>
      </c>
      <c r="AA39" s="56"/>
    </row>
    <row r="40" spans="1:27" ht="13">
      <c r="A40" s="53"/>
      <c r="B40" s="53"/>
      <c r="C40" s="53"/>
      <c r="D40" s="53"/>
      <c r="E40" s="53"/>
      <c r="F40" s="53"/>
      <c r="G40" s="53"/>
      <c r="H40" s="53"/>
      <c r="I40" s="53"/>
      <c r="J40" s="53"/>
      <c r="K40" s="53"/>
      <c r="L40" s="53"/>
      <c r="M40" s="53"/>
      <c r="N40" s="53"/>
      <c r="O40" s="53"/>
      <c r="P40" s="53"/>
      <c r="Q40" s="53"/>
      <c r="R40" s="53"/>
      <c r="S40" s="53"/>
      <c r="T40" s="53"/>
      <c r="U40" s="53"/>
      <c r="V40" s="53"/>
      <c r="W40" s="53"/>
      <c r="X40" s="53"/>
      <c r="Y40" s="53"/>
      <c r="Z40" s="53"/>
      <c r="AA40" s="53"/>
    </row>
    <row r="41" spans="1:27" ht="13">
      <c r="A41" s="79"/>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row>
    <row r="42" spans="1:27" ht="13">
      <c r="A42" s="53"/>
      <c r="B42" s="53"/>
      <c r="C42" s="53"/>
      <c r="D42" s="53"/>
      <c r="E42" s="53"/>
      <c r="F42" s="53"/>
      <c r="G42" s="53"/>
      <c r="H42" s="53"/>
      <c r="I42" s="53"/>
      <c r="J42" s="53"/>
      <c r="K42" s="53"/>
      <c r="L42" s="53"/>
      <c r="M42" s="53"/>
      <c r="N42" s="53"/>
      <c r="O42" s="53"/>
      <c r="P42" s="53"/>
      <c r="Q42" s="53"/>
      <c r="R42" s="53"/>
      <c r="S42" s="53"/>
      <c r="T42" s="53"/>
      <c r="U42" s="53"/>
      <c r="V42" s="53"/>
      <c r="W42" s="53"/>
      <c r="X42" s="53"/>
      <c r="Y42" s="53"/>
      <c r="Z42" s="53"/>
      <c r="AA42" s="53"/>
    </row>
  </sheetData>
  <pageMargins left="0.7" right="0.7" top="0.75" bottom="0.75" header="0.3" footer="0.3"/>
  <pageSetup orientation="portrait" paperSize="1"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BACEAA03-21A3-41ED-9844-636A589EC453}">
  <sheetPr codeName="Sheet8"/>
  <dimension ref="A1:P58"/>
  <sheetViews>
    <sheetView showGridLines="0" workbookViewId="0" topLeftCell="A1"/>
  </sheetViews>
  <sheetFormatPr defaultRowHeight="13"/>
  <cols>
    <col min="1" max="1" width="129" style="14" customWidth="1"/>
  </cols>
  <sheetData>
    <row r="1" spans="1:1" s="3" customFormat="1" ht="13">
      <c r="A1" s="14"/>
    </row>
    <row r="2" spans="1:1" s="3" customFormat="1" ht="13">
      <c r="A2" s="14"/>
    </row>
    <row r="3" spans="1:1" s="3" customFormat="1" ht="13">
      <c r="A3" s="14"/>
    </row>
    <row r="4" spans="1:1" s="3" customFormat="1" ht="13">
      <c r="A4" s="14"/>
    </row>
    <row r="5" spans="1:1" s="3" customFormat="1" ht="17">
      <c r="A5" s="103"/>
    </row>
    <row r="6" spans="1:1" s="3" customFormat="1" ht="14.5">
      <c r="A6" s="104"/>
    </row>
    <row r="7" spans="1:1" s="3" customFormat="1" ht="14.5">
      <c r="A7" s="105"/>
    </row>
    <row r="8" spans="1:1" s="3" customFormat="1" ht="14.5">
      <c r="A8" s="105"/>
    </row>
    <row r="9" spans="1:1" s="3" customFormat="1" ht="14.5">
      <c r="A9" s="104"/>
    </row>
    <row r="10" spans="1:1" s="3" customFormat="1" ht="14.5">
      <c r="A10" s="104"/>
    </row>
    <row r="11" spans="1:1" s="3" customFormat="1" ht="14.5">
      <c r="A11" s="104"/>
    </row>
    <row r="12" spans="1:1" s="3" customFormat="1" ht="14">
      <c r="A12" s="106"/>
    </row>
    <row r="13" spans="1:1" s="3" customFormat="1" ht="14">
      <c r="A13" s="106"/>
    </row>
    <row r="14" spans="1:1" s="3" customFormat="1" ht="14">
      <c r="A14" s="106"/>
    </row>
    <row r="15" spans="1:1" s="3" customFormat="1" ht="14.5">
      <c r="A15" s="104"/>
    </row>
    <row r="16" spans="1:1" s="3" customFormat="1" ht="14.5">
      <c r="A16" s="107"/>
    </row>
    <row r="17" spans="1:1" s="3" customFormat="1" ht="14.5">
      <c r="A17" s="104"/>
    </row>
    <row r="18" spans="1:1" s="3" customFormat="1" ht="14.5">
      <c r="A18" s="108"/>
    </row>
    <row r="19" spans="1:1" s="3" customFormat="1" ht="14">
      <c r="A19" s="109"/>
    </row>
    <row r="20" spans="1:1" s="3" customFormat="1" ht="14">
      <c r="A20" s="109"/>
    </row>
    <row r="21" spans="1:2" s="3" customFormat="1" ht="14.5">
      <c r="A21" s="104"/>
      <c r="B21" s="110"/>
    </row>
    <row r="22" spans="1:1" s="3" customFormat="1" ht="14.5">
      <c r="A22" s="108"/>
    </row>
    <row r="23" spans="1:1" s="3" customFormat="1" ht="14">
      <c r="A23" s="109"/>
    </row>
    <row r="24" spans="1:1" s="3" customFormat="1" ht="14">
      <c r="A24" s="109"/>
    </row>
    <row r="25" spans="1:1" s="3" customFormat="1" ht="14">
      <c r="A25" s="109"/>
    </row>
    <row r="26" spans="1:1" s="3" customFormat="1" ht="14">
      <c r="A26" s="109"/>
    </row>
    <row r="27" spans="1:1" s="3" customFormat="1" ht="14.5">
      <c r="A27" s="104"/>
    </row>
    <row r="28" spans="1:1" s="3" customFormat="1" ht="14.5">
      <c r="A28" s="108"/>
    </row>
    <row r="29" spans="1:1" s="3" customFormat="1" ht="14">
      <c r="A29" s="109"/>
    </row>
    <row r="30" spans="1:1" s="3" customFormat="1" ht="14">
      <c r="A30" s="109"/>
    </row>
    <row r="31" spans="1:1" s="3" customFormat="1" ht="14.5">
      <c r="A31" s="111"/>
    </row>
    <row r="32" spans="1:1" s="3" customFormat="1" ht="14.5">
      <c r="A32" s="112"/>
    </row>
    <row r="33" spans="1:1" s="3" customFormat="1" ht="13">
      <c r="A33" s="14"/>
    </row>
    <row r="34" spans="1:1" s="3" customFormat="1" ht="13">
      <c r="A34" s="14"/>
    </row>
    <row r="35" spans="1:1" s="3" customFormat="1" ht="13">
      <c r="A35" s="14"/>
    </row>
    <row r="36" spans="1:1" s="3" customFormat="1" ht="13">
      <c r="A36" s="14"/>
    </row>
    <row r="37" spans="1:1" s="3" customFormat="1" ht="13">
      <c r="A37" s="14"/>
    </row>
    <row r="38" spans="1:1" s="3" customFormat="1" ht="13">
      <c r="A38" s="14"/>
    </row>
    <row r="39" spans="1:1" s="3" customFormat="1" ht="13">
      <c r="A39" s="14"/>
    </row>
    <row r="40" spans="1:1" s="3" customFormat="1" ht="13">
      <c r="A40" s="14"/>
    </row>
    <row r="41" spans="1:1" s="3" customFormat="1" ht="13">
      <c r="A41" s="14"/>
    </row>
    <row r="42" spans="1:1" s="3" customFormat="1" ht="13">
      <c r="A42" s="14"/>
    </row>
    <row r="43" spans="1:1" s="3" customFormat="1" ht="13">
      <c r="A43" s="14"/>
    </row>
    <row r="44" spans="1:1" s="3" customFormat="1" ht="13">
      <c r="A44" s="14"/>
    </row>
    <row r="45" spans="1:1" s="3" customFormat="1" ht="13">
      <c r="A45" s="14"/>
    </row>
    <row r="46" spans="1:1" s="3" customFormat="1" ht="13">
      <c r="A46" s="14"/>
    </row>
    <row r="47" spans="1:1" s="3" customFormat="1" ht="13">
      <c r="A47" s="14"/>
    </row>
    <row r="48" spans="1:1" s="3" customFormat="1" ht="13">
      <c r="A48" s="14"/>
    </row>
    <row r="49" spans="1:1" s="3" customFormat="1" ht="13">
      <c r="A49" s="14"/>
    </row>
    <row r="50" spans="1:1" s="3" customFormat="1" ht="13">
      <c r="A50" s="14"/>
    </row>
    <row r="51" spans="1:1" s="3" customFormat="1" ht="13">
      <c r="A51" s="14"/>
    </row>
    <row r="52" spans="1:1" s="3" customFormat="1" ht="13">
      <c r="A52" s="14"/>
    </row>
    <row r="53" spans="1:1" s="3" customFormat="1" ht="13">
      <c r="A53" s="14"/>
    </row>
    <row r="54" spans="1:16" s="3" customFormat="1" ht="13">
      <c r="A54" s="14"/>
      <c r="B54"/>
      <c r="C54"/>
      <c r="D54"/>
      <c r="E54"/>
      <c r="F54"/>
      <c r="G54"/>
      <c r="H54"/>
      <c r="I54"/>
      <c r="J54"/>
      <c r="K54"/>
      <c r="L54"/>
      <c r="M54"/>
      <c r="N54"/>
      <c r="O54"/>
      <c r="P54"/>
    </row>
    <row r="55" spans="1:16" s="3" customFormat="1" ht="13">
      <c r="A55" s="14"/>
      <c r="B55"/>
      <c r="C55"/>
      <c r="D55"/>
      <c r="E55"/>
      <c r="F55"/>
      <c r="G55"/>
      <c r="H55"/>
      <c r="I55"/>
      <c r="J55"/>
      <c r="K55"/>
      <c r="L55"/>
      <c r="M55"/>
      <c r="N55"/>
      <c r="O55"/>
      <c r="P55"/>
    </row>
    <row r="56" spans="1:16" s="3" customFormat="1" ht="13">
      <c r="A56" s="14"/>
      <c r="B56"/>
      <c r="C56"/>
      <c r="D56"/>
      <c r="E56"/>
      <c r="F56"/>
      <c r="G56"/>
      <c r="H56"/>
      <c r="I56"/>
      <c r="J56"/>
      <c r="K56"/>
      <c r="L56"/>
      <c r="M56"/>
      <c r="N56"/>
      <c r="O56"/>
      <c r="P56"/>
    </row>
    <row r="57" spans="1:16" s="3" customFormat="1" ht="13">
      <c r="A57" s="14"/>
      <c r="B57"/>
      <c r="C57"/>
      <c r="D57"/>
      <c r="E57"/>
      <c r="F57"/>
      <c r="G57"/>
      <c r="H57"/>
      <c r="I57"/>
      <c r="J57"/>
      <c r="K57"/>
      <c r="L57"/>
      <c r="M57"/>
      <c r="N57"/>
      <c r="O57"/>
      <c r="P57"/>
    </row>
    <row r="58" spans="1:16" s="3" customFormat="1" ht="13">
      <c r="A58" s="14"/>
      <c r="B58"/>
      <c r="C58"/>
      <c r="D58"/>
      <c r="E58"/>
      <c r="F58"/>
      <c r="G58"/>
      <c r="H58"/>
      <c r="I58"/>
      <c r="J58"/>
      <c r="K58"/>
      <c r="L58"/>
      <c r="M58"/>
      <c r="N58"/>
      <c r="O58"/>
      <c r="P58"/>
    </row>
  </sheetData>
  <sheetProtection formatColumns="0" selectLockedCells="1"/>
  <printOptions horizontalCentered="1" verticalCentered="1"/>
  <pageMargins left="0.7" right="0.7" top="0.75" bottom="0.75" header="0.3" footer="0.3"/>
  <pageSetup horizontalDpi="300" verticalDpi="300" orientation="landscape" paperSize="1" r:id="rId2"/>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7A803409-D1C3-4F14-91B8-C5CBE1F20B3E}">
  <sheetPr codeName="Sheet22">
    <pageSetUpPr fitToPage="1"/>
  </sheetPr>
  <dimension ref="A3:F12"/>
  <sheetViews>
    <sheetView workbookViewId="0" topLeftCell="A1">
      <selection pane="topLeft" activeCell="A4" sqref="A4"/>
    </sheetView>
  </sheetViews>
  <sheetFormatPr defaultColWidth="9.29333333333333" defaultRowHeight="12.5"/>
  <cols>
    <col min="1" max="1" width="36.8333333333333" style="3" customWidth="1"/>
    <col min="2" max="6" width="21" style="10" customWidth="1"/>
    <col min="7" max="16384" width="9.33333333333333" style="3"/>
  </cols>
  <sheetData>
    <row r="2" ht="34.5" customHeight="1"/>
    <row r="3" spans="1:6" ht="12.5">
      <c r="A3" s="6"/>
      <c r="B3" s="473" t="s">
        <v>203</v>
      </c>
      <c r="C3" s="473"/>
      <c r="D3" s="473"/>
      <c r="E3" s="7" t="s">
        <v>204</v>
      </c>
      <c r="F3" s="7" t="s">
        <v>205</v>
      </c>
    </row>
    <row r="4" spans="1:6" ht="26">
      <c r="A4" s="8"/>
      <c r="B4" s="113" t="s">
        <v>206</v>
      </c>
      <c r="C4" s="113" t="s">
        <v>207</v>
      </c>
      <c r="D4" s="113" t="s">
        <v>208</v>
      </c>
      <c r="E4" s="114" t="s">
        <v>209</v>
      </c>
      <c r="F4" s="115" t="s">
        <v>210</v>
      </c>
    </row>
    <row r="5" spans="1:6" ht="12.5">
      <c r="A5" s="9" t="str">
        <f>"Benefit Class - "&amp;Class1_Name</f>
        <v>Benefit Class - MANAGERS</v>
      </c>
      <c r="B5" s="11">
        <f ca="1">'Class 1'!R$870</f>
        <v>0</v>
      </c>
      <c r="C5" s="11">
        <f ca="1">'Class 1'!R$871</f>
        <v>0</v>
      </c>
      <c r="D5" s="11">
        <f ca="1">'Class 1'!R$872</f>
        <v>0</v>
      </c>
      <c r="E5" s="12">
        <f ca="1">SUM('Class 1'!J$867:J$869)</f>
        <v>0</v>
      </c>
      <c r="F5" s="12">
        <f>SUM('Class 1'!R$867:R$869)</f>
        <v>0</v>
      </c>
    </row>
    <row r="6" spans="1:6" ht="12.5">
      <c r="A6" s="9" t="str">
        <f>"Benefit Class - "&amp;Class2_Name</f>
        <v>Benefit Class - OWNERS</v>
      </c>
      <c r="B6" s="11">
        <f ca="1">'Class 2'!R$870</f>
        <v>0</v>
      </c>
      <c r="C6" s="11">
        <f ca="1">'Class 2'!R$871</f>
        <v>0</v>
      </c>
      <c r="D6" s="11">
        <f ca="1">'Class 2'!R$872</f>
        <v>0</v>
      </c>
      <c r="E6" s="12">
        <f ca="1">SUM('Class 2'!J$867:J$869)</f>
        <v>0</v>
      </c>
      <c r="F6" s="12">
        <f>SUM('Class 2'!R$867:R$869)</f>
        <v>0</v>
      </c>
    </row>
    <row r="7" spans="1:6" ht="12.5">
      <c r="A7" s="9" t="str">
        <f>"Benefit Class - "&amp;Class3_Name</f>
        <v>Benefit Class - PRIMARY</v>
      </c>
      <c r="B7" s="11">
        <f ca="1">'Class 3'!R$870</f>
        <v>0</v>
      </c>
      <c r="C7" s="11">
        <f ca="1">'Class 3'!R$871</f>
        <v>0</v>
      </c>
      <c r="D7" s="11">
        <f ca="1">'Class 3'!R$872</f>
        <v>0</v>
      </c>
      <c r="E7" s="12">
        <f ca="1">SUM('Class 3'!J$867:J$869)</f>
        <v>0</v>
      </c>
      <c r="F7" s="12">
        <f ca="1">SUM('Class 3'!R$867:R$869)</f>
        <v>0</v>
      </c>
    </row>
    <row r="8" spans="1:6" ht="12.5">
      <c r="A8" s="9" t="str">
        <f>"Benefit Class - "&amp;Class4_Name</f>
        <v xml:space="preserve">Benefit Class - </v>
      </c>
      <c r="B8" s="11">
        <f ca="1">'Class 4'!R$870</f>
        <v>0</v>
      </c>
      <c r="C8" s="11">
        <f ca="1">'Class 4'!R$871</f>
        <v>0</v>
      </c>
      <c r="D8" s="11">
        <f ca="1">'Class 4'!R$872</f>
        <v>0</v>
      </c>
      <c r="E8" s="12">
        <f ca="1">SUM('Class 4'!J$867:J$869)</f>
        <v>0</v>
      </c>
      <c r="F8" s="12">
        <f>SUM('Class 4'!R$867:R$869)</f>
        <v>0</v>
      </c>
    </row>
    <row r="9" spans="1:6" ht="12.5">
      <c r="A9" s="9" t="str">
        <f>"Benefit Class - "&amp;Class5_Name</f>
        <v xml:space="preserve">Benefit Class - </v>
      </c>
      <c r="B9" s="11">
        <f ca="1">'Class 5'!R$870</f>
        <v>0</v>
      </c>
      <c r="C9" s="11">
        <f ca="1">'Class 5'!R$871</f>
        <v>0</v>
      </c>
      <c r="D9" s="11">
        <f ca="1">'Class 5'!R$872</f>
        <v>0</v>
      </c>
      <c r="E9" s="12">
        <f ca="1">SUM('Class 5'!J$867:J$869)</f>
        <v>0</v>
      </c>
      <c r="F9" s="12">
        <f>SUM('Class 5'!R$867:R$869)</f>
        <v>0</v>
      </c>
    </row>
    <row r="10" spans="1:6" ht="12.5">
      <c r="A10" s="9" t="str">
        <f>"Benefit Class - "&amp;Class6_Name</f>
        <v xml:space="preserve">Benefit Class - </v>
      </c>
      <c r="B10" s="11">
        <f ca="1">'Class 6'!R$870</f>
        <v>0</v>
      </c>
      <c r="C10" s="11">
        <f ca="1">'Class 6'!R$871</f>
        <v>0</v>
      </c>
      <c r="D10" s="11">
        <f ca="1">'Class 6'!R$872</f>
        <v>0</v>
      </c>
      <c r="E10" s="12">
        <f ca="1">SUM('Class 6'!J$867:J$869)</f>
        <v>0</v>
      </c>
      <c r="F10" s="12">
        <f>SUM('Class 6'!R$867:R$869)</f>
        <v>0</v>
      </c>
    </row>
    <row r="11" spans="1:6" ht="12.5">
      <c r="A11" s="9" t="str">
        <f>"Benefit Class - "&amp;Class7_Name</f>
        <v xml:space="preserve">Benefit Class - </v>
      </c>
      <c r="B11" s="11">
        <f ca="1">'Class 7'!R$870</f>
        <v>0</v>
      </c>
      <c r="C11" s="11">
        <f ca="1">'Class 7'!R$871</f>
        <v>0</v>
      </c>
      <c r="D11" s="11">
        <f ca="1">'Class 7'!R$872</f>
        <v>0</v>
      </c>
      <c r="E11" s="12">
        <f ca="1">SUM('Class 7'!J$867:J$869)</f>
        <v>0</v>
      </c>
      <c r="F11" s="12">
        <f>SUM('Class 7'!R$867:R$869)</f>
        <v>0</v>
      </c>
    </row>
    <row r="12" spans="1:6" ht="13">
      <c r="A12" s="98" t="s">
        <v>211</v>
      </c>
      <c r="B12" s="99">
        <f ca="1">SUM(B5:B11)</f>
        <v>0</v>
      </c>
      <c r="C12" s="99">
        <f ca="1" t="shared" si="0" ref="C12:D12">SUM(C5:C11)</f>
        <v>0</v>
      </c>
      <c r="D12" s="99">
        <f t="shared" ca="1" si="0"/>
        <v>0</v>
      </c>
      <c r="E12" s="100">
        <f ca="1">SUM(E5:E11)</f>
        <v>0</v>
      </c>
      <c r="F12" s="100">
        <f ca="1">SUM(F5:F11)</f>
        <v>0</v>
      </c>
    </row>
  </sheetData>
  <sheetProtection sheet="1" formatColumns="0" selectLockedCells="1"/>
  <mergeCells count="1">
    <mergeCell ref="B3:D3"/>
  </mergeCells>
  <pageMargins left="0.7" right="0.7" top="0.75" bottom="0.75" header="0.3" footer="0.3"/>
  <pageSetup orientation="landscape" paperSize="1" scale="96" r:id="rId2"/>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EJ910"/>
  <sheetViews>
    <sheetView showGridLines="0" zoomScale="60" zoomScaleNormal="60" workbookViewId="0" topLeftCell="C1">
      <pane ySplit="12" topLeftCell="A827" activePane="bottomLeft" state="frozen"/>
      <selection pane="topLeft" activeCell="E15" sqref="E15"/>
      <selection pane="bottomLeft" activeCell="T848" sqref="T848"/>
    </sheetView>
  </sheetViews>
  <sheetFormatPr defaultColWidth="9.29333333333333" defaultRowHeight="13"/>
  <cols>
    <col min="1" max="1" width="3.33333333333333" style="140" hidden="1" customWidth="1"/>
    <col min="2" max="2" width="16" style="140" hidden="1" customWidth="1"/>
    <col min="3" max="3" width="10.8333333333333" style="141" bestFit="1" customWidth="1"/>
    <col min="4" max="4" width="45.8333333333333" style="142" customWidth="1"/>
    <col min="5" max="5" width="18.8333333333333" style="142" customWidth="1"/>
    <col min="6" max="8" width="18.8333333333333" style="4" customWidth="1"/>
    <col min="9" max="9" width="18.8333333333333" style="254" customWidth="1"/>
    <col min="10" max="10" width="20.8333333333333" style="4" customWidth="1"/>
    <col min="11" max="11" width="1.66666666666667" style="4" customWidth="1"/>
    <col min="12" max="12" width="20.1666666666667" style="4" customWidth="1"/>
    <col min="13" max="13" width="18.8333333333333" style="4" customWidth="1"/>
    <col min="14" max="14" width="18.8333333333333" style="252" customWidth="1"/>
    <col min="15" max="17" width="18.8333333333333" style="4" customWidth="1"/>
    <col min="18" max="18" width="20.8333333333333" style="4" customWidth="1"/>
    <col min="19" max="19" width="1.16666666666667" style="1" customWidth="1"/>
    <col min="20" max="20" width="20.1666666666667" style="1" customWidth="1"/>
    <col min="21" max="25" width="18.8333333333333" style="1" customWidth="1"/>
    <col min="26" max="26" width="20.8333333333333" style="1" customWidth="1"/>
    <col min="27" max="27" width="2.5" style="1" customWidth="1"/>
    <col min="28" max="28" width="37.5" bestFit="1" customWidth="1"/>
    <col min="29" max="29" width="24.6666666666667" customWidth="1"/>
    <col min="30" max="31" width="1" customWidth="1"/>
    <col min="32" max="32" width="24.6666666666667" customWidth="1"/>
    <col min="33" max="33" width="0.333333333333333" customWidth="1"/>
    <col min="34" max="34" width="24.6666666666667" customWidth="1"/>
    <col min="141" max="16384" width="9.33333333333333" style="1"/>
  </cols>
  <sheetData>
    <row r="1" spans="5:26" ht="28.5" customHeight="1">
      <c r="E1"/>
      <c r="F1"/>
      <c r="G1"/>
      <c r="H1"/>
      <c r="I1"/>
      <c r="J1"/>
      <c r="K1"/>
      <c r="L1"/>
      <c r="M1"/>
      <c r="N1"/>
      <c r="O1"/>
      <c r="P1"/>
      <c r="Q1"/>
      <c r="R1"/>
      <c r="T1"/>
      <c r="U1"/>
      <c r="V1"/>
      <c r="W1"/>
      <c r="X1"/>
      <c r="Y1"/>
      <c r="Z1"/>
    </row>
    <row r="2" spans="4:25" ht="18" customHeight="1" thickBot="1">
      <c r="D2" s="143"/>
      <c r="E2"/>
      <c r="F2"/>
      <c r="G2"/>
      <c r="H2"/>
      <c r="I2"/>
      <c r="J2"/>
      <c r="K2"/>
      <c r="L2"/>
      <c r="M2"/>
      <c r="N2"/>
      <c r="O2"/>
      <c r="P2"/>
      <c r="Q2"/>
      <c r="R2"/>
      <c r="S2" s="144"/>
      <c r="V2" s="118"/>
      <c r="W2" s="119"/>
      <c r="X2" s="118"/>
      <c r="Y2" s="118"/>
    </row>
    <row r="3" spans="4:26" ht="25" customHeight="1" thickBot="1">
      <c r="D3" s="143"/>
      <c r="E3" s="504" t="str">
        <f>Client_Name&amp;" ("&amp;Client_Number&amp;") "&amp;Benefit_Year_Display&amp;" Renewal Rates"</f>
        <v>QUESTCO TEST (102) 2025 Renewal Rates</v>
      </c>
      <c r="F3" s="504"/>
      <c r="G3" s="504"/>
      <c r="H3" s="504"/>
      <c r="I3" s="504"/>
      <c r="J3" s="504"/>
      <c r="K3" s="504"/>
      <c r="L3" s="504"/>
      <c r="M3" s="504"/>
      <c r="N3" s="504"/>
      <c r="O3" s="504"/>
      <c r="P3" s="504"/>
      <c r="Q3" s="504"/>
      <c r="R3" s="504"/>
      <c r="S3" s="145"/>
      <c r="T3" s="498" t="s">
        <v>212</v>
      </c>
      <c r="U3" s="499"/>
      <c r="V3" s="496" t="s">
        <v>213</v>
      </c>
      <c r="W3" s="496"/>
      <c r="X3" s="496"/>
      <c r="Y3" s="496"/>
      <c r="Z3" s="497"/>
    </row>
    <row r="4" spans="4:26" ht="25.5" customHeight="1">
      <c r="D4" s="143"/>
      <c r="E4" s="491" t="s">
        <v>214</v>
      </c>
      <c r="F4" s="491"/>
      <c r="G4" s="491"/>
      <c r="H4" s="491"/>
      <c r="I4" s="491"/>
      <c r="J4" s="491"/>
      <c r="K4" s="491"/>
      <c r="L4" s="491"/>
      <c r="M4" s="491"/>
      <c r="N4" s="491"/>
      <c r="O4" s="491"/>
      <c r="P4" s="491"/>
      <c r="Q4" s="491"/>
      <c r="R4" s="491"/>
      <c r="S4" s="145"/>
      <c r="T4" s="393"/>
      <c r="U4" s="394"/>
      <c r="V4" s="492" t="s">
        <v>215</v>
      </c>
      <c r="W4" s="493"/>
      <c r="X4" s="500" t="s">
        <v>216</v>
      </c>
      <c r="Y4" s="501"/>
      <c r="Z4" s="395" t="s">
        <v>217</v>
      </c>
    </row>
    <row r="5" spans="4:26" ht="18" customHeight="1">
      <c r="D5" s="143"/>
      <c r="E5" s="491" t="s">
        <v>39</v>
      </c>
      <c r="F5" s="491"/>
      <c r="G5" s="491"/>
      <c r="H5" s="491"/>
      <c r="I5" s="491"/>
      <c r="J5" s="491"/>
      <c r="K5" s="491"/>
      <c r="L5" s="491"/>
      <c r="M5" s="491"/>
      <c r="N5" s="491"/>
      <c r="O5" s="491"/>
      <c r="P5" s="491"/>
      <c r="Q5" s="491"/>
      <c r="R5" s="491"/>
      <c r="T5" s="396" t="s">
        <v>218</v>
      </c>
      <c r="U5" s="397"/>
      <c r="V5" s="494">
        <f ca="1">IFERROR(IF(F20="",0,F20)+IF(F70="",0,F70)+IF(F120="",0,F120)+IF(F170="",0,F170)+IF(F220="",0,F220)+IF(F270="",0,F270)+IF(F320="",0,F320)+IF(F370="",0,F370)+IF(F420="",0,F420)+IF(F470="",0,F470)+IF(F520="",0,F520)+IF(F570="",0,F570)+IF(F620="",0,F620),"")</f>
        <v>0</v>
      </c>
      <c r="W5" s="495"/>
      <c r="X5" s="502">
        <f ca="1">IFERROR(IF(L20="",0,L20)+IF(L70="",0,L70)+IF(L120="",0,L120)+IF(L170="",0,L170)+IF(L220="",0,L220)+IF(L270="",0,L270)+IF(L320="",0,L320)+IF(L370="",0,L370)+IF(L420="",0,L420)+IF(L470="",0,L470)+IF(L520="",0,L520)+IF(L570="",0,L570)+IF(L620="",0,L620),"")</f>
        <v>0</v>
      </c>
      <c r="Y5" s="503"/>
      <c r="Z5" s="398">
        <f ca="1">IFERROR(IF(T20="",0,T20)+IF(T70="",0,T70)+IF(T120="",0,T120)+IF(T170="",0,T170)+IF(T220="",0,T220)+IF(T270="",0,T270)+IF(T320="",0,T320)+IF(T370="",0,T370)+IF(T420="",0,T420)+IF(T470="",0,T470)+IF(T520="",0,T520)+IF(T570="",0,T570)+IF(T620="",0,T620),"")</f>
        <v>0</v>
      </c>
    </row>
    <row r="6" spans="4:26" ht="18" customHeight="1">
      <c r="D6" s="143"/>
      <c r="E6" s="491" t="s">
        <v>40</v>
      </c>
      <c r="F6" s="491"/>
      <c r="G6" s="491"/>
      <c r="H6" s="491"/>
      <c r="I6" s="491"/>
      <c r="J6" s="491"/>
      <c r="K6" s="491"/>
      <c r="L6" s="491"/>
      <c r="M6" s="491"/>
      <c r="N6" s="491"/>
      <c r="O6" s="491"/>
      <c r="P6" s="491"/>
      <c r="Q6" s="491"/>
      <c r="R6" s="491"/>
      <c r="T6" s="399" t="s">
        <v>219</v>
      </c>
      <c r="U6" s="400"/>
      <c r="V6" s="477">
        <f ca="1">IFERROR(Current_Medical_EE_Count,"")</f>
        <v>0</v>
      </c>
      <c r="W6" s="478"/>
      <c r="X6" s="477">
        <f ca="1">IFERROR(Renewal_Medical_EE_Count,"")</f>
        <v>0</v>
      </c>
      <c r="Y6" s="478"/>
      <c r="Z6" s="401">
        <f ca="1">IFERROR(Alternate_Medical_EE_Count,"")</f>
        <v>0</v>
      </c>
    </row>
    <row r="7" spans="4:26" ht="18" customHeight="1">
      <c r="D7" s="143"/>
      <c r="E7" s="491" t="s">
        <v>220</v>
      </c>
      <c r="F7" s="491"/>
      <c r="G7" s="491"/>
      <c r="H7" s="491"/>
      <c r="I7" s="491"/>
      <c r="J7" s="491"/>
      <c r="K7" s="491"/>
      <c r="L7" s="491"/>
      <c r="M7" s="491"/>
      <c r="N7" s="491"/>
      <c r="O7" s="491"/>
      <c r="P7" s="491"/>
      <c r="Q7" s="491"/>
      <c r="R7" s="491"/>
      <c r="T7" s="402" t="s">
        <v>221</v>
      </c>
      <c r="U7" s="406"/>
      <c r="V7" s="487" t="s">
        <v>222</v>
      </c>
      <c r="W7" s="488"/>
      <c r="X7" s="479">
        <f ca="1">IFERROR(IF(V5="","",X5-V5),0)</f>
        <v>0</v>
      </c>
      <c r="Y7" s="480"/>
      <c r="Z7" s="398">
        <f ca="1">IFERROR(IF(V5="","",Z5-V5),0)</f>
        <v>0</v>
      </c>
    </row>
    <row r="8" spans="4:26" ht="18" customHeight="1" thickBot="1">
      <c r="D8" s="143"/>
      <c r="E8" s="143"/>
      <c r="F8" s="145"/>
      <c r="G8" s="145"/>
      <c r="H8" s="145"/>
      <c r="I8" s="145"/>
      <c r="J8" s="145"/>
      <c r="K8" s="145"/>
      <c r="L8" s="145"/>
      <c r="M8" s="145"/>
      <c r="N8" s="145"/>
      <c r="O8" s="145"/>
      <c r="P8" s="145"/>
      <c r="Q8" s="145"/>
      <c r="R8" s="145"/>
      <c r="T8" s="403" t="s">
        <v>223</v>
      </c>
      <c r="U8" s="404"/>
      <c r="V8" s="489" t="s">
        <v>222</v>
      </c>
      <c r="W8" s="490"/>
      <c r="X8" s="481">
        <f ca="1">IFERROR(IF(X5="","",(X5/V5)-1),0)</f>
        <v>0</v>
      </c>
      <c r="Y8" s="482"/>
      <c r="Z8" s="405">
        <f ca="1">IFERROR(IF(Z5="","",(Z5/V5)-1),0)</f>
        <v>0</v>
      </c>
    </row>
    <row r="9" spans="4:26" ht="18" customHeight="1">
      <c r="D9" s="143"/>
      <c r="E9" s="143"/>
      <c r="F9" s="145"/>
      <c r="G9" s="145"/>
      <c r="H9" s="145"/>
      <c r="I9" s="145"/>
      <c r="J9" s="145"/>
      <c r="K9" s="145"/>
      <c r="L9" s="145"/>
      <c r="M9" s="145"/>
      <c r="N9" s="145"/>
      <c r="O9" s="145"/>
      <c r="P9" s="145"/>
      <c r="Q9" s="145"/>
      <c r="R9" s="145"/>
      <c r="T9" s="2"/>
      <c r="U9" s="146"/>
      <c r="V9" s="146"/>
      <c r="W9" s="147"/>
      <c r="X9" s="148"/>
      <c r="Y9" s="147"/>
      <c r="Z9" s="148"/>
    </row>
    <row r="10" spans="1:140" s="151" customFormat="1" ht="18" customHeight="1">
      <c r="A10" s="149"/>
      <c r="B10" s="149"/>
      <c r="C10"/>
      <c r="D10"/>
      <c r="E10"/>
      <c r="F10"/>
      <c r="G10"/>
      <c r="H10"/>
      <c r="I10"/>
      <c r="J10"/>
      <c r="K10" s="150"/>
      <c r="L10" s="483"/>
      <c r="M10" s="483"/>
      <c r="N10" s="483"/>
      <c r="O10" s="483"/>
      <c r="P10" s="483"/>
      <c r="Q10" s="483"/>
      <c r="R10" s="483"/>
      <c r="T10" s="483"/>
      <c r="U10" s="483"/>
      <c r="V10" s="483"/>
      <c r="W10" s="483"/>
      <c r="X10" s="483"/>
      <c r="Y10" s="483"/>
      <c r="Z10" s="483"/>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row>
    <row r="11" spans="3:26" ht="18" customHeight="1">
      <c r="C11"/>
      <c r="D11"/>
      <c r="E11" s="483" t="s">
        <v>224</v>
      </c>
      <c r="F11" s="483"/>
      <c r="G11" s="483"/>
      <c r="H11" s="483"/>
      <c r="I11" s="483"/>
      <c r="J11" s="483"/>
      <c r="K11" s="152"/>
      <c r="L11" s="483" t="s">
        <v>225</v>
      </c>
      <c r="M11" s="483"/>
      <c r="N11" s="483"/>
      <c r="O11" s="483"/>
      <c r="P11" s="483"/>
      <c r="Q11" s="483"/>
      <c r="R11" s="483"/>
      <c r="T11" s="483" t="s">
        <v>226</v>
      </c>
      <c r="U11" s="483"/>
      <c r="V11" s="483"/>
      <c r="W11" s="483"/>
      <c r="X11" s="483"/>
      <c r="Y11" s="483"/>
      <c r="Z11" s="483"/>
    </row>
    <row r="12" spans="1:140" s="159" customFormat="1" ht="60" customHeight="1" thickBot="1">
      <c r="A12" s="153"/>
      <c r="B12" s="153"/>
      <c r="C12" s="154" t="s">
        <v>227</v>
      </c>
      <c r="D12" s="467" t="str">
        <f>IF(Class1_Name=0,"",Class1_Name)</f>
        <v>MANAGERS</v>
      </c>
      <c r="E12" s="155" t="str">
        <f>"Employee Count (as of "&amp;TEXT(CountsAsOfDate,"MM/DD/YY")&amp;")"</f>
        <v>Employee Count (as of 08/01/24)</v>
      </c>
      <c r="F12" s="156" t="str">
        <f>"CurrentRates"&amp;Benefit_Year_Display-1</f>
        <v>CurrentRates2024</v>
      </c>
      <c r="G12" s="156" t="s">
        <v>228</v>
      </c>
      <c r="H12" s="156" t="s">
        <v>229</v>
      </c>
      <c r="I12" s="155" t="s">
        <v>230</v>
      </c>
      <c r="J12" s="156" t="s">
        <v>231</v>
      </c>
      <c r="K12" s="157"/>
      <c r="L12" s="158" t="str">
        <f>"Rates Effective 1/1/"&amp;Benefit_Year_Display</f>
        <v>Rates Effective 1/1/2025</v>
      </c>
      <c r="M12" s="158" t="s">
        <v>232</v>
      </c>
      <c r="N12" s="116" t="s">
        <v>233</v>
      </c>
      <c r="O12" s="116" t="s">
        <v>234</v>
      </c>
      <c r="P12" s="158" t="str">
        <f>"Employer Contribution "&amp;Benefit_Year_Display</f>
        <v>Employer Contribution 2025</v>
      </c>
      <c r="Q12" s="158" t="str">
        <f>"Employee Contribution "&amp;Benefit_Year_Display</f>
        <v>Employee Contribution 2025</v>
      </c>
      <c r="R12" s="158" t="s">
        <v>231</v>
      </c>
      <c r="T12" s="160" t="str">
        <f>"Rates Effective 1/1/"&amp;Benefit_Year_Display</f>
        <v>Rates Effective 1/1/2025</v>
      </c>
      <c r="U12" s="160" t="s">
        <v>232</v>
      </c>
      <c r="V12" s="117" t="s">
        <v>233</v>
      </c>
      <c r="W12" s="117" t="s">
        <v>234</v>
      </c>
      <c r="X12" s="160" t="str">
        <f>"Employer Contribution "&amp;Benefit_Year_Display</f>
        <v>Employer Contribution 2025</v>
      </c>
      <c r="Y12" s="160" t="str">
        <f>"Employee Contribution "&amp;Benefit_Year_Display</f>
        <v>Employee Contribution 2025</v>
      </c>
      <c r="Z12" s="160" t="s">
        <v>231</v>
      </c>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row>
    <row r="13" spans="1:140" s="162" customFormat="1" ht="38.25" customHeight="1" thickBot="1">
      <c r="A13" s="153"/>
      <c r="B13" s="153"/>
      <c r="C13" s="161"/>
      <c r="D13" s="474" t="s">
        <v>235</v>
      </c>
      <c r="E13" s="475"/>
      <c r="F13" s="475"/>
      <c r="G13" s="475"/>
      <c r="H13" s="475"/>
      <c r="I13" s="475"/>
      <c r="J13" s="475"/>
      <c r="K13" s="475"/>
      <c r="L13" s="475"/>
      <c r="M13" s="475"/>
      <c r="N13" s="475"/>
      <c r="O13" s="475"/>
      <c r="P13" s="475"/>
      <c r="Q13" s="475"/>
      <c r="R13" s="476"/>
      <c r="T13" s="163"/>
      <c r="U13" s="163"/>
      <c r="V13" s="163"/>
      <c r="W13" s="163"/>
      <c r="X13" s="163"/>
      <c r="Y13" s="163"/>
      <c r="Z13" s="16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row>
    <row r="14" spans="1:26" ht="50.15" customHeight="1">
      <c r="A14" s="140">
        <v>1</v>
      </c>
      <c r="B14" s="140" cm="1">
        <f t="array" ref="B14">IF(A14&gt;Class1_CurrentHealthCount,"DELETE",Class1_CurrentHealthStart+A14)</f>
        <v>5</v>
      </c>
      <c r="C14" s="164" t="s">
        <v>236</v>
      </c>
      <c r="D14" s="273" t="e">
        <f ca="1">IF(B14="Delete","",VLOOKUP(F14,BEGIN_CURRENT_HEALTH:END_CURRENT_HEALTH,3,FALSE))</f>
        <v>#N/A</v>
      </c>
      <c r="E14" s="165"/>
      <c r="F14" s="320" cm="1">
        <f t="array" ca="1" aca="1" ref="F14">IF(B14="Delete","",INDIRECT("CurrentPlans!A"&amp;B14,TRUE))</f>
        <v>0</v>
      </c>
      <c r="G14" s="166"/>
      <c r="H14" s="167"/>
      <c r="I14" s="168"/>
      <c r="J14" s="169"/>
      <c r="K14"/>
      <c r="L14" s="274" t="str">
        <f ca="1">_xlfn.IFNA(VLOOKUP(F14,BEGIN_RENEWEDFROM_HEALTH:ROW_RenewHealth_PlanID,3,FALSE),"SELECT PLAN")</f>
        <v>SELECT PLAN</v>
      </c>
      <c r="M14" s="170"/>
      <c r="N14" s="274" t="s">
        <v>237</v>
      </c>
      <c r="O14" s="171"/>
      <c r="P14" s="171"/>
      <c r="Q14" s="171"/>
      <c r="R14" s="169"/>
      <c r="T14" s="274" t="s">
        <v>38</v>
      </c>
      <c r="U14" s="170"/>
      <c r="V14" s="274" t="s">
        <v>237</v>
      </c>
      <c r="W14" s="171"/>
      <c r="X14" s="171"/>
      <c r="Y14" s="171"/>
      <c r="Z14" s="169"/>
    </row>
    <row r="15" spans="4:26" ht="18.75" customHeight="1">
      <c r="D15" s="172" t="s">
        <v>238</v>
      </c>
      <c r="E15" s="407" t="str">
        <f ca="1">_xlfn.IFNA(VLOOKUP(F14,BEGIN_CURRENT_HEALTH:END_CURRENT_HEALTH,CURRENT_COL_EO_count,FALSE),"")</f>
        <v/>
      </c>
      <c r="F15" s="408" t="str">
        <f ca="1">_xlfn.IFNA(VLOOKUP(F14,BEGIN_CURRENT_HEALTH:END_CURRENT_HEALTH,CURRENT_COL_EO,FALSE),"")</f>
        <v/>
      </c>
      <c r="G15" s="468" t="str">
        <f ca="1" t="shared" si="0" ref="G15:G18">IF(F15="","",H15/F15)</f>
        <v/>
      </c>
      <c r="H15" s="408" t="str">
        <f ca="1">_xlfn.IFNA(VLOOKUP(F14,BEGIN_CURRENT_HEALTH:END_CURRENT_HEALTH,CURRENT_COL_EOContrib,FALSE),"")</f>
        <v/>
      </c>
      <c r="I15" s="409" t="str">
        <f ca="1">IFERROR(F15-H15,"")</f>
        <v/>
      </c>
      <c r="J15" s="410" t="str">
        <f ca="1">IF(F15="","",H15*E15)</f>
        <v/>
      </c>
      <c r="K15" s="411"/>
      <c r="L15" s="408" t="str" cm="1">
        <f t="array" ca="1" aca="1" ref="L15">_xlfn.IFNA(VLOOKUP(INDIRECT("L"&amp;ROW()-1)&amp;"_"&amp;$D$12,BEGIN_RENEW_HEALTH:END_RENEW_HEALTH,RENEW_COL_EO,FALSE),"")</f>
        <v/>
      </c>
      <c r="M15" s="412" t="str">
        <f ca="1">IF(E15="","",E15)</f>
        <v/>
      </c>
      <c r="N15" s="413"/>
      <c r="O15" s="414"/>
      <c r="P15" s="415" t="str">
        <f>IFERROR(IF($N14="Keep Contribution Same",H15,IF($N14="Enter Percentages",IF(N15="","",N15*L15),IF($N14="Keep Percentage Same",IF(G15="","",G15*L15),IF($N14="Enter Dollar Amount",IF(O15="","",O15),"")))),"")</f>
        <v/>
      </c>
      <c r="Q15" s="408" t="str">
        <f ca="1">IFERROR(L15-P15,"")</f>
        <v/>
      </c>
      <c r="R15" s="410" t="str">
        <f>IFERROR(IF(P15="","",M15*P15),"")</f>
        <v/>
      </c>
      <c r="S15" s="411"/>
      <c r="T15" s="408" t="str" cm="1">
        <f t="array" ca="1" aca="1" ref="T15">_xlfn.IFNA(VLOOKUP(INDIRECT("T"&amp;ROW()-1)&amp;"_"&amp;$D$12,BEGIN_RENEW_HEALTH:END_RENEW_HEALTH,RENEW_COL_EO,FALSE),"")</f>
        <v/>
      </c>
      <c r="U15" s="412" t="str">
        <f ca="1">IF(E15="","",E15)</f>
        <v/>
      </c>
      <c r="V15" s="413"/>
      <c r="W15" s="414"/>
      <c r="X15" s="415" t="str">
        <f>IFERROR(IF($V14="Keep Contribution Same",H15,IF($V14="Enter Percentages",IF(V15="","",V15*T15),IF($V14="Keep Percentage Same",IF(G15="","",G15*T15),IF($V14="Enter Dollar Amount",IF(W15="","",W15),"")))),"")</f>
        <v/>
      </c>
      <c r="Y15" s="408" t="str">
        <f ca="1">IFERROR(T15-X15,"")</f>
        <v/>
      </c>
      <c r="Z15" s="410" t="str">
        <f>IFERROR(IF(X15="","",U15*X15),"")</f>
        <v/>
      </c>
    </row>
    <row r="16" spans="4:26" ht="18.75" customHeight="1">
      <c r="D16" s="172" t="s">
        <v>239</v>
      </c>
      <c r="E16" s="407" t="str">
        <f ca="1">_xlfn.IFNA(VLOOKUP(F14,BEGIN_CURRENT_HEALTH:END_CURRENT_HEALTH,CURRENT_COL_ES_count,FALSE),"")</f>
        <v/>
      </c>
      <c r="F16" s="408" t="str">
        <f ca="1">_xlfn.IFNA(VLOOKUP(F14,BEGIN_CURRENT_HEALTH:END_CURRENT_HEALTH,CURRENT_COL_ES,FALSE),"")</f>
        <v/>
      </c>
      <c r="G16" s="468" t="str">
        <f t="shared" ca="1" si="0"/>
        <v/>
      </c>
      <c r="H16" s="408" t="str">
        <f ca="1">_xlfn.IFNA(VLOOKUP(F14,BEGIN_CURRENT_HEALTH:END_CURRENT_HEALTH,CURRENT_COL_ESContrib,FALSE),"")</f>
        <v/>
      </c>
      <c r="I16" s="409" t="str">
        <f ca="1" t="shared" si="1" ref="I16:I18">IFERROR(F16-H16,"")</f>
        <v/>
      </c>
      <c r="J16" s="410" t="str">
        <f ca="1">IF(F16="","",H16*E16)</f>
        <v/>
      </c>
      <c r="K16" s="411"/>
      <c r="L16" s="408" t="str" cm="1">
        <f t="array" ca="1" aca="1" ref="L16">_xlfn.IFNA(VLOOKUP(INDIRECT("L"&amp;ROW()-2)&amp;"_"&amp;$D$12,BEGIN_RENEW_HEALTH:END_RENEW_HEALTH,RENEW_COL_ES,FALSE),"")</f>
        <v/>
      </c>
      <c r="M16" s="412" t="str">
        <f ca="1">IF(E16="","",E16)</f>
        <v/>
      </c>
      <c r="N16" s="413"/>
      <c r="O16" s="414"/>
      <c r="P16" s="415" t="str">
        <f>IFERROR(IF($N14="Keep Contribution Same",H16,IF($N14="Enter Percentages",IF(N16="","",N16*L16),IF($N14="Keep Percentage Same",IF(G16="","",G16*L16),IF($N14="Enter Dollar Amount",IF(O16="","",O16),"")))),"")</f>
        <v/>
      </c>
      <c r="Q16" s="408" t="str">
        <f ca="1">IFERROR(L16-P16,"")</f>
        <v/>
      </c>
      <c r="R16" s="410" t="str">
        <f>IFERROR(IF(P16="","",M16*P16),"")</f>
        <v/>
      </c>
      <c r="S16" s="411"/>
      <c r="T16" s="408" t="str" cm="1">
        <f t="array" ca="1" aca="1" ref="T16">_xlfn.IFNA(VLOOKUP(INDIRECT("T"&amp;ROW()-2)&amp;"_"&amp;$D$12,BEGIN_RENEW_HEALTH:END_RENEW_HEALTH,RENEW_COL_ES,FALSE),"")</f>
        <v/>
      </c>
      <c r="U16" s="412" t="str">
        <f ca="1" t="shared" si="2" ref="U16:U17">IF(E16="","",E16)</f>
        <v/>
      </c>
      <c r="V16" s="413"/>
      <c r="W16" s="414"/>
      <c r="X16" s="415" t="str">
        <f>IFERROR(IF($V14="Keep Contribution Same",H16,IF($V14="Enter Percentages",IF(V16="","",V16*T16),IF($V14="Keep Percentage Same",IF(G16="","",G16*T16),IF($V14="Enter Dollar Amount",IF(W16="","",W16),"")))),"")</f>
        <v/>
      </c>
      <c r="Y16" s="408" t="str">
        <f ca="1" t="shared" si="3" ref="Y16:Y18">IFERROR(T16-X16,"")</f>
        <v/>
      </c>
      <c r="Z16" s="410" t="str">
        <f t="shared" si="4" ref="Z16:Z17">IFERROR(IF(X16="","",U16*X16),"")</f>
        <v/>
      </c>
    </row>
    <row r="17" spans="4:26" ht="18.75" customHeight="1">
      <c r="D17" s="172" t="s">
        <v>240</v>
      </c>
      <c r="E17" s="407" t="str">
        <f ca="1">_xlfn.IFNA(VLOOKUP(F14,BEGIN_CURRENT_HEALTH:END_CURRENT_HEALTH,CURRENT_COL_EC_count,FALSE),"")</f>
        <v/>
      </c>
      <c r="F17" s="408" t="str">
        <f ca="1">_xlfn.IFNA(VLOOKUP(F14,BEGIN_CURRENT_HEALTH:END_CURRENT_HEALTH,CURRENT_COL_EC,FALSE),"")</f>
        <v/>
      </c>
      <c r="G17" s="468" t="str">
        <f t="shared" ca="1" si="0"/>
        <v/>
      </c>
      <c r="H17" s="408" t="str">
        <f ca="1">_xlfn.IFNA(VLOOKUP(F14,BEGIN_CURRENT_HEALTH:END_CURRENT_HEALTH,CURRENT_COL_ECContrib,FALSE),"")</f>
        <v/>
      </c>
      <c r="I17" s="409" t="str">
        <f t="shared" ca="1" si="1"/>
        <v/>
      </c>
      <c r="J17" s="410" t="str">
        <f ca="1">IF(F17="","",H17*E17)</f>
        <v/>
      </c>
      <c r="K17" s="411"/>
      <c r="L17" s="408" t="str" cm="1">
        <f t="array" ca="1" aca="1" ref="L17">_xlfn.IFNA(VLOOKUP(INDIRECT("L"&amp;ROW()-3)&amp;"_"&amp;$D$12,BEGIN_RENEW_HEALTH:END_RENEW_HEALTH,RENEW_COL_EC,FALSE),"")</f>
        <v/>
      </c>
      <c r="M17" s="412" t="str">
        <f ca="1">IF(E17="","",E17)</f>
        <v/>
      </c>
      <c r="N17" s="413"/>
      <c r="O17" s="414"/>
      <c r="P17" s="415" t="str">
        <f>IFERROR(IF($N14="Keep Contribution Same",H17,IF($N14="Enter Percentages",IF(N17="","",N17*L17),IF($N14="Keep Percentage Same",IF(G17="","",G17*L17),IF($N14="Enter Dollar Amount",IF(O17="","",O17),"")))),"")</f>
        <v/>
      </c>
      <c r="Q17" s="408" t="str">
        <f ca="1">IFERROR(L17-P17,"")</f>
        <v/>
      </c>
      <c r="R17" s="410" t="str">
        <f>IFERROR(IF(P17="","",M17*P17),"")</f>
        <v/>
      </c>
      <c r="S17" s="411"/>
      <c r="T17" s="408" t="str" cm="1">
        <f t="array" ca="1" aca="1" ref="T17">_xlfn.IFNA(VLOOKUP(INDIRECT("T"&amp;ROW()-3)&amp;"_"&amp;$D$12,BEGIN_RENEW_HEALTH:END_RENEW_HEALTH,RENEW_COL_EC,FALSE),"")</f>
        <v/>
      </c>
      <c r="U17" s="412" t="str">
        <f t="shared" ca="1" si="2"/>
        <v/>
      </c>
      <c r="V17" s="413"/>
      <c r="W17" s="414"/>
      <c r="X17" s="415" t="str">
        <f>IFERROR(IF($V14="Keep Contribution Same",H17,IF($V14="Enter Percentages",IF(V17="","",V17*T17),IF($V14="Keep Percentage Same",IF(G17="","",G17*T17),IF($V14="Enter Dollar Amount",IF(W17="","",W17),"")))),"")</f>
        <v/>
      </c>
      <c r="Y17" s="408" t="str">
        <f t="shared" ca="1" si="3"/>
        <v/>
      </c>
      <c r="Z17" s="410" t="str">
        <f t="shared" si="4"/>
        <v/>
      </c>
    </row>
    <row r="18" spans="4:26" ht="18.75" customHeight="1" thickBot="1">
      <c r="D18" s="174" t="s">
        <v>241</v>
      </c>
      <c r="E18" s="416" t="str">
        <f ca="1">_xlfn.IFNA(VLOOKUP(F14,BEGIN_CURRENT_HEALTH:END_CURRENT_HEALTH,CURRENT_COL_FAM_count,FALSE),"")</f>
        <v/>
      </c>
      <c r="F18" s="417" t="str">
        <f ca="1">_xlfn.IFNA(VLOOKUP(F14,BEGIN_CURRENT_HEALTH:END_CURRENT_HEALTH,CURRENT_COL_FAM,FALSE),"")</f>
        <v/>
      </c>
      <c r="G18" s="469" t="str">
        <f t="shared" ca="1" si="0"/>
        <v/>
      </c>
      <c r="H18" s="417" t="str">
        <f ca="1">_xlfn.IFNA(VLOOKUP(F14,BEGIN_CURRENT_HEALTH:END_CURRENT_HEALTH,CURRENT_COL_FAMContrib,FALSE),"")</f>
        <v/>
      </c>
      <c r="I18" s="418" t="str">
        <f t="shared" ca="1" si="1"/>
        <v/>
      </c>
      <c r="J18" s="419" t="str">
        <f ca="1">IF(F18="","",H18*E18)</f>
        <v/>
      </c>
      <c r="K18" s="411"/>
      <c r="L18" s="417" t="str" cm="1">
        <f t="array" ca="1" aca="1" ref="L18">_xlfn.IFNA(VLOOKUP(INDIRECT("L"&amp;ROW()-4)&amp;"_"&amp;$D$12,BEGIN_RENEW_HEALTH:END_RENEW_HEALTH,RENEW_COL_FAM,FALSE),"")</f>
        <v/>
      </c>
      <c r="M18" s="412" t="str">
        <f ca="1">IF(E18="","",E18)</f>
        <v/>
      </c>
      <c r="N18" s="420"/>
      <c r="O18" s="421"/>
      <c r="P18" s="422" t="str">
        <f>IFERROR(IF($N14="Keep Contribution Same",H18,IF($N14="Enter Percentages",IF(N18="","",N18*L18),IF($N14="Keep Percentage Same",IF(G18="","",G18*L18),IF($N14="Enter Dollar Amount",IF(O18="","",O18),"")))),"")</f>
        <v/>
      </c>
      <c r="Q18" s="422" t="str">
        <f ca="1">IFERROR(L18-P18,"")</f>
        <v/>
      </c>
      <c r="R18" s="410" t="str">
        <f>IFERROR(IF(P18="","",M18*P18),"")</f>
        <v/>
      </c>
      <c r="S18" s="411"/>
      <c r="T18" s="417" t="str" cm="1">
        <f t="array" ca="1" aca="1" ref="T18">_xlfn.IFNA(VLOOKUP(INDIRECT("T"&amp;ROW()-4)&amp;"_"&amp;$D$12,BEGIN_RENEW_HEALTH:END_RENEW_HEALTH,RENEW_COL_FAM,FALSE),"")</f>
        <v/>
      </c>
      <c r="U18" s="423" t="str">
        <f ca="1" t="shared" si="5" ref="U18">IF(E18="","",E18)</f>
        <v/>
      </c>
      <c r="V18" s="420"/>
      <c r="W18" s="421"/>
      <c r="X18" s="422" t="str">
        <f>IFERROR(IF($V14="Keep Contribution Same",H18,IF($V14="Enter Percentages",IF(V18="","",V18*T18),IF($V14="Keep Percentage Same",IF(G18="","",G18*T18),IF($V14="Enter Dollar Amount",IF(W18="","",W18),"")))),"")</f>
        <v/>
      </c>
      <c r="Y18" s="417" t="str">
        <f t="shared" ca="1" si="3"/>
        <v/>
      </c>
      <c r="Z18" s="419" t="str">
        <f t="shared" si="6" ref="Z18">IFERROR(IF(X18="","",U18*X18),"")</f>
        <v/>
      </c>
    </row>
    <row r="19" spans="4:26" ht="18.75" customHeight="1" thickTop="1">
      <c r="D19" s="175" t="s">
        <v>242</v>
      </c>
      <c r="E19" s="424"/>
      <c r="F19" s="425" t="str">
        <f ca="1">IFERROR((F15*E15)+(F16*E16)+(F17*E17)+(F18*E18),"")</f>
        <v/>
      </c>
      <c r="G19" s="426"/>
      <c r="H19" s="427"/>
      <c r="I19" s="428"/>
      <c r="J19" s="429" t="str">
        <f ca="1">IFERROR(IF(J15="","",SUM(J15:J18)),0)</f>
        <v/>
      </c>
      <c r="K19" s="1"/>
      <c r="L19" s="430" t="str">
        <f ca="1">IFERROR((M15*L15)+(M16*L16)+(M17*L17)+(M18*L18),"")</f>
        <v/>
      </c>
      <c r="M19" s="427"/>
      <c r="N19" s="426"/>
      <c r="O19" s="427"/>
      <c r="P19" s="431"/>
      <c r="Q19" s="432"/>
      <c r="R19" s="429" t="str">
        <f>IFERROR(IF(R15="","",SUM(R15:R18)),0)</f>
        <v/>
      </c>
      <c r="T19" s="430" t="str">
        <f ca="1">IFERROR((U15*T15)+(U16*T16)+(U17*T17)+(U18*T18),"")</f>
        <v/>
      </c>
      <c r="U19" s="427"/>
      <c r="V19" s="426"/>
      <c r="W19" s="427"/>
      <c r="X19" s="431"/>
      <c r="Y19" s="432"/>
      <c r="Z19" s="429" t="str">
        <f>IFERROR(IF(Z15="","",SUM(Z15:Z18)),0)</f>
        <v/>
      </c>
    </row>
    <row r="20" spans="4:26" ht="18.75" customHeight="1">
      <c r="D20" s="177" t="s">
        <v>243</v>
      </c>
      <c r="E20" s="433"/>
      <c r="F20" s="434" t="str">
        <f ca="1">IFERROR(F19*12,"")</f>
        <v/>
      </c>
      <c r="G20" s="435"/>
      <c r="H20" s="436"/>
      <c r="I20" s="432"/>
      <c r="J20" s="437" t="str">
        <f ca="1">IF(J19="","",J19*12)</f>
        <v/>
      </c>
      <c r="K20" s="1"/>
      <c r="L20" s="438" t="str">
        <f ca="1">IFERROR(L19*12,"")</f>
        <v/>
      </c>
      <c r="M20" s="436"/>
      <c r="N20" s="435"/>
      <c r="O20" s="436"/>
      <c r="P20" s="432"/>
      <c r="Q20" s="432"/>
      <c r="R20" s="437" t="str">
        <f>IF(R19="","",R19*12)</f>
        <v/>
      </c>
      <c r="T20" s="438" t="str">
        <f ca="1">IFERROR(T19*12,"")</f>
        <v/>
      </c>
      <c r="U20" s="436"/>
      <c r="V20" s="435"/>
      <c r="W20" s="436"/>
      <c r="X20" s="432"/>
      <c r="Y20" s="432"/>
      <c r="Z20" s="437" t="str">
        <f>IF(Z19="","",Z19*12)</f>
        <v/>
      </c>
    </row>
    <row r="21" spans="4:26" ht="18.75" customHeight="1">
      <c r="D21" s="177" t="s">
        <v>244</v>
      </c>
      <c r="E21" s="433"/>
      <c r="F21" s="436"/>
      <c r="G21" s="435"/>
      <c r="H21" s="436"/>
      <c r="I21" s="432"/>
      <c r="J21" s="437"/>
      <c r="K21" s="1"/>
      <c r="L21" s="434" t="str">
        <f ca="1">IFERROR(L20-F20,"")</f>
        <v/>
      </c>
      <c r="M21" s="436"/>
      <c r="N21" s="435"/>
      <c r="O21" s="436"/>
      <c r="P21" s="432"/>
      <c r="Q21" s="432"/>
      <c r="R21" s="437" t="str">
        <f ca="1">IFERROR(IF(J20="","",R20-J20),0)</f>
        <v/>
      </c>
      <c r="T21" s="434" t="str">
        <f ca="1">IFERROR(T20-F20,"")</f>
        <v/>
      </c>
      <c r="U21" s="436"/>
      <c r="V21" s="435"/>
      <c r="W21" s="436"/>
      <c r="X21" s="432"/>
      <c r="Y21" s="432"/>
      <c r="Z21" s="437" t="str">
        <f>IFERROR(IF(R20="","",Z20-R20),0)</f>
        <v/>
      </c>
    </row>
    <row r="22" spans="4:26" ht="18.75" customHeight="1" thickBot="1">
      <c r="D22" s="180" t="s">
        <v>245</v>
      </c>
      <c r="E22" s="439"/>
      <c r="F22" s="440"/>
      <c r="G22" s="441"/>
      <c r="H22" s="440"/>
      <c r="I22" s="442"/>
      <c r="J22" s="443"/>
      <c r="K22" s="1"/>
      <c r="L22" s="444" t="str">
        <f ca="1">IFERROR(L20/F20-1,"")</f>
        <v/>
      </c>
      <c r="M22" s="440"/>
      <c r="N22" s="441"/>
      <c r="O22" s="440"/>
      <c r="P22" s="445"/>
      <c r="Q22" s="445"/>
      <c r="R22" s="446" t="str">
        <f ca="1">IFERROR(IF(J20="","",(R20/J20)-1),0)</f>
        <v/>
      </c>
      <c r="T22" s="444" t="str">
        <f ca="1">IFERROR(T20/F20-1,"")</f>
        <v/>
      </c>
      <c r="U22" s="440"/>
      <c r="V22" s="441"/>
      <c r="W22" s="440"/>
      <c r="X22" s="445"/>
      <c r="Y22" s="445"/>
      <c r="Z22" s="446" t="str">
        <f>IFERROR(IF(R20="","",(Z20/R20)-1),0)</f>
        <v/>
      </c>
    </row>
    <row r="23" spans="4:26" ht="18.75" customHeight="1">
      <c r="D23" s="181" t="s">
        <v>246</v>
      </c>
      <c r="E23" s="182"/>
      <c r="F23" s="182"/>
      <c r="G23" s="182"/>
      <c r="H23" s="182"/>
      <c r="I23" s="182"/>
      <c r="J23" s="183"/>
      <c r="K23"/>
      <c r="L23" s="184"/>
      <c r="M23" s="182"/>
      <c r="N23" s="182"/>
      <c r="O23" s="182"/>
      <c r="P23" s="182"/>
      <c r="Q23" s="182"/>
      <c r="R23" s="183"/>
      <c r="T23" s="184"/>
      <c r="U23" s="182"/>
      <c r="V23" s="182"/>
      <c r="W23" s="182"/>
      <c r="X23" s="182"/>
      <c r="Y23" s="182"/>
      <c r="Z23" s="183"/>
    </row>
    <row r="24" spans="4:26" ht="18.75" customHeight="1" hidden="1">
      <c r="D24" s="185" t="s">
        <v>247</v>
      </c>
      <c r="E24" s="186"/>
      <c r="F24" s="186"/>
      <c r="G24" s="186"/>
      <c r="H24" s="186"/>
      <c r="I24" s="186"/>
      <c r="J24" s="187"/>
      <c r="K24"/>
      <c r="L24" s="188"/>
      <c r="M24" s="186"/>
      <c r="N24" s="186"/>
      <c r="O24" s="186"/>
      <c r="P24" s="186"/>
      <c r="Q24" s="186"/>
      <c r="R24" s="187"/>
      <c r="T24" s="188"/>
      <c r="U24" s="186"/>
      <c r="V24" s="186"/>
      <c r="W24" s="186"/>
      <c r="X24" s="186"/>
      <c r="Y24" s="186"/>
      <c r="Z24" s="187"/>
    </row>
    <row r="25" spans="4:26" ht="18.75" customHeight="1" hidden="1">
      <c r="D25" s="189" t="s">
        <v>248</v>
      </c>
      <c r="E25" s="190" t="e">
        <f ca="1">D14&amp;"_"&amp;D12</f>
        <v>#N/A</v>
      </c>
      <c r="F25" s="191"/>
      <c r="G25" s="191"/>
      <c r="H25" s="191"/>
      <c r="I25" s="190"/>
      <c r="J25" s="192"/>
      <c r="K25"/>
      <c r="L25" s="193" t="str">
        <f ca="1">L14&amp;"_"&amp;D12</f>
        <v>SELECT PLAN_MANAGERS</v>
      </c>
      <c r="M25" s="191"/>
      <c r="N25" s="191"/>
      <c r="O25" s="191"/>
      <c r="P25" s="190"/>
      <c r="Q25" s="191"/>
      <c r="R25" s="192"/>
      <c r="T25" s="193" t="str">
        <f>T14&amp;"_"&amp;D12</f>
        <v>SELECT PLAN_MANAGERS</v>
      </c>
      <c r="U25" s="191"/>
      <c r="V25" s="191"/>
      <c r="W25" s="191"/>
      <c r="X25" s="190"/>
      <c r="Y25" s="191"/>
      <c r="Z25" s="192"/>
    </row>
    <row r="26" spans="4:26" ht="18.75" customHeight="1" hidden="1">
      <c r="D26" s="189" t="s">
        <v>249</v>
      </c>
      <c r="E26" s="191"/>
      <c r="F26" s="191"/>
      <c r="G26" s="191"/>
      <c r="H26" s="191"/>
      <c r="I26" s="191"/>
      <c r="J26" s="192"/>
      <c r="K26"/>
      <c r="L26" s="189"/>
      <c r="M26" s="191"/>
      <c r="N26" s="191"/>
      <c r="O26" s="191"/>
      <c r="P26" s="191"/>
      <c r="Q26" s="191"/>
      <c r="R26" s="192"/>
      <c r="T26" s="189"/>
      <c r="U26" s="191"/>
      <c r="V26" s="191"/>
      <c r="W26" s="191"/>
      <c r="X26" s="191"/>
      <c r="Y26" s="191"/>
      <c r="Z26" s="192"/>
    </row>
    <row r="27" spans="4:26" ht="18.75" customHeight="1" hidden="1">
      <c r="D27" s="194" t="s">
        <v>250</v>
      </c>
      <c r="E27" s="195"/>
      <c r="F27" s="195"/>
      <c r="G27" s="195"/>
      <c r="H27" s="195"/>
      <c r="I27" s="195"/>
      <c r="J27" s="196"/>
      <c r="K27"/>
      <c r="L27" s="197"/>
      <c r="M27" s="195"/>
      <c r="N27" s="195"/>
      <c r="O27" s="195"/>
      <c r="P27" s="195"/>
      <c r="Q27" s="195"/>
      <c r="R27" s="196"/>
      <c r="T27" s="197"/>
      <c r="U27" s="195"/>
      <c r="V27" s="195"/>
      <c r="W27" s="195"/>
      <c r="X27" s="195"/>
      <c r="Y27" s="195"/>
      <c r="Z27" s="196"/>
    </row>
    <row r="28" spans="4:26" ht="18.75" customHeight="1" hidden="1">
      <c r="D28" s="198" t="s">
        <v>251</v>
      </c>
      <c r="E28" s="199" t="e">
        <f>_xlfn.XLOOKUP(E25,CurrentPlans!B:B,CurrentPlans!X:X,"NA",0,1)</f>
        <v>#N/A</v>
      </c>
      <c r="F28" s="200"/>
      <c r="G28" s="200"/>
      <c r="H28" s="200"/>
      <c r="I28" s="199"/>
      <c r="J28" s="201"/>
      <c r="K28"/>
      <c r="L28" s="202" t="str">
        <f ca="1">_xlfn.XLOOKUP(L25,RenewalPlans!B:B,RenewalPlans!AA:AA,"NA",0,1)</f>
        <v>NA</v>
      </c>
      <c r="M28" s="200"/>
      <c r="N28" s="200"/>
      <c r="O28" s="200"/>
      <c r="P28" s="199"/>
      <c r="Q28" s="200"/>
      <c r="R28" s="201"/>
      <c r="T28" s="202" t="str">
        <f>_xlfn.XLOOKUP(T25,RenewalPlans!B:B,RenewalPlans!AA:AA,"NA",0,1)</f>
        <v>NA</v>
      </c>
      <c r="U28" s="200"/>
      <c r="V28" s="200"/>
      <c r="W28" s="200"/>
      <c r="X28" s="199"/>
      <c r="Y28" s="200"/>
      <c r="Z28" s="201"/>
    </row>
    <row r="29" spans="4:26" ht="18.75" customHeight="1" hidden="1">
      <c r="D29" s="198" t="s">
        <v>252</v>
      </c>
      <c r="E29" s="199" t="e">
        <f>_xlfn.XLOOKUP(E25,CurrentPlans!B:B,CurrentPlans!Y:Y,"NA",0,1)</f>
        <v>#N/A</v>
      </c>
      <c r="F29" s="200"/>
      <c r="G29" s="200"/>
      <c r="H29" s="200"/>
      <c r="I29" s="199"/>
      <c r="J29" s="201"/>
      <c r="K29"/>
      <c r="L29" s="202" t="str">
        <f ca="1">_xlfn.XLOOKUP(L25,RenewalPlans!B:B,RenewalPlans!AB:AB,"NA",0,1)</f>
        <v>NA</v>
      </c>
      <c r="M29" s="200"/>
      <c r="N29" s="200"/>
      <c r="O29" s="200"/>
      <c r="P29" s="199"/>
      <c r="Q29" s="200"/>
      <c r="R29" s="201"/>
      <c r="T29" s="202" t="str">
        <f>_xlfn.XLOOKUP(T25,RenewalPlans!B:B,RenewalPlans!AB:AB,"NA",0,1)</f>
        <v>NA</v>
      </c>
      <c r="U29" s="200"/>
      <c r="V29" s="200"/>
      <c r="W29" s="200"/>
      <c r="X29" s="199"/>
      <c r="Y29" s="200"/>
      <c r="Z29" s="201"/>
    </row>
    <row r="30" spans="4:26" ht="18.75" customHeight="1" hidden="1">
      <c r="D30" s="120" t="s">
        <v>253</v>
      </c>
      <c r="E30" s="121" t="e">
        <f>_xlfn.XLOOKUP(E25,CurrentPlans!B:B,CurrentPlans!W:W,"NA",0,1)</f>
        <v>#N/A</v>
      </c>
      <c r="F30" s="122"/>
      <c r="G30" s="122"/>
      <c r="H30" s="122"/>
      <c r="I30" s="121"/>
      <c r="J30" s="123"/>
      <c r="K30"/>
      <c r="L30" s="124" t="str">
        <f ca="1">_xlfn.XLOOKUP(L25,RenewalPlans!B:B,RenewalPlans!Z:Z,"NA",0,1)</f>
        <v>NA</v>
      </c>
      <c r="M30" s="122"/>
      <c r="N30" s="122"/>
      <c r="O30" s="122"/>
      <c r="P30" s="121"/>
      <c r="Q30" s="122"/>
      <c r="R30" s="123"/>
      <c r="T30" s="124" t="str">
        <f>_xlfn.XLOOKUP(T25,RenewalPlans!B:B,RenewalPlans!Z:Z,"NA",0,1)</f>
        <v>NA</v>
      </c>
      <c r="U30" s="122"/>
      <c r="V30" s="122"/>
      <c r="W30" s="122"/>
      <c r="X30" s="121"/>
      <c r="Y30" s="122"/>
      <c r="Z30" s="123"/>
    </row>
    <row r="31" spans="4:26" ht="18.75" customHeight="1" hidden="1">
      <c r="D31" s="203" t="s">
        <v>254</v>
      </c>
      <c r="E31" s="204"/>
      <c r="F31" s="205"/>
      <c r="G31" s="205"/>
      <c r="H31" s="205"/>
      <c r="I31" s="204"/>
      <c r="J31" s="206"/>
      <c r="K31"/>
      <c r="L31" s="207"/>
      <c r="M31" s="205"/>
      <c r="N31" s="205"/>
      <c r="O31" s="205"/>
      <c r="P31" s="204"/>
      <c r="Q31" s="205"/>
      <c r="R31" s="206"/>
      <c r="T31" s="207"/>
      <c r="U31" s="205"/>
      <c r="V31" s="205"/>
      <c r="W31" s="205"/>
      <c r="X31" s="204"/>
      <c r="Y31" s="205"/>
      <c r="Z31" s="206"/>
    </row>
    <row r="32" spans="4:26" ht="18.75" customHeight="1" hidden="1">
      <c r="D32" s="125" t="s">
        <v>255</v>
      </c>
      <c r="E32" s="126" t="e">
        <f>_xlfn.XLOOKUP(E25,CurrentPlans!B:B,CurrentPlans!Z:Z,"NA",0,1)</f>
        <v>#N/A</v>
      </c>
      <c r="F32" s="127"/>
      <c r="G32" s="127"/>
      <c r="H32" s="127"/>
      <c r="I32" s="126"/>
      <c r="J32" s="128"/>
      <c r="K32"/>
      <c r="L32" s="129" t="str">
        <f ca="1">_xlfn.XLOOKUP(L25,RenewalPlans!B:B,RenewalPlans!AC:AC,"NA",0,1)</f>
        <v>NA</v>
      </c>
      <c r="M32" s="127"/>
      <c r="N32" s="127"/>
      <c r="O32" s="127"/>
      <c r="P32" s="126"/>
      <c r="Q32" s="127"/>
      <c r="R32" s="128"/>
      <c r="T32" s="129" t="str">
        <f>_xlfn.XLOOKUP(T25,RenewalPlans!B:B,RenewalPlans!AC:AC,"NA",0,1)</f>
        <v>NA</v>
      </c>
      <c r="U32" s="127"/>
      <c r="V32" s="127"/>
      <c r="W32" s="127"/>
      <c r="X32" s="126"/>
      <c r="Y32" s="127"/>
      <c r="Z32" s="128"/>
    </row>
    <row r="33" spans="4:26" ht="18.75" customHeight="1" hidden="1">
      <c r="D33" s="198" t="s">
        <v>256</v>
      </c>
      <c r="E33" s="208" t="e">
        <f>_xlfn.XLOOKUP(E25,CurrentPlans!B:B,CurrentPlans!AA:AA,"NA",0,1)</f>
        <v>#N/A</v>
      </c>
      <c r="F33" s="200"/>
      <c r="G33" s="200"/>
      <c r="H33" s="200"/>
      <c r="I33" s="208"/>
      <c r="J33" s="201"/>
      <c r="K33"/>
      <c r="L33" s="209" t="str">
        <f ca="1">_xlfn.XLOOKUP(L25,RenewalPlans!B:B,RenewalPlans!AD:AD,"NA",0,1)</f>
        <v>NA</v>
      </c>
      <c r="M33" s="200"/>
      <c r="N33" s="200"/>
      <c r="O33" s="200"/>
      <c r="P33" s="208"/>
      <c r="Q33" s="200"/>
      <c r="R33" s="201"/>
      <c r="T33" s="209" t="str">
        <f>_xlfn.XLOOKUP(T25,RenewalPlans!B:B,RenewalPlans!AD:AD,"NA",0,1)</f>
        <v>NA</v>
      </c>
      <c r="U33" s="200"/>
      <c r="V33" s="200"/>
      <c r="W33" s="200"/>
      <c r="X33" s="208"/>
      <c r="Y33" s="200"/>
      <c r="Z33" s="201"/>
    </row>
    <row r="34" spans="4:26" ht="18.75" customHeight="1" hidden="1">
      <c r="D34" s="203" t="s">
        <v>257</v>
      </c>
      <c r="E34" s="204"/>
      <c r="F34" s="205"/>
      <c r="G34" s="205"/>
      <c r="H34" s="205"/>
      <c r="I34" s="204"/>
      <c r="J34" s="206"/>
      <c r="K34"/>
      <c r="L34" s="207"/>
      <c r="M34" s="205"/>
      <c r="N34" s="205"/>
      <c r="O34" s="205"/>
      <c r="P34" s="204"/>
      <c r="Q34" s="205"/>
      <c r="R34" s="206"/>
      <c r="T34" s="207"/>
      <c r="U34" s="205"/>
      <c r="V34" s="205"/>
      <c r="W34" s="205"/>
      <c r="X34" s="204"/>
      <c r="Y34" s="205"/>
      <c r="Z34" s="206"/>
    </row>
    <row r="35" spans="4:26" ht="18.75" customHeight="1" hidden="1">
      <c r="D35" s="198" t="s">
        <v>258</v>
      </c>
      <c r="E35" s="208" t="e">
        <f>_xlfn.XLOOKUP(E25,CurrentPlans!B:B,CurrentPlans!AB:AB,"NA",0,1)</f>
        <v>#N/A</v>
      </c>
      <c r="F35" s="200"/>
      <c r="G35" s="200"/>
      <c r="H35" s="200"/>
      <c r="I35" s="208"/>
      <c r="J35" s="201"/>
      <c r="K35"/>
      <c r="L35" s="209" t="str">
        <f ca="1">_xlfn.XLOOKUP(L25,RenewalPlans!B:B,RenewalPlans!AE:AE,"NA",0,1)</f>
        <v>NA</v>
      </c>
      <c r="M35" s="200"/>
      <c r="N35" s="200"/>
      <c r="O35" s="200"/>
      <c r="P35" s="208"/>
      <c r="Q35" s="200"/>
      <c r="R35" s="201"/>
      <c r="T35" s="209" t="str">
        <f>_xlfn.XLOOKUP(T25,RenewalPlans!B:B,RenewalPlans!AE:AE,"NA",0,1)</f>
        <v>NA</v>
      </c>
      <c r="U35" s="200"/>
      <c r="V35" s="200"/>
      <c r="W35" s="200"/>
      <c r="X35" s="208"/>
      <c r="Y35" s="200"/>
      <c r="Z35" s="201"/>
    </row>
    <row r="36" spans="4:26" ht="18.75" customHeight="1" hidden="1">
      <c r="D36" s="198" t="s">
        <v>259</v>
      </c>
      <c r="E36" s="208" t="e">
        <f>_xlfn.XLOOKUP(E25,CurrentPlans!B:B,CurrentPlans!AC:AC,"NA",0,1)</f>
        <v>#N/A</v>
      </c>
      <c r="F36" s="200"/>
      <c r="G36" s="200"/>
      <c r="H36" s="200"/>
      <c r="I36" s="208"/>
      <c r="J36" s="201"/>
      <c r="K36"/>
      <c r="L36" s="209" t="str">
        <f ca="1">_xlfn.XLOOKUP(L25,RenewalPlans!B:B,RenewalPlans!AF:AF,"NA",0,1)</f>
        <v>NA</v>
      </c>
      <c r="M36" s="200"/>
      <c r="N36" s="200"/>
      <c r="O36" s="200"/>
      <c r="P36" s="208"/>
      <c r="Q36" s="200"/>
      <c r="R36" s="201"/>
      <c r="T36" s="209" t="str">
        <f>_xlfn.XLOOKUP(T25,RenewalPlans!B:B,RenewalPlans!AF:AF,"NA",0,1)</f>
        <v>NA</v>
      </c>
      <c r="U36" s="200"/>
      <c r="V36" s="200"/>
      <c r="W36" s="200"/>
      <c r="X36" s="208"/>
      <c r="Y36" s="200"/>
      <c r="Z36" s="201"/>
    </row>
    <row r="37" spans="4:26" ht="18.75" customHeight="1" hidden="1">
      <c r="D37" s="210"/>
      <c r="E37" s="211"/>
      <c r="F37" s="211"/>
      <c r="G37" s="211"/>
      <c r="H37" s="211"/>
      <c r="I37" s="211"/>
      <c r="J37" s="212"/>
      <c r="K37"/>
      <c r="L37" s="210"/>
      <c r="M37" s="211"/>
      <c r="N37" s="211"/>
      <c r="O37" s="211"/>
      <c r="P37" s="211"/>
      <c r="Q37" s="211"/>
      <c r="R37" s="212"/>
      <c r="T37" s="210"/>
      <c r="U37" s="211"/>
      <c r="V37" s="211"/>
      <c r="W37" s="211"/>
      <c r="X37" s="211"/>
      <c r="Y37" s="211"/>
      <c r="Z37" s="212"/>
    </row>
    <row r="38" spans="4:26" ht="18.75" customHeight="1" hidden="1">
      <c r="D38" s="185" t="s">
        <v>260</v>
      </c>
      <c r="E38" s="186"/>
      <c r="F38" s="186"/>
      <c r="G38" s="186"/>
      <c r="H38" s="186"/>
      <c r="I38" s="186"/>
      <c r="J38" s="187"/>
      <c r="K38"/>
      <c r="L38" s="188"/>
      <c r="M38" s="186"/>
      <c r="N38" s="186"/>
      <c r="O38" s="186"/>
      <c r="P38" s="186"/>
      <c r="Q38" s="186"/>
      <c r="R38" s="187"/>
      <c r="T38" s="188"/>
      <c r="U38" s="186"/>
      <c r="V38" s="186"/>
      <c r="W38" s="186"/>
      <c r="X38" s="186"/>
      <c r="Y38" s="186"/>
      <c r="Z38" s="187"/>
    </row>
    <row r="39" spans="4:26" ht="18.75" customHeight="1" hidden="1">
      <c r="D39" s="213" t="s">
        <v>261</v>
      </c>
      <c r="E39" s="130" t="e">
        <f>_xlfn.XLOOKUP(E25,CurrentPlans!B:B,CurrentPlans!AJ:AJ,"NA",0,1)</f>
        <v>#N/A</v>
      </c>
      <c r="F39" s="214"/>
      <c r="G39" s="214"/>
      <c r="H39" s="214"/>
      <c r="I39" s="130"/>
      <c r="J39" s="215"/>
      <c r="K39"/>
      <c r="L39" s="131" t="str">
        <f ca="1">_xlfn.XLOOKUP(L25,RenewalPlans!B:B,RenewalPlans!AM:AM,"NA",0,1)</f>
        <v>NA</v>
      </c>
      <c r="M39" s="214"/>
      <c r="N39" s="214"/>
      <c r="O39" s="214"/>
      <c r="P39" s="130"/>
      <c r="Q39" s="214"/>
      <c r="R39" s="215"/>
      <c r="T39" s="131" t="str">
        <f>_xlfn.XLOOKUP(T25,RenewalPlans!B:B,RenewalPlans!AM:AM,"NA",0,1)</f>
        <v>NA</v>
      </c>
      <c r="U39" s="214"/>
      <c r="V39" s="214"/>
      <c r="W39" s="214"/>
      <c r="X39" s="130"/>
      <c r="Y39" s="214"/>
      <c r="Z39" s="215"/>
    </row>
    <row r="40" spans="4:26" ht="18.75" customHeight="1" hidden="1">
      <c r="D40" s="198" t="s">
        <v>262</v>
      </c>
      <c r="E40" s="130" t="e">
        <f>_xlfn.XLOOKUP(E25,CurrentPlans!B:B,CurrentPlans!AM:AM,"NA",0,1)</f>
        <v>#N/A</v>
      </c>
      <c r="F40" s="200"/>
      <c r="G40" s="200"/>
      <c r="H40" s="200"/>
      <c r="I40" s="130"/>
      <c r="J40" s="201"/>
      <c r="K40"/>
      <c r="L40" s="131" t="str">
        <f ca="1">_xlfn.XLOOKUP(L25,RenewalPlans!B:B,RenewalPlans!AP:AP,"NA",0,1)</f>
        <v>NA</v>
      </c>
      <c r="M40" s="200"/>
      <c r="N40" s="200"/>
      <c r="O40" s="200"/>
      <c r="P40" s="130"/>
      <c r="Q40" s="200"/>
      <c r="R40" s="201"/>
      <c r="T40" s="131" t="str">
        <f>_xlfn.XLOOKUP(T25,RenewalPlans!B:B,RenewalPlans!AP:AP,"NA",0,1)</f>
        <v>NA</v>
      </c>
      <c r="U40" s="200"/>
      <c r="V40" s="200"/>
      <c r="W40" s="200"/>
      <c r="X40" s="130"/>
      <c r="Y40" s="200"/>
      <c r="Z40" s="201"/>
    </row>
    <row r="41" spans="4:26" ht="18.75" customHeight="1" hidden="1">
      <c r="D41" s="198" t="s">
        <v>263</v>
      </c>
      <c r="E41" s="130" t="e">
        <f>_xlfn.XLOOKUP(E25,CurrentPlans!B:B,CurrentPlans!AI:AI,"NA",0,1)</f>
        <v>#N/A</v>
      </c>
      <c r="F41" s="200"/>
      <c r="G41" s="200"/>
      <c r="H41" s="200"/>
      <c r="I41" s="130"/>
      <c r="J41" s="201"/>
      <c r="K41"/>
      <c r="L41" s="131" t="str">
        <f ca="1">_xlfn.XLOOKUP(L25,RenewalPlans!B:B,RenewalPlans!AL:AL,"NA",0,1)</f>
        <v>NA</v>
      </c>
      <c r="M41" s="200"/>
      <c r="N41" s="200"/>
      <c r="O41" s="200"/>
      <c r="P41" s="130"/>
      <c r="Q41" s="200"/>
      <c r="R41" s="201"/>
      <c r="T41" s="131" t="str">
        <f>_xlfn.XLOOKUP(T25,RenewalPlans!B:B,RenewalPlans!AL:AL,"NA",0,1)</f>
        <v>NA</v>
      </c>
      <c r="U41" s="200"/>
      <c r="V41" s="200"/>
      <c r="W41" s="200"/>
      <c r="X41" s="130"/>
      <c r="Y41" s="200"/>
      <c r="Z41" s="201"/>
    </row>
    <row r="42" spans="4:26" ht="18.75" customHeight="1" hidden="1">
      <c r="D42" s="198" t="s">
        <v>264</v>
      </c>
      <c r="E42" s="208" t="e">
        <f>_xlfn.XLOOKUP(E25,CurrentPlans!B:B,CurrentPlans!AN:AN,"NA",0,1)</f>
        <v>#N/A</v>
      </c>
      <c r="F42" s="200"/>
      <c r="G42" s="200"/>
      <c r="H42" s="200"/>
      <c r="I42" s="208"/>
      <c r="J42" s="201"/>
      <c r="K42"/>
      <c r="L42" s="209" t="str">
        <f ca="1">_xlfn.XLOOKUP(L25,RenewalPlans!B:B,RenewalPlans!AQ:AQ,"NA",0,1)</f>
        <v>NA</v>
      </c>
      <c r="M42" s="200"/>
      <c r="N42" s="200"/>
      <c r="O42" s="200"/>
      <c r="P42" s="208"/>
      <c r="Q42" s="200"/>
      <c r="R42" s="201"/>
      <c r="T42" s="209" t="str">
        <f>_xlfn.XLOOKUP(T25,RenewalPlans!B:B,RenewalPlans!AQ:AQ,"NA",0,1)</f>
        <v>NA</v>
      </c>
      <c r="U42" s="200"/>
      <c r="V42" s="200"/>
      <c r="W42" s="200"/>
      <c r="X42" s="208"/>
      <c r="Y42" s="200"/>
      <c r="Z42" s="201"/>
    </row>
    <row r="43" spans="4:26" ht="18.75" customHeight="1" hidden="1">
      <c r="D43" s="210"/>
      <c r="E43" s="211"/>
      <c r="F43" s="211"/>
      <c r="G43" s="211"/>
      <c r="H43" s="211"/>
      <c r="I43" s="211"/>
      <c r="J43" s="212"/>
      <c r="K43"/>
      <c r="L43" s="210"/>
      <c r="M43" s="211"/>
      <c r="N43" s="211"/>
      <c r="O43" s="211"/>
      <c r="P43" s="211"/>
      <c r="Q43" s="211"/>
      <c r="R43" s="212"/>
      <c r="T43" s="210"/>
      <c r="U43" s="211"/>
      <c r="V43" s="211"/>
      <c r="W43" s="211"/>
      <c r="X43" s="211"/>
      <c r="Y43" s="211"/>
      <c r="Z43" s="212"/>
    </row>
    <row r="44" spans="4:26" ht="18.75" customHeight="1" hidden="1">
      <c r="D44" s="185" t="s">
        <v>265</v>
      </c>
      <c r="E44" s="186"/>
      <c r="F44" s="186"/>
      <c r="G44" s="186"/>
      <c r="H44" s="186"/>
      <c r="I44" s="186"/>
      <c r="J44" s="187"/>
      <c r="K44"/>
      <c r="L44" s="188"/>
      <c r="M44" s="186"/>
      <c r="N44" s="186"/>
      <c r="O44" s="186"/>
      <c r="P44" s="186"/>
      <c r="Q44" s="186"/>
      <c r="R44" s="187"/>
      <c r="T44" s="188"/>
      <c r="U44" s="186"/>
      <c r="V44" s="186"/>
      <c r="W44" s="186"/>
      <c r="X44" s="186"/>
      <c r="Y44" s="186"/>
      <c r="Z44" s="187"/>
    </row>
    <row r="45" spans="4:26" ht="18.75" customHeight="1" hidden="1">
      <c r="D45" s="132" t="s">
        <v>266</v>
      </c>
      <c r="E45" s="133" t="e">
        <f>_xlfn.XLOOKUP(E25,CurrentPlans!B:B,CurrentPlans!AE:AE,"NA",0,1)</f>
        <v>#N/A</v>
      </c>
      <c r="F45" s="134"/>
      <c r="G45" s="134"/>
      <c r="H45" s="134"/>
      <c r="I45" s="133"/>
      <c r="J45" s="135"/>
      <c r="K45"/>
      <c r="L45" s="136" t="str">
        <f ca="1">_xlfn.XLOOKUP(L25,RenewalPlans!B:B,RenewalPlans!AH:AH,"NA",0,1)</f>
        <v>NA</v>
      </c>
      <c r="M45" s="134"/>
      <c r="N45" s="134"/>
      <c r="O45" s="134"/>
      <c r="P45" s="133"/>
      <c r="Q45" s="134"/>
      <c r="R45" s="135"/>
      <c r="T45" s="136" t="str">
        <f>_xlfn.XLOOKUP(T25,RenewalPlans!B:B,RenewalPlans!AH:AH,"NA",0,1)</f>
        <v>NA</v>
      </c>
      <c r="U45" s="134"/>
      <c r="V45" s="134"/>
      <c r="W45" s="134"/>
      <c r="X45" s="133"/>
      <c r="Y45" s="134"/>
      <c r="Z45" s="135"/>
    </row>
    <row r="46" spans="4:26" ht="18.75" customHeight="1" hidden="1">
      <c r="D46" s="120" t="s">
        <v>267</v>
      </c>
      <c r="E46" s="130" t="e">
        <f>_xlfn.XLOOKUP(E25,CurrentPlans!B:B,CurrentPlans!AF:AF,"NA",0,1)</f>
        <v>#N/A</v>
      </c>
      <c r="F46" s="122"/>
      <c r="G46" s="122"/>
      <c r="H46" s="122"/>
      <c r="I46" s="130"/>
      <c r="J46" s="123"/>
      <c r="K46"/>
      <c r="L46" s="131" t="str">
        <f ca="1">_xlfn.XLOOKUP(L25,RenewalPlans!B:B,RenewalPlans!AI:AI,"NA",0,1)</f>
        <v>NA</v>
      </c>
      <c r="M46" s="122"/>
      <c r="N46" s="122"/>
      <c r="O46" s="122"/>
      <c r="P46" s="130"/>
      <c r="Q46" s="122"/>
      <c r="R46" s="123"/>
      <c r="T46" s="131" t="str">
        <f>_xlfn.XLOOKUP(T25,RenewalPlans!B:B,RenewalPlans!AI:AI,"NA",0,1)</f>
        <v>NA</v>
      </c>
      <c r="U46" s="122"/>
      <c r="V46" s="122"/>
      <c r="W46" s="122"/>
      <c r="X46" s="130"/>
      <c r="Y46" s="122"/>
      <c r="Z46" s="123"/>
    </row>
    <row r="47" spans="4:26" ht="18.75" customHeight="1" hidden="1">
      <c r="D47" s="198" t="s">
        <v>268</v>
      </c>
      <c r="E47" s="130" t="e">
        <f>_xlfn.XLOOKUP(E25,CurrentPlans!B:B,CurrentPlans!AH:AH,"NA",0,1)</f>
        <v>#N/A</v>
      </c>
      <c r="F47" s="200"/>
      <c r="G47" s="200"/>
      <c r="H47" s="200"/>
      <c r="I47" s="130"/>
      <c r="J47" s="201"/>
      <c r="K47"/>
      <c r="L47" s="131" t="str">
        <f ca="1">_xlfn.XLOOKUP(L25,RenewalPlans!B:B,RenewalPlans!AK:AK,"NA",0,1)</f>
        <v>NA</v>
      </c>
      <c r="M47" s="200"/>
      <c r="N47" s="200"/>
      <c r="O47" s="200"/>
      <c r="P47" s="130"/>
      <c r="Q47" s="200"/>
      <c r="R47" s="201"/>
      <c r="T47" s="131" t="str">
        <f>_xlfn.XLOOKUP(T25,RenewalPlans!B:B,RenewalPlans!AK:AK,"NA",0,1)</f>
        <v>NA</v>
      </c>
      <c r="U47" s="200"/>
      <c r="V47" s="200"/>
      <c r="W47" s="200"/>
      <c r="X47" s="130"/>
      <c r="Y47" s="200"/>
      <c r="Z47" s="201"/>
    </row>
    <row r="48" spans="4:26" ht="18.75" customHeight="1" hidden="1">
      <c r="D48" s="198" t="s">
        <v>269</v>
      </c>
      <c r="E48" s="130" t="e">
        <f>_xlfn.XLOOKUP(E25,CurrentPlans!B:B,CurrentPlans!AG:AG,"NA",0,1)</f>
        <v>#N/A</v>
      </c>
      <c r="F48" s="200"/>
      <c r="G48" s="200"/>
      <c r="H48" s="200"/>
      <c r="I48" s="130"/>
      <c r="J48" s="201"/>
      <c r="K48"/>
      <c r="L48" s="131" t="str">
        <f ca="1">_xlfn.XLOOKUP(L25,RenewalPlans!B:B,RenewalPlans!AJ:AJ,"NA",0,1)</f>
        <v>NA</v>
      </c>
      <c r="M48" s="200"/>
      <c r="N48" s="200"/>
      <c r="O48" s="200"/>
      <c r="P48" s="130"/>
      <c r="Q48" s="200"/>
      <c r="R48" s="201"/>
      <c r="T48" s="131" t="str">
        <f>_xlfn.XLOOKUP(T25,RenewalPlans!B:B,RenewalPlans!AJ:AJ,"NA",0,1)</f>
        <v>NA</v>
      </c>
      <c r="U48" s="200"/>
      <c r="V48" s="200"/>
      <c r="W48" s="200"/>
      <c r="X48" s="130"/>
      <c r="Y48" s="200"/>
      <c r="Z48" s="201"/>
    </row>
    <row r="49" spans="4:26" ht="18.75" customHeight="1" hidden="1">
      <c r="D49" s="213" t="s">
        <v>270</v>
      </c>
      <c r="E49" s="216" t="e">
        <f>_xlfn.XLOOKUP(E25,CurrentPlans!B:B,CurrentPlans!AU:AU,"NA",0,1)</f>
        <v>#N/A</v>
      </c>
      <c r="F49" s="214"/>
      <c r="G49" s="214"/>
      <c r="H49" s="214"/>
      <c r="I49" s="217"/>
      <c r="J49" s="215"/>
      <c r="K49"/>
      <c r="L49" s="218" t="str">
        <f ca="1">_xlfn.XLOOKUP(L25,RenewalPlans!B:B,RenewalPlans!AX:AX,"NA",0,1)</f>
        <v>NA</v>
      </c>
      <c r="M49" s="214"/>
      <c r="N49" s="214"/>
      <c r="O49" s="214"/>
      <c r="P49" s="217"/>
      <c r="Q49" s="214"/>
      <c r="R49" s="215"/>
      <c r="T49" s="218" t="str">
        <f>_xlfn.XLOOKUP(T25,RenewalPlans!B:B,RenewalPlans!AX:AX,"NA",0,1)</f>
        <v>NA</v>
      </c>
      <c r="U49" s="214"/>
      <c r="V49" s="214"/>
      <c r="W49" s="214"/>
      <c r="X49" s="217"/>
      <c r="Y49" s="214"/>
      <c r="Z49" s="215"/>
    </row>
    <row r="50" spans="4:26" ht="18.75" customHeight="1" hidden="1">
      <c r="D50" s="213" t="s">
        <v>271</v>
      </c>
      <c r="E50" s="216" t="e">
        <f>_xlfn.XLOOKUP(E25,CurrentPlans!B:B,CurrentPlans!AT:AT,"NA",0,1)</f>
        <v>#N/A</v>
      </c>
      <c r="F50" s="214"/>
      <c r="G50" s="214"/>
      <c r="H50" s="214"/>
      <c r="I50" s="217"/>
      <c r="J50" s="215"/>
      <c r="K50"/>
      <c r="L50" s="218" t="str">
        <f ca="1">_xlfn.XLOOKUP(L25,RenewalPlans!B:B,RenewalPlans!AW:AW,"NA",0,1)</f>
        <v>NA</v>
      </c>
      <c r="M50" s="214"/>
      <c r="N50" s="214"/>
      <c r="O50" s="214"/>
      <c r="P50" s="217"/>
      <c r="Q50" s="214"/>
      <c r="R50" s="215"/>
      <c r="T50" s="218" t="str">
        <f>_xlfn.XLOOKUP(T25,RenewalPlans!B:B,RenewalPlans!AW:AW,"NA",0,1)</f>
        <v>NA</v>
      </c>
      <c r="U50" s="214"/>
      <c r="V50" s="214"/>
      <c r="W50" s="214"/>
      <c r="X50" s="217"/>
      <c r="Y50" s="214"/>
      <c r="Z50" s="215"/>
    </row>
    <row r="51" spans="4:26" ht="18.75" customHeight="1" hidden="1">
      <c r="D51" s="198" t="s">
        <v>272</v>
      </c>
      <c r="E51" s="130" t="e">
        <f>_xlfn.XLOOKUP(E25,CurrentPlans!B:B,CurrentPlans!AD:AD,"NA",0,1)</f>
        <v>#N/A</v>
      </c>
      <c r="F51" s="200"/>
      <c r="G51" s="200"/>
      <c r="H51" s="200"/>
      <c r="I51" s="130"/>
      <c r="J51" s="201"/>
      <c r="K51"/>
      <c r="L51" s="131" t="str">
        <f ca="1">_xlfn.XLOOKUP(L25,RenewalPlans!B:B,RenewalPlans!AG:AG,"NA",0,1)</f>
        <v>NA</v>
      </c>
      <c r="M51" s="200"/>
      <c r="N51" s="200"/>
      <c r="O51" s="200"/>
      <c r="P51" s="130"/>
      <c r="Q51" s="200"/>
      <c r="R51" s="201"/>
      <c r="T51" s="131" t="str">
        <f>_xlfn.XLOOKUP(T25,RenewalPlans!B:B,RenewalPlans!AG:AG,"NA",0,1)</f>
        <v>NA</v>
      </c>
      <c r="U51" s="200"/>
      <c r="V51" s="200"/>
      <c r="W51" s="200"/>
      <c r="X51" s="130"/>
      <c r="Y51" s="200"/>
      <c r="Z51" s="201"/>
    </row>
    <row r="52" spans="4:26" ht="18.75" customHeight="1" hidden="1">
      <c r="D52" s="198" t="s">
        <v>273</v>
      </c>
      <c r="E52" s="200"/>
      <c r="F52" s="200"/>
      <c r="G52" s="200"/>
      <c r="H52" s="200"/>
      <c r="I52" s="200"/>
      <c r="J52" s="201"/>
      <c r="K52"/>
      <c r="L52" s="198"/>
      <c r="M52" s="200"/>
      <c r="N52" s="200"/>
      <c r="O52" s="200"/>
      <c r="P52" s="200"/>
      <c r="Q52" s="200"/>
      <c r="R52" s="201"/>
      <c r="T52" s="198"/>
      <c r="U52" s="200"/>
      <c r="V52" s="200"/>
      <c r="W52" s="200"/>
      <c r="X52" s="200"/>
      <c r="Y52" s="200"/>
      <c r="Z52" s="201"/>
    </row>
    <row r="53" spans="4:26" ht="18.75" customHeight="1" hidden="1">
      <c r="D53" s="210"/>
      <c r="E53" s="211"/>
      <c r="F53" s="211"/>
      <c r="G53" s="211"/>
      <c r="H53" s="211"/>
      <c r="I53" s="211"/>
      <c r="J53" s="212"/>
      <c r="K53"/>
      <c r="L53" s="210"/>
      <c r="M53" s="211"/>
      <c r="N53" s="211"/>
      <c r="O53" s="211"/>
      <c r="P53" s="211"/>
      <c r="Q53" s="211"/>
      <c r="R53" s="212"/>
      <c r="T53" s="210"/>
      <c r="U53" s="211"/>
      <c r="V53" s="211"/>
      <c r="W53" s="211"/>
      <c r="X53" s="211"/>
      <c r="Y53" s="211"/>
      <c r="Z53" s="212"/>
    </row>
    <row r="54" spans="4:26" ht="18.75" customHeight="1" hidden="1">
      <c r="D54" s="219" t="s">
        <v>274</v>
      </c>
      <c r="E54" s="220"/>
      <c r="F54" s="220"/>
      <c r="G54" s="220"/>
      <c r="H54" s="220"/>
      <c r="I54" s="220"/>
      <c r="J54" s="221"/>
      <c r="K54"/>
      <c r="L54" s="222"/>
      <c r="M54" s="220"/>
      <c r="N54" s="220"/>
      <c r="O54" s="220"/>
      <c r="P54" s="220"/>
      <c r="Q54" s="220"/>
      <c r="R54" s="221"/>
      <c r="T54" s="222"/>
      <c r="U54" s="220"/>
      <c r="V54" s="220"/>
      <c r="W54" s="220"/>
      <c r="X54" s="220"/>
      <c r="Y54" s="220"/>
      <c r="Z54" s="221"/>
    </row>
    <row r="55" spans="4:26" ht="18.75" customHeight="1" hidden="1">
      <c r="D55" s="223" t="s">
        <v>250</v>
      </c>
      <c r="E55" s="205"/>
      <c r="F55" s="205"/>
      <c r="G55" s="205"/>
      <c r="H55" s="205"/>
      <c r="I55" s="205"/>
      <c r="J55" s="206"/>
      <c r="K55"/>
      <c r="L55" s="203"/>
      <c r="M55" s="205"/>
      <c r="N55" s="205"/>
      <c r="O55" s="205"/>
      <c r="P55" s="205"/>
      <c r="Q55" s="205"/>
      <c r="R55" s="206"/>
      <c r="T55" s="203"/>
      <c r="U55" s="205"/>
      <c r="V55" s="205"/>
      <c r="W55" s="205"/>
      <c r="X55" s="205"/>
      <c r="Y55" s="205"/>
      <c r="Z55" s="206"/>
    </row>
    <row r="56" spans="4:26" ht="18.75" customHeight="1" hidden="1">
      <c r="D56" s="198" t="s">
        <v>251</v>
      </c>
      <c r="E56" s="130" t="e">
        <f>_xlfn.XLOOKUP(E25,CurrentPlans!B:B,CurrentPlans!AP:AP,"NA",0,1)</f>
        <v>#N/A</v>
      </c>
      <c r="F56" s="200"/>
      <c r="G56" s="200"/>
      <c r="H56" s="200"/>
      <c r="I56" s="130"/>
      <c r="J56" s="201"/>
      <c r="K56"/>
      <c r="L56" s="131" t="str">
        <f ca="1">_xlfn.XLOOKUP(L25,RenewalPlans!B:B,RenewalPlans!AS:AS,"NA",0,1)</f>
        <v>NA</v>
      </c>
      <c r="M56" s="200"/>
      <c r="N56" s="200"/>
      <c r="O56" s="200"/>
      <c r="P56" s="130"/>
      <c r="Q56" s="200"/>
      <c r="R56" s="201"/>
      <c r="T56" s="131" t="str">
        <f>_xlfn.XLOOKUP(T25,RenewalPlans!B:B,RenewalPlans!AS:AS,"NA",0,1)</f>
        <v>NA</v>
      </c>
      <c r="U56" s="200"/>
      <c r="V56" s="200"/>
      <c r="W56" s="200"/>
      <c r="X56" s="130"/>
      <c r="Y56" s="200"/>
      <c r="Z56" s="201"/>
    </row>
    <row r="57" spans="4:26" ht="18.75" customHeight="1" hidden="1">
      <c r="D57" s="198" t="s">
        <v>252</v>
      </c>
      <c r="E57" s="130" t="e">
        <f>_xlfn.XLOOKUP(E25,CurrentPlans!B:B,CurrentPlans!AQ:AQ,"NA",0,1)</f>
        <v>#N/A</v>
      </c>
      <c r="F57" s="200"/>
      <c r="G57" s="200"/>
      <c r="H57" s="200"/>
      <c r="I57" s="130"/>
      <c r="J57" s="201"/>
      <c r="K57"/>
      <c r="L57" s="131" t="str">
        <f ca="1">_xlfn.XLOOKUP(L25,RenewalPlans!B:B,RenewalPlans!AT:AT,"NA",0,1)</f>
        <v>NA</v>
      </c>
      <c r="M57" s="200"/>
      <c r="N57" s="200"/>
      <c r="O57" s="200"/>
      <c r="P57" s="130"/>
      <c r="Q57" s="200"/>
      <c r="R57" s="201"/>
      <c r="T57" s="131" t="str">
        <f>_xlfn.XLOOKUP(T25,RenewalPlans!B:B,RenewalPlans!AT:AT,"NA",0,1)</f>
        <v>NA</v>
      </c>
      <c r="U57" s="200"/>
      <c r="V57" s="200"/>
      <c r="W57" s="200"/>
      <c r="X57" s="130"/>
      <c r="Y57" s="200"/>
      <c r="Z57" s="201"/>
    </row>
    <row r="58" spans="4:26" ht="18.75" customHeight="1" hidden="1">
      <c r="D58" s="120" t="s">
        <v>253</v>
      </c>
      <c r="E58" s="133" t="e">
        <f>_xlfn.XLOOKUP(E25,CurrentPlans!B:B,CurrentPlans!AO:AO,"NA",0,1)</f>
        <v>#N/A</v>
      </c>
      <c r="F58" s="122"/>
      <c r="G58" s="122"/>
      <c r="H58" s="122"/>
      <c r="I58" s="133"/>
      <c r="J58" s="123"/>
      <c r="K58"/>
      <c r="L58" s="136" t="str">
        <f ca="1">_xlfn.XLOOKUP(L25,RenewalPlans!B:B,RenewalPlans!AR:AR,"NA",0,1)</f>
        <v>NA</v>
      </c>
      <c r="M58" s="122"/>
      <c r="N58" s="122"/>
      <c r="O58" s="122"/>
      <c r="P58" s="133"/>
      <c r="Q58" s="122"/>
      <c r="R58" s="123"/>
      <c r="T58" s="136" t="str">
        <f>_xlfn.XLOOKUP(T25,RenewalPlans!B:B,RenewalPlans!AR:AR,"NA",0,1)</f>
        <v>NA</v>
      </c>
      <c r="U58" s="122"/>
      <c r="V58" s="122"/>
      <c r="W58" s="122"/>
      <c r="X58" s="133"/>
      <c r="Y58" s="122"/>
      <c r="Z58" s="123"/>
    </row>
    <row r="59" spans="4:26" ht="18.75" customHeight="1" hidden="1">
      <c r="D59" s="223" t="s">
        <v>254</v>
      </c>
      <c r="E59" s="205"/>
      <c r="F59" s="205"/>
      <c r="G59" s="205"/>
      <c r="H59" s="205"/>
      <c r="I59" s="205"/>
      <c r="J59" s="206"/>
      <c r="K59"/>
      <c r="L59" s="203"/>
      <c r="M59" s="205"/>
      <c r="N59" s="205"/>
      <c r="O59" s="205"/>
      <c r="P59" s="205"/>
      <c r="Q59" s="205"/>
      <c r="R59" s="206"/>
      <c r="T59" s="203"/>
      <c r="U59" s="205"/>
      <c r="V59" s="205"/>
      <c r="W59" s="205"/>
      <c r="X59" s="205"/>
      <c r="Y59" s="205"/>
      <c r="Z59" s="206"/>
    </row>
    <row r="60" spans="4:26" ht="18.75" customHeight="1" hidden="1">
      <c r="D60" s="198" t="s">
        <v>255</v>
      </c>
      <c r="E60" s="130" t="e">
        <f>_xlfn.XLOOKUP(E25,CurrentPlans!B:B,CurrentPlans!AR:AR,"NA",0,1)</f>
        <v>#N/A</v>
      </c>
      <c r="F60" s="200"/>
      <c r="G60" s="200"/>
      <c r="H60" s="200"/>
      <c r="I60" s="130"/>
      <c r="J60" s="201"/>
      <c r="K60"/>
      <c r="L60" s="131" t="str">
        <f ca="1">_xlfn.XLOOKUP(L25,RenewalPlans!B:B,RenewalPlans!AU:AU,"NA",0,1)</f>
        <v>NA</v>
      </c>
      <c r="M60" s="200"/>
      <c r="N60" s="200"/>
      <c r="O60" s="200"/>
      <c r="P60" s="130"/>
      <c r="Q60" s="200"/>
      <c r="R60" s="201"/>
      <c r="T60" s="131" t="str">
        <f>_xlfn.XLOOKUP(T25,RenewalPlans!B:B,RenewalPlans!AU:AU,"NA",0,1)</f>
        <v>NA</v>
      </c>
      <c r="U60" s="200"/>
      <c r="V60" s="200"/>
      <c r="W60" s="200"/>
      <c r="X60" s="130"/>
      <c r="Y60" s="200"/>
      <c r="Z60" s="201"/>
    </row>
    <row r="61" spans="4:26" ht="18.75" customHeight="1" hidden="1" thickBot="1">
      <c r="D61" s="224" t="s">
        <v>256</v>
      </c>
      <c r="E61" s="137" t="e">
        <f>_xlfn.XLOOKUP(E25,CurrentPlans!B:B,CurrentPlans!AS:AS,"NA",0,1)</f>
        <v>#N/A</v>
      </c>
      <c r="F61" s="225"/>
      <c r="G61" s="225"/>
      <c r="H61" s="225"/>
      <c r="I61" s="137"/>
      <c r="J61" s="226"/>
      <c r="K61"/>
      <c r="L61" s="138" t="str">
        <f ca="1">_xlfn.XLOOKUP(L25,RenewalPlans!B:B,RenewalPlans!AV:AV,"NA",0,1)</f>
        <v>NA</v>
      </c>
      <c r="M61" s="225"/>
      <c r="N61" s="225"/>
      <c r="O61" s="225"/>
      <c r="P61" s="137"/>
      <c r="Q61" s="225"/>
      <c r="R61" s="226"/>
      <c r="T61" s="138" t="str">
        <f>_xlfn.XLOOKUP(T25,RenewalPlans!B:B,RenewalPlans!AV:AV,"NA",0,1)</f>
        <v>NA</v>
      </c>
      <c r="U61" s="225"/>
      <c r="V61" s="225"/>
      <c r="W61" s="225"/>
      <c r="X61" s="137"/>
      <c r="Y61" s="225"/>
      <c r="Z61" s="226"/>
    </row>
    <row r="62" spans="4:26" ht="18" customHeight="1">
      <c r="D62" s="227"/>
      <c r="E62" s="176"/>
      <c r="F62" s="178"/>
      <c r="G62" s="179"/>
      <c r="H62" s="178"/>
      <c r="I62" s="176"/>
      <c r="J62" s="228"/>
      <c r="K62"/>
      <c r="L62" s="178"/>
      <c r="M62" s="176"/>
      <c r="N62" s="139"/>
      <c r="O62" s="178"/>
      <c r="P62" s="178"/>
      <c r="Q62" s="178"/>
      <c r="R62" s="228"/>
      <c r="T62" s="178"/>
      <c r="U62" s="176"/>
      <c r="V62" s="139"/>
      <c r="W62" s="178"/>
      <c r="X62" s="178"/>
      <c r="Y62" s="178"/>
      <c r="Z62" s="228"/>
    </row>
    <row r="63" spans="4:26" ht="5.25" customHeight="1" thickBot="1">
      <c r="D63" s="229"/>
      <c r="E63" s="229"/>
      <c r="F63" s="230"/>
      <c r="G63" s="231"/>
      <c r="H63" s="232"/>
      <c r="I63" s="233"/>
      <c r="J63" s="233"/>
      <c r="K63"/>
      <c r="L63" s="233"/>
      <c r="M63" s="233"/>
      <c r="N63" s="233"/>
      <c r="O63" s="233"/>
      <c r="P63" s="233"/>
      <c r="Q63" s="233"/>
      <c r="R63" s="233"/>
      <c r="T63" s="233"/>
      <c r="U63" s="233"/>
      <c r="V63" s="233"/>
      <c r="W63" s="233"/>
      <c r="X63" s="233"/>
      <c r="Y63" s="233"/>
      <c r="Z63" s="233"/>
    </row>
    <row r="64" spans="1:26" ht="50.15" customHeight="1">
      <c r="A64" s="140">
        <v>2</v>
      </c>
      <c r="B64" s="140" cm="1">
        <f t="array" ref="B64">IF(A64&gt;Class1_CurrentHealthCount,"DELETE",Class1_CurrentHealthStart+A64)</f>
        <v>6</v>
      </c>
      <c r="C64" s="164" t="s">
        <v>275</v>
      </c>
      <c r="D64" s="273" t="e">
        <f ca="1">IF(B64="Delete","",VLOOKUP(F64,BEGIN_CURRENT_HEALTH:END_CURRENT_HEALTH,3,FALSE))</f>
        <v>#N/A</v>
      </c>
      <c r="E64" s="165"/>
      <c r="F64" s="272" cm="1">
        <f t="array" ca="1" aca="1" ref="F64">IF(B64="Delete","",INDIRECT("CurrentPlans!A"&amp;B64,TRUE))</f>
        <v>0</v>
      </c>
      <c r="G64" s="166"/>
      <c r="H64" s="167"/>
      <c r="I64" s="168"/>
      <c r="J64" s="169"/>
      <c r="K64"/>
      <c r="L64" s="274" t="str">
        <f ca="1">_xlfn.IFNA(VLOOKUP(F64,BEGIN_RENEWEDFROM_HEALTH:ROW_RenewHealth_PlanID,3,FALSE),"SELECT PLAN")</f>
        <v>SELECT PLAN</v>
      </c>
      <c r="M64" s="170"/>
      <c r="N64" s="274" t="s">
        <v>237</v>
      </c>
      <c r="O64" s="171"/>
      <c r="P64" s="171"/>
      <c r="Q64" s="171"/>
      <c r="R64" s="169"/>
      <c r="T64" s="274" t="s">
        <v>38</v>
      </c>
      <c r="U64" s="170"/>
      <c r="V64" s="274" t="s">
        <v>237</v>
      </c>
      <c r="W64" s="171"/>
      <c r="X64" s="171"/>
      <c r="Y64" s="171"/>
      <c r="Z64" s="169"/>
    </row>
    <row r="65" spans="4:26" ht="18.75" customHeight="1">
      <c r="D65" s="172" t="s">
        <v>238</v>
      </c>
      <c r="E65" s="407" t="str">
        <f ca="1">_xlfn.IFNA(VLOOKUP(F64,BEGIN_CURRENT_HEALTH:END_CURRENT_HEALTH,CURRENT_COL_EO_count,FALSE),"")</f>
        <v/>
      </c>
      <c r="F65" s="408" t="str">
        <f ca="1">_xlfn.IFNA(VLOOKUP(F64,BEGIN_CURRENT_HEALTH:END_CURRENT_HEALTH,CURRENT_COL_EO,FALSE),"")</f>
        <v/>
      </c>
      <c r="G65" s="468" t="str">
        <f ca="1" t="shared" si="7" ref="G65:G68">IF(F65="","",H65/F65)</f>
        <v/>
      </c>
      <c r="H65" s="408" t="str">
        <f ca="1">_xlfn.IFNA(VLOOKUP(F64,BEGIN_CURRENT_HEALTH:END_CURRENT_HEALTH,CURRENT_COL_EOContrib,FALSE),"")</f>
        <v/>
      </c>
      <c r="I65" s="409" t="str">
        <f ca="1">IFERROR(F65-H65,"")</f>
        <v/>
      </c>
      <c r="J65" s="410" t="str">
        <f ca="1">IF(F65="","",H65*E65)</f>
        <v/>
      </c>
      <c r="K65" s="411"/>
      <c r="L65" s="408" t="str" cm="1">
        <f t="array" ca="1" aca="1" ref="L65">_xlfn.IFNA(VLOOKUP(INDIRECT("L"&amp;ROW()-1)&amp;"_"&amp;$D$12,BEGIN_RENEW_HEALTH:END_RENEW_HEALTH,RENEW_COL_EO,FALSE),"")</f>
        <v/>
      </c>
      <c r="M65" s="412" t="str">
        <f ca="1">IF(E65="","",E65)</f>
        <v/>
      </c>
      <c r="N65" s="413"/>
      <c r="O65" s="414"/>
      <c r="P65" s="415" t="str">
        <f>IFERROR(IF($N64="Keep Contribution Same",H65,IF($N64="Enter Percentages",IF(N65="","",N65*L65),IF($N64="Keep Percentage Same",IF(G65="","",G65*L65),IF($N64="Enter Dollar Amount",IF(O65="","",O65),"")))),"")</f>
        <v/>
      </c>
      <c r="Q65" s="408" t="str">
        <f ca="1">IFERROR(L65-P65,"")</f>
        <v/>
      </c>
      <c r="R65" s="410" t="str">
        <f>IFERROR(IF(P65="","",M65*P65),"")</f>
        <v/>
      </c>
      <c r="S65" s="411"/>
      <c r="T65" s="408" t="str" cm="1">
        <f t="array" ca="1" aca="1" ref="T65">_xlfn.IFNA(VLOOKUP(INDIRECT("T"&amp;ROW()-1)&amp;"_"&amp;$D$12,BEGIN_RENEW_HEALTH:END_RENEW_HEALTH,RENEW_COL_EO,FALSE),"")</f>
        <v/>
      </c>
      <c r="U65" s="412" t="str">
        <f ca="1">IF(E65="","",E65)</f>
        <v/>
      </c>
      <c r="V65" s="413"/>
      <c r="W65" s="414"/>
      <c r="X65" s="415" t="str">
        <f>IFERROR(IF($V64="Keep Contribution Same",H65,IF($V64="Enter Percentages",IF(V65="","",V65*T65),IF($V64="Keep Percentage Same",IF(G65="","",G65*T65),IF($V64="Enter Dollar Amount",IF(W65="","",W65),"")))),"")</f>
        <v/>
      </c>
      <c r="Y65" s="408" t="str">
        <f ca="1">IFERROR(T65-X65,"")</f>
        <v/>
      </c>
      <c r="Z65" s="410" t="str">
        <f>IFERROR(IF(X65="","",U65*X65),"")</f>
        <v/>
      </c>
    </row>
    <row r="66" spans="4:26" ht="18.75" customHeight="1">
      <c r="D66" s="172" t="s">
        <v>239</v>
      </c>
      <c r="E66" s="407" t="str">
        <f ca="1">_xlfn.IFNA(VLOOKUP(F64,BEGIN_CURRENT_HEALTH:END_CURRENT_HEALTH,CURRENT_COL_ES_count,FALSE),"")</f>
        <v/>
      </c>
      <c r="F66" s="408" t="str">
        <f ca="1">_xlfn.IFNA(VLOOKUP(F64,BEGIN_CURRENT_HEALTH:END_CURRENT_HEALTH,CURRENT_COL_ES,FALSE),"")</f>
        <v/>
      </c>
      <c r="G66" s="468" t="str">
        <f t="shared" ca="1" si="7"/>
        <v/>
      </c>
      <c r="H66" s="408" t="str">
        <f ca="1">_xlfn.IFNA(VLOOKUP(F64,BEGIN_CURRENT_HEALTH:END_CURRENT_HEALTH,CURRENT_COL_ESContrib,FALSE),"")</f>
        <v/>
      </c>
      <c r="I66" s="409" t="str">
        <f ca="1" t="shared" si="8" ref="I66:I68">IFERROR(F66-H66,"")</f>
        <v/>
      </c>
      <c r="J66" s="410" t="str">
        <f ca="1">IF(F66="","",H66*E66)</f>
        <v/>
      </c>
      <c r="K66" s="411"/>
      <c r="L66" s="408" t="str" cm="1">
        <f t="array" ca="1" aca="1" ref="L66">_xlfn.IFNA(VLOOKUP(INDIRECT("L"&amp;ROW()-2)&amp;"_"&amp;$D$12,BEGIN_RENEW_HEALTH:END_RENEW_HEALTH,RENEW_COL_ES,FALSE),"")</f>
        <v/>
      </c>
      <c r="M66" s="412" t="str">
        <f ca="1">IF(E66="","",E66)</f>
        <v/>
      </c>
      <c r="N66" s="413"/>
      <c r="O66" s="414"/>
      <c r="P66" s="415" t="str">
        <f>IFERROR(IF($N64="Keep Contribution Same",H66,IF($N64="Enter Percentages",IF(N66="","",N66*L66),IF($N64="Keep Percentage Same",IF(G66="","",G66*L66),IF($N64="Enter Dollar Amount",IF(O66="","",O66),"")))),"")</f>
        <v/>
      </c>
      <c r="Q66" s="408" t="str">
        <f ca="1">IFERROR(L66-P66,"")</f>
        <v/>
      </c>
      <c r="R66" s="410" t="str">
        <f>IFERROR(IF(P66="","",M66*P66),"")</f>
        <v/>
      </c>
      <c r="S66" s="411"/>
      <c r="T66" s="408" t="str" cm="1">
        <f t="array" ca="1" aca="1" ref="T66">_xlfn.IFNA(VLOOKUP(INDIRECT("T"&amp;ROW()-2)&amp;"_"&amp;$D$12,BEGIN_RENEW_HEALTH:END_RENEW_HEALTH,RENEW_COL_ES,FALSE),"")</f>
        <v/>
      </c>
      <c r="U66" s="412" t="str">
        <f ca="1" t="shared" si="9" ref="U66:U68">IF(E66="","",E66)</f>
        <v/>
      </c>
      <c r="V66" s="413"/>
      <c r="W66" s="414"/>
      <c r="X66" s="415" t="str">
        <f>IFERROR(IF($V64="Keep Contribution Same",H66,IF($V64="Enter Percentages",IF(V66="","",V66*T66),IF($V64="Keep Percentage Same",IF(G66="","",G66*T66),IF($V64="Enter Dollar Amount",IF(W66="","",W66),"")))),"")</f>
        <v/>
      </c>
      <c r="Y66" s="408" t="str">
        <f ca="1" t="shared" si="10" ref="Y66:Y68">IFERROR(T66-X66,"")</f>
        <v/>
      </c>
      <c r="Z66" s="410" t="str">
        <f t="shared" si="11" ref="Z66:Z68">IFERROR(IF(X66="","",U66*X66),"")</f>
        <v/>
      </c>
    </row>
    <row r="67" spans="4:26" ht="18.75" customHeight="1">
      <c r="D67" s="172" t="s">
        <v>240</v>
      </c>
      <c r="E67" s="407" t="str">
        <f ca="1">_xlfn.IFNA(VLOOKUP(F64,BEGIN_CURRENT_HEALTH:END_CURRENT_HEALTH,CURRENT_COL_EC_count,FALSE),"")</f>
        <v/>
      </c>
      <c r="F67" s="408" t="str">
        <f ca="1">_xlfn.IFNA(VLOOKUP(F64,BEGIN_CURRENT_HEALTH:END_CURRENT_HEALTH,CURRENT_COL_EC,FALSE),"")</f>
        <v/>
      </c>
      <c r="G67" s="468" t="str">
        <f t="shared" ca="1" si="7"/>
        <v/>
      </c>
      <c r="H67" s="408" t="str">
        <f ca="1">_xlfn.IFNA(VLOOKUP(F64,BEGIN_CURRENT_HEALTH:END_CURRENT_HEALTH,CURRENT_COL_ECContrib,FALSE),"")</f>
        <v/>
      </c>
      <c r="I67" s="409" t="str">
        <f t="shared" ca="1" si="8"/>
        <v/>
      </c>
      <c r="J67" s="410" t="str">
        <f ca="1">IF(F67="","",H67*E67)</f>
        <v/>
      </c>
      <c r="K67" s="411"/>
      <c r="L67" s="408" t="str" cm="1">
        <f t="array" ca="1" aca="1" ref="L67">_xlfn.IFNA(VLOOKUP(INDIRECT("L"&amp;ROW()-3)&amp;"_"&amp;$D$12,BEGIN_RENEW_HEALTH:END_RENEW_HEALTH,RENEW_COL_EC,FALSE),"")</f>
        <v/>
      </c>
      <c r="M67" s="412" t="str">
        <f ca="1">IF(E67="","",E67)</f>
        <v/>
      </c>
      <c r="N67" s="413"/>
      <c r="O67" s="414"/>
      <c r="P67" s="415" t="str">
        <f>IFERROR(IF($N64="Keep Contribution Same",H67,IF($N64="Enter Percentages",IF(N67="","",N67*L67),IF($N64="Keep Percentage Same",IF(G67="","",G67*L67),IF($N64="Enter Dollar Amount",IF(O67="","",O67),"")))),"")</f>
        <v/>
      </c>
      <c r="Q67" s="408" t="str">
        <f ca="1">IFERROR(L67-P67,"")</f>
        <v/>
      </c>
      <c r="R67" s="410" t="str">
        <f>IFERROR(IF(P67="","",M67*P67),"")</f>
        <v/>
      </c>
      <c r="S67" s="411"/>
      <c r="T67" s="408" t="str" cm="1">
        <f t="array" ca="1" aca="1" ref="T67">_xlfn.IFNA(VLOOKUP(INDIRECT("T"&amp;ROW()-3)&amp;"_"&amp;$D$12,BEGIN_RENEW_HEALTH:END_RENEW_HEALTH,RENEW_COL_EC,FALSE),"")</f>
        <v/>
      </c>
      <c r="U67" s="412" t="str">
        <f t="shared" ca="1" si="9"/>
        <v/>
      </c>
      <c r="V67" s="413"/>
      <c r="W67" s="414"/>
      <c r="X67" s="415" t="str">
        <f>IFERROR(IF($V64="Keep Contribution Same",H67,IF($V64="Enter Percentages",IF(V67="","",V67*T67),IF($V64="Keep Percentage Same",IF(G67="","",G67*T67),IF($V64="Enter Dollar Amount",IF(W67="","",W67),"")))),"")</f>
        <v/>
      </c>
      <c r="Y67" s="408" t="str">
        <f t="shared" ca="1" si="10"/>
        <v/>
      </c>
      <c r="Z67" s="410" t="str">
        <f t="shared" si="11"/>
        <v/>
      </c>
    </row>
    <row r="68" spans="4:26" ht="18.75" customHeight="1" thickBot="1">
      <c r="D68" s="174" t="s">
        <v>241</v>
      </c>
      <c r="E68" s="416" t="str">
        <f ca="1">_xlfn.IFNA(VLOOKUP(F64,BEGIN_CURRENT_HEALTH:END_CURRENT_HEALTH,CURRENT_COL_FAM_count,FALSE),"")</f>
        <v/>
      </c>
      <c r="F68" s="417" t="str">
        <f ca="1">_xlfn.IFNA(VLOOKUP(F64,BEGIN_CURRENT_HEALTH:END_CURRENT_HEALTH,CURRENT_COL_FAM,FALSE),"")</f>
        <v/>
      </c>
      <c r="G68" s="469" t="str">
        <f t="shared" ca="1" si="7"/>
        <v/>
      </c>
      <c r="H68" s="417" t="str">
        <f ca="1">_xlfn.IFNA(VLOOKUP(F64,BEGIN_CURRENT_HEALTH:END_CURRENT_HEALTH,CURRENT_COL_FAMContrib,FALSE),"")</f>
        <v/>
      </c>
      <c r="I68" s="418" t="str">
        <f t="shared" ca="1" si="8"/>
        <v/>
      </c>
      <c r="J68" s="419" t="str">
        <f ca="1">IF(F68="","",H68*E68)</f>
        <v/>
      </c>
      <c r="K68" s="411"/>
      <c r="L68" s="417" t="str" cm="1">
        <f t="array" ca="1" aca="1" ref="L68">_xlfn.IFNA(VLOOKUP(INDIRECT("L"&amp;ROW()-4)&amp;"_"&amp;$D$12,BEGIN_RENEW_HEALTH:END_RENEW_HEALTH,RENEW_COL_FAM,FALSE),"")</f>
        <v/>
      </c>
      <c r="M68" s="412" t="str">
        <f ca="1">IF(E68="","",E68)</f>
        <v/>
      </c>
      <c r="N68" s="420"/>
      <c r="O68" s="421"/>
      <c r="P68" s="422" t="str">
        <f>IFERROR(IF($N64="Keep Contribution Same",H68,IF($N64="Enter Percentages",IF(N68="","",N68*L68),IF($N64="Keep Percentage Same",IF(G68="","",G68*L68),IF($N64="Enter Dollar Amount",IF(O68="","",O68),"")))),"")</f>
        <v/>
      </c>
      <c r="Q68" s="422" t="str">
        <f ca="1">IFERROR(L68-P68,"")</f>
        <v/>
      </c>
      <c r="R68" s="410" t="str">
        <f>IFERROR(IF(P68="","",M68*P68),"")</f>
        <v/>
      </c>
      <c r="S68" s="411"/>
      <c r="T68" s="417" t="str" cm="1">
        <f t="array" ca="1" aca="1" ref="T68">_xlfn.IFNA(VLOOKUP(INDIRECT("T"&amp;ROW()-4)&amp;"_"&amp;$D$12,BEGIN_RENEW_HEALTH:END_RENEW_HEALTH,RENEW_COL_FAM,FALSE),"")</f>
        <v/>
      </c>
      <c r="U68" s="423" t="str">
        <f t="shared" ca="1" si="9"/>
        <v/>
      </c>
      <c r="V68" s="420"/>
      <c r="W68" s="421"/>
      <c r="X68" s="422" t="str">
        <f>IFERROR(IF($V64="Keep Contribution Same",H68,IF($V64="Enter Percentages",IF(V68="","",V68*T68),IF($V64="Keep Percentage Same",IF(G68="","",G68*T68),IF($V64="Enter Dollar Amount",IF(W68="","",W68),"")))),"")</f>
        <v/>
      </c>
      <c r="Y68" s="417" t="str">
        <f t="shared" ca="1" si="10"/>
        <v/>
      </c>
      <c r="Z68" s="419" t="str">
        <f t="shared" si="11"/>
        <v/>
      </c>
    </row>
    <row r="69" spans="4:26" ht="18.75" customHeight="1" thickTop="1">
      <c r="D69" s="175" t="s">
        <v>242</v>
      </c>
      <c r="E69" s="424"/>
      <c r="F69" s="425" t="str">
        <f ca="1">IFERROR((F65*E65)+(F66*E66)+(F67*E67)+(F68*E68),"")</f>
        <v/>
      </c>
      <c r="G69" s="426"/>
      <c r="H69" s="427"/>
      <c r="I69" s="428"/>
      <c r="J69" s="429" t="str">
        <f ca="1">IFERROR(IF(J65="","",SUM(J65:J68)),0)</f>
        <v/>
      </c>
      <c r="K69" s="1"/>
      <c r="L69" s="430" t="str">
        <f ca="1">IFERROR((M65*L65)+(M66*L66)+(M67*L67)+(M68*L68),"")</f>
        <v/>
      </c>
      <c r="M69" s="427"/>
      <c r="N69" s="426"/>
      <c r="O69" s="427"/>
      <c r="P69" s="431"/>
      <c r="Q69" s="432"/>
      <c r="R69" s="429" t="str">
        <f>IFERROR(IF(R65="","",SUM(R65:R68)),0)</f>
        <v/>
      </c>
      <c r="T69" s="430" t="str">
        <f ca="1">IFERROR((U65*T65)+(U66*T66)+(U67*T67)+(U68*T68),"")</f>
        <v/>
      </c>
      <c r="U69" s="427"/>
      <c r="V69" s="426"/>
      <c r="W69" s="427"/>
      <c r="X69" s="431"/>
      <c r="Y69" s="432"/>
      <c r="Z69" s="429" t="str">
        <f>IFERROR(IF(Z65="","",SUM(Z65:Z68)),0)</f>
        <v/>
      </c>
    </row>
    <row r="70" spans="4:26" ht="18.75" customHeight="1">
      <c r="D70" s="177" t="s">
        <v>243</v>
      </c>
      <c r="E70" s="433"/>
      <c r="F70" s="434" t="str">
        <f ca="1">IFERROR(F69*12,"")</f>
        <v/>
      </c>
      <c r="G70" s="435"/>
      <c r="H70" s="436"/>
      <c r="I70" s="432"/>
      <c r="J70" s="437" t="str">
        <f ca="1">IF(J69="","",J69*12)</f>
        <v/>
      </c>
      <c r="K70" s="1"/>
      <c r="L70" s="438" t="str">
        <f ca="1">IFERROR(L69*12,"")</f>
        <v/>
      </c>
      <c r="M70" s="436"/>
      <c r="N70" s="435"/>
      <c r="O70" s="436"/>
      <c r="P70" s="432"/>
      <c r="Q70" s="432"/>
      <c r="R70" s="437" t="str">
        <f>IF(R69="","",R69*12)</f>
        <v/>
      </c>
      <c r="T70" s="438" t="str">
        <f ca="1">IFERROR(T69*12,"")</f>
        <v/>
      </c>
      <c r="U70" s="436"/>
      <c r="V70" s="435"/>
      <c r="W70" s="436"/>
      <c r="X70" s="432"/>
      <c r="Y70" s="432"/>
      <c r="Z70" s="437" t="str">
        <f>IF(Z69="","",Z69*12)</f>
        <v/>
      </c>
    </row>
    <row r="71" spans="4:26" ht="18.75" customHeight="1">
      <c r="D71" s="177" t="s">
        <v>244</v>
      </c>
      <c r="E71" s="433"/>
      <c r="F71" s="436"/>
      <c r="G71" s="435"/>
      <c r="H71" s="436"/>
      <c r="I71" s="432"/>
      <c r="J71" s="437"/>
      <c r="K71" s="1"/>
      <c r="L71" s="434" t="str">
        <f ca="1">IFERROR(L70-F70,"")</f>
        <v/>
      </c>
      <c r="M71" s="436"/>
      <c r="N71" s="435"/>
      <c r="O71" s="436"/>
      <c r="P71" s="432"/>
      <c r="Q71" s="432"/>
      <c r="R71" s="437" t="str">
        <f ca="1">IFERROR(IF(J70="","",R70-J70),0)</f>
        <v/>
      </c>
      <c r="T71" s="434" t="str">
        <f ca="1">IFERROR(T70-F70,"")</f>
        <v/>
      </c>
      <c r="U71" s="436"/>
      <c r="V71" s="435"/>
      <c r="W71" s="436"/>
      <c r="X71" s="432"/>
      <c r="Y71" s="432"/>
      <c r="Z71" s="437" t="str">
        <f>IFERROR(IF(R70="","",Z70-R70),0)</f>
        <v/>
      </c>
    </row>
    <row r="72" spans="4:26" ht="18.75" customHeight="1" thickBot="1">
      <c r="D72" s="180" t="s">
        <v>245</v>
      </c>
      <c r="E72" s="439"/>
      <c r="F72" s="440"/>
      <c r="G72" s="441"/>
      <c r="H72" s="440"/>
      <c r="I72" s="442"/>
      <c r="J72" s="443"/>
      <c r="K72" s="1"/>
      <c r="L72" s="444" t="str">
        <f ca="1">IFERROR(L70/F70-1,"")</f>
        <v/>
      </c>
      <c r="M72" s="440"/>
      <c r="N72" s="441"/>
      <c r="O72" s="440"/>
      <c r="P72" s="445"/>
      <c r="Q72" s="445"/>
      <c r="R72" s="446" t="str">
        <f ca="1">IFERROR(IF(J70="","",(R70/J70)-1),0)</f>
        <v/>
      </c>
      <c r="T72" s="444" t="str">
        <f ca="1">IFERROR(T70/F70-1,"")</f>
        <v/>
      </c>
      <c r="U72" s="440"/>
      <c r="V72" s="441"/>
      <c r="W72" s="440"/>
      <c r="X72" s="445"/>
      <c r="Y72" s="445"/>
      <c r="Z72" s="446" t="str">
        <f>IFERROR(IF(R70="","",(Z70/R70)-1),0)</f>
        <v/>
      </c>
    </row>
    <row r="73" spans="4:26" ht="18.75" customHeight="1">
      <c r="D73" s="181" t="s">
        <v>246</v>
      </c>
      <c r="E73" s="182"/>
      <c r="F73" s="182"/>
      <c r="G73" s="182"/>
      <c r="H73" s="182"/>
      <c r="I73" s="182"/>
      <c r="J73" s="183"/>
      <c r="K73"/>
      <c r="L73" s="184"/>
      <c r="M73" s="182"/>
      <c r="N73" s="182"/>
      <c r="O73" s="182"/>
      <c r="P73" s="182"/>
      <c r="Q73" s="182"/>
      <c r="R73" s="183"/>
      <c r="T73" s="184"/>
      <c r="U73" s="182"/>
      <c r="V73" s="182"/>
      <c r="W73" s="182"/>
      <c r="X73" s="182"/>
      <c r="Y73" s="182"/>
      <c r="Z73" s="183"/>
    </row>
    <row r="74" spans="4:26" ht="18.75" customHeight="1" hidden="1">
      <c r="D74" s="185" t="s">
        <v>247</v>
      </c>
      <c r="E74" s="186"/>
      <c r="F74" s="186"/>
      <c r="G74" s="186"/>
      <c r="H74" s="186"/>
      <c r="I74" s="186"/>
      <c r="J74" s="187"/>
      <c r="K74"/>
      <c r="L74" s="188"/>
      <c r="M74" s="186"/>
      <c r="N74" s="186"/>
      <c r="O74" s="186"/>
      <c r="P74" s="186"/>
      <c r="Q74" s="186"/>
      <c r="R74" s="187"/>
      <c r="T74" s="188"/>
      <c r="U74" s="186"/>
      <c r="V74" s="186"/>
      <c r="W74" s="186"/>
      <c r="X74" s="186"/>
      <c r="Y74" s="186"/>
      <c r="Z74" s="187"/>
    </row>
    <row r="75" spans="4:26" ht="18.75" customHeight="1" hidden="1">
      <c r="D75" s="189" t="s">
        <v>248</v>
      </c>
      <c r="E75" s="190" t="e">
        <f ca="1">D64&amp;"_"&amp;D12</f>
        <v>#N/A</v>
      </c>
      <c r="F75" s="191"/>
      <c r="G75" s="191"/>
      <c r="H75" s="191"/>
      <c r="I75" s="190"/>
      <c r="J75" s="192"/>
      <c r="K75"/>
      <c r="L75" s="193" t="str">
        <f ca="1">L64&amp;"_"&amp;D12</f>
        <v>SELECT PLAN_MANAGERS</v>
      </c>
      <c r="M75" s="191"/>
      <c r="N75" s="191"/>
      <c r="O75" s="191"/>
      <c r="P75" s="190"/>
      <c r="Q75" s="191"/>
      <c r="R75" s="192"/>
      <c r="T75" s="193" t="str">
        <f>T64&amp;"_"&amp;D12</f>
        <v>SELECT PLAN_MANAGERS</v>
      </c>
      <c r="U75" s="191"/>
      <c r="V75" s="191"/>
      <c r="W75" s="191"/>
      <c r="X75" s="190"/>
      <c r="Y75" s="191"/>
      <c r="Z75" s="192"/>
    </row>
    <row r="76" spans="4:26" ht="18.75" customHeight="1" hidden="1">
      <c r="D76" s="189" t="s">
        <v>249</v>
      </c>
      <c r="E76" s="191"/>
      <c r="F76" s="191"/>
      <c r="G76" s="191"/>
      <c r="H76" s="191"/>
      <c r="I76" s="191"/>
      <c r="J76" s="192"/>
      <c r="K76"/>
      <c r="L76" s="189"/>
      <c r="M76" s="191"/>
      <c r="N76" s="191"/>
      <c r="O76" s="191"/>
      <c r="P76" s="191"/>
      <c r="Q76" s="191"/>
      <c r="R76" s="192"/>
      <c r="T76" s="189"/>
      <c r="U76" s="191"/>
      <c r="V76" s="191"/>
      <c r="W76" s="191"/>
      <c r="X76" s="191"/>
      <c r="Y76" s="191"/>
      <c r="Z76" s="192"/>
    </row>
    <row r="77" spans="4:26" ht="18.75" customHeight="1" hidden="1">
      <c r="D77" s="194" t="s">
        <v>250</v>
      </c>
      <c r="E77" s="195"/>
      <c r="F77" s="195"/>
      <c r="G77" s="195"/>
      <c r="H77" s="195"/>
      <c r="I77" s="195"/>
      <c r="J77" s="196"/>
      <c r="K77"/>
      <c r="L77" s="197"/>
      <c r="M77" s="195"/>
      <c r="N77" s="195"/>
      <c r="O77" s="195"/>
      <c r="P77" s="195"/>
      <c r="Q77" s="195"/>
      <c r="R77" s="196"/>
      <c r="T77" s="197"/>
      <c r="U77" s="195"/>
      <c r="V77" s="195"/>
      <c r="W77" s="195"/>
      <c r="X77" s="195"/>
      <c r="Y77" s="195"/>
      <c r="Z77" s="196"/>
    </row>
    <row r="78" spans="4:26" ht="18.75" customHeight="1" hidden="1">
      <c r="D78" s="198" t="s">
        <v>251</v>
      </c>
      <c r="E78" s="199" t="e">
        <f>_xlfn.XLOOKUP(E75,CurrentPlans!B:B,CurrentPlans!X:X,"NA",0,1)</f>
        <v>#N/A</v>
      </c>
      <c r="F78" s="200"/>
      <c r="G78" s="200"/>
      <c r="H78" s="200"/>
      <c r="I78" s="199"/>
      <c r="J78" s="201"/>
      <c r="K78"/>
      <c r="L78" s="202" t="str">
        <f ca="1">_xlfn.XLOOKUP(L75,RenewalPlans!B:B,RenewalPlans!AA:AA,"NA",0,1)</f>
        <v>NA</v>
      </c>
      <c r="M78" s="200"/>
      <c r="N78" s="200"/>
      <c r="O78" s="200"/>
      <c r="P78" s="199"/>
      <c r="Q78" s="200"/>
      <c r="R78" s="201"/>
      <c r="T78" s="202" t="str">
        <f>_xlfn.XLOOKUP(T75,RenewalPlans!B:B,RenewalPlans!AA:AA,"NA",0,1)</f>
        <v>NA</v>
      </c>
      <c r="U78" s="200"/>
      <c r="V78" s="200"/>
      <c r="W78" s="200"/>
      <c r="X78" s="199"/>
      <c r="Y78" s="200"/>
      <c r="Z78" s="201"/>
    </row>
    <row r="79" spans="4:26" ht="18.75" customHeight="1" hidden="1">
      <c r="D79" s="198" t="s">
        <v>252</v>
      </c>
      <c r="E79" s="199" t="e">
        <f>_xlfn.XLOOKUP(E75,CurrentPlans!B:B,CurrentPlans!Y:Y,"NA",0,1)</f>
        <v>#N/A</v>
      </c>
      <c r="F79" s="200"/>
      <c r="G79" s="200"/>
      <c r="H79" s="200"/>
      <c r="I79" s="199"/>
      <c r="J79" s="201"/>
      <c r="K79"/>
      <c r="L79" s="202" t="str">
        <f ca="1">_xlfn.XLOOKUP(L75,RenewalPlans!B:B,RenewalPlans!AB:AB,"NA",0,1)</f>
        <v>NA</v>
      </c>
      <c r="M79" s="200"/>
      <c r="N79" s="200"/>
      <c r="O79" s="200"/>
      <c r="P79" s="199"/>
      <c r="Q79" s="200"/>
      <c r="R79" s="201"/>
      <c r="T79" s="202" t="str">
        <f>_xlfn.XLOOKUP(T75,RenewalPlans!B:B,RenewalPlans!AB:AB,"NA",0,1)</f>
        <v>NA</v>
      </c>
      <c r="U79" s="200"/>
      <c r="V79" s="200"/>
      <c r="W79" s="200"/>
      <c r="X79" s="199"/>
      <c r="Y79" s="200"/>
      <c r="Z79" s="201"/>
    </row>
    <row r="80" spans="4:26" ht="18.75" customHeight="1" hidden="1">
      <c r="D80" s="120" t="s">
        <v>253</v>
      </c>
      <c r="E80" s="121" t="e">
        <f>_xlfn.XLOOKUP(E75,CurrentPlans!B:B,CurrentPlans!W:W,"NA",0,1)</f>
        <v>#N/A</v>
      </c>
      <c r="F80" s="122"/>
      <c r="G80" s="122"/>
      <c r="H80" s="122"/>
      <c r="I80" s="121"/>
      <c r="J80" s="123"/>
      <c r="K80"/>
      <c r="L80" s="124" t="str">
        <f ca="1">_xlfn.XLOOKUP(L75,RenewalPlans!B:B,RenewalPlans!Z:Z,"NA",0,1)</f>
        <v>NA</v>
      </c>
      <c r="M80" s="122"/>
      <c r="N80" s="122"/>
      <c r="O80" s="122"/>
      <c r="P80" s="121"/>
      <c r="Q80" s="122"/>
      <c r="R80" s="123"/>
      <c r="T80" s="124" t="str">
        <f>_xlfn.XLOOKUP(T75,RenewalPlans!B:B,RenewalPlans!Z:Z,"NA",0,1)</f>
        <v>NA</v>
      </c>
      <c r="U80" s="122"/>
      <c r="V80" s="122"/>
      <c r="W80" s="122"/>
      <c r="X80" s="121"/>
      <c r="Y80" s="122"/>
      <c r="Z80" s="123"/>
    </row>
    <row r="81" spans="4:26" ht="18.75" customHeight="1" hidden="1">
      <c r="D81" s="203" t="s">
        <v>254</v>
      </c>
      <c r="E81" s="204"/>
      <c r="F81" s="205"/>
      <c r="G81" s="205"/>
      <c r="H81" s="205"/>
      <c r="I81" s="204"/>
      <c r="J81" s="206"/>
      <c r="K81"/>
      <c r="L81" s="207"/>
      <c r="M81" s="205"/>
      <c r="N81" s="205"/>
      <c r="O81" s="205"/>
      <c r="P81" s="204"/>
      <c r="Q81" s="205"/>
      <c r="R81" s="206"/>
      <c r="T81" s="207"/>
      <c r="U81" s="205"/>
      <c r="V81" s="205"/>
      <c r="W81" s="205"/>
      <c r="X81" s="204"/>
      <c r="Y81" s="205"/>
      <c r="Z81" s="206"/>
    </row>
    <row r="82" spans="4:26" ht="18.75" customHeight="1" hidden="1">
      <c r="D82" s="125" t="s">
        <v>255</v>
      </c>
      <c r="E82" s="126" t="e">
        <f>_xlfn.XLOOKUP(E75,CurrentPlans!B:B,CurrentPlans!Z:Z,"NA",0,1)</f>
        <v>#N/A</v>
      </c>
      <c r="F82" s="127"/>
      <c r="G82" s="127"/>
      <c r="H82" s="127"/>
      <c r="I82" s="126"/>
      <c r="J82" s="128"/>
      <c r="K82"/>
      <c r="L82" s="129" t="str">
        <f ca="1">_xlfn.XLOOKUP(L75,RenewalPlans!B:B,RenewalPlans!AC:AC,"NA",0,1)</f>
        <v>NA</v>
      </c>
      <c r="M82" s="127"/>
      <c r="N82" s="127"/>
      <c r="O82" s="127"/>
      <c r="P82" s="126"/>
      <c r="Q82" s="127"/>
      <c r="R82" s="128"/>
      <c r="T82" s="129" t="str">
        <f>_xlfn.XLOOKUP(T75,RenewalPlans!B:B,RenewalPlans!AC:AC,"NA",0,1)</f>
        <v>NA</v>
      </c>
      <c r="U82" s="127"/>
      <c r="V82" s="127"/>
      <c r="W82" s="127"/>
      <c r="X82" s="126"/>
      <c r="Y82" s="127"/>
      <c r="Z82" s="128"/>
    </row>
    <row r="83" spans="4:26" ht="18.75" customHeight="1" hidden="1">
      <c r="D83" s="198" t="s">
        <v>256</v>
      </c>
      <c r="E83" s="208" t="e">
        <f>_xlfn.XLOOKUP(E75,CurrentPlans!B:B,CurrentPlans!AA:AA,"NA",0,1)</f>
        <v>#N/A</v>
      </c>
      <c r="F83" s="200"/>
      <c r="G83" s="200"/>
      <c r="H83" s="200"/>
      <c r="I83" s="208"/>
      <c r="J83" s="201"/>
      <c r="K83"/>
      <c r="L83" s="209" t="str">
        <f ca="1">_xlfn.XLOOKUP(L75,RenewalPlans!B:B,RenewalPlans!AD:AD,"NA",0,1)</f>
        <v>NA</v>
      </c>
      <c r="M83" s="200"/>
      <c r="N83" s="200"/>
      <c r="O83" s="200"/>
      <c r="P83" s="208"/>
      <c r="Q83" s="200"/>
      <c r="R83" s="201"/>
      <c r="T83" s="209" t="str">
        <f>_xlfn.XLOOKUP(T75,RenewalPlans!B:B,RenewalPlans!AD:AD,"NA",0,1)</f>
        <v>NA</v>
      </c>
      <c r="U83" s="200"/>
      <c r="V83" s="200"/>
      <c r="W83" s="200"/>
      <c r="X83" s="208"/>
      <c r="Y83" s="200"/>
      <c r="Z83" s="201"/>
    </row>
    <row r="84" spans="4:26" ht="18.75" customHeight="1" hidden="1">
      <c r="D84" s="203" t="s">
        <v>257</v>
      </c>
      <c r="E84" s="204"/>
      <c r="F84" s="205"/>
      <c r="G84" s="205"/>
      <c r="H84" s="205"/>
      <c r="I84" s="204"/>
      <c r="J84" s="206"/>
      <c r="K84"/>
      <c r="L84" s="207"/>
      <c r="M84" s="205"/>
      <c r="N84" s="205"/>
      <c r="O84" s="205"/>
      <c r="P84" s="204"/>
      <c r="Q84" s="205"/>
      <c r="R84" s="206"/>
      <c r="T84" s="207"/>
      <c r="U84" s="205"/>
      <c r="V84" s="205"/>
      <c r="W84" s="205"/>
      <c r="X84" s="204"/>
      <c r="Y84" s="205"/>
      <c r="Z84" s="206"/>
    </row>
    <row r="85" spans="4:26" ht="18.75" customHeight="1" hidden="1">
      <c r="D85" s="198" t="s">
        <v>258</v>
      </c>
      <c r="E85" s="208" t="e">
        <f>_xlfn.XLOOKUP(E75,CurrentPlans!B:B,CurrentPlans!AB:AB,"NA",0,1)</f>
        <v>#N/A</v>
      </c>
      <c r="F85" s="200"/>
      <c r="G85" s="200"/>
      <c r="H85" s="200"/>
      <c r="I85" s="208"/>
      <c r="J85" s="201"/>
      <c r="K85"/>
      <c r="L85" s="209" t="str">
        <f ca="1">_xlfn.XLOOKUP(L75,RenewalPlans!B:B,RenewalPlans!AE:AE,"NA",0,1)</f>
        <v>NA</v>
      </c>
      <c r="M85" s="200"/>
      <c r="N85" s="200"/>
      <c r="O85" s="200"/>
      <c r="P85" s="208"/>
      <c r="Q85" s="200"/>
      <c r="R85" s="201"/>
      <c r="T85" s="209" t="str">
        <f>_xlfn.XLOOKUP(T75,RenewalPlans!B:B,RenewalPlans!AE:AE,"NA",0,1)</f>
        <v>NA</v>
      </c>
      <c r="U85" s="200"/>
      <c r="V85" s="200"/>
      <c r="W85" s="200"/>
      <c r="X85" s="208"/>
      <c r="Y85" s="200"/>
      <c r="Z85" s="201"/>
    </row>
    <row r="86" spans="4:26" ht="18.75" customHeight="1" hidden="1">
      <c r="D86" s="198" t="s">
        <v>259</v>
      </c>
      <c r="E86" s="208" t="e">
        <f>_xlfn.XLOOKUP(E75,CurrentPlans!B:B,CurrentPlans!AC:AC,"NA",0,1)</f>
        <v>#N/A</v>
      </c>
      <c r="F86" s="200"/>
      <c r="G86" s="200"/>
      <c r="H86" s="200"/>
      <c r="I86" s="208"/>
      <c r="J86" s="201"/>
      <c r="K86"/>
      <c r="L86" s="209" t="str">
        <f ca="1">_xlfn.XLOOKUP(L75,RenewalPlans!B:B,RenewalPlans!AF:AF,"NA",0,1)</f>
        <v>NA</v>
      </c>
      <c r="M86" s="200"/>
      <c r="N86" s="200"/>
      <c r="O86" s="200"/>
      <c r="P86" s="208"/>
      <c r="Q86" s="200"/>
      <c r="R86" s="201"/>
      <c r="T86" s="209" t="str">
        <f>_xlfn.XLOOKUP(T75,RenewalPlans!B:B,RenewalPlans!AF:AF,"NA",0,1)</f>
        <v>NA</v>
      </c>
      <c r="U86" s="200"/>
      <c r="V86" s="200"/>
      <c r="W86" s="200"/>
      <c r="X86" s="208"/>
      <c r="Y86" s="200"/>
      <c r="Z86" s="201"/>
    </row>
    <row r="87" spans="4:26" ht="18.75" customHeight="1" hidden="1">
      <c r="D87" s="210"/>
      <c r="E87" s="211"/>
      <c r="F87" s="211"/>
      <c r="G87" s="211"/>
      <c r="H87" s="211"/>
      <c r="I87" s="211"/>
      <c r="J87" s="212"/>
      <c r="K87"/>
      <c r="L87" s="210"/>
      <c r="M87" s="211"/>
      <c r="N87" s="211"/>
      <c r="O87" s="211"/>
      <c r="P87" s="211"/>
      <c r="Q87" s="211"/>
      <c r="R87" s="212"/>
      <c r="T87" s="210"/>
      <c r="U87" s="211"/>
      <c r="V87" s="211"/>
      <c r="W87" s="211"/>
      <c r="X87" s="211"/>
      <c r="Y87" s="211"/>
      <c r="Z87" s="212"/>
    </row>
    <row r="88" spans="4:26" ht="18.75" customHeight="1" hidden="1">
      <c r="D88" s="185" t="s">
        <v>260</v>
      </c>
      <c r="E88" s="186"/>
      <c r="F88" s="186"/>
      <c r="G88" s="186"/>
      <c r="H88" s="186"/>
      <c r="I88" s="186"/>
      <c r="J88" s="187"/>
      <c r="K88"/>
      <c r="L88" s="188"/>
      <c r="M88" s="186"/>
      <c r="N88" s="186"/>
      <c r="O88" s="186"/>
      <c r="P88" s="186"/>
      <c r="Q88" s="186"/>
      <c r="R88" s="187"/>
      <c r="T88" s="188"/>
      <c r="U88" s="186"/>
      <c r="V88" s="186"/>
      <c r="W88" s="186"/>
      <c r="X88" s="186"/>
      <c r="Y88" s="186"/>
      <c r="Z88" s="187"/>
    </row>
    <row r="89" spans="4:26" ht="18.75" customHeight="1" hidden="1">
      <c r="D89" s="213" t="s">
        <v>261</v>
      </c>
      <c r="E89" s="130" t="e">
        <f>_xlfn.XLOOKUP(E75,CurrentPlans!B:B,CurrentPlans!AJ:AJ,"NA",0,1)</f>
        <v>#N/A</v>
      </c>
      <c r="F89" s="214"/>
      <c r="G89" s="214"/>
      <c r="H89" s="214"/>
      <c r="I89" s="130"/>
      <c r="J89" s="215"/>
      <c r="K89"/>
      <c r="L89" s="131" t="str">
        <f ca="1">_xlfn.XLOOKUP(L75,RenewalPlans!B:B,RenewalPlans!AM:AM,"NA",0,1)</f>
        <v>NA</v>
      </c>
      <c r="M89" s="214"/>
      <c r="N89" s="214"/>
      <c r="O89" s="214"/>
      <c r="P89" s="130"/>
      <c r="Q89" s="214"/>
      <c r="R89" s="215"/>
      <c r="T89" s="131" t="str">
        <f>_xlfn.XLOOKUP(T75,RenewalPlans!B:B,RenewalPlans!AM:AM,"NA",0,1)</f>
        <v>NA</v>
      </c>
      <c r="U89" s="214"/>
      <c r="V89" s="214"/>
      <c r="W89" s="214"/>
      <c r="X89" s="130"/>
      <c r="Y89" s="214"/>
      <c r="Z89" s="215"/>
    </row>
    <row r="90" spans="4:26" ht="18.75" customHeight="1" hidden="1">
      <c r="D90" s="198" t="s">
        <v>262</v>
      </c>
      <c r="E90" s="130" t="e">
        <f>_xlfn.XLOOKUP(E75,CurrentPlans!B:B,CurrentPlans!AM:AM,"NA",0,1)</f>
        <v>#N/A</v>
      </c>
      <c r="F90" s="200"/>
      <c r="G90" s="200"/>
      <c r="H90" s="200"/>
      <c r="I90" s="130"/>
      <c r="J90" s="201"/>
      <c r="K90"/>
      <c r="L90" s="131" t="str">
        <f ca="1">_xlfn.XLOOKUP(L75,RenewalPlans!B:B,RenewalPlans!AP:AP,"NA",0,1)</f>
        <v>NA</v>
      </c>
      <c r="M90" s="200"/>
      <c r="N90" s="200"/>
      <c r="O90" s="200"/>
      <c r="P90" s="130"/>
      <c r="Q90" s="200"/>
      <c r="R90" s="201"/>
      <c r="T90" s="131" t="str">
        <f>_xlfn.XLOOKUP(T75,RenewalPlans!B:B,RenewalPlans!AP:AP,"NA",0,1)</f>
        <v>NA</v>
      </c>
      <c r="U90" s="200"/>
      <c r="V90" s="200"/>
      <c r="W90" s="200"/>
      <c r="X90" s="130"/>
      <c r="Y90" s="200"/>
      <c r="Z90" s="201"/>
    </row>
    <row r="91" spans="4:26" ht="18.75" customHeight="1" hidden="1">
      <c r="D91" s="198" t="s">
        <v>263</v>
      </c>
      <c r="E91" s="130" t="e">
        <f>_xlfn.XLOOKUP(E75,CurrentPlans!B:B,CurrentPlans!AI:AI,"NA",0,1)</f>
        <v>#N/A</v>
      </c>
      <c r="F91" s="200"/>
      <c r="G91" s="200"/>
      <c r="H91" s="200"/>
      <c r="I91" s="130"/>
      <c r="J91" s="201"/>
      <c r="K91"/>
      <c r="L91" s="131" t="str">
        <f ca="1">_xlfn.XLOOKUP(L75,RenewalPlans!B:B,RenewalPlans!AL:AL,"NA",0,1)</f>
        <v>NA</v>
      </c>
      <c r="M91" s="200"/>
      <c r="N91" s="200"/>
      <c r="O91" s="200"/>
      <c r="P91" s="130"/>
      <c r="Q91" s="200"/>
      <c r="R91" s="201"/>
      <c r="T91" s="131" t="str">
        <f>_xlfn.XLOOKUP(T75,RenewalPlans!B:B,RenewalPlans!AL:AL,"NA",0,1)</f>
        <v>NA</v>
      </c>
      <c r="U91" s="200"/>
      <c r="V91" s="200"/>
      <c r="W91" s="200"/>
      <c r="X91" s="130"/>
      <c r="Y91" s="200"/>
      <c r="Z91" s="201"/>
    </row>
    <row r="92" spans="4:26" ht="18.75" customHeight="1" hidden="1">
      <c r="D92" s="198" t="s">
        <v>264</v>
      </c>
      <c r="E92" s="208" t="e">
        <f>_xlfn.XLOOKUP(E75,CurrentPlans!B:B,CurrentPlans!AN:AN,"NA",0,1)</f>
        <v>#N/A</v>
      </c>
      <c r="F92" s="200"/>
      <c r="G92" s="200"/>
      <c r="H92" s="200"/>
      <c r="I92" s="208"/>
      <c r="J92" s="201"/>
      <c r="K92"/>
      <c r="L92" s="209" t="str">
        <f ca="1">_xlfn.XLOOKUP(L75,RenewalPlans!B:B,RenewalPlans!AQ:AQ,"NA",0,1)</f>
        <v>NA</v>
      </c>
      <c r="M92" s="200"/>
      <c r="N92" s="200"/>
      <c r="O92" s="200"/>
      <c r="P92" s="208"/>
      <c r="Q92" s="200"/>
      <c r="R92" s="201"/>
      <c r="T92" s="209" t="str">
        <f>_xlfn.XLOOKUP(T75,RenewalPlans!B:B,RenewalPlans!AQ:AQ,"NA",0,1)</f>
        <v>NA</v>
      </c>
      <c r="U92" s="200"/>
      <c r="V92" s="200"/>
      <c r="W92" s="200"/>
      <c r="X92" s="208"/>
      <c r="Y92" s="200"/>
      <c r="Z92" s="201"/>
    </row>
    <row r="93" spans="4:26" ht="18.75" customHeight="1" hidden="1">
      <c r="D93" s="210"/>
      <c r="E93" s="211"/>
      <c r="F93" s="211"/>
      <c r="G93" s="211"/>
      <c r="H93" s="211"/>
      <c r="I93" s="211"/>
      <c r="J93" s="212"/>
      <c r="K93"/>
      <c r="L93" s="210"/>
      <c r="M93" s="211"/>
      <c r="N93" s="211"/>
      <c r="O93" s="211"/>
      <c r="P93" s="211"/>
      <c r="Q93" s="211"/>
      <c r="R93" s="212"/>
      <c r="T93" s="210"/>
      <c r="U93" s="211"/>
      <c r="V93" s="211"/>
      <c r="W93" s="211"/>
      <c r="X93" s="211"/>
      <c r="Y93" s="211"/>
      <c r="Z93" s="212"/>
    </row>
    <row r="94" spans="4:26" ht="18.75" customHeight="1" hidden="1">
      <c r="D94" s="185" t="s">
        <v>265</v>
      </c>
      <c r="E94" s="186"/>
      <c r="F94" s="186"/>
      <c r="G94" s="186"/>
      <c r="H94" s="186"/>
      <c r="I94" s="186"/>
      <c r="J94" s="187"/>
      <c r="K94"/>
      <c r="L94" s="188"/>
      <c r="M94" s="186"/>
      <c r="N94" s="186"/>
      <c r="O94" s="186"/>
      <c r="P94" s="186"/>
      <c r="Q94" s="186"/>
      <c r="R94" s="187"/>
      <c r="T94" s="188"/>
      <c r="U94" s="186"/>
      <c r="V94" s="186"/>
      <c r="W94" s="186"/>
      <c r="X94" s="186"/>
      <c r="Y94" s="186"/>
      <c r="Z94" s="187"/>
    </row>
    <row r="95" spans="4:26" ht="18.75" customHeight="1" hidden="1">
      <c r="D95" s="132" t="s">
        <v>266</v>
      </c>
      <c r="E95" s="133" t="e">
        <f>_xlfn.XLOOKUP(E75,CurrentPlans!B:B,CurrentPlans!AE:AE,"NA",0,1)</f>
        <v>#N/A</v>
      </c>
      <c r="F95" s="134"/>
      <c r="G95" s="134"/>
      <c r="H95" s="134"/>
      <c r="I95" s="133"/>
      <c r="J95" s="135"/>
      <c r="K95"/>
      <c r="L95" s="136" t="str">
        <f ca="1">_xlfn.XLOOKUP(L75,RenewalPlans!B:B,RenewalPlans!AH:AH,"NA",0,1)</f>
        <v>NA</v>
      </c>
      <c r="M95" s="134"/>
      <c r="N95" s="134"/>
      <c r="O95" s="134"/>
      <c r="P95" s="133"/>
      <c r="Q95" s="134"/>
      <c r="R95" s="135"/>
      <c r="T95" s="136" t="str">
        <f>_xlfn.XLOOKUP(T75,RenewalPlans!B:B,RenewalPlans!AH:AH,"NA",0,1)</f>
        <v>NA</v>
      </c>
      <c r="U95" s="134"/>
      <c r="V95" s="134"/>
      <c r="W95" s="134"/>
      <c r="X95" s="133"/>
      <c r="Y95" s="134"/>
      <c r="Z95" s="135"/>
    </row>
    <row r="96" spans="4:26" ht="18.75" customHeight="1" hidden="1">
      <c r="D96" s="120" t="s">
        <v>267</v>
      </c>
      <c r="E96" s="130" t="e">
        <f>_xlfn.XLOOKUP(E75,CurrentPlans!B:B,CurrentPlans!AF:AF,"NA",0,1)</f>
        <v>#N/A</v>
      </c>
      <c r="F96" s="122"/>
      <c r="G96" s="122"/>
      <c r="H96" s="122"/>
      <c r="I96" s="130"/>
      <c r="J96" s="123"/>
      <c r="K96"/>
      <c r="L96" s="131" t="str">
        <f ca="1">_xlfn.XLOOKUP(L75,RenewalPlans!B:B,RenewalPlans!AI:AI,"NA",0,1)</f>
        <v>NA</v>
      </c>
      <c r="M96" s="122"/>
      <c r="N96" s="122"/>
      <c r="O96" s="122"/>
      <c r="P96" s="130"/>
      <c r="Q96" s="122"/>
      <c r="R96" s="123"/>
      <c r="T96" s="131" t="str">
        <f>_xlfn.XLOOKUP(T75,RenewalPlans!B:B,RenewalPlans!AI:AI,"NA",0,1)</f>
        <v>NA</v>
      </c>
      <c r="U96" s="122"/>
      <c r="V96" s="122"/>
      <c r="W96" s="122"/>
      <c r="X96" s="130"/>
      <c r="Y96" s="122"/>
      <c r="Z96" s="123"/>
    </row>
    <row r="97" spans="4:26" ht="18.75" customHeight="1" hidden="1">
      <c r="D97" s="198" t="s">
        <v>268</v>
      </c>
      <c r="E97" s="130" t="e">
        <f>_xlfn.XLOOKUP(E75,CurrentPlans!B:B,CurrentPlans!AH:AH,"NA",0,1)</f>
        <v>#N/A</v>
      </c>
      <c r="F97" s="200"/>
      <c r="G97" s="200"/>
      <c r="H97" s="200"/>
      <c r="I97" s="130"/>
      <c r="J97" s="201"/>
      <c r="K97"/>
      <c r="L97" s="131" t="str">
        <f ca="1">_xlfn.XLOOKUP(L75,RenewalPlans!B:B,RenewalPlans!AK:AK,"NA",0,1)</f>
        <v>NA</v>
      </c>
      <c r="M97" s="200"/>
      <c r="N97" s="200"/>
      <c r="O97" s="200"/>
      <c r="P97" s="130"/>
      <c r="Q97" s="200"/>
      <c r="R97" s="201"/>
      <c r="T97" s="131" t="str">
        <f>_xlfn.XLOOKUP(T75,RenewalPlans!B:B,RenewalPlans!AK:AK,"NA",0,1)</f>
        <v>NA</v>
      </c>
      <c r="U97" s="200"/>
      <c r="V97" s="200"/>
      <c r="W97" s="200"/>
      <c r="X97" s="130"/>
      <c r="Y97" s="200"/>
      <c r="Z97" s="201"/>
    </row>
    <row r="98" spans="4:26" ht="18.75" customHeight="1" hidden="1">
      <c r="D98" s="198" t="s">
        <v>269</v>
      </c>
      <c r="E98" s="130" t="e">
        <f>_xlfn.XLOOKUP(E75,CurrentPlans!B:B,CurrentPlans!AG:AG,"NA",0,1)</f>
        <v>#N/A</v>
      </c>
      <c r="F98" s="200"/>
      <c r="G98" s="200"/>
      <c r="H98" s="200"/>
      <c r="I98" s="130"/>
      <c r="J98" s="201"/>
      <c r="K98"/>
      <c r="L98" s="131" t="str">
        <f ca="1">_xlfn.XLOOKUP(L75,RenewalPlans!B:B,RenewalPlans!AJ:AJ,"NA",0,1)</f>
        <v>NA</v>
      </c>
      <c r="M98" s="200"/>
      <c r="N98" s="200"/>
      <c r="O98" s="200"/>
      <c r="P98" s="130"/>
      <c r="Q98" s="200"/>
      <c r="R98" s="201"/>
      <c r="T98" s="131" t="str">
        <f>_xlfn.XLOOKUP(T75,RenewalPlans!B:B,RenewalPlans!AJ:AJ,"NA",0,1)</f>
        <v>NA</v>
      </c>
      <c r="U98" s="200"/>
      <c r="V98" s="200"/>
      <c r="W98" s="200"/>
      <c r="X98" s="130"/>
      <c r="Y98" s="200"/>
      <c r="Z98" s="201"/>
    </row>
    <row r="99" spans="4:26" ht="18.75" customHeight="1" hidden="1">
      <c r="D99" s="213" t="s">
        <v>270</v>
      </c>
      <c r="E99" s="216" t="e">
        <f>_xlfn.XLOOKUP(E75,CurrentPlans!B:B,CurrentPlans!AU:AU,"NA",0,1)</f>
        <v>#N/A</v>
      </c>
      <c r="F99" s="214"/>
      <c r="G99" s="214"/>
      <c r="H99" s="214"/>
      <c r="I99" s="217"/>
      <c r="J99" s="215"/>
      <c r="K99"/>
      <c r="L99" s="218" t="str">
        <f ca="1">_xlfn.XLOOKUP(L75,RenewalPlans!B:B,RenewalPlans!AX:AX,"NA",0,1)</f>
        <v>NA</v>
      </c>
      <c r="M99" s="214"/>
      <c r="N99" s="214"/>
      <c r="O99" s="214"/>
      <c r="P99" s="217"/>
      <c r="Q99" s="214"/>
      <c r="R99" s="215"/>
      <c r="T99" s="218" t="str">
        <f>_xlfn.XLOOKUP(T75,RenewalPlans!B:B,RenewalPlans!AX:AX,"NA",0,1)</f>
        <v>NA</v>
      </c>
      <c r="U99" s="214"/>
      <c r="V99" s="214"/>
      <c r="W99" s="214"/>
      <c r="X99" s="217"/>
      <c r="Y99" s="214"/>
      <c r="Z99" s="215"/>
    </row>
    <row r="100" spans="4:26" ht="18.75" customHeight="1" hidden="1">
      <c r="D100" s="213" t="s">
        <v>271</v>
      </c>
      <c r="E100" s="216" t="e">
        <f>_xlfn.XLOOKUP(E75,CurrentPlans!B:B,CurrentPlans!AT:AT,"NA",0,1)</f>
        <v>#N/A</v>
      </c>
      <c r="F100" s="214"/>
      <c r="G100" s="214"/>
      <c r="H100" s="214"/>
      <c r="I100" s="217"/>
      <c r="J100" s="215"/>
      <c r="K100"/>
      <c r="L100" s="218" t="str">
        <f ca="1">_xlfn.XLOOKUP(L75,RenewalPlans!B:B,RenewalPlans!AW:AW,"NA",0,1)</f>
        <v>NA</v>
      </c>
      <c r="M100" s="214"/>
      <c r="N100" s="214"/>
      <c r="O100" s="214"/>
      <c r="P100" s="217"/>
      <c r="Q100" s="214"/>
      <c r="R100" s="215"/>
      <c r="T100" s="218" t="str">
        <f>_xlfn.XLOOKUP(T75,RenewalPlans!B:B,RenewalPlans!AW:AW,"NA",0,1)</f>
        <v>NA</v>
      </c>
      <c r="U100" s="214"/>
      <c r="V100" s="214"/>
      <c r="W100" s="214"/>
      <c r="X100" s="217"/>
      <c r="Y100" s="214"/>
      <c r="Z100" s="215"/>
    </row>
    <row r="101" spans="4:26" ht="18.75" customHeight="1" hidden="1">
      <c r="D101" s="198" t="s">
        <v>272</v>
      </c>
      <c r="E101" s="130" t="e">
        <f>_xlfn.XLOOKUP(E75,CurrentPlans!B:B,CurrentPlans!AD:AD,"NA",0,1)</f>
        <v>#N/A</v>
      </c>
      <c r="F101" s="200"/>
      <c r="G101" s="200"/>
      <c r="H101" s="200"/>
      <c r="I101" s="130"/>
      <c r="J101" s="201"/>
      <c r="K101"/>
      <c r="L101" s="131" t="str">
        <f ca="1">_xlfn.XLOOKUP(L75,RenewalPlans!B:B,RenewalPlans!AG:AG,"NA",0,1)</f>
        <v>NA</v>
      </c>
      <c r="M101" s="200"/>
      <c r="N101" s="200"/>
      <c r="O101" s="200"/>
      <c r="P101" s="130"/>
      <c r="Q101" s="200"/>
      <c r="R101" s="201"/>
      <c r="T101" s="131" t="str">
        <f>_xlfn.XLOOKUP(T75,RenewalPlans!B:B,RenewalPlans!AG:AG,"NA",0,1)</f>
        <v>NA</v>
      </c>
      <c r="U101" s="200"/>
      <c r="V101" s="200"/>
      <c r="W101" s="200"/>
      <c r="X101" s="130"/>
      <c r="Y101" s="200"/>
      <c r="Z101" s="201"/>
    </row>
    <row r="102" spans="4:26" ht="18.75" customHeight="1" hidden="1">
      <c r="D102" s="198" t="s">
        <v>273</v>
      </c>
      <c r="E102" s="200"/>
      <c r="F102" s="200"/>
      <c r="G102" s="200"/>
      <c r="H102" s="200"/>
      <c r="I102" s="200"/>
      <c r="J102" s="201"/>
      <c r="K102"/>
      <c r="L102" s="198"/>
      <c r="M102" s="200"/>
      <c r="N102" s="200"/>
      <c r="O102" s="200"/>
      <c r="P102" s="200"/>
      <c r="Q102" s="200"/>
      <c r="R102" s="201"/>
      <c r="T102" s="198"/>
      <c r="U102" s="200"/>
      <c r="V102" s="200"/>
      <c r="W102" s="200"/>
      <c r="X102" s="200"/>
      <c r="Y102" s="200"/>
      <c r="Z102" s="201"/>
    </row>
    <row r="103" spans="4:26" ht="18.75" customHeight="1" hidden="1">
      <c r="D103" s="210"/>
      <c r="E103" s="211"/>
      <c r="F103" s="211"/>
      <c r="G103" s="211"/>
      <c r="H103" s="211"/>
      <c r="I103" s="211"/>
      <c r="J103" s="212"/>
      <c r="K103"/>
      <c r="L103" s="210"/>
      <c r="M103" s="211"/>
      <c r="N103" s="211"/>
      <c r="O103" s="211"/>
      <c r="P103" s="211"/>
      <c r="Q103" s="211"/>
      <c r="R103" s="212"/>
      <c r="T103" s="210"/>
      <c r="U103" s="211"/>
      <c r="V103" s="211"/>
      <c r="W103" s="211"/>
      <c r="X103" s="211"/>
      <c r="Y103" s="211"/>
      <c r="Z103" s="212"/>
    </row>
    <row r="104" spans="4:26" ht="18.75" customHeight="1" hidden="1">
      <c r="D104" s="219" t="s">
        <v>274</v>
      </c>
      <c r="E104" s="220"/>
      <c r="F104" s="220"/>
      <c r="G104" s="220"/>
      <c r="H104" s="220"/>
      <c r="I104" s="220"/>
      <c r="J104" s="221"/>
      <c r="K104"/>
      <c r="L104" s="222"/>
      <c r="M104" s="220"/>
      <c r="N104" s="220"/>
      <c r="O104" s="220"/>
      <c r="P104" s="220"/>
      <c r="Q104" s="220"/>
      <c r="R104" s="221"/>
      <c r="T104" s="222"/>
      <c r="U104" s="220"/>
      <c r="V104" s="220"/>
      <c r="W104" s="220"/>
      <c r="X104" s="220"/>
      <c r="Y104" s="220"/>
      <c r="Z104" s="221"/>
    </row>
    <row r="105" spans="4:26" ht="18.75" customHeight="1" hidden="1">
      <c r="D105" s="223" t="s">
        <v>250</v>
      </c>
      <c r="E105" s="205"/>
      <c r="F105" s="205"/>
      <c r="G105" s="205"/>
      <c r="H105" s="205"/>
      <c r="I105" s="205"/>
      <c r="J105" s="206"/>
      <c r="K105"/>
      <c r="L105" s="203"/>
      <c r="M105" s="205"/>
      <c r="N105" s="205"/>
      <c r="O105" s="205"/>
      <c r="P105" s="205"/>
      <c r="Q105" s="205"/>
      <c r="R105" s="206"/>
      <c r="T105" s="203"/>
      <c r="U105" s="205"/>
      <c r="V105" s="205"/>
      <c r="W105" s="205"/>
      <c r="X105" s="205"/>
      <c r="Y105" s="205"/>
      <c r="Z105" s="206"/>
    </row>
    <row r="106" spans="4:26" ht="18.75" customHeight="1" hidden="1">
      <c r="D106" s="198" t="s">
        <v>251</v>
      </c>
      <c r="E106" s="130" t="e">
        <f>_xlfn.XLOOKUP(E75,CurrentPlans!B:B,CurrentPlans!AP:AP,"NA",0,1)</f>
        <v>#N/A</v>
      </c>
      <c r="F106" s="200"/>
      <c r="G106" s="200"/>
      <c r="H106" s="200"/>
      <c r="I106" s="130"/>
      <c r="J106" s="201"/>
      <c r="K106"/>
      <c r="L106" s="131" t="str">
        <f ca="1">_xlfn.XLOOKUP(L75,RenewalPlans!B:B,RenewalPlans!AS:AS,"NA",0,1)</f>
        <v>NA</v>
      </c>
      <c r="M106" s="200"/>
      <c r="N106" s="200"/>
      <c r="O106" s="200"/>
      <c r="P106" s="130"/>
      <c r="Q106" s="200"/>
      <c r="R106" s="201"/>
      <c r="T106" s="131" t="str">
        <f>_xlfn.XLOOKUP(T75,RenewalPlans!B:B,RenewalPlans!AS:AS,"NA",0,1)</f>
        <v>NA</v>
      </c>
      <c r="U106" s="200"/>
      <c r="V106" s="200"/>
      <c r="W106" s="200"/>
      <c r="X106" s="130"/>
      <c r="Y106" s="200"/>
      <c r="Z106" s="201"/>
    </row>
    <row r="107" spans="4:26" ht="18.75" customHeight="1" hidden="1">
      <c r="D107" s="198" t="s">
        <v>252</v>
      </c>
      <c r="E107" s="130" t="e">
        <f>_xlfn.XLOOKUP(E75,CurrentPlans!B:B,CurrentPlans!AQ:AQ,"NA",0,1)</f>
        <v>#N/A</v>
      </c>
      <c r="F107" s="200"/>
      <c r="G107" s="200"/>
      <c r="H107" s="200"/>
      <c r="I107" s="130"/>
      <c r="J107" s="201"/>
      <c r="K107"/>
      <c r="L107" s="131" t="str">
        <f ca="1">_xlfn.XLOOKUP(L75,RenewalPlans!B:B,RenewalPlans!AT:AT,"NA",0,1)</f>
        <v>NA</v>
      </c>
      <c r="M107" s="200"/>
      <c r="N107" s="200"/>
      <c r="O107" s="200"/>
      <c r="P107" s="130"/>
      <c r="Q107" s="200"/>
      <c r="R107" s="201"/>
      <c r="T107" s="131" t="str">
        <f>_xlfn.XLOOKUP(T75,RenewalPlans!B:B,RenewalPlans!AT:AT,"NA",0,1)</f>
        <v>NA</v>
      </c>
      <c r="U107" s="200"/>
      <c r="V107" s="200"/>
      <c r="W107" s="200"/>
      <c r="X107" s="130"/>
      <c r="Y107" s="200"/>
      <c r="Z107" s="201"/>
    </row>
    <row r="108" spans="4:26" ht="18.75" customHeight="1" hidden="1">
      <c r="D108" s="120" t="s">
        <v>253</v>
      </c>
      <c r="E108" s="133" t="e">
        <f>_xlfn.XLOOKUP(E75,CurrentPlans!B:B,CurrentPlans!AO:AO,"NA",0,1)</f>
        <v>#N/A</v>
      </c>
      <c r="F108" s="122"/>
      <c r="G108" s="122"/>
      <c r="H108" s="122"/>
      <c r="I108" s="133"/>
      <c r="J108" s="123"/>
      <c r="K108"/>
      <c r="L108" s="136" t="str">
        <f ca="1">_xlfn.XLOOKUP(L75,RenewalPlans!B:B,RenewalPlans!AR:AR,"NA",0,1)</f>
        <v>NA</v>
      </c>
      <c r="M108" s="122"/>
      <c r="N108" s="122"/>
      <c r="O108" s="122"/>
      <c r="P108" s="133"/>
      <c r="Q108" s="122"/>
      <c r="R108" s="123"/>
      <c r="T108" s="136" t="str">
        <f>_xlfn.XLOOKUP(T75,RenewalPlans!B:B,RenewalPlans!AR:AR,"NA",0,1)</f>
        <v>NA</v>
      </c>
      <c r="U108" s="122"/>
      <c r="V108" s="122"/>
      <c r="W108" s="122"/>
      <c r="X108" s="133"/>
      <c r="Y108" s="122"/>
      <c r="Z108" s="123"/>
    </row>
    <row r="109" spans="4:26" ht="18.75" customHeight="1" hidden="1">
      <c r="D109" s="223" t="s">
        <v>254</v>
      </c>
      <c r="E109" s="205"/>
      <c r="F109" s="205"/>
      <c r="G109" s="205"/>
      <c r="H109" s="205"/>
      <c r="I109" s="205"/>
      <c r="J109" s="206"/>
      <c r="K109"/>
      <c r="L109" s="203"/>
      <c r="M109" s="205"/>
      <c r="N109" s="205"/>
      <c r="O109" s="205"/>
      <c r="P109" s="205"/>
      <c r="Q109" s="205"/>
      <c r="R109" s="206"/>
      <c r="T109" s="203"/>
      <c r="U109" s="205"/>
      <c r="V109" s="205"/>
      <c r="W109" s="205"/>
      <c r="X109" s="205"/>
      <c r="Y109" s="205"/>
      <c r="Z109" s="206"/>
    </row>
    <row r="110" spans="4:26" ht="18.75" customHeight="1" hidden="1">
      <c r="D110" s="198" t="s">
        <v>255</v>
      </c>
      <c r="E110" s="130" t="e">
        <f>_xlfn.XLOOKUP(E75,CurrentPlans!B:B,CurrentPlans!AR:AR,"NA",0,1)</f>
        <v>#N/A</v>
      </c>
      <c r="F110" s="200"/>
      <c r="G110" s="200"/>
      <c r="H110" s="200"/>
      <c r="I110" s="130"/>
      <c r="J110" s="201"/>
      <c r="K110"/>
      <c r="L110" s="131" t="str">
        <f ca="1">_xlfn.XLOOKUP(L75,RenewalPlans!B:B,RenewalPlans!AU:AU,"NA",0,1)</f>
        <v>NA</v>
      </c>
      <c r="M110" s="200"/>
      <c r="N110" s="200"/>
      <c r="O110" s="200"/>
      <c r="P110" s="130"/>
      <c r="Q110" s="200"/>
      <c r="R110" s="201"/>
      <c r="T110" s="131" t="str">
        <f>_xlfn.XLOOKUP(T75,RenewalPlans!B:B,RenewalPlans!AU:AU,"NA",0,1)</f>
        <v>NA</v>
      </c>
      <c r="U110" s="200"/>
      <c r="V110" s="200"/>
      <c r="W110" s="200"/>
      <c r="X110" s="130"/>
      <c r="Y110" s="200"/>
      <c r="Z110" s="201"/>
    </row>
    <row r="111" spans="4:26" ht="18" customHeight="1" hidden="1" thickBot="1">
      <c r="D111" s="224" t="s">
        <v>256</v>
      </c>
      <c r="E111" s="137" t="e">
        <f>_xlfn.XLOOKUP(E75,CurrentPlans!B:B,CurrentPlans!AS:AS,"NA",0,1)</f>
        <v>#N/A</v>
      </c>
      <c r="F111" s="225"/>
      <c r="G111" s="225"/>
      <c r="H111" s="225"/>
      <c r="I111" s="137"/>
      <c r="J111" s="226"/>
      <c r="K111"/>
      <c r="L111" s="138" t="str">
        <f ca="1">_xlfn.XLOOKUP(L75,RenewalPlans!B:B,RenewalPlans!AV:AV,"NA",0,1)</f>
        <v>NA</v>
      </c>
      <c r="M111" s="225"/>
      <c r="N111" s="225"/>
      <c r="O111" s="225"/>
      <c r="P111" s="137"/>
      <c r="Q111" s="225"/>
      <c r="R111" s="226"/>
      <c r="T111" s="138" t="str">
        <f>_xlfn.XLOOKUP(T75,RenewalPlans!B:B,RenewalPlans!AV:AV,"NA",0,1)</f>
        <v>NA</v>
      </c>
      <c r="U111" s="225"/>
      <c r="V111" s="225"/>
      <c r="W111" s="225"/>
      <c r="X111" s="137"/>
      <c r="Y111" s="225"/>
      <c r="Z111" s="226"/>
    </row>
    <row r="112" spans="4:26" ht="18" customHeight="1">
      <c r="D112" s="227"/>
      <c r="E112" s="176"/>
      <c r="F112" s="178"/>
      <c r="G112" s="179"/>
      <c r="H112" s="178"/>
      <c r="I112" s="176"/>
      <c r="J112" s="228"/>
      <c r="K112"/>
      <c r="L112" s="178"/>
      <c r="M112" s="176"/>
      <c r="N112" s="139"/>
      <c r="O112" s="178"/>
      <c r="P112" s="178"/>
      <c r="Q112" s="178"/>
      <c r="R112" s="228"/>
      <c r="T112" s="178"/>
      <c r="U112" s="176"/>
      <c r="V112" s="139"/>
      <c r="W112" s="178"/>
      <c r="X112" s="178"/>
      <c r="Y112" s="178"/>
      <c r="Z112" s="228"/>
    </row>
    <row r="113" spans="4:26" ht="5.25" customHeight="1" thickBot="1">
      <c r="D113" s="229"/>
      <c r="E113" s="229"/>
      <c r="F113" s="230"/>
      <c r="G113" s="231"/>
      <c r="H113" s="232"/>
      <c r="I113" s="233"/>
      <c r="J113" s="233"/>
      <c r="K113"/>
      <c r="L113" s="233"/>
      <c r="M113" s="233"/>
      <c r="N113" s="233"/>
      <c r="O113" s="233"/>
      <c r="P113" s="233"/>
      <c r="Q113" s="233"/>
      <c r="R113" s="233"/>
      <c r="T113" s="233"/>
      <c r="U113" s="233"/>
      <c r="V113" s="233"/>
      <c r="W113" s="233"/>
      <c r="X113" s="233"/>
      <c r="Y113" s="233"/>
      <c r="Z113" s="233"/>
    </row>
    <row r="114" spans="1:26" ht="50.15" customHeight="1">
      <c r="A114" s="140">
        <v>3</v>
      </c>
      <c r="B114" s="140" cm="1">
        <f t="array" ref="B114">IF(A114&gt;Class1_CurrentHealthCount,"DELETE",Class1_CurrentHealthStart+A114)</f>
        <v>7</v>
      </c>
      <c r="C114" s="164" t="s">
        <v>276</v>
      </c>
      <c r="D114" s="273" t="e">
        <f ca="1">IF(B114="Delete","",VLOOKUP(F114,BEGIN_CURRENT_HEALTH:END_CURRENT_HEALTH,3,FALSE))</f>
        <v>#N/A</v>
      </c>
      <c r="E114" s="165"/>
      <c r="F114" s="272" t="str" cm="1">
        <f t="array" ca="1" aca="1" ref="F114">IF(B114="Delete","",INDIRECT("CurrentPlans!A"&amp;B114,TRUE))</f>
        <v>Dental</v>
      </c>
      <c r="G114" s="166"/>
      <c r="H114" s="167"/>
      <c r="I114" s="168"/>
      <c r="J114" s="169"/>
      <c r="K114"/>
      <c r="L114" s="274" t="str">
        <f ca="1">_xlfn.IFNA(VLOOKUP(F114,BEGIN_RENEWEDFROM_HEALTH:ROW_RenewHealth_PlanID,3,FALSE),"SELECT PLAN")</f>
        <v>SELECT PLAN</v>
      </c>
      <c r="M114" s="170"/>
      <c r="N114" s="274" t="s">
        <v>237</v>
      </c>
      <c r="O114" s="171"/>
      <c r="P114" s="171"/>
      <c r="Q114" s="171"/>
      <c r="R114" s="169"/>
      <c r="T114" s="274" t="s">
        <v>38</v>
      </c>
      <c r="U114" s="170"/>
      <c r="V114" s="274" t="s">
        <v>237</v>
      </c>
      <c r="W114" s="171"/>
      <c r="X114" s="171"/>
      <c r="Y114" s="171"/>
      <c r="Z114" s="169"/>
    </row>
    <row r="115" spans="4:26" ht="18.75" customHeight="1">
      <c r="D115" s="172" t="s">
        <v>238</v>
      </c>
      <c r="E115" s="407" t="str">
        <f ca="1">_xlfn.IFNA(VLOOKUP(F114,BEGIN_CURRENT_HEALTH:END_CURRENT_HEALTH,CURRENT_COL_EO_count,FALSE),"")</f>
        <v/>
      </c>
      <c r="F115" s="408" t="str">
        <f ca="1">_xlfn.IFNA(VLOOKUP(F114,BEGIN_CURRENT_HEALTH:END_CURRENT_HEALTH,CURRENT_COL_EO,FALSE),"")</f>
        <v/>
      </c>
      <c r="G115" s="468" t="str">
        <f ca="1" t="shared" si="12" ref="G115:G118">IF(F115="","",H115/F115)</f>
        <v/>
      </c>
      <c r="H115" s="408" t="str">
        <f ca="1">_xlfn.IFNA(VLOOKUP(F114,BEGIN_CURRENT_HEALTH:END_CURRENT_HEALTH,CURRENT_COL_EOContrib,FALSE),"")</f>
        <v/>
      </c>
      <c r="I115" s="409" t="str">
        <f ca="1">IFERROR(F115-H115,"")</f>
        <v/>
      </c>
      <c r="J115" s="410" t="str">
        <f ca="1">IF(F115="","",H115*E115)</f>
        <v/>
      </c>
      <c r="K115" s="411"/>
      <c r="L115" s="408" t="str" cm="1">
        <f t="array" ca="1" aca="1" ref="L115">_xlfn.IFNA(VLOOKUP(INDIRECT("L"&amp;ROW()-1)&amp;"_"&amp;$D$12,BEGIN_RENEW_HEALTH:END_RENEW_HEALTH,RENEW_COL_EO,FALSE),"")</f>
        <v/>
      </c>
      <c r="M115" s="412" t="str">
        <f ca="1">IF(E115="","",E115)</f>
        <v/>
      </c>
      <c r="N115" s="413"/>
      <c r="O115" s="414"/>
      <c r="P115" s="415" t="str">
        <f>IFERROR(IF($N114="Keep Contribution Same",H115,IF($N114="Enter Percentages",IF(N115="","",N115*L115),IF($N114="Keep Percentage Same",IF(G115="","",G115*L115),IF($N114="Enter Dollar Amount",IF(O115="","",O115),"")))),"")</f>
        <v/>
      </c>
      <c r="Q115" s="408" t="str">
        <f ca="1">IFERROR(L115-P115,"")</f>
        <v/>
      </c>
      <c r="R115" s="410" t="str">
        <f>IFERROR(IF(P115="","",M115*P115),"")</f>
        <v/>
      </c>
      <c r="S115" s="411"/>
      <c r="T115" s="408" t="str" cm="1">
        <f t="array" ca="1" aca="1" ref="T115">_xlfn.IFNA(VLOOKUP(INDIRECT("T"&amp;ROW()-1)&amp;"_"&amp;$D$12,BEGIN_RENEW_HEALTH:END_RENEW_HEALTH,RENEW_COL_EO,FALSE),"")</f>
        <v/>
      </c>
      <c r="U115" s="412" t="str">
        <f ca="1">IF(E115="","",E115)</f>
        <v/>
      </c>
      <c r="V115" s="413"/>
      <c r="W115" s="414"/>
      <c r="X115" s="415" t="str">
        <f>IFERROR(IF($V114="Keep Contribution Same",H115,IF($V114="Enter Percentages",IF(V115="","",V115*T115),IF($V114="Keep Percentage Same",IF(G115="","",G115*T115),IF($V114="Enter Dollar Amount",IF(W115="","",W115),"")))),"")</f>
        <v/>
      </c>
      <c r="Y115" s="408" t="str">
        <f ca="1">IFERROR(T115-X115,"")</f>
        <v/>
      </c>
      <c r="Z115" s="410" t="str">
        <f>IFERROR(IF(X115="","",U115*X115),"")</f>
        <v/>
      </c>
    </row>
    <row r="116" spans="4:26" ht="18.75" customHeight="1">
      <c r="D116" s="172" t="s">
        <v>239</v>
      </c>
      <c r="E116" s="407" t="str">
        <f ca="1">_xlfn.IFNA(VLOOKUP(F114,BEGIN_CURRENT_HEALTH:END_CURRENT_HEALTH,CURRENT_COL_ES_count,FALSE),"")</f>
        <v/>
      </c>
      <c r="F116" s="408" t="str">
        <f ca="1">_xlfn.IFNA(VLOOKUP(F114,BEGIN_CURRENT_HEALTH:END_CURRENT_HEALTH,CURRENT_COL_ES,FALSE),"")</f>
        <v/>
      </c>
      <c r="G116" s="468" t="str">
        <f t="shared" ca="1" si="12"/>
        <v/>
      </c>
      <c r="H116" s="408" t="str">
        <f ca="1">_xlfn.IFNA(VLOOKUP(F114,BEGIN_CURRENT_HEALTH:END_CURRENT_HEALTH,CURRENT_COL_ESContrib,FALSE),"")</f>
        <v/>
      </c>
      <c r="I116" s="409" t="str">
        <f ca="1" t="shared" si="13" ref="I116:I118">IFERROR(F116-H116,"")</f>
        <v/>
      </c>
      <c r="J116" s="410" t="str">
        <f ca="1">IF(F116="","",H116*E116)</f>
        <v/>
      </c>
      <c r="K116" s="411"/>
      <c r="L116" s="408" t="str" cm="1">
        <f t="array" ca="1" aca="1" ref="L116">_xlfn.IFNA(VLOOKUP(INDIRECT("L"&amp;ROW()-2)&amp;"_"&amp;$D$12,BEGIN_RENEW_HEALTH:END_RENEW_HEALTH,RENEW_COL_ES,FALSE),"")</f>
        <v/>
      </c>
      <c r="M116" s="412" t="str">
        <f ca="1">IF(E116="","",E116)</f>
        <v/>
      </c>
      <c r="N116" s="413"/>
      <c r="O116" s="414"/>
      <c r="P116" s="415" t="str">
        <f>IFERROR(IF($N114="Keep Contribution Same",H116,IF($N114="Enter Percentages",IF(N116="","",N116*L116),IF($N114="Keep Percentage Same",IF(G116="","",G116*L116),IF($N114="Enter Dollar Amount",IF(O116="","",O116),"")))),"")</f>
        <v/>
      </c>
      <c r="Q116" s="408" t="str">
        <f ca="1">IFERROR(L116-P116,"")</f>
        <v/>
      </c>
      <c r="R116" s="410" t="str">
        <f>IFERROR(IF(P116="","",M116*P116),"")</f>
        <v/>
      </c>
      <c r="S116" s="411"/>
      <c r="T116" s="408" t="str" cm="1">
        <f t="array" ca="1" aca="1" ref="T116">_xlfn.IFNA(VLOOKUP(INDIRECT("T"&amp;ROW()-2)&amp;"_"&amp;$D$12,BEGIN_RENEW_HEALTH:END_RENEW_HEALTH,RENEW_COL_ES,FALSE),"")</f>
        <v/>
      </c>
      <c r="U116" s="412" t="str">
        <f ca="1" t="shared" si="14" ref="U116:U118">IF(E116="","",E116)</f>
        <v/>
      </c>
      <c r="V116" s="413"/>
      <c r="W116" s="414"/>
      <c r="X116" s="415" t="str">
        <f>IFERROR(IF($V114="Keep Contribution Same",H116,IF($V114="Enter Percentages",IF(V116="","",V116*T116),IF($V114="Keep Percentage Same",IF(G116="","",G116*T116),IF($V114="Enter Dollar Amount",IF(W116="","",W116),"")))),"")</f>
        <v/>
      </c>
      <c r="Y116" s="408" t="str">
        <f ca="1" t="shared" si="15" ref="Y116:Y118">IFERROR(T116-X116,"")</f>
        <v/>
      </c>
      <c r="Z116" s="410" t="str">
        <f t="shared" si="16" ref="Z116:Z118">IFERROR(IF(X116="","",U116*X116),"")</f>
        <v/>
      </c>
    </row>
    <row r="117" spans="4:26" ht="18.75" customHeight="1">
      <c r="D117" s="172" t="s">
        <v>240</v>
      </c>
      <c r="E117" s="407" t="str">
        <f ca="1">_xlfn.IFNA(VLOOKUP(F114,BEGIN_CURRENT_HEALTH:END_CURRENT_HEALTH,CURRENT_COL_EC_count,FALSE),"")</f>
        <v/>
      </c>
      <c r="F117" s="408" t="str">
        <f ca="1">_xlfn.IFNA(VLOOKUP(F114,BEGIN_CURRENT_HEALTH:END_CURRENT_HEALTH,CURRENT_COL_EC,FALSE),"")</f>
        <v/>
      </c>
      <c r="G117" s="468" t="str">
        <f t="shared" ca="1" si="12"/>
        <v/>
      </c>
      <c r="H117" s="408" t="str">
        <f ca="1">_xlfn.IFNA(VLOOKUP(F114,BEGIN_CURRENT_HEALTH:END_CURRENT_HEALTH,CURRENT_COL_ECContrib,FALSE),"")</f>
        <v/>
      </c>
      <c r="I117" s="409" t="str">
        <f t="shared" ca="1" si="13"/>
        <v/>
      </c>
      <c r="J117" s="410" t="str">
        <f ca="1">IF(F117="","",H117*E117)</f>
        <v/>
      </c>
      <c r="K117" s="411"/>
      <c r="L117" s="408" t="str" cm="1">
        <f t="array" ca="1" aca="1" ref="L117">_xlfn.IFNA(VLOOKUP(INDIRECT("L"&amp;ROW()-3)&amp;"_"&amp;$D$12,BEGIN_RENEW_HEALTH:END_RENEW_HEALTH,RENEW_COL_EC,FALSE),"")</f>
        <v/>
      </c>
      <c r="M117" s="412" t="str">
        <f ca="1">IF(E117="","",E117)</f>
        <v/>
      </c>
      <c r="N117" s="413"/>
      <c r="O117" s="414"/>
      <c r="P117" s="415" t="str">
        <f>IFERROR(IF($N114="Keep Contribution Same",H117,IF($N114="Enter Percentages",IF(N117="","",N117*L117),IF($N114="Keep Percentage Same",IF(G117="","",G117*L117),IF($N114="Enter Dollar Amount",IF(O117="","",O117),"")))),"")</f>
        <v/>
      </c>
      <c r="Q117" s="408" t="str">
        <f ca="1">IFERROR(L117-P117,"")</f>
        <v/>
      </c>
      <c r="R117" s="410" t="str">
        <f>IFERROR(IF(P117="","",M117*P117),"")</f>
        <v/>
      </c>
      <c r="S117" s="411"/>
      <c r="T117" s="408" t="str" cm="1">
        <f t="array" ca="1" aca="1" ref="T117">_xlfn.IFNA(VLOOKUP(INDIRECT("T"&amp;ROW()-3)&amp;"_"&amp;$D$12,BEGIN_RENEW_HEALTH:END_RENEW_HEALTH,RENEW_COL_EC,FALSE),"")</f>
        <v/>
      </c>
      <c r="U117" s="412" t="str">
        <f t="shared" ca="1" si="14"/>
        <v/>
      </c>
      <c r="V117" s="413"/>
      <c r="W117" s="414"/>
      <c r="X117" s="415" t="str">
        <f>IFERROR(IF($V114="Keep Contribution Same",H117,IF($V114="Enter Percentages",IF(V117="","",V117*T117),IF($V114="Keep Percentage Same",IF(G117="","",G117*T117),IF($V114="Enter Dollar Amount",IF(W117="","",W117),"")))),"")</f>
        <v/>
      </c>
      <c r="Y117" s="408" t="str">
        <f t="shared" ca="1" si="15"/>
        <v/>
      </c>
      <c r="Z117" s="410" t="str">
        <f t="shared" si="16"/>
        <v/>
      </c>
    </row>
    <row r="118" spans="4:26" ht="18.75" customHeight="1" thickBot="1">
      <c r="D118" s="174" t="s">
        <v>241</v>
      </c>
      <c r="E118" s="416" t="str">
        <f ca="1">_xlfn.IFNA(VLOOKUP(F114,BEGIN_CURRENT_HEALTH:END_CURRENT_HEALTH,CURRENT_COL_FAM_count,FALSE),"")</f>
        <v/>
      </c>
      <c r="F118" s="417" t="str">
        <f ca="1">_xlfn.IFNA(VLOOKUP(F114,BEGIN_CURRENT_HEALTH:END_CURRENT_HEALTH,CURRENT_COL_FAM,FALSE),"")</f>
        <v/>
      </c>
      <c r="G118" s="469" t="str">
        <f t="shared" ca="1" si="12"/>
        <v/>
      </c>
      <c r="H118" s="417" t="str">
        <f ca="1">_xlfn.IFNA(VLOOKUP(F114,BEGIN_CURRENT_HEALTH:END_CURRENT_HEALTH,CURRENT_COL_FAMContrib,FALSE),"")</f>
        <v/>
      </c>
      <c r="I118" s="418" t="str">
        <f t="shared" ca="1" si="13"/>
        <v/>
      </c>
      <c r="J118" s="419" t="str">
        <f ca="1">IF(F118="","",H118*E118)</f>
        <v/>
      </c>
      <c r="K118" s="411"/>
      <c r="L118" s="417" t="str" cm="1">
        <f t="array" ca="1" aca="1" ref="L118">_xlfn.IFNA(VLOOKUP(INDIRECT("L"&amp;ROW()-4)&amp;"_"&amp;$D$12,BEGIN_RENEW_HEALTH:END_RENEW_HEALTH,RENEW_COL_FAM,FALSE),"")</f>
        <v/>
      </c>
      <c r="M118" s="412" t="str">
        <f ca="1">IF(E118="","",E118)</f>
        <v/>
      </c>
      <c r="N118" s="420"/>
      <c r="O118" s="421"/>
      <c r="P118" s="422" t="str">
        <f>IFERROR(IF($N114="Keep Contribution Same",H118,IF($N114="Enter Percentages",IF(N118="","",N118*L118),IF($N114="Keep Percentage Same",IF(G118="","",G118*L118),IF($N114="Enter Dollar Amount",IF(O118="","",O118),"")))),"")</f>
        <v/>
      </c>
      <c r="Q118" s="422" t="str">
        <f ca="1">IFERROR(L118-P118,"")</f>
        <v/>
      </c>
      <c r="R118" s="410" t="str">
        <f>IFERROR(IF(P118="","",M118*P118),"")</f>
        <v/>
      </c>
      <c r="S118" s="411"/>
      <c r="T118" s="417" t="str" cm="1">
        <f t="array" ca="1" aca="1" ref="T118">_xlfn.IFNA(VLOOKUP(INDIRECT("T"&amp;ROW()-4)&amp;"_"&amp;$D$12,BEGIN_RENEW_HEALTH:END_RENEW_HEALTH,RENEW_COL_FAM,FALSE),"")</f>
        <v/>
      </c>
      <c r="U118" s="423" t="str">
        <f t="shared" ca="1" si="14"/>
        <v/>
      </c>
      <c r="V118" s="420"/>
      <c r="W118" s="421"/>
      <c r="X118" s="422" t="str">
        <f>IFERROR(IF($V114="Keep Contribution Same",H118,IF($V114="Enter Percentages",IF(V118="","",V118*T118),IF($V114="Keep Percentage Same",IF(G118="","",G118*T118),IF($V114="Enter Dollar Amount",IF(W118="","",W118),"")))),"")</f>
        <v/>
      </c>
      <c r="Y118" s="417" t="str">
        <f t="shared" ca="1" si="15"/>
        <v/>
      </c>
      <c r="Z118" s="419" t="str">
        <f t="shared" si="16"/>
        <v/>
      </c>
    </row>
    <row r="119" spans="4:26" ht="18.75" customHeight="1" thickTop="1">
      <c r="D119" s="175" t="s">
        <v>242</v>
      </c>
      <c r="E119" s="424"/>
      <c r="F119" s="425" t="str">
        <f ca="1">IFERROR((F115*E115)+(F116*E116)+(F117*E117)+(F118*E118),"")</f>
        <v/>
      </c>
      <c r="G119" s="426"/>
      <c r="H119" s="427"/>
      <c r="I119" s="428"/>
      <c r="J119" s="429" t="str">
        <f ca="1">IFERROR(IF(J115="","",SUM(J115:J118)),0)</f>
        <v/>
      </c>
      <c r="K119" s="1"/>
      <c r="L119" s="430" t="str">
        <f ca="1">IFERROR((M115*L115)+(M116*L116)+(M117*L117)+(M118*L118),"")</f>
        <v/>
      </c>
      <c r="M119" s="427"/>
      <c r="N119" s="426"/>
      <c r="O119" s="427"/>
      <c r="P119" s="431"/>
      <c r="Q119" s="432"/>
      <c r="R119" s="429" t="str">
        <f>IFERROR(IF(R115="","",SUM(R115:R118)),0)</f>
        <v/>
      </c>
      <c r="T119" s="430" t="str">
        <f ca="1">IFERROR((U115*T115)+(U116*T116)+(U117*T117)+(U118*T118),"")</f>
        <v/>
      </c>
      <c r="U119" s="427"/>
      <c r="V119" s="426"/>
      <c r="W119" s="427"/>
      <c r="X119" s="431"/>
      <c r="Y119" s="432"/>
      <c r="Z119" s="429" t="str">
        <f>IFERROR(IF(Z115="","",SUM(Z115:Z118)),0)</f>
        <v/>
      </c>
    </row>
    <row r="120" spans="4:26" ht="18.75" customHeight="1">
      <c r="D120" s="177" t="s">
        <v>243</v>
      </c>
      <c r="E120" s="433"/>
      <c r="F120" s="434" t="str">
        <f ca="1">IFERROR(F119*12,"")</f>
        <v/>
      </c>
      <c r="G120" s="435"/>
      <c r="H120" s="436"/>
      <c r="I120" s="432"/>
      <c r="J120" s="437" t="str">
        <f ca="1">IF(J119="","",J119*12)</f>
        <v/>
      </c>
      <c r="K120" s="1"/>
      <c r="L120" s="438" t="str">
        <f ca="1">IFERROR(L119*12,"")</f>
        <v/>
      </c>
      <c r="M120" s="436"/>
      <c r="N120" s="435"/>
      <c r="O120" s="436"/>
      <c r="P120" s="432"/>
      <c r="Q120" s="432"/>
      <c r="R120" s="437" t="str">
        <f>IF(R119="","",R119*12)</f>
        <v/>
      </c>
      <c r="T120" s="438" t="str">
        <f ca="1">IFERROR(T119*12,"")</f>
        <v/>
      </c>
      <c r="U120" s="436"/>
      <c r="V120" s="435"/>
      <c r="W120" s="436"/>
      <c r="X120" s="432"/>
      <c r="Y120" s="432"/>
      <c r="Z120" s="437" t="str">
        <f>IF(Z119="","",Z119*12)</f>
        <v/>
      </c>
    </row>
    <row r="121" spans="4:26" ht="18.75" customHeight="1">
      <c r="D121" s="177" t="s">
        <v>244</v>
      </c>
      <c r="E121" s="433"/>
      <c r="F121" s="436"/>
      <c r="G121" s="435"/>
      <c r="H121" s="436"/>
      <c r="I121" s="432"/>
      <c r="J121" s="437"/>
      <c r="K121" s="1"/>
      <c r="L121" s="434" t="str">
        <f ca="1">IFERROR(L120-F120,"")</f>
        <v/>
      </c>
      <c r="M121" s="436"/>
      <c r="N121" s="435"/>
      <c r="O121" s="436"/>
      <c r="P121" s="432"/>
      <c r="Q121" s="432"/>
      <c r="R121" s="437" t="str">
        <f ca="1">IFERROR(IF(J120="","",R120-J120),0)</f>
        <v/>
      </c>
      <c r="T121" s="434" t="str">
        <f ca="1">IFERROR(T120-F120,"")</f>
        <v/>
      </c>
      <c r="U121" s="436"/>
      <c r="V121" s="435"/>
      <c r="W121" s="436"/>
      <c r="X121" s="432"/>
      <c r="Y121" s="432"/>
      <c r="Z121" s="437" t="str">
        <f>IFERROR(IF(R120="","",Z120-R120),0)</f>
        <v/>
      </c>
    </row>
    <row r="122" spans="4:26" ht="18.75" customHeight="1" thickBot="1">
      <c r="D122" s="180" t="s">
        <v>245</v>
      </c>
      <c r="E122" s="439"/>
      <c r="F122" s="440"/>
      <c r="G122" s="441"/>
      <c r="H122" s="440"/>
      <c r="I122" s="442"/>
      <c r="J122" s="443"/>
      <c r="K122" s="1"/>
      <c r="L122" s="444" t="str">
        <f ca="1">IFERROR(L120/F120-1,"")</f>
        <v/>
      </c>
      <c r="M122" s="440"/>
      <c r="N122" s="441"/>
      <c r="O122" s="440"/>
      <c r="P122" s="445"/>
      <c r="Q122" s="445"/>
      <c r="R122" s="446" t="str">
        <f ca="1">IFERROR(IF(J120="","",(R120/J120)-1),0)</f>
        <v/>
      </c>
      <c r="T122" s="444" t="str">
        <f ca="1">IFERROR(T120/F120-1,"")</f>
        <v/>
      </c>
      <c r="U122" s="440"/>
      <c r="V122" s="441"/>
      <c r="W122" s="440"/>
      <c r="X122" s="445"/>
      <c r="Y122" s="445"/>
      <c r="Z122" s="446" t="str">
        <f>IFERROR(IF(R120="","",(Z120/R120)-1),0)</f>
        <v/>
      </c>
    </row>
    <row r="123" spans="4:26" ht="18.75" customHeight="1">
      <c r="D123" s="181" t="s">
        <v>246</v>
      </c>
      <c r="E123" s="182"/>
      <c r="F123" s="182"/>
      <c r="G123" s="182"/>
      <c r="H123" s="182"/>
      <c r="I123" s="182"/>
      <c r="J123" s="183"/>
      <c r="K123"/>
      <c r="L123" s="184"/>
      <c r="M123" s="182"/>
      <c r="N123" s="182"/>
      <c r="O123" s="182"/>
      <c r="P123" s="182"/>
      <c r="Q123" s="182"/>
      <c r="R123" s="183"/>
      <c r="T123" s="184"/>
      <c r="U123" s="182"/>
      <c r="V123" s="182"/>
      <c r="W123" s="182"/>
      <c r="X123" s="182"/>
      <c r="Y123" s="182"/>
      <c r="Z123" s="183"/>
    </row>
    <row r="124" spans="4:26" ht="18.75" customHeight="1" hidden="1">
      <c r="D124" s="185" t="s">
        <v>247</v>
      </c>
      <c r="E124" s="186"/>
      <c r="F124" s="186"/>
      <c r="G124" s="186"/>
      <c r="H124" s="186"/>
      <c r="I124" s="186"/>
      <c r="J124" s="187"/>
      <c r="K124"/>
      <c r="L124" s="188"/>
      <c r="M124" s="186"/>
      <c r="N124" s="186"/>
      <c r="O124" s="186"/>
      <c r="P124" s="186"/>
      <c r="Q124" s="186"/>
      <c r="R124" s="187"/>
      <c r="T124" s="188"/>
      <c r="U124" s="186"/>
      <c r="V124" s="186"/>
      <c r="W124" s="186"/>
      <c r="X124" s="186"/>
      <c r="Y124" s="186"/>
      <c r="Z124" s="187"/>
    </row>
    <row r="125" spans="4:26" ht="18.75" customHeight="1" hidden="1">
      <c r="D125" s="189" t="s">
        <v>248</v>
      </c>
      <c r="E125" s="190" t="e">
        <f ca="1">D114&amp;"_"&amp;D12</f>
        <v>#N/A</v>
      </c>
      <c r="F125" s="191"/>
      <c r="G125" s="191"/>
      <c r="H125" s="191"/>
      <c r="I125" s="190"/>
      <c r="J125" s="192"/>
      <c r="K125"/>
      <c r="L125" s="193" t="str">
        <f ca="1">L114&amp;"_"&amp;D12</f>
        <v>SELECT PLAN_MANAGERS</v>
      </c>
      <c r="M125" s="191"/>
      <c r="N125" s="191"/>
      <c r="O125" s="191"/>
      <c r="P125" s="190"/>
      <c r="Q125" s="191"/>
      <c r="R125" s="192"/>
      <c r="T125" s="193" t="str">
        <f>T114&amp;"_"&amp;D12</f>
        <v>SELECT PLAN_MANAGERS</v>
      </c>
      <c r="U125" s="191"/>
      <c r="V125" s="191"/>
      <c r="W125" s="191"/>
      <c r="X125" s="190"/>
      <c r="Y125" s="191"/>
      <c r="Z125" s="192"/>
    </row>
    <row r="126" spans="4:26" ht="18.75" customHeight="1" hidden="1">
      <c r="D126" s="189" t="s">
        <v>249</v>
      </c>
      <c r="E126" s="191"/>
      <c r="F126" s="191"/>
      <c r="G126" s="191"/>
      <c r="H126" s="191"/>
      <c r="I126" s="191"/>
      <c r="J126" s="192"/>
      <c r="K126"/>
      <c r="L126" s="189"/>
      <c r="M126" s="191"/>
      <c r="N126" s="191"/>
      <c r="O126" s="191"/>
      <c r="P126" s="191"/>
      <c r="Q126" s="191"/>
      <c r="R126" s="192"/>
      <c r="T126" s="189"/>
      <c r="U126" s="191"/>
      <c r="V126" s="191"/>
      <c r="W126" s="191"/>
      <c r="X126" s="191"/>
      <c r="Y126" s="191"/>
      <c r="Z126" s="192"/>
    </row>
    <row r="127" spans="4:26" ht="18.75" customHeight="1" hidden="1">
      <c r="D127" s="194" t="s">
        <v>250</v>
      </c>
      <c r="E127" s="195"/>
      <c r="F127" s="195"/>
      <c r="G127" s="195"/>
      <c r="H127" s="195"/>
      <c r="I127" s="195"/>
      <c r="J127" s="196"/>
      <c r="K127"/>
      <c r="L127" s="197"/>
      <c r="M127" s="195"/>
      <c r="N127" s="195"/>
      <c r="O127" s="195"/>
      <c r="P127" s="195"/>
      <c r="Q127" s="195"/>
      <c r="R127" s="196"/>
      <c r="T127" s="197"/>
      <c r="U127" s="195"/>
      <c r="V127" s="195"/>
      <c r="W127" s="195"/>
      <c r="X127" s="195"/>
      <c r="Y127" s="195"/>
      <c r="Z127" s="196"/>
    </row>
    <row r="128" spans="4:26" ht="18.75" customHeight="1" hidden="1">
      <c r="D128" s="198" t="s">
        <v>251</v>
      </c>
      <c r="E128" s="199" t="e">
        <f>_xlfn.XLOOKUP(E125,CurrentPlans!B:B,CurrentPlans!X:X,"NA",0,1)</f>
        <v>#N/A</v>
      </c>
      <c r="F128" s="200"/>
      <c r="G128" s="200"/>
      <c r="H128" s="200"/>
      <c r="I128" s="199"/>
      <c r="J128" s="201"/>
      <c r="K128"/>
      <c r="L128" s="202" t="str">
        <f ca="1">_xlfn.XLOOKUP(L125,RenewalPlans!B:B,RenewalPlans!AA:AA,"NA",0,1)</f>
        <v>NA</v>
      </c>
      <c r="M128" s="200"/>
      <c r="N128" s="200"/>
      <c r="O128" s="200"/>
      <c r="P128" s="199"/>
      <c r="Q128" s="200"/>
      <c r="R128" s="201"/>
      <c r="T128" s="202" t="str">
        <f>_xlfn.XLOOKUP(T125,RenewalPlans!B:B,RenewalPlans!AA:AA,"NA",0,1)</f>
        <v>NA</v>
      </c>
      <c r="U128" s="200"/>
      <c r="V128" s="200"/>
      <c r="W128" s="200"/>
      <c r="X128" s="199"/>
      <c r="Y128" s="200"/>
      <c r="Z128" s="201"/>
    </row>
    <row r="129" spans="4:26" ht="18.75" customHeight="1" hidden="1">
      <c r="D129" s="198" t="s">
        <v>252</v>
      </c>
      <c r="E129" s="199" t="e">
        <f>_xlfn.XLOOKUP(E125,CurrentPlans!B:B,CurrentPlans!Y:Y,"NA",0,1)</f>
        <v>#N/A</v>
      </c>
      <c r="F129" s="200"/>
      <c r="G129" s="200"/>
      <c r="H129" s="200"/>
      <c r="I129" s="199"/>
      <c r="J129" s="201"/>
      <c r="K129"/>
      <c r="L129" s="202" t="str">
        <f ca="1">_xlfn.XLOOKUP(L125,RenewalPlans!B:B,RenewalPlans!AB:AB,"NA",0,1)</f>
        <v>NA</v>
      </c>
      <c r="M129" s="200"/>
      <c r="N129" s="200"/>
      <c r="O129" s="200"/>
      <c r="P129" s="199"/>
      <c r="Q129" s="200"/>
      <c r="R129" s="201"/>
      <c r="T129" s="202" t="str">
        <f>_xlfn.XLOOKUP(T125,RenewalPlans!B:B,RenewalPlans!AB:AB,"NA",0,1)</f>
        <v>NA</v>
      </c>
      <c r="U129" s="200"/>
      <c r="V129" s="200"/>
      <c r="W129" s="200"/>
      <c r="X129" s="199"/>
      <c r="Y129" s="200"/>
      <c r="Z129" s="201"/>
    </row>
    <row r="130" spans="4:26" ht="18.75" customHeight="1" hidden="1">
      <c r="D130" s="120" t="s">
        <v>253</v>
      </c>
      <c r="E130" s="121" t="e">
        <f>_xlfn.XLOOKUP(E125,CurrentPlans!B:B,CurrentPlans!W:W,"NA",0,1)</f>
        <v>#N/A</v>
      </c>
      <c r="F130" s="122"/>
      <c r="G130" s="122"/>
      <c r="H130" s="122"/>
      <c r="I130" s="121"/>
      <c r="J130" s="123"/>
      <c r="K130"/>
      <c r="L130" s="124" t="str">
        <f ca="1">_xlfn.XLOOKUP(L125,RenewalPlans!B:B,RenewalPlans!Z:Z,"NA",0,1)</f>
        <v>NA</v>
      </c>
      <c r="M130" s="122"/>
      <c r="N130" s="122"/>
      <c r="O130" s="122"/>
      <c r="P130" s="121"/>
      <c r="Q130" s="122"/>
      <c r="R130" s="123"/>
      <c r="T130" s="124" t="str">
        <f>_xlfn.XLOOKUP(T125,RenewalPlans!B:B,RenewalPlans!Z:Z,"NA",0,1)</f>
        <v>NA</v>
      </c>
      <c r="U130" s="122"/>
      <c r="V130" s="122"/>
      <c r="W130" s="122"/>
      <c r="X130" s="121"/>
      <c r="Y130" s="122"/>
      <c r="Z130" s="123"/>
    </row>
    <row r="131" spans="4:26" ht="18.75" customHeight="1" hidden="1">
      <c r="D131" s="203" t="s">
        <v>254</v>
      </c>
      <c r="E131" s="204"/>
      <c r="F131" s="205"/>
      <c r="G131" s="205"/>
      <c r="H131" s="205"/>
      <c r="I131" s="204"/>
      <c r="J131" s="206"/>
      <c r="K131"/>
      <c r="L131" s="207"/>
      <c r="M131" s="205"/>
      <c r="N131" s="205"/>
      <c r="O131" s="205"/>
      <c r="P131" s="204"/>
      <c r="Q131" s="205"/>
      <c r="R131" s="206"/>
      <c r="T131" s="207"/>
      <c r="U131" s="205"/>
      <c r="V131" s="205"/>
      <c r="W131" s="205"/>
      <c r="X131" s="204"/>
      <c r="Y131" s="205"/>
      <c r="Z131" s="206"/>
    </row>
    <row r="132" spans="4:26" ht="18.75" customHeight="1" hidden="1">
      <c r="D132" s="125" t="s">
        <v>255</v>
      </c>
      <c r="E132" s="126" t="e">
        <f>_xlfn.XLOOKUP(E125,CurrentPlans!B:B,CurrentPlans!Z:Z,"NA",0,1)</f>
        <v>#N/A</v>
      </c>
      <c r="F132" s="127"/>
      <c r="G132" s="127"/>
      <c r="H132" s="127"/>
      <c r="I132" s="126"/>
      <c r="J132" s="128"/>
      <c r="K132"/>
      <c r="L132" s="129" t="str">
        <f ca="1">_xlfn.XLOOKUP(L125,RenewalPlans!B:B,RenewalPlans!AC:AC,"NA",0,1)</f>
        <v>NA</v>
      </c>
      <c r="M132" s="127"/>
      <c r="N132" s="127"/>
      <c r="O132" s="127"/>
      <c r="P132" s="126"/>
      <c r="Q132" s="127"/>
      <c r="R132" s="128"/>
      <c r="T132" s="129" t="str">
        <f>_xlfn.XLOOKUP(T125,RenewalPlans!B:B,RenewalPlans!AC:AC,"NA",0,1)</f>
        <v>NA</v>
      </c>
      <c r="U132" s="127"/>
      <c r="V132" s="127"/>
      <c r="W132" s="127"/>
      <c r="X132" s="126"/>
      <c r="Y132" s="127"/>
      <c r="Z132" s="128"/>
    </row>
    <row r="133" spans="4:26" ht="18.75" customHeight="1" hidden="1">
      <c r="D133" s="198" t="s">
        <v>256</v>
      </c>
      <c r="E133" s="208" t="e">
        <f>_xlfn.XLOOKUP(E125,CurrentPlans!B:B,CurrentPlans!AA:AA,"NA",0,1)</f>
        <v>#N/A</v>
      </c>
      <c r="F133" s="200"/>
      <c r="G133" s="200"/>
      <c r="H133" s="200"/>
      <c r="I133" s="208"/>
      <c r="J133" s="201"/>
      <c r="K133"/>
      <c r="L133" s="209" t="str">
        <f ca="1">_xlfn.XLOOKUP(L125,RenewalPlans!B:B,RenewalPlans!AD:AD,"NA",0,1)</f>
        <v>NA</v>
      </c>
      <c r="M133" s="200"/>
      <c r="N133" s="200"/>
      <c r="O133" s="200"/>
      <c r="P133" s="208"/>
      <c r="Q133" s="200"/>
      <c r="R133" s="201"/>
      <c r="T133" s="209" t="str">
        <f>_xlfn.XLOOKUP(T125,RenewalPlans!B:B,RenewalPlans!AD:AD,"NA",0,1)</f>
        <v>NA</v>
      </c>
      <c r="U133" s="200"/>
      <c r="V133" s="200"/>
      <c r="W133" s="200"/>
      <c r="X133" s="208"/>
      <c r="Y133" s="200"/>
      <c r="Z133" s="201"/>
    </row>
    <row r="134" spans="4:26" ht="18.75" customHeight="1" hidden="1">
      <c r="D134" s="203" t="s">
        <v>257</v>
      </c>
      <c r="E134" s="204"/>
      <c r="F134" s="205"/>
      <c r="G134" s="205"/>
      <c r="H134" s="205"/>
      <c r="I134" s="204"/>
      <c r="J134" s="206"/>
      <c r="K134"/>
      <c r="L134" s="207"/>
      <c r="M134" s="205"/>
      <c r="N134" s="205"/>
      <c r="O134" s="205"/>
      <c r="P134" s="204"/>
      <c r="Q134" s="205"/>
      <c r="R134" s="206"/>
      <c r="T134" s="207"/>
      <c r="U134" s="205"/>
      <c r="V134" s="205"/>
      <c r="W134" s="205"/>
      <c r="X134" s="204"/>
      <c r="Y134" s="205"/>
      <c r="Z134" s="206"/>
    </row>
    <row r="135" spans="4:26" ht="18.75" customHeight="1" hidden="1">
      <c r="D135" s="198" t="s">
        <v>258</v>
      </c>
      <c r="E135" s="208" t="e">
        <f>_xlfn.XLOOKUP(E125,CurrentPlans!B:B,CurrentPlans!AB:AB,"NA",0,1)</f>
        <v>#N/A</v>
      </c>
      <c r="F135" s="200"/>
      <c r="G135" s="200"/>
      <c r="H135" s="200"/>
      <c r="I135" s="208"/>
      <c r="J135" s="201"/>
      <c r="K135"/>
      <c r="L135" s="209" t="str">
        <f ca="1">_xlfn.XLOOKUP(L125,RenewalPlans!B:B,RenewalPlans!AE:AE,"NA",0,1)</f>
        <v>NA</v>
      </c>
      <c r="M135" s="200"/>
      <c r="N135" s="200"/>
      <c r="O135" s="200"/>
      <c r="P135" s="208"/>
      <c r="Q135" s="200"/>
      <c r="R135" s="201"/>
      <c r="T135" s="209" t="str">
        <f>_xlfn.XLOOKUP(T125,RenewalPlans!B:B,RenewalPlans!AE:AE,"NA",0,1)</f>
        <v>NA</v>
      </c>
      <c r="U135" s="200"/>
      <c r="V135" s="200"/>
      <c r="W135" s="200"/>
      <c r="X135" s="208"/>
      <c r="Y135" s="200"/>
      <c r="Z135" s="201"/>
    </row>
    <row r="136" spans="4:26" ht="18.75" customHeight="1" hidden="1">
      <c r="D136" s="198" t="s">
        <v>259</v>
      </c>
      <c r="E136" s="208" t="e">
        <f>_xlfn.XLOOKUP(E125,CurrentPlans!B:B,CurrentPlans!AC:AC,"NA",0,1)</f>
        <v>#N/A</v>
      </c>
      <c r="F136" s="200"/>
      <c r="G136" s="200"/>
      <c r="H136" s="200"/>
      <c r="I136" s="208"/>
      <c r="J136" s="201"/>
      <c r="K136"/>
      <c r="L136" s="209" t="str">
        <f ca="1">_xlfn.XLOOKUP(L125,RenewalPlans!B:B,RenewalPlans!AF:AF,"NA",0,1)</f>
        <v>NA</v>
      </c>
      <c r="M136" s="200"/>
      <c r="N136" s="200"/>
      <c r="O136" s="200"/>
      <c r="P136" s="208"/>
      <c r="Q136" s="200"/>
      <c r="R136" s="201"/>
      <c r="T136" s="209" t="str">
        <f>_xlfn.XLOOKUP(T125,RenewalPlans!B:B,RenewalPlans!AF:AF,"NA",0,1)</f>
        <v>NA</v>
      </c>
      <c r="U136" s="200"/>
      <c r="V136" s="200"/>
      <c r="W136" s="200"/>
      <c r="X136" s="208"/>
      <c r="Y136" s="200"/>
      <c r="Z136" s="201"/>
    </row>
    <row r="137" spans="4:26" ht="18.75" customHeight="1" hidden="1">
      <c r="D137" s="210"/>
      <c r="E137" s="211"/>
      <c r="F137" s="211"/>
      <c r="G137" s="211"/>
      <c r="H137" s="211"/>
      <c r="I137" s="211"/>
      <c r="J137" s="212"/>
      <c r="K137"/>
      <c r="L137" s="210"/>
      <c r="M137" s="211"/>
      <c r="N137" s="211"/>
      <c r="O137" s="211"/>
      <c r="P137" s="211"/>
      <c r="Q137" s="211"/>
      <c r="R137" s="212"/>
      <c r="T137" s="210"/>
      <c r="U137" s="211"/>
      <c r="V137" s="211"/>
      <c r="W137" s="211"/>
      <c r="X137" s="211"/>
      <c r="Y137" s="211"/>
      <c r="Z137" s="212"/>
    </row>
    <row r="138" spans="4:26" ht="18.75" customHeight="1" hidden="1">
      <c r="D138" s="185" t="s">
        <v>260</v>
      </c>
      <c r="E138" s="186"/>
      <c r="F138" s="186"/>
      <c r="G138" s="186"/>
      <c r="H138" s="186"/>
      <c r="I138" s="186"/>
      <c r="J138" s="187"/>
      <c r="K138"/>
      <c r="L138" s="188"/>
      <c r="M138" s="186"/>
      <c r="N138" s="186"/>
      <c r="O138" s="186"/>
      <c r="P138" s="186"/>
      <c r="Q138" s="186"/>
      <c r="R138" s="187"/>
      <c r="T138" s="188"/>
      <c r="U138" s="186"/>
      <c r="V138" s="186"/>
      <c r="W138" s="186"/>
      <c r="X138" s="186"/>
      <c r="Y138" s="186"/>
      <c r="Z138" s="187"/>
    </row>
    <row r="139" spans="4:26" ht="18.75" customHeight="1" hidden="1">
      <c r="D139" s="213" t="s">
        <v>261</v>
      </c>
      <c r="E139" s="130" t="e">
        <f>_xlfn.XLOOKUP(E125,CurrentPlans!B:B,CurrentPlans!AJ:AJ,"NA",0,1)</f>
        <v>#N/A</v>
      </c>
      <c r="F139" s="214"/>
      <c r="G139" s="214"/>
      <c r="H139" s="214"/>
      <c r="I139" s="130"/>
      <c r="J139" s="215"/>
      <c r="K139"/>
      <c r="L139" s="131" t="str">
        <f ca="1">_xlfn.XLOOKUP(L125,RenewalPlans!B:B,RenewalPlans!AM:AM,"NA",0,1)</f>
        <v>NA</v>
      </c>
      <c r="M139" s="214"/>
      <c r="N139" s="214"/>
      <c r="O139" s="214"/>
      <c r="P139" s="130"/>
      <c r="Q139" s="214"/>
      <c r="R139" s="215"/>
      <c r="T139" s="131" t="str">
        <f>_xlfn.XLOOKUP(T125,RenewalPlans!B:B,RenewalPlans!AM:AM,"NA",0,1)</f>
        <v>NA</v>
      </c>
      <c r="U139" s="214"/>
      <c r="V139" s="214"/>
      <c r="W139" s="214"/>
      <c r="X139" s="130"/>
      <c r="Y139" s="214"/>
      <c r="Z139" s="215"/>
    </row>
    <row r="140" spans="4:26" ht="18.75" customHeight="1" hidden="1">
      <c r="D140" s="198" t="s">
        <v>262</v>
      </c>
      <c r="E140" s="130" t="e">
        <f>_xlfn.XLOOKUP(E125,CurrentPlans!B:B,CurrentPlans!AM:AM,"NA",0,1)</f>
        <v>#N/A</v>
      </c>
      <c r="F140" s="200"/>
      <c r="G140" s="200"/>
      <c r="H140" s="200"/>
      <c r="I140" s="130"/>
      <c r="J140" s="201"/>
      <c r="K140"/>
      <c r="L140" s="131" t="str">
        <f ca="1">_xlfn.XLOOKUP(L125,RenewalPlans!B:B,RenewalPlans!AP:AP,"NA",0,1)</f>
        <v>NA</v>
      </c>
      <c r="M140" s="200"/>
      <c r="N140" s="200"/>
      <c r="O140" s="200"/>
      <c r="P140" s="130"/>
      <c r="Q140" s="200"/>
      <c r="R140" s="201"/>
      <c r="T140" s="131" t="str">
        <f>_xlfn.XLOOKUP(T125,RenewalPlans!B:B,RenewalPlans!AP:AP,"NA",0,1)</f>
        <v>NA</v>
      </c>
      <c r="U140" s="200"/>
      <c r="V140" s="200"/>
      <c r="W140" s="200"/>
      <c r="X140" s="130"/>
      <c r="Y140" s="200"/>
      <c r="Z140" s="201"/>
    </row>
    <row r="141" spans="4:26" ht="18.75" customHeight="1" hidden="1">
      <c r="D141" s="198" t="s">
        <v>263</v>
      </c>
      <c r="E141" s="130" t="e">
        <f>_xlfn.XLOOKUP(E125,CurrentPlans!B:B,CurrentPlans!AI:AI,"NA",0,1)</f>
        <v>#N/A</v>
      </c>
      <c r="F141" s="200"/>
      <c r="G141" s="200"/>
      <c r="H141" s="200"/>
      <c r="I141" s="130"/>
      <c r="J141" s="201"/>
      <c r="K141"/>
      <c r="L141" s="131" t="str">
        <f ca="1">_xlfn.XLOOKUP(L125,RenewalPlans!B:B,RenewalPlans!AL:AL,"NA",0,1)</f>
        <v>NA</v>
      </c>
      <c r="M141" s="200"/>
      <c r="N141" s="200"/>
      <c r="O141" s="200"/>
      <c r="P141" s="130"/>
      <c r="Q141" s="200"/>
      <c r="R141" s="201"/>
      <c r="T141" s="131" t="str">
        <f>_xlfn.XLOOKUP(T125,RenewalPlans!B:B,RenewalPlans!AL:AL,"NA",0,1)</f>
        <v>NA</v>
      </c>
      <c r="U141" s="200"/>
      <c r="V141" s="200"/>
      <c r="W141" s="200"/>
      <c r="X141" s="130"/>
      <c r="Y141" s="200"/>
      <c r="Z141" s="201"/>
    </row>
    <row r="142" spans="4:26" ht="18.75" customHeight="1" hidden="1">
      <c r="D142" s="198" t="s">
        <v>264</v>
      </c>
      <c r="E142" s="208" t="e">
        <f>_xlfn.XLOOKUP(E125,CurrentPlans!B:B,CurrentPlans!AN:AN,"NA",0,1)</f>
        <v>#N/A</v>
      </c>
      <c r="F142" s="200"/>
      <c r="G142" s="200"/>
      <c r="H142" s="200"/>
      <c r="I142" s="208"/>
      <c r="J142" s="201"/>
      <c r="K142"/>
      <c r="L142" s="209" t="str">
        <f ca="1">_xlfn.XLOOKUP(L125,RenewalPlans!B:B,RenewalPlans!AQ:AQ,"NA",0,1)</f>
        <v>NA</v>
      </c>
      <c r="M142" s="200"/>
      <c r="N142" s="200"/>
      <c r="O142" s="200"/>
      <c r="P142" s="208"/>
      <c r="Q142" s="200"/>
      <c r="R142" s="201"/>
      <c r="T142" s="209" t="str">
        <f>_xlfn.XLOOKUP(T125,RenewalPlans!B:B,RenewalPlans!AQ:AQ,"NA",0,1)</f>
        <v>NA</v>
      </c>
      <c r="U142" s="200"/>
      <c r="V142" s="200"/>
      <c r="W142" s="200"/>
      <c r="X142" s="208"/>
      <c r="Y142" s="200"/>
      <c r="Z142" s="201"/>
    </row>
    <row r="143" spans="4:26" ht="18.75" customHeight="1" hidden="1">
      <c r="D143" s="210"/>
      <c r="E143" s="211"/>
      <c r="F143" s="211"/>
      <c r="G143" s="211"/>
      <c r="H143" s="211"/>
      <c r="I143" s="211"/>
      <c r="J143" s="212"/>
      <c r="K143"/>
      <c r="L143" s="210"/>
      <c r="M143" s="211"/>
      <c r="N143" s="211"/>
      <c r="O143" s="211"/>
      <c r="P143" s="211"/>
      <c r="Q143" s="211"/>
      <c r="R143" s="212"/>
      <c r="T143" s="210"/>
      <c r="U143" s="211"/>
      <c r="V143" s="211"/>
      <c r="W143" s="211"/>
      <c r="X143" s="211"/>
      <c r="Y143" s="211"/>
      <c r="Z143" s="212"/>
    </row>
    <row r="144" spans="4:26" ht="18.75" customHeight="1" hidden="1">
      <c r="D144" s="185" t="s">
        <v>265</v>
      </c>
      <c r="E144" s="186"/>
      <c r="F144" s="186"/>
      <c r="G144" s="186"/>
      <c r="H144" s="186"/>
      <c r="I144" s="186"/>
      <c r="J144" s="187"/>
      <c r="K144"/>
      <c r="L144" s="188"/>
      <c r="M144" s="186"/>
      <c r="N144" s="186"/>
      <c r="O144" s="186"/>
      <c r="P144" s="186"/>
      <c r="Q144" s="186"/>
      <c r="R144" s="187"/>
      <c r="T144" s="188"/>
      <c r="U144" s="186"/>
      <c r="V144" s="186"/>
      <c r="W144" s="186"/>
      <c r="X144" s="186"/>
      <c r="Y144" s="186"/>
      <c r="Z144" s="187"/>
    </row>
    <row r="145" spans="4:26" ht="18.75" customHeight="1" hidden="1">
      <c r="D145" s="132" t="s">
        <v>266</v>
      </c>
      <c r="E145" s="133" t="e">
        <f>_xlfn.XLOOKUP(E125,CurrentPlans!B:B,CurrentPlans!AE:AE,"NA",0,1)</f>
        <v>#N/A</v>
      </c>
      <c r="F145" s="134"/>
      <c r="G145" s="134"/>
      <c r="H145" s="134"/>
      <c r="I145" s="133"/>
      <c r="J145" s="135"/>
      <c r="K145"/>
      <c r="L145" s="136" t="str">
        <f ca="1">_xlfn.XLOOKUP(L125,RenewalPlans!B:B,RenewalPlans!AH:AH,"NA",0,1)</f>
        <v>NA</v>
      </c>
      <c r="M145" s="134"/>
      <c r="N145" s="134"/>
      <c r="O145" s="134"/>
      <c r="P145" s="133"/>
      <c r="Q145" s="134"/>
      <c r="R145" s="135"/>
      <c r="T145" s="136" t="str">
        <f>_xlfn.XLOOKUP(T125,RenewalPlans!B:B,RenewalPlans!AH:AH,"NA",0,1)</f>
        <v>NA</v>
      </c>
      <c r="U145" s="134"/>
      <c r="V145" s="134"/>
      <c r="W145" s="134"/>
      <c r="X145" s="133"/>
      <c r="Y145" s="134"/>
      <c r="Z145" s="135"/>
    </row>
    <row r="146" spans="4:26" ht="18.75" customHeight="1" hidden="1">
      <c r="D146" s="120" t="s">
        <v>267</v>
      </c>
      <c r="E146" s="130" t="e">
        <f>_xlfn.XLOOKUP(E125,CurrentPlans!B:B,CurrentPlans!AF:AF,"NA",0,1)</f>
        <v>#N/A</v>
      </c>
      <c r="F146" s="122"/>
      <c r="G146" s="122"/>
      <c r="H146" s="122"/>
      <c r="I146" s="130"/>
      <c r="J146" s="123"/>
      <c r="K146"/>
      <c r="L146" s="131" t="str">
        <f ca="1">_xlfn.XLOOKUP(L125,RenewalPlans!B:B,RenewalPlans!AI:AI,"NA",0,1)</f>
        <v>NA</v>
      </c>
      <c r="M146" s="122"/>
      <c r="N146" s="122"/>
      <c r="O146" s="122"/>
      <c r="P146" s="130"/>
      <c r="Q146" s="122"/>
      <c r="R146" s="123"/>
      <c r="T146" s="131" t="str">
        <f>_xlfn.XLOOKUP(T125,RenewalPlans!B:B,RenewalPlans!AI:AI,"NA",0,1)</f>
        <v>NA</v>
      </c>
      <c r="U146" s="122"/>
      <c r="V146" s="122"/>
      <c r="W146" s="122"/>
      <c r="X146" s="130"/>
      <c r="Y146" s="122"/>
      <c r="Z146" s="123"/>
    </row>
    <row r="147" spans="4:26" ht="18.75" customHeight="1" hidden="1">
      <c r="D147" s="198" t="s">
        <v>268</v>
      </c>
      <c r="E147" s="130" t="e">
        <f>_xlfn.XLOOKUP(E125,CurrentPlans!B:B,CurrentPlans!AH:AH,"NA",0,1)</f>
        <v>#N/A</v>
      </c>
      <c r="F147" s="200"/>
      <c r="G147" s="200"/>
      <c r="H147" s="200"/>
      <c r="I147" s="130"/>
      <c r="J147" s="201"/>
      <c r="K147"/>
      <c r="L147" s="131" t="str">
        <f ca="1">_xlfn.XLOOKUP(L125,RenewalPlans!B:B,RenewalPlans!AK:AK,"NA",0,1)</f>
        <v>NA</v>
      </c>
      <c r="M147" s="200"/>
      <c r="N147" s="200"/>
      <c r="O147" s="200"/>
      <c r="P147" s="130"/>
      <c r="Q147" s="200"/>
      <c r="R147" s="201"/>
      <c r="T147" s="131" t="str">
        <f>_xlfn.XLOOKUP(T125,RenewalPlans!B:B,RenewalPlans!AK:AK,"NA",0,1)</f>
        <v>NA</v>
      </c>
      <c r="U147" s="200"/>
      <c r="V147" s="200"/>
      <c r="W147" s="200"/>
      <c r="X147" s="130"/>
      <c r="Y147" s="200"/>
      <c r="Z147" s="201"/>
    </row>
    <row r="148" spans="4:26" ht="18.75" customHeight="1" hidden="1">
      <c r="D148" s="198" t="s">
        <v>269</v>
      </c>
      <c r="E148" s="130" t="e">
        <f>_xlfn.XLOOKUP(E125,CurrentPlans!B:B,CurrentPlans!AG:AG,"NA",0,1)</f>
        <v>#N/A</v>
      </c>
      <c r="F148" s="200"/>
      <c r="G148" s="200"/>
      <c r="H148" s="200"/>
      <c r="I148" s="130"/>
      <c r="J148" s="201"/>
      <c r="K148"/>
      <c r="L148" s="131" t="str">
        <f ca="1">_xlfn.XLOOKUP(L125,RenewalPlans!B:B,RenewalPlans!AJ:AJ,"NA",0,1)</f>
        <v>NA</v>
      </c>
      <c r="M148" s="200"/>
      <c r="N148" s="200"/>
      <c r="O148" s="200"/>
      <c r="P148" s="130"/>
      <c r="Q148" s="200"/>
      <c r="R148" s="201"/>
      <c r="T148" s="131" t="str">
        <f>_xlfn.XLOOKUP(T125,RenewalPlans!B:B,RenewalPlans!AJ:AJ,"NA",0,1)</f>
        <v>NA</v>
      </c>
      <c r="U148" s="200"/>
      <c r="V148" s="200"/>
      <c r="W148" s="200"/>
      <c r="X148" s="130"/>
      <c r="Y148" s="200"/>
      <c r="Z148" s="201"/>
    </row>
    <row r="149" spans="4:26" ht="18.75" customHeight="1" hidden="1">
      <c r="D149" s="213" t="s">
        <v>270</v>
      </c>
      <c r="E149" s="216" t="e">
        <f>_xlfn.XLOOKUP(E125,CurrentPlans!B:B,CurrentPlans!AU:AU,"NA",0,1)</f>
        <v>#N/A</v>
      </c>
      <c r="F149" s="214"/>
      <c r="G149" s="214"/>
      <c r="H149" s="214"/>
      <c r="I149" s="217"/>
      <c r="J149" s="215"/>
      <c r="K149"/>
      <c r="L149" s="218" t="str">
        <f ca="1">_xlfn.XLOOKUP(L125,RenewalPlans!B:B,RenewalPlans!AX:AX,"NA",0,1)</f>
        <v>NA</v>
      </c>
      <c r="M149" s="214"/>
      <c r="N149" s="214"/>
      <c r="O149" s="214"/>
      <c r="P149" s="217"/>
      <c r="Q149" s="214"/>
      <c r="R149" s="215"/>
      <c r="T149" s="218" t="str">
        <f>_xlfn.XLOOKUP(T125,RenewalPlans!B:B,RenewalPlans!AX:AX,"NA",0,1)</f>
        <v>NA</v>
      </c>
      <c r="U149" s="214"/>
      <c r="V149" s="214"/>
      <c r="W149" s="214"/>
      <c r="X149" s="217"/>
      <c r="Y149" s="214"/>
      <c r="Z149" s="215"/>
    </row>
    <row r="150" spans="4:26" ht="18.75" customHeight="1" hidden="1">
      <c r="D150" s="213" t="s">
        <v>271</v>
      </c>
      <c r="E150" s="216" t="e">
        <f>_xlfn.XLOOKUP(E125,CurrentPlans!B:B,CurrentPlans!AT:AT,"NA",0,1)</f>
        <v>#N/A</v>
      </c>
      <c r="F150" s="214"/>
      <c r="G150" s="214"/>
      <c r="H150" s="214"/>
      <c r="I150" s="217"/>
      <c r="J150" s="215"/>
      <c r="K150"/>
      <c r="L150" s="218" t="str">
        <f ca="1">_xlfn.XLOOKUP(L125,RenewalPlans!B:B,RenewalPlans!AW:AW,"NA",0,1)</f>
        <v>NA</v>
      </c>
      <c r="M150" s="214"/>
      <c r="N150" s="214"/>
      <c r="O150" s="214"/>
      <c r="P150" s="217"/>
      <c r="Q150" s="214"/>
      <c r="R150" s="215"/>
      <c r="T150" s="218" t="str">
        <f>_xlfn.XLOOKUP(T125,RenewalPlans!B:B,RenewalPlans!AW:AW,"NA",0,1)</f>
        <v>NA</v>
      </c>
      <c r="U150" s="214"/>
      <c r="V150" s="214"/>
      <c r="W150" s="214"/>
      <c r="X150" s="217"/>
      <c r="Y150" s="214"/>
      <c r="Z150" s="215"/>
    </row>
    <row r="151" spans="4:26" ht="18.75" customHeight="1" hidden="1">
      <c r="D151" s="198" t="s">
        <v>272</v>
      </c>
      <c r="E151" s="130" t="e">
        <f>_xlfn.XLOOKUP(E125,CurrentPlans!B:B,CurrentPlans!AD:AD,"NA",0,1)</f>
        <v>#N/A</v>
      </c>
      <c r="F151" s="200"/>
      <c r="G151" s="200"/>
      <c r="H151" s="200"/>
      <c r="I151" s="130"/>
      <c r="J151" s="201"/>
      <c r="K151"/>
      <c r="L151" s="131" t="str">
        <f ca="1">_xlfn.XLOOKUP(L125,RenewalPlans!B:B,RenewalPlans!AG:AG,"NA",0,1)</f>
        <v>NA</v>
      </c>
      <c r="M151" s="200"/>
      <c r="N151" s="200"/>
      <c r="O151" s="200"/>
      <c r="P151" s="130"/>
      <c r="Q151" s="200"/>
      <c r="R151" s="201"/>
      <c r="T151" s="131" t="str">
        <f>_xlfn.XLOOKUP(T125,RenewalPlans!B:B,RenewalPlans!AG:AG,"NA",0,1)</f>
        <v>NA</v>
      </c>
      <c r="U151" s="200"/>
      <c r="V151" s="200"/>
      <c r="W151" s="200"/>
      <c r="X151" s="130"/>
      <c r="Y151" s="200"/>
      <c r="Z151" s="201"/>
    </row>
    <row r="152" spans="4:26" ht="18.75" customHeight="1" hidden="1">
      <c r="D152" s="198" t="s">
        <v>273</v>
      </c>
      <c r="E152" s="200"/>
      <c r="F152" s="200"/>
      <c r="G152" s="200"/>
      <c r="H152" s="200"/>
      <c r="I152" s="200"/>
      <c r="J152" s="201"/>
      <c r="K152"/>
      <c r="L152" s="198"/>
      <c r="M152" s="200"/>
      <c r="N152" s="200"/>
      <c r="O152" s="200"/>
      <c r="P152" s="200"/>
      <c r="Q152" s="200"/>
      <c r="R152" s="201"/>
      <c r="T152" s="198"/>
      <c r="U152" s="200"/>
      <c r="V152" s="200"/>
      <c r="W152" s="200"/>
      <c r="X152" s="200"/>
      <c r="Y152" s="200"/>
      <c r="Z152" s="201"/>
    </row>
    <row r="153" spans="4:26" ht="18.75" customHeight="1" hidden="1">
      <c r="D153" s="210"/>
      <c r="E153" s="211"/>
      <c r="F153" s="211"/>
      <c r="G153" s="211"/>
      <c r="H153" s="211"/>
      <c r="I153" s="211"/>
      <c r="J153" s="212"/>
      <c r="K153"/>
      <c r="L153" s="210"/>
      <c r="M153" s="211"/>
      <c r="N153" s="211"/>
      <c r="O153" s="211"/>
      <c r="P153" s="211"/>
      <c r="Q153" s="211"/>
      <c r="R153" s="212"/>
      <c r="T153" s="210"/>
      <c r="U153" s="211"/>
      <c r="V153" s="211"/>
      <c r="W153" s="211"/>
      <c r="X153" s="211"/>
      <c r="Y153" s="211"/>
      <c r="Z153" s="212"/>
    </row>
    <row r="154" spans="4:26" ht="18.75" customHeight="1" hidden="1">
      <c r="D154" s="219" t="s">
        <v>274</v>
      </c>
      <c r="E154" s="220"/>
      <c r="F154" s="220"/>
      <c r="G154" s="220"/>
      <c r="H154" s="220"/>
      <c r="I154" s="220"/>
      <c r="J154" s="221"/>
      <c r="K154"/>
      <c r="L154" s="222"/>
      <c r="M154" s="220"/>
      <c r="N154" s="220"/>
      <c r="O154" s="220"/>
      <c r="P154" s="220"/>
      <c r="Q154" s="220"/>
      <c r="R154" s="221"/>
      <c r="T154" s="222"/>
      <c r="U154" s="220"/>
      <c r="V154" s="220"/>
      <c r="W154" s="220"/>
      <c r="X154" s="220"/>
      <c r="Y154" s="220"/>
      <c r="Z154" s="221"/>
    </row>
    <row r="155" spans="4:26" ht="18.75" customHeight="1" hidden="1">
      <c r="D155" s="223" t="s">
        <v>250</v>
      </c>
      <c r="E155" s="205"/>
      <c r="F155" s="205"/>
      <c r="G155" s="205"/>
      <c r="H155" s="205"/>
      <c r="I155" s="205"/>
      <c r="J155" s="206"/>
      <c r="K155"/>
      <c r="L155" s="203"/>
      <c r="M155" s="205"/>
      <c r="N155" s="205"/>
      <c r="O155" s="205"/>
      <c r="P155" s="205"/>
      <c r="Q155" s="205"/>
      <c r="R155" s="206"/>
      <c r="T155" s="203"/>
      <c r="U155" s="205"/>
      <c r="V155" s="205"/>
      <c r="W155" s="205"/>
      <c r="X155" s="205"/>
      <c r="Y155" s="205"/>
      <c r="Z155" s="206"/>
    </row>
    <row r="156" spans="4:26" ht="18.75" customHeight="1" hidden="1">
      <c r="D156" s="198" t="s">
        <v>251</v>
      </c>
      <c r="E156" s="130" t="e">
        <f>_xlfn.XLOOKUP(E125,CurrentPlans!B:B,CurrentPlans!AP:AP,"NA",0,1)</f>
        <v>#N/A</v>
      </c>
      <c r="F156" s="200"/>
      <c r="G156" s="200"/>
      <c r="H156" s="200"/>
      <c r="I156" s="130"/>
      <c r="J156" s="201"/>
      <c r="K156"/>
      <c r="L156" s="131" t="str">
        <f ca="1">_xlfn.XLOOKUP(L125,RenewalPlans!B:B,RenewalPlans!AS:AS,"NA",0,1)</f>
        <v>NA</v>
      </c>
      <c r="M156" s="200"/>
      <c r="N156" s="200"/>
      <c r="O156" s="200"/>
      <c r="P156" s="130"/>
      <c r="Q156" s="200"/>
      <c r="R156" s="201"/>
      <c r="T156" s="131" t="str">
        <f>_xlfn.XLOOKUP(T125,RenewalPlans!B:B,RenewalPlans!AS:AS,"NA",0,1)</f>
        <v>NA</v>
      </c>
      <c r="U156" s="200"/>
      <c r="V156" s="200"/>
      <c r="W156" s="200"/>
      <c r="X156" s="130"/>
      <c r="Y156" s="200"/>
      <c r="Z156" s="201"/>
    </row>
    <row r="157" spans="4:26" ht="18.75" customHeight="1" hidden="1">
      <c r="D157" s="198" t="s">
        <v>252</v>
      </c>
      <c r="E157" s="130" t="e">
        <f>_xlfn.XLOOKUP(E125,CurrentPlans!B:B,CurrentPlans!AQ:AQ,"NA",0,1)</f>
        <v>#N/A</v>
      </c>
      <c r="F157" s="200"/>
      <c r="G157" s="200"/>
      <c r="H157" s="200"/>
      <c r="I157" s="130"/>
      <c r="J157" s="201"/>
      <c r="K157"/>
      <c r="L157" s="131" t="str">
        <f ca="1">_xlfn.XLOOKUP(L125,RenewalPlans!B:B,RenewalPlans!AT:AT,"NA",0,1)</f>
        <v>NA</v>
      </c>
      <c r="M157" s="200"/>
      <c r="N157" s="200"/>
      <c r="O157" s="200"/>
      <c r="P157" s="130"/>
      <c r="Q157" s="200"/>
      <c r="R157" s="201"/>
      <c r="T157" s="131" t="str">
        <f>_xlfn.XLOOKUP(T125,RenewalPlans!B:B,RenewalPlans!AT:AT,"NA",0,1)</f>
        <v>NA</v>
      </c>
      <c r="U157" s="200"/>
      <c r="V157" s="200"/>
      <c r="W157" s="200"/>
      <c r="X157" s="130"/>
      <c r="Y157" s="200"/>
      <c r="Z157" s="201"/>
    </row>
    <row r="158" spans="4:26" ht="18.75" customHeight="1" hidden="1">
      <c r="D158" s="120" t="s">
        <v>253</v>
      </c>
      <c r="E158" s="133" t="e">
        <f>_xlfn.XLOOKUP(E125,CurrentPlans!B:B,CurrentPlans!AO:AO,"NA",0,1)</f>
        <v>#N/A</v>
      </c>
      <c r="F158" s="122"/>
      <c r="G158" s="122"/>
      <c r="H158" s="122"/>
      <c r="I158" s="133"/>
      <c r="J158" s="123"/>
      <c r="K158"/>
      <c r="L158" s="136" t="str">
        <f ca="1">_xlfn.XLOOKUP(L125,RenewalPlans!B:B,RenewalPlans!AR:AR,"NA",0,1)</f>
        <v>NA</v>
      </c>
      <c r="M158" s="122"/>
      <c r="N158" s="122"/>
      <c r="O158" s="122"/>
      <c r="P158" s="133"/>
      <c r="Q158" s="122"/>
      <c r="R158" s="123"/>
      <c r="T158" s="136" t="str">
        <f>_xlfn.XLOOKUP(T125,RenewalPlans!B:B,RenewalPlans!AR:AR,"NA",0,1)</f>
        <v>NA</v>
      </c>
      <c r="U158" s="122"/>
      <c r="V158" s="122"/>
      <c r="W158" s="122"/>
      <c r="X158" s="133"/>
      <c r="Y158" s="122"/>
      <c r="Z158" s="123"/>
    </row>
    <row r="159" spans="4:26" ht="18.75" customHeight="1" hidden="1">
      <c r="D159" s="223" t="s">
        <v>254</v>
      </c>
      <c r="E159" s="205"/>
      <c r="F159" s="205"/>
      <c r="G159" s="205"/>
      <c r="H159" s="205"/>
      <c r="I159" s="205"/>
      <c r="J159" s="206"/>
      <c r="K159"/>
      <c r="L159" s="203"/>
      <c r="M159" s="205"/>
      <c r="N159" s="205"/>
      <c r="O159" s="205"/>
      <c r="P159" s="205"/>
      <c r="Q159" s="205"/>
      <c r="R159" s="206"/>
      <c r="T159" s="203"/>
      <c r="U159" s="205"/>
      <c r="V159" s="205"/>
      <c r="W159" s="205"/>
      <c r="X159" s="205"/>
      <c r="Y159" s="205"/>
      <c r="Z159" s="206"/>
    </row>
    <row r="160" spans="4:26" ht="18.75" customHeight="1" hidden="1">
      <c r="D160" s="198" t="s">
        <v>255</v>
      </c>
      <c r="E160" s="130" t="e">
        <f>_xlfn.XLOOKUP(E125,CurrentPlans!B:B,CurrentPlans!AR:AR,"NA",0,1)</f>
        <v>#N/A</v>
      </c>
      <c r="F160" s="200"/>
      <c r="G160" s="200"/>
      <c r="H160" s="200"/>
      <c r="I160" s="130"/>
      <c r="J160" s="201"/>
      <c r="K160"/>
      <c r="L160" s="131" t="str">
        <f ca="1">_xlfn.XLOOKUP(L125,RenewalPlans!B:B,RenewalPlans!AU:AU,"NA",0,1)</f>
        <v>NA</v>
      </c>
      <c r="M160" s="200"/>
      <c r="N160" s="200"/>
      <c r="O160" s="200"/>
      <c r="P160" s="130"/>
      <c r="Q160" s="200"/>
      <c r="R160" s="201"/>
      <c r="T160" s="131" t="str">
        <f>_xlfn.XLOOKUP(T125,RenewalPlans!B:B,RenewalPlans!AU:AU,"NA",0,1)</f>
        <v>NA</v>
      </c>
      <c r="U160" s="200"/>
      <c r="V160" s="200"/>
      <c r="W160" s="200"/>
      <c r="X160" s="130"/>
      <c r="Y160" s="200"/>
      <c r="Z160" s="201"/>
    </row>
    <row r="161" spans="4:26" ht="18.75" customHeight="1" hidden="1" thickBot="1">
      <c r="D161" s="224" t="s">
        <v>256</v>
      </c>
      <c r="E161" s="137" t="e">
        <f>_xlfn.XLOOKUP(E125,CurrentPlans!B:B,CurrentPlans!AS:AS,"NA",0,1)</f>
        <v>#N/A</v>
      </c>
      <c r="F161" s="225"/>
      <c r="G161" s="225"/>
      <c r="H161" s="225"/>
      <c r="I161" s="137"/>
      <c r="J161" s="226"/>
      <c r="K161"/>
      <c r="L161" s="138" t="str">
        <f ca="1">_xlfn.XLOOKUP(L125,RenewalPlans!B:B,RenewalPlans!AV:AV,"NA",0,1)</f>
        <v>NA</v>
      </c>
      <c r="M161" s="225"/>
      <c r="N161" s="225"/>
      <c r="O161" s="225"/>
      <c r="P161" s="137"/>
      <c r="Q161" s="225"/>
      <c r="R161" s="226"/>
      <c r="T161" s="138" t="str">
        <f>_xlfn.XLOOKUP(T125,RenewalPlans!B:B,RenewalPlans!AV:AV,"NA",0,1)</f>
        <v>NA</v>
      </c>
      <c r="U161" s="225"/>
      <c r="V161" s="225"/>
      <c r="W161" s="225"/>
      <c r="X161" s="137"/>
      <c r="Y161" s="225"/>
      <c r="Z161" s="226"/>
    </row>
    <row r="162" spans="4:26" ht="18.75" customHeight="1">
      <c r="D162" s="227"/>
      <c r="E162" s="176"/>
      <c r="F162" s="178"/>
      <c r="G162" s="179"/>
      <c r="H162" s="178"/>
      <c r="I162" s="176"/>
      <c r="J162" s="228"/>
      <c r="K162"/>
      <c r="L162" s="178"/>
      <c r="M162" s="176"/>
      <c r="N162" s="139"/>
      <c r="O162" s="178"/>
      <c r="P162" s="178"/>
      <c r="Q162" s="178"/>
      <c r="R162" s="228"/>
      <c r="T162" s="178"/>
      <c r="U162" s="176"/>
      <c r="V162" s="139"/>
      <c r="W162" s="178"/>
      <c r="X162" s="178"/>
      <c r="Y162" s="178"/>
      <c r="Z162" s="228"/>
    </row>
    <row r="163" spans="4:26" ht="5.25" customHeight="1" thickBot="1">
      <c r="D163" s="229"/>
      <c r="E163" s="229"/>
      <c r="F163" s="230"/>
      <c r="G163" s="231"/>
      <c r="H163" s="232"/>
      <c r="I163" s="233"/>
      <c r="J163" s="233"/>
      <c r="K163"/>
      <c r="L163" s="233"/>
      <c r="M163" s="233"/>
      <c r="N163" s="233"/>
      <c r="O163" s="233"/>
      <c r="P163" s="233"/>
      <c r="Q163" s="233"/>
      <c r="R163" s="233"/>
      <c r="T163" s="233"/>
      <c r="U163" s="233"/>
      <c r="V163" s="233"/>
      <c r="W163" s="233"/>
      <c r="X163" s="233"/>
      <c r="Y163" s="233"/>
      <c r="Z163" s="233"/>
    </row>
    <row r="164" spans="1:26" ht="50.15" customHeight="1">
      <c r="A164" s="140">
        <v>4</v>
      </c>
      <c r="B164" s="140" cm="1">
        <f t="array" ref="B164">IF(A164&gt;Class1_CurrentHealthCount,"DELETE",Class1_CurrentHealthStart+A164)</f>
        <v>8</v>
      </c>
      <c r="C164" s="164" t="s">
        <v>277</v>
      </c>
      <c r="D164" s="273" t="e">
        <f ca="1">IF(B164="Delete","",VLOOKUP(F164,BEGIN_CURRENT_HEALTH:END_CURRENT_HEALTH,3,FALSE))</f>
        <v>#N/A</v>
      </c>
      <c r="E164" s="165"/>
      <c r="F164" s="272" t="str" cm="1">
        <f t="array" ca="1" aca="1" ref="F164">IF(B164="Delete","",INDIRECT("CurrentPlans!A"&amp;B164,TRUE))</f>
        <v>PrimaryKey</v>
      </c>
      <c r="G164" s="166"/>
      <c r="H164" s="167"/>
      <c r="I164" s="168"/>
      <c r="J164" s="169"/>
      <c r="K164"/>
      <c r="L164" s="274" t="str">
        <f ca="1">_xlfn.IFNA(VLOOKUP(F164,BEGIN_RENEWEDFROM_HEALTH:ROW_RenewHealth_PlanID,3,FALSE),"SELECT PLAN")</f>
        <v>SELECT PLAN</v>
      </c>
      <c r="M164" s="170"/>
      <c r="N164" s="274" t="s">
        <v>237</v>
      </c>
      <c r="O164" s="171"/>
      <c r="P164" s="171"/>
      <c r="Q164" s="171"/>
      <c r="R164" s="169"/>
      <c r="T164" s="274" t="s">
        <v>38</v>
      </c>
      <c r="U164" s="170"/>
      <c r="V164" s="274" t="s">
        <v>237</v>
      </c>
      <c r="W164" s="171"/>
      <c r="X164" s="171"/>
      <c r="Y164" s="171"/>
      <c r="Z164" s="169"/>
    </row>
    <row r="165" spans="4:26" ht="18.75" customHeight="1">
      <c r="D165" s="172" t="s">
        <v>238</v>
      </c>
      <c r="E165" s="407" t="str">
        <f ca="1">_xlfn.IFNA(VLOOKUP(F164,BEGIN_CURRENT_HEALTH:END_CURRENT_HEALTH,CURRENT_COL_EO_count,FALSE),"")</f>
        <v/>
      </c>
      <c r="F165" s="408" t="str">
        <f ca="1">_xlfn.IFNA(VLOOKUP(F164,BEGIN_CURRENT_HEALTH:END_CURRENT_HEALTH,CURRENT_COL_EO,FALSE),"")</f>
        <v/>
      </c>
      <c r="G165" s="468" t="str">
        <f ca="1" t="shared" si="17" ref="G165:G168">IF(F165="","",H165/F165)</f>
        <v/>
      </c>
      <c r="H165" s="408" t="str">
        <f ca="1">_xlfn.IFNA(VLOOKUP(F164,BEGIN_CURRENT_HEALTH:END_CURRENT_HEALTH,CURRENT_COL_EOContrib,FALSE),"")</f>
        <v/>
      </c>
      <c r="I165" s="409" t="str">
        <f ca="1">IFERROR(F165-H165,"")</f>
        <v/>
      </c>
      <c r="J165" s="410" t="str">
        <f ca="1">IF(F165="","",H165*E165)</f>
        <v/>
      </c>
      <c r="K165" s="411"/>
      <c r="L165" s="408" t="str" cm="1">
        <f t="array" ca="1" aca="1" ref="L165">_xlfn.IFNA(VLOOKUP(INDIRECT("L"&amp;ROW()-1)&amp;"_"&amp;$D$12,BEGIN_RENEW_HEALTH:END_RENEW_HEALTH,RENEW_COL_EO,FALSE),"")</f>
        <v/>
      </c>
      <c r="M165" s="412" t="str">
        <f ca="1">IF(E165="","",E165)</f>
        <v/>
      </c>
      <c r="N165" s="413"/>
      <c r="O165" s="414"/>
      <c r="P165" s="415" t="str">
        <f>IFERROR(IF($N164="Keep Contribution Same",H165,IF($N164="Enter Percentages",IF(N165="","",N165*L165),IF($N164="Keep Percentage Same",IF(G165="","",G165*L165),IF($N164="Enter Dollar Amount",IF(O165="","",O165),"")))),"")</f>
        <v/>
      </c>
      <c r="Q165" s="408" t="str">
        <f ca="1">IFERROR(L165-P165,"")</f>
        <v/>
      </c>
      <c r="R165" s="410" t="str">
        <f>IFERROR(IF(P165="","",M165*P165),"")</f>
        <v/>
      </c>
      <c r="S165" s="411"/>
      <c r="T165" s="408" t="str" cm="1">
        <f t="array" ca="1" aca="1" ref="T165">_xlfn.IFNA(VLOOKUP(INDIRECT("T"&amp;ROW()-1)&amp;"_"&amp;$D$12,BEGIN_RENEW_HEALTH:END_RENEW_HEALTH,RENEW_COL_EO,FALSE),"")</f>
        <v/>
      </c>
      <c r="U165" s="412" t="str">
        <f ca="1">IF(E165="","",E165)</f>
        <v/>
      </c>
      <c r="V165" s="413"/>
      <c r="W165" s="414"/>
      <c r="X165" s="415" t="str">
        <f>IFERROR(IF($V164="Keep Contribution Same",H165,IF($V164="Enter Percentages",IF(V165="","",V165*T165),IF($V164="Keep Percentage Same",IF(G165="","",G165*T165),IF($V164="Enter Dollar Amount",IF(W165="","",W165),"")))),"")</f>
        <v/>
      </c>
      <c r="Y165" s="408" t="str">
        <f ca="1">IFERROR(T165-X165,"")</f>
        <v/>
      </c>
      <c r="Z165" s="410" t="str">
        <f>IFERROR(IF(X165="","",U165*X165),"")</f>
        <v/>
      </c>
    </row>
    <row r="166" spans="4:26" ht="18.75" customHeight="1">
      <c r="D166" s="172" t="s">
        <v>239</v>
      </c>
      <c r="E166" s="407" t="str">
        <f ca="1">_xlfn.IFNA(VLOOKUP(F164,BEGIN_CURRENT_HEALTH:END_CURRENT_HEALTH,CURRENT_COL_ES_count,FALSE),"")</f>
        <v/>
      </c>
      <c r="F166" s="408" t="str">
        <f ca="1">_xlfn.IFNA(VLOOKUP(F164,BEGIN_CURRENT_HEALTH:END_CURRENT_HEALTH,CURRENT_COL_ES,FALSE),"")</f>
        <v/>
      </c>
      <c r="G166" s="468" t="str">
        <f t="shared" ca="1" si="17"/>
        <v/>
      </c>
      <c r="H166" s="408" t="str">
        <f ca="1">_xlfn.IFNA(VLOOKUP(F164,BEGIN_CURRENT_HEALTH:END_CURRENT_HEALTH,CURRENT_COL_ESContrib,FALSE),"")</f>
        <v/>
      </c>
      <c r="I166" s="409" t="str">
        <f ca="1" t="shared" si="18" ref="I166:I168">IFERROR(F166-H166,"")</f>
        <v/>
      </c>
      <c r="J166" s="410" t="str">
        <f ca="1">IF(F166="","",H166*E166)</f>
        <v/>
      </c>
      <c r="K166" s="411"/>
      <c r="L166" s="408" t="str" cm="1">
        <f t="array" ca="1" aca="1" ref="L166">_xlfn.IFNA(VLOOKUP(INDIRECT("L"&amp;ROW()-2)&amp;"_"&amp;$D$12,BEGIN_RENEW_HEALTH:END_RENEW_HEALTH,RENEW_COL_ES,FALSE),"")</f>
        <v/>
      </c>
      <c r="M166" s="412" t="str">
        <f ca="1">IF(E166="","",E166)</f>
        <v/>
      </c>
      <c r="N166" s="413"/>
      <c r="O166" s="414"/>
      <c r="P166" s="415" t="str">
        <f>IFERROR(IF($N164="Keep Contribution Same",H166,IF($N164="Enter Percentages",IF(N166="","",N166*L166),IF($N164="Keep Percentage Same",IF(G166="","",G166*L166),IF($N164="Enter Dollar Amount",IF(O166="","",O166),"")))),"")</f>
        <v/>
      </c>
      <c r="Q166" s="408" t="str">
        <f ca="1">IFERROR(L166-P166,"")</f>
        <v/>
      </c>
      <c r="R166" s="410" t="str">
        <f>IFERROR(IF(P166="","",M166*P166),"")</f>
        <v/>
      </c>
      <c r="S166" s="411"/>
      <c r="T166" s="408" t="str" cm="1">
        <f t="array" ca="1" aca="1" ref="T166">_xlfn.IFNA(VLOOKUP(INDIRECT("T"&amp;ROW()-2)&amp;"_"&amp;$D$12,BEGIN_RENEW_HEALTH:END_RENEW_HEALTH,RENEW_COL_ES,FALSE),"")</f>
        <v/>
      </c>
      <c r="U166" s="412" t="str">
        <f ca="1" t="shared" si="19" ref="U166:U168">IF(E166="","",E166)</f>
        <v/>
      </c>
      <c r="V166" s="413"/>
      <c r="W166" s="414"/>
      <c r="X166" s="415" t="str">
        <f>IFERROR(IF($V164="Keep Contribution Same",H166,IF($V164="Enter Percentages",IF(V166="","",V166*T166),IF($V164="Keep Percentage Same",IF(G166="","",G166*T166),IF($V164="Enter Dollar Amount",IF(W166="","",W166),"")))),"")</f>
        <v/>
      </c>
      <c r="Y166" s="408" t="str">
        <f ca="1" t="shared" si="20" ref="Y166:Y168">IFERROR(T166-X166,"")</f>
        <v/>
      </c>
      <c r="Z166" s="410" t="str">
        <f t="shared" si="21" ref="Z166:Z168">IFERROR(IF(X166="","",U166*X166),"")</f>
        <v/>
      </c>
    </row>
    <row r="167" spans="4:26" ht="18.75" customHeight="1">
      <c r="D167" s="172" t="s">
        <v>240</v>
      </c>
      <c r="E167" s="407" t="str">
        <f ca="1">_xlfn.IFNA(VLOOKUP(F164,BEGIN_CURRENT_HEALTH:END_CURRENT_HEALTH,CURRENT_COL_EC_count,FALSE),"")</f>
        <v/>
      </c>
      <c r="F167" s="408" t="str">
        <f ca="1">_xlfn.IFNA(VLOOKUP(F164,BEGIN_CURRENT_HEALTH:END_CURRENT_HEALTH,CURRENT_COL_EC,FALSE),"")</f>
        <v/>
      </c>
      <c r="G167" s="468" t="str">
        <f t="shared" ca="1" si="17"/>
        <v/>
      </c>
      <c r="H167" s="408" t="str">
        <f ca="1">_xlfn.IFNA(VLOOKUP(F164,BEGIN_CURRENT_HEALTH:END_CURRENT_HEALTH,CURRENT_COL_ECContrib,FALSE),"")</f>
        <v/>
      </c>
      <c r="I167" s="409" t="str">
        <f t="shared" ca="1" si="18"/>
        <v/>
      </c>
      <c r="J167" s="410" t="str">
        <f ca="1">IF(F167="","",H167*E167)</f>
        <v/>
      </c>
      <c r="K167" s="411"/>
      <c r="L167" s="408" t="str" cm="1">
        <f t="array" ca="1" aca="1" ref="L167">_xlfn.IFNA(VLOOKUP(INDIRECT("L"&amp;ROW()-3)&amp;"_"&amp;$D$12,BEGIN_RENEW_HEALTH:END_RENEW_HEALTH,RENEW_COL_EC,FALSE),"")</f>
        <v/>
      </c>
      <c r="M167" s="412" t="str">
        <f ca="1">IF(E167="","",E167)</f>
        <v/>
      </c>
      <c r="N167" s="413"/>
      <c r="O167" s="414"/>
      <c r="P167" s="415" t="str">
        <f>IFERROR(IF($N164="Keep Contribution Same",H167,IF($N164="Enter Percentages",IF(N167="","",N167*L167),IF($N164="Keep Percentage Same",IF(G167="","",G167*L167),IF($N164="Enter Dollar Amount",IF(O167="","",O167),"")))),"")</f>
        <v/>
      </c>
      <c r="Q167" s="408" t="str">
        <f ca="1">IFERROR(L167-P167,"")</f>
        <v/>
      </c>
      <c r="R167" s="410" t="str">
        <f>IFERROR(IF(P167="","",M167*P167),"")</f>
        <v/>
      </c>
      <c r="S167" s="411"/>
      <c r="T167" s="408" t="str" cm="1">
        <f t="array" ca="1" aca="1" ref="T167">_xlfn.IFNA(VLOOKUP(INDIRECT("T"&amp;ROW()-3)&amp;"_"&amp;$D$12,BEGIN_RENEW_HEALTH:END_RENEW_HEALTH,RENEW_COL_EC,FALSE),"")</f>
        <v/>
      </c>
      <c r="U167" s="412" t="str">
        <f t="shared" ca="1" si="19"/>
        <v/>
      </c>
      <c r="V167" s="413"/>
      <c r="W167" s="414"/>
      <c r="X167" s="415" t="str">
        <f>IFERROR(IF($V164="Keep Contribution Same",H167,IF($V164="Enter Percentages",IF(V167="","",V167*T167),IF($V164="Keep Percentage Same",IF(G167="","",G167*T167),IF($V164="Enter Dollar Amount",IF(W167="","",W167),"")))),"")</f>
        <v/>
      </c>
      <c r="Y167" s="408" t="str">
        <f t="shared" ca="1" si="20"/>
        <v/>
      </c>
      <c r="Z167" s="410" t="str">
        <f t="shared" si="21"/>
        <v/>
      </c>
    </row>
    <row r="168" spans="4:26" ht="18.75" customHeight="1" thickBot="1">
      <c r="D168" s="174" t="s">
        <v>241</v>
      </c>
      <c r="E168" s="416" t="str">
        <f ca="1">_xlfn.IFNA(VLOOKUP(F164,BEGIN_CURRENT_HEALTH:END_CURRENT_HEALTH,CURRENT_COL_FAM_count,FALSE),"")</f>
        <v/>
      </c>
      <c r="F168" s="417" t="str">
        <f ca="1">_xlfn.IFNA(VLOOKUP(F164,BEGIN_CURRENT_HEALTH:END_CURRENT_HEALTH,CURRENT_COL_FAM,FALSE),"")</f>
        <v/>
      </c>
      <c r="G168" s="469" t="str">
        <f t="shared" ca="1" si="17"/>
        <v/>
      </c>
      <c r="H168" s="417" t="str">
        <f ca="1">_xlfn.IFNA(VLOOKUP(F164,BEGIN_CURRENT_HEALTH:END_CURRENT_HEALTH,CURRENT_COL_FAMContrib,FALSE),"")</f>
        <v/>
      </c>
      <c r="I168" s="418" t="str">
        <f t="shared" ca="1" si="18"/>
        <v/>
      </c>
      <c r="J168" s="419" t="str">
        <f ca="1">IF(F168="","",H168*E168)</f>
        <v/>
      </c>
      <c r="K168" s="411"/>
      <c r="L168" s="417" t="str" cm="1">
        <f t="array" ca="1" aca="1" ref="L168">_xlfn.IFNA(VLOOKUP(INDIRECT("L"&amp;ROW()-4)&amp;"_"&amp;$D$12,BEGIN_RENEW_HEALTH:END_RENEW_HEALTH,RENEW_COL_FAM,FALSE),"")</f>
        <v/>
      </c>
      <c r="M168" s="412" t="str">
        <f ca="1">IF(E168="","",E168)</f>
        <v/>
      </c>
      <c r="N168" s="420"/>
      <c r="O168" s="421"/>
      <c r="P168" s="422" t="str">
        <f>IFERROR(IF($N164="Keep Contribution Same",H168,IF($N164="Enter Percentages",IF(N168="","",N168*L168),IF($N164="Keep Percentage Same",IF(G168="","",G168*L168),IF($N164="Enter Dollar Amount",IF(O168="","",O168),"")))),"")</f>
        <v/>
      </c>
      <c r="Q168" s="422" t="str">
        <f ca="1">IFERROR(L168-P168,"")</f>
        <v/>
      </c>
      <c r="R168" s="410" t="str">
        <f>IFERROR(IF(P168="","",M168*P168),"")</f>
        <v/>
      </c>
      <c r="S168" s="411"/>
      <c r="T168" s="417" t="str" cm="1">
        <f t="array" ca="1" aca="1" ref="T168">_xlfn.IFNA(VLOOKUP(INDIRECT("T"&amp;ROW()-4)&amp;"_"&amp;$D$12,BEGIN_RENEW_HEALTH:END_RENEW_HEALTH,RENEW_COL_FAM,FALSE),"")</f>
        <v/>
      </c>
      <c r="U168" s="423" t="str">
        <f t="shared" ca="1" si="19"/>
        <v/>
      </c>
      <c r="V168" s="420"/>
      <c r="W168" s="421"/>
      <c r="X168" s="422" t="str">
        <f>IFERROR(IF($V164="Keep Contribution Same",H168,IF($V164="Enter Percentages",IF(V168="","",V168*T168),IF($V164="Keep Percentage Same",IF(G168="","",G168*T168),IF($V164="Enter Dollar Amount",IF(W168="","",W168),"")))),"")</f>
        <v/>
      </c>
      <c r="Y168" s="417" t="str">
        <f t="shared" ca="1" si="20"/>
        <v/>
      </c>
      <c r="Z168" s="419" t="str">
        <f t="shared" si="21"/>
        <v/>
      </c>
    </row>
    <row r="169" spans="4:26" ht="18.75" customHeight="1" thickTop="1">
      <c r="D169" s="175" t="s">
        <v>242</v>
      </c>
      <c r="E169" s="424"/>
      <c r="F169" s="425" t="str">
        <f ca="1">IFERROR((F165*E165)+(F166*E166)+(F167*E167)+(F168*E168),"")</f>
        <v/>
      </c>
      <c r="G169" s="426"/>
      <c r="H169" s="427"/>
      <c r="I169" s="428"/>
      <c r="J169" s="429" t="str">
        <f ca="1">IFERROR(IF(J165="","",SUM(J165:J168)),0)</f>
        <v/>
      </c>
      <c r="K169" s="1"/>
      <c r="L169" s="430" t="str">
        <f ca="1">IFERROR((M165*L165)+(M166*L166)+(M167*L167)+(M168*L168),"")</f>
        <v/>
      </c>
      <c r="M169" s="427"/>
      <c r="N169" s="426"/>
      <c r="O169" s="427"/>
      <c r="P169" s="431"/>
      <c r="Q169" s="432"/>
      <c r="R169" s="429" t="str">
        <f>IFERROR(IF(R165="","",SUM(R165:R168)),0)</f>
        <v/>
      </c>
      <c r="T169" s="430" t="str">
        <f ca="1">IFERROR((U165*T165)+(U166*T166)+(U167*T167)+(U168*T168),"")</f>
        <v/>
      </c>
      <c r="U169" s="427"/>
      <c r="V169" s="426"/>
      <c r="W169" s="427"/>
      <c r="X169" s="431"/>
      <c r="Y169" s="432"/>
      <c r="Z169" s="429" t="str">
        <f>IFERROR(IF(Z165="","",SUM(Z165:Z168)),0)</f>
        <v/>
      </c>
    </row>
    <row r="170" spans="4:26" ht="18.75" customHeight="1">
      <c r="D170" s="177" t="s">
        <v>243</v>
      </c>
      <c r="E170" s="433"/>
      <c r="F170" s="434" t="str">
        <f ca="1">IFERROR(F169*12,"")</f>
        <v/>
      </c>
      <c r="G170" s="435"/>
      <c r="H170" s="436"/>
      <c r="I170" s="432"/>
      <c r="J170" s="437" t="str">
        <f ca="1">IF(J169="","",J169*12)</f>
        <v/>
      </c>
      <c r="K170" s="1"/>
      <c r="L170" s="438" t="str">
        <f ca="1">IFERROR(L169*12,"")</f>
        <v/>
      </c>
      <c r="M170" s="436"/>
      <c r="N170" s="435"/>
      <c r="O170" s="436"/>
      <c r="P170" s="432"/>
      <c r="Q170" s="432"/>
      <c r="R170" s="437" t="str">
        <f>IF(R169="","",R169*12)</f>
        <v/>
      </c>
      <c r="T170" s="438" t="str">
        <f ca="1">IFERROR(T169*12,"")</f>
        <v/>
      </c>
      <c r="U170" s="436"/>
      <c r="V170" s="435"/>
      <c r="W170" s="436"/>
      <c r="X170" s="432"/>
      <c r="Y170" s="432"/>
      <c r="Z170" s="437" t="str">
        <f>IF(Z169="","",Z169*12)</f>
        <v/>
      </c>
    </row>
    <row r="171" spans="4:26" ht="18.75" customHeight="1">
      <c r="D171" s="177" t="s">
        <v>244</v>
      </c>
      <c r="E171" s="433"/>
      <c r="F171" s="436"/>
      <c r="G171" s="435"/>
      <c r="H171" s="436"/>
      <c r="I171" s="432"/>
      <c r="J171" s="437"/>
      <c r="K171" s="1"/>
      <c r="L171" s="434" t="str">
        <f ca="1">IFERROR(L170-F170,"")</f>
        <v/>
      </c>
      <c r="M171" s="436"/>
      <c r="N171" s="435"/>
      <c r="O171" s="436"/>
      <c r="P171" s="432"/>
      <c r="Q171" s="432"/>
      <c r="R171" s="437" t="str">
        <f ca="1">IFERROR(IF(J170="","",R170-J170),0)</f>
        <v/>
      </c>
      <c r="T171" s="434" t="str">
        <f ca="1">IFERROR(T170-F170,"")</f>
        <v/>
      </c>
      <c r="U171" s="436"/>
      <c r="V171" s="435"/>
      <c r="W171" s="436"/>
      <c r="X171" s="432"/>
      <c r="Y171" s="432"/>
      <c r="Z171" s="437" t="str">
        <f>IFERROR(IF(R170="","",Z170-R170),0)</f>
        <v/>
      </c>
    </row>
    <row r="172" spans="4:26" ht="18.75" customHeight="1" thickBot="1">
      <c r="D172" s="180" t="s">
        <v>245</v>
      </c>
      <c r="E172" s="439"/>
      <c r="F172" s="440"/>
      <c r="G172" s="441"/>
      <c r="H172" s="440"/>
      <c r="I172" s="442"/>
      <c r="J172" s="443"/>
      <c r="K172" s="1"/>
      <c r="L172" s="444" t="str">
        <f ca="1">IFERROR(L170/F170-1,"")</f>
        <v/>
      </c>
      <c r="M172" s="440"/>
      <c r="N172" s="441"/>
      <c r="O172" s="440"/>
      <c r="P172" s="445"/>
      <c r="Q172" s="445"/>
      <c r="R172" s="446" t="str">
        <f ca="1">IFERROR(IF(J170="","",(R170/J170)-1),0)</f>
        <v/>
      </c>
      <c r="T172" s="444" t="str">
        <f ca="1">IFERROR(T170/F170-1,"")</f>
        <v/>
      </c>
      <c r="U172" s="440"/>
      <c r="V172" s="441"/>
      <c r="W172" s="440"/>
      <c r="X172" s="445"/>
      <c r="Y172" s="445"/>
      <c r="Z172" s="446" t="str">
        <f>IFERROR(IF(R170="","",(Z170/R170)-1),0)</f>
        <v/>
      </c>
    </row>
    <row r="173" spans="1:26" ht="18.75" customHeight="1">
      <c r="A173" s="1"/>
      <c r="B173" s="1"/>
      <c r="D173" s="181" t="s">
        <v>246</v>
      </c>
      <c r="E173" s="182"/>
      <c r="F173" s="182"/>
      <c r="G173" s="182"/>
      <c r="H173" s="182"/>
      <c r="I173" s="182"/>
      <c r="J173" s="183"/>
      <c r="K173"/>
      <c r="L173" s="184"/>
      <c r="M173" s="182"/>
      <c r="N173" s="182"/>
      <c r="O173" s="182"/>
      <c r="P173" s="182"/>
      <c r="Q173" s="182"/>
      <c r="R173" s="183"/>
      <c r="T173" s="184"/>
      <c r="U173" s="182"/>
      <c r="V173" s="182"/>
      <c r="W173" s="182"/>
      <c r="X173" s="182"/>
      <c r="Y173" s="182"/>
      <c r="Z173" s="183"/>
    </row>
    <row r="174" spans="1:26" ht="18.75" customHeight="1" hidden="1">
      <c r="A174" s="1"/>
      <c r="B174" s="1"/>
      <c r="D174" s="185" t="s">
        <v>247</v>
      </c>
      <c r="E174" s="186"/>
      <c r="F174" s="186"/>
      <c r="G174" s="186"/>
      <c r="H174" s="186"/>
      <c r="I174" s="186"/>
      <c r="J174" s="187"/>
      <c r="K174"/>
      <c r="L174" s="188"/>
      <c r="M174" s="186"/>
      <c r="N174" s="186"/>
      <c r="O174" s="186"/>
      <c r="P174" s="186"/>
      <c r="Q174" s="186"/>
      <c r="R174" s="187"/>
      <c r="T174" s="188"/>
      <c r="U174" s="186"/>
      <c r="V174" s="186"/>
      <c r="W174" s="186"/>
      <c r="X174" s="186"/>
      <c r="Y174" s="186"/>
      <c r="Z174" s="187"/>
    </row>
    <row r="175" spans="1:26" ht="18.75" customHeight="1" hidden="1">
      <c r="A175" s="1"/>
      <c r="B175" s="1"/>
      <c r="D175" s="189" t="s">
        <v>248</v>
      </c>
      <c r="E175" s="190" t="e">
        <f ca="1">D164&amp;"_"&amp;D12</f>
        <v>#N/A</v>
      </c>
      <c r="F175" s="191"/>
      <c r="G175" s="191"/>
      <c r="H175" s="191"/>
      <c r="I175" s="190"/>
      <c r="J175" s="192"/>
      <c r="K175"/>
      <c r="L175" s="193" t="str">
        <f ca="1">L164&amp;"_"&amp;D12</f>
        <v>SELECT PLAN_MANAGERS</v>
      </c>
      <c r="M175" s="191"/>
      <c r="N175" s="191"/>
      <c r="O175" s="191"/>
      <c r="P175" s="190"/>
      <c r="Q175" s="191"/>
      <c r="R175" s="192"/>
      <c r="T175" s="193" t="str">
        <f>T164&amp;"_"&amp;D12</f>
        <v>SELECT PLAN_MANAGERS</v>
      </c>
      <c r="U175" s="191"/>
      <c r="V175" s="191"/>
      <c r="W175" s="191"/>
      <c r="X175" s="190"/>
      <c r="Y175" s="191"/>
      <c r="Z175" s="192"/>
    </row>
    <row r="176" spans="1:26" ht="18.75" customHeight="1" hidden="1">
      <c r="A176" s="1"/>
      <c r="B176" s="1"/>
      <c r="D176" s="189" t="s">
        <v>249</v>
      </c>
      <c r="E176" s="191"/>
      <c r="F176" s="191"/>
      <c r="G176" s="191"/>
      <c r="H176" s="191"/>
      <c r="I176" s="191"/>
      <c r="J176" s="192"/>
      <c r="K176"/>
      <c r="L176" s="189"/>
      <c r="M176" s="191"/>
      <c r="N176" s="191"/>
      <c r="O176" s="191"/>
      <c r="P176" s="191"/>
      <c r="Q176" s="191"/>
      <c r="R176" s="192"/>
      <c r="T176" s="189"/>
      <c r="U176" s="191"/>
      <c r="V176" s="191"/>
      <c r="W176" s="191"/>
      <c r="X176" s="191"/>
      <c r="Y176" s="191"/>
      <c r="Z176" s="192"/>
    </row>
    <row r="177" spans="1:26" ht="18.75" customHeight="1" hidden="1">
      <c r="A177" s="1"/>
      <c r="B177" s="1"/>
      <c r="D177" s="194" t="s">
        <v>250</v>
      </c>
      <c r="E177" s="195"/>
      <c r="F177" s="195"/>
      <c r="G177" s="195"/>
      <c r="H177" s="195"/>
      <c r="I177" s="195"/>
      <c r="J177" s="196"/>
      <c r="K177"/>
      <c r="L177" s="197"/>
      <c r="M177" s="195"/>
      <c r="N177" s="195"/>
      <c r="O177" s="195"/>
      <c r="P177" s="195"/>
      <c r="Q177" s="195"/>
      <c r="R177" s="196"/>
      <c r="T177" s="197"/>
      <c r="U177" s="195"/>
      <c r="V177" s="195"/>
      <c r="W177" s="195"/>
      <c r="X177" s="195"/>
      <c r="Y177" s="195"/>
      <c r="Z177" s="196"/>
    </row>
    <row r="178" spans="1:26" ht="18.75" customHeight="1" hidden="1">
      <c r="A178" s="1"/>
      <c r="B178" s="1"/>
      <c r="D178" s="198" t="s">
        <v>251</v>
      </c>
      <c r="E178" s="199" t="e">
        <f>_xlfn.XLOOKUP(E175,CurrentPlans!B:B,CurrentPlans!X:X,"NA",0,1)</f>
        <v>#N/A</v>
      </c>
      <c r="F178" s="200"/>
      <c r="G178" s="200"/>
      <c r="H178" s="200"/>
      <c r="I178" s="199"/>
      <c r="J178" s="201"/>
      <c r="K178"/>
      <c r="L178" s="202" t="str">
        <f ca="1">_xlfn.XLOOKUP(L175,RenewalPlans!B:B,RenewalPlans!AA:AA,"NA",0,1)</f>
        <v>NA</v>
      </c>
      <c r="M178" s="200"/>
      <c r="N178" s="200"/>
      <c r="O178" s="200"/>
      <c r="P178" s="199"/>
      <c r="Q178" s="200"/>
      <c r="R178" s="201"/>
      <c r="T178" s="202" t="str">
        <f>_xlfn.XLOOKUP(T175,RenewalPlans!B:B,RenewalPlans!AA:AA,"NA",0,1)</f>
        <v>NA</v>
      </c>
      <c r="U178" s="200"/>
      <c r="V178" s="200"/>
      <c r="W178" s="200"/>
      <c r="X178" s="199"/>
      <c r="Y178" s="200"/>
      <c r="Z178" s="201"/>
    </row>
    <row r="179" spans="1:26" ht="18.75" customHeight="1" hidden="1">
      <c r="A179" s="1"/>
      <c r="B179" s="1"/>
      <c r="D179" s="198" t="s">
        <v>252</v>
      </c>
      <c r="E179" s="199" t="e">
        <f>_xlfn.XLOOKUP(E175,CurrentPlans!B:B,CurrentPlans!Y:Y,"NA",0,1)</f>
        <v>#N/A</v>
      </c>
      <c r="F179" s="200"/>
      <c r="G179" s="200"/>
      <c r="H179" s="200"/>
      <c r="I179" s="199"/>
      <c r="J179" s="201"/>
      <c r="K179"/>
      <c r="L179" s="202" t="str">
        <f ca="1">_xlfn.XLOOKUP(L175,RenewalPlans!B:B,RenewalPlans!AB:AB,"NA",0,1)</f>
        <v>NA</v>
      </c>
      <c r="M179" s="200"/>
      <c r="N179" s="200"/>
      <c r="O179" s="200"/>
      <c r="P179" s="199"/>
      <c r="Q179" s="200"/>
      <c r="R179" s="201"/>
      <c r="T179" s="202" t="str">
        <f>_xlfn.XLOOKUP(T175,RenewalPlans!B:B,RenewalPlans!AB:AB,"NA",0,1)</f>
        <v>NA</v>
      </c>
      <c r="U179" s="200"/>
      <c r="V179" s="200"/>
      <c r="W179" s="200"/>
      <c r="X179" s="199"/>
      <c r="Y179" s="200"/>
      <c r="Z179" s="201"/>
    </row>
    <row r="180" spans="1:26" ht="18.75" customHeight="1" hidden="1">
      <c r="A180" s="1"/>
      <c r="B180" s="1"/>
      <c r="D180" s="120" t="s">
        <v>253</v>
      </c>
      <c r="E180" s="121" t="e">
        <f>_xlfn.XLOOKUP(E175,CurrentPlans!B:B,CurrentPlans!W:W,"NA",0,1)</f>
        <v>#N/A</v>
      </c>
      <c r="F180" s="122"/>
      <c r="G180" s="122"/>
      <c r="H180" s="122"/>
      <c r="I180" s="121"/>
      <c r="J180" s="123"/>
      <c r="K180"/>
      <c r="L180" s="124" t="str">
        <f ca="1">_xlfn.XLOOKUP(L175,RenewalPlans!B:B,RenewalPlans!Z:Z,"NA",0,1)</f>
        <v>NA</v>
      </c>
      <c r="M180" s="122"/>
      <c r="N180" s="122"/>
      <c r="O180" s="122"/>
      <c r="P180" s="121"/>
      <c r="Q180" s="122"/>
      <c r="R180" s="123"/>
      <c r="T180" s="124" t="str">
        <f>_xlfn.XLOOKUP(T175,RenewalPlans!B:B,RenewalPlans!Z:Z,"NA",0,1)</f>
        <v>NA</v>
      </c>
      <c r="U180" s="122"/>
      <c r="V180" s="122"/>
      <c r="W180" s="122"/>
      <c r="X180" s="121"/>
      <c r="Y180" s="122"/>
      <c r="Z180" s="123"/>
    </row>
    <row r="181" spans="1:26" ht="18.75" customHeight="1" hidden="1">
      <c r="A181" s="1"/>
      <c r="B181" s="1"/>
      <c r="D181" s="203" t="s">
        <v>254</v>
      </c>
      <c r="E181" s="204"/>
      <c r="F181" s="205"/>
      <c r="G181" s="205"/>
      <c r="H181" s="205"/>
      <c r="I181" s="204"/>
      <c r="J181" s="206"/>
      <c r="K181"/>
      <c r="L181" s="207"/>
      <c r="M181" s="205"/>
      <c r="N181" s="205"/>
      <c r="O181" s="205"/>
      <c r="P181" s="204"/>
      <c r="Q181" s="205"/>
      <c r="R181" s="206"/>
      <c r="T181" s="207"/>
      <c r="U181" s="205"/>
      <c r="V181" s="205"/>
      <c r="W181" s="205"/>
      <c r="X181" s="204"/>
      <c r="Y181" s="205"/>
      <c r="Z181" s="206"/>
    </row>
    <row r="182" spans="1:26" ht="18.75" customHeight="1" hidden="1">
      <c r="A182" s="1"/>
      <c r="B182" s="1"/>
      <c r="D182" s="125" t="s">
        <v>255</v>
      </c>
      <c r="E182" s="126" t="e">
        <f>_xlfn.XLOOKUP(E175,CurrentPlans!B:B,CurrentPlans!Z:Z,"NA",0,1)</f>
        <v>#N/A</v>
      </c>
      <c r="F182" s="127"/>
      <c r="G182" s="127"/>
      <c r="H182" s="127"/>
      <c r="I182" s="126"/>
      <c r="J182" s="128"/>
      <c r="K182"/>
      <c r="L182" s="129" t="str">
        <f ca="1">_xlfn.XLOOKUP(L175,RenewalPlans!B:B,RenewalPlans!AC:AC,"NA",0,1)</f>
        <v>NA</v>
      </c>
      <c r="M182" s="127"/>
      <c r="N182" s="127"/>
      <c r="O182" s="127"/>
      <c r="P182" s="126"/>
      <c r="Q182" s="127"/>
      <c r="R182" s="128"/>
      <c r="T182" s="129" t="str">
        <f>_xlfn.XLOOKUP(T175,RenewalPlans!B:B,RenewalPlans!AC:AC,"NA",0,1)</f>
        <v>NA</v>
      </c>
      <c r="U182" s="127"/>
      <c r="V182" s="127"/>
      <c r="W182" s="127"/>
      <c r="X182" s="126"/>
      <c r="Y182" s="127"/>
      <c r="Z182" s="128"/>
    </row>
    <row r="183" spans="1:26" ht="18.75" customHeight="1" hidden="1">
      <c r="A183" s="1"/>
      <c r="B183" s="1"/>
      <c r="D183" s="198" t="s">
        <v>256</v>
      </c>
      <c r="E183" s="208" t="e">
        <f>_xlfn.XLOOKUP(E175,CurrentPlans!B:B,CurrentPlans!AA:AA,"NA",0,1)</f>
        <v>#N/A</v>
      </c>
      <c r="F183" s="200"/>
      <c r="G183" s="200"/>
      <c r="H183" s="200"/>
      <c r="I183" s="208"/>
      <c r="J183" s="201"/>
      <c r="K183"/>
      <c r="L183" s="209" t="str">
        <f ca="1">_xlfn.XLOOKUP(L175,RenewalPlans!B:B,RenewalPlans!AD:AD,"NA",0,1)</f>
        <v>NA</v>
      </c>
      <c r="M183" s="200"/>
      <c r="N183" s="200"/>
      <c r="O183" s="200"/>
      <c r="P183" s="208"/>
      <c r="Q183" s="200"/>
      <c r="R183" s="201"/>
      <c r="T183" s="209" t="str">
        <f>_xlfn.XLOOKUP(T175,RenewalPlans!B:B,RenewalPlans!AD:AD,"NA",0,1)</f>
        <v>NA</v>
      </c>
      <c r="U183" s="200"/>
      <c r="V183" s="200"/>
      <c r="W183" s="200"/>
      <c r="X183" s="208"/>
      <c r="Y183" s="200"/>
      <c r="Z183" s="201"/>
    </row>
    <row r="184" spans="1:26" ht="18.75" customHeight="1" hidden="1">
      <c r="A184" s="1"/>
      <c r="B184" s="1"/>
      <c r="D184" s="203" t="s">
        <v>257</v>
      </c>
      <c r="E184" s="204"/>
      <c r="F184" s="205"/>
      <c r="G184" s="205"/>
      <c r="H184" s="205"/>
      <c r="I184" s="204"/>
      <c r="J184" s="206"/>
      <c r="K184"/>
      <c r="L184" s="207"/>
      <c r="M184" s="205"/>
      <c r="N184" s="205"/>
      <c r="O184" s="205"/>
      <c r="P184" s="204"/>
      <c r="Q184" s="205"/>
      <c r="R184" s="206"/>
      <c r="T184" s="207"/>
      <c r="U184" s="205"/>
      <c r="V184" s="205"/>
      <c r="W184" s="205"/>
      <c r="X184" s="204"/>
      <c r="Y184" s="205"/>
      <c r="Z184" s="206"/>
    </row>
    <row r="185" spans="1:26" ht="18.75" customHeight="1" hidden="1">
      <c r="A185" s="1"/>
      <c r="B185" s="1"/>
      <c r="D185" s="198" t="s">
        <v>258</v>
      </c>
      <c r="E185" s="208" t="e">
        <f>_xlfn.XLOOKUP(E175,CurrentPlans!B:B,CurrentPlans!AB:AB,"NA",0,1)</f>
        <v>#N/A</v>
      </c>
      <c r="F185" s="200"/>
      <c r="G185" s="200"/>
      <c r="H185" s="200"/>
      <c r="I185" s="208"/>
      <c r="J185" s="201"/>
      <c r="K185"/>
      <c r="L185" s="209" t="str">
        <f ca="1">_xlfn.XLOOKUP(L175,RenewalPlans!B:B,RenewalPlans!AE:AE,"NA",0,1)</f>
        <v>NA</v>
      </c>
      <c r="M185" s="200"/>
      <c r="N185" s="200"/>
      <c r="O185" s="200"/>
      <c r="P185" s="208"/>
      <c r="Q185" s="200"/>
      <c r="R185" s="201"/>
      <c r="T185" s="209" t="str">
        <f>_xlfn.XLOOKUP(T175,RenewalPlans!B:B,RenewalPlans!AE:AE,"NA",0,1)</f>
        <v>NA</v>
      </c>
      <c r="U185" s="200"/>
      <c r="V185" s="200"/>
      <c r="W185" s="200"/>
      <c r="X185" s="208"/>
      <c r="Y185" s="200"/>
      <c r="Z185" s="201"/>
    </row>
    <row r="186" spans="1:26" ht="18.75" customHeight="1" hidden="1">
      <c r="A186" s="1"/>
      <c r="B186" s="1"/>
      <c r="D186" s="198" t="s">
        <v>259</v>
      </c>
      <c r="E186" s="208" t="e">
        <f>_xlfn.XLOOKUP(E175,CurrentPlans!B:B,CurrentPlans!AC:AC,"NA",0,1)</f>
        <v>#N/A</v>
      </c>
      <c r="F186" s="200"/>
      <c r="G186" s="200"/>
      <c r="H186" s="200"/>
      <c r="I186" s="208"/>
      <c r="J186" s="201"/>
      <c r="K186"/>
      <c r="L186" s="209" t="str">
        <f ca="1">_xlfn.XLOOKUP(L175,RenewalPlans!B:B,RenewalPlans!AF:AF,"NA",0,1)</f>
        <v>NA</v>
      </c>
      <c r="M186" s="200"/>
      <c r="N186" s="200"/>
      <c r="O186" s="200"/>
      <c r="P186" s="208"/>
      <c r="Q186" s="200"/>
      <c r="R186" s="201"/>
      <c r="T186" s="209" t="str">
        <f>_xlfn.XLOOKUP(T175,RenewalPlans!B:B,RenewalPlans!AF:AF,"NA",0,1)</f>
        <v>NA</v>
      </c>
      <c r="U186" s="200"/>
      <c r="V186" s="200"/>
      <c r="W186" s="200"/>
      <c r="X186" s="208"/>
      <c r="Y186" s="200"/>
      <c r="Z186" s="201"/>
    </row>
    <row r="187" spans="1:26" ht="18.75" customHeight="1" hidden="1">
      <c r="A187" s="1"/>
      <c r="B187" s="1"/>
      <c r="D187" s="210"/>
      <c r="E187" s="211"/>
      <c r="F187" s="211"/>
      <c r="G187" s="211"/>
      <c r="H187" s="211"/>
      <c r="I187" s="211"/>
      <c r="J187" s="212"/>
      <c r="K187"/>
      <c r="L187" s="210"/>
      <c r="M187" s="211"/>
      <c r="N187" s="211"/>
      <c r="O187" s="211"/>
      <c r="P187" s="211"/>
      <c r="Q187" s="211"/>
      <c r="R187" s="212"/>
      <c r="T187" s="210"/>
      <c r="U187" s="211"/>
      <c r="V187" s="211"/>
      <c r="W187" s="211"/>
      <c r="X187" s="211"/>
      <c r="Y187" s="211"/>
      <c r="Z187" s="212"/>
    </row>
    <row r="188" spans="1:26" ht="18.75" customHeight="1" hidden="1">
      <c r="A188" s="1"/>
      <c r="B188" s="1"/>
      <c r="D188" s="185" t="s">
        <v>260</v>
      </c>
      <c r="E188" s="186"/>
      <c r="F188" s="186"/>
      <c r="G188" s="186"/>
      <c r="H188" s="186"/>
      <c r="I188" s="186"/>
      <c r="J188" s="187"/>
      <c r="K188"/>
      <c r="L188" s="188"/>
      <c r="M188" s="186"/>
      <c r="N188" s="186"/>
      <c r="O188" s="186"/>
      <c r="P188" s="186"/>
      <c r="Q188" s="186"/>
      <c r="R188" s="187"/>
      <c r="T188" s="188"/>
      <c r="U188" s="186"/>
      <c r="V188" s="186"/>
      <c r="W188" s="186"/>
      <c r="X188" s="186"/>
      <c r="Y188" s="186"/>
      <c r="Z188" s="187"/>
    </row>
    <row r="189" spans="1:26" ht="18.75" customHeight="1" hidden="1">
      <c r="A189" s="1"/>
      <c r="B189" s="1"/>
      <c r="D189" s="213" t="s">
        <v>261</v>
      </c>
      <c r="E189" s="130" t="e">
        <f>_xlfn.XLOOKUP(E175,CurrentPlans!B:B,CurrentPlans!AJ:AJ,"NA",0,1)</f>
        <v>#N/A</v>
      </c>
      <c r="F189" s="214"/>
      <c r="G189" s="214"/>
      <c r="H189" s="214"/>
      <c r="I189" s="130"/>
      <c r="J189" s="215"/>
      <c r="K189"/>
      <c r="L189" s="131" t="str">
        <f ca="1">_xlfn.XLOOKUP(L175,RenewalPlans!B:B,RenewalPlans!AM:AM,"NA",0,1)</f>
        <v>NA</v>
      </c>
      <c r="M189" s="214"/>
      <c r="N189" s="214"/>
      <c r="O189" s="214"/>
      <c r="P189" s="130"/>
      <c r="Q189" s="214"/>
      <c r="R189" s="215"/>
      <c r="T189" s="131" t="str">
        <f>_xlfn.XLOOKUP(T175,RenewalPlans!B:B,RenewalPlans!AM:AM,"NA",0,1)</f>
        <v>NA</v>
      </c>
      <c r="U189" s="214"/>
      <c r="V189" s="214"/>
      <c r="W189" s="214"/>
      <c r="X189" s="130"/>
      <c r="Y189" s="214"/>
      <c r="Z189" s="215"/>
    </row>
    <row r="190" spans="1:26" ht="18.75" customHeight="1" hidden="1">
      <c r="A190" s="1"/>
      <c r="B190" s="1"/>
      <c r="D190" s="198" t="s">
        <v>262</v>
      </c>
      <c r="E190" s="130" t="e">
        <f>_xlfn.XLOOKUP(E175,CurrentPlans!B:B,CurrentPlans!AM:AM,"NA",0,1)</f>
        <v>#N/A</v>
      </c>
      <c r="F190" s="200"/>
      <c r="G190" s="200"/>
      <c r="H190" s="200"/>
      <c r="I190" s="130"/>
      <c r="J190" s="201"/>
      <c r="K190"/>
      <c r="L190" s="131" t="str">
        <f ca="1">_xlfn.XLOOKUP(L175,RenewalPlans!B:B,RenewalPlans!AP:AP,"NA",0,1)</f>
        <v>NA</v>
      </c>
      <c r="M190" s="200"/>
      <c r="N190" s="200"/>
      <c r="O190" s="200"/>
      <c r="P190" s="130"/>
      <c r="Q190" s="200"/>
      <c r="R190" s="201"/>
      <c r="T190" s="131" t="str">
        <f>_xlfn.XLOOKUP(T175,RenewalPlans!B:B,RenewalPlans!AP:AP,"NA",0,1)</f>
        <v>NA</v>
      </c>
      <c r="U190" s="200"/>
      <c r="V190" s="200"/>
      <c r="W190" s="200"/>
      <c r="X190" s="130"/>
      <c r="Y190" s="200"/>
      <c r="Z190" s="201"/>
    </row>
    <row r="191" spans="1:26" ht="18.75" customHeight="1" hidden="1">
      <c r="A191" s="1"/>
      <c r="B191" s="1"/>
      <c r="D191" s="198" t="s">
        <v>263</v>
      </c>
      <c r="E191" s="130" t="e">
        <f>_xlfn.XLOOKUP(E175,CurrentPlans!B:B,CurrentPlans!AI:AI,"NA",0,1)</f>
        <v>#N/A</v>
      </c>
      <c r="F191" s="200"/>
      <c r="G191" s="200"/>
      <c r="H191" s="200"/>
      <c r="I191" s="130"/>
      <c r="J191" s="201"/>
      <c r="K191"/>
      <c r="L191" s="131" t="str">
        <f ca="1">_xlfn.XLOOKUP(L175,RenewalPlans!B:B,RenewalPlans!AL:AL,"NA",0,1)</f>
        <v>NA</v>
      </c>
      <c r="M191" s="200"/>
      <c r="N191" s="200"/>
      <c r="O191" s="200"/>
      <c r="P191" s="130"/>
      <c r="Q191" s="200"/>
      <c r="R191" s="201"/>
      <c r="T191" s="131" t="str">
        <f>_xlfn.XLOOKUP(T175,RenewalPlans!B:B,RenewalPlans!AL:AL,"NA",0,1)</f>
        <v>NA</v>
      </c>
      <c r="U191" s="200"/>
      <c r="V191" s="200"/>
      <c r="W191" s="200"/>
      <c r="X191" s="130"/>
      <c r="Y191" s="200"/>
      <c r="Z191" s="201"/>
    </row>
    <row r="192" spans="1:26" ht="18.75" customHeight="1" hidden="1">
      <c r="A192" s="1"/>
      <c r="B192" s="1"/>
      <c r="D192" s="198" t="s">
        <v>264</v>
      </c>
      <c r="E192" s="208" t="e">
        <f>_xlfn.XLOOKUP(E175,CurrentPlans!B:B,CurrentPlans!AN:AN,"NA",0,1)</f>
        <v>#N/A</v>
      </c>
      <c r="F192" s="200"/>
      <c r="G192" s="200"/>
      <c r="H192" s="200"/>
      <c r="I192" s="208"/>
      <c r="J192" s="201"/>
      <c r="K192"/>
      <c r="L192" s="209" t="str">
        <f ca="1">_xlfn.XLOOKUP(L175,RenewalPlans!B:B,RenewalPlans!AQ:AQ,"NA",0,1)</f>
        <v>NA</v>
      </c>
      <c r="M192" s="200"/>
      <c r="N192" s="200"/>
      <c r="O192" s="200"/>
      <c r="P192" s="208"/>
      <c r="Q192" s="200"/>
      <c r="R192" s="201"/>
      <c r="T192" s="209" t="str">
        <f>_xlfn.XLOOKUP(T175,RenewalPlans!B:B,RenewalPlans!AQ:AQ,"NA",0,1)</f>
        <v>NA</v>
      </c>
      <c r="U192" s="200"/>
      <c r="V192" s="200"/>
      <c r="W192" s="200"/>
      <c r="X192" s="208"/>
      <c r="Y192" s="200"/>
      <c r="Z192" s="201"/>
    </row>
    <row r="193" spans="1:26" ht="18.75" customHeight="1" hidden="1">
      <c r="A193" s="1"/>
      <c r="B193" s="1"/>
      <c r="D193" s="210"/>
      <c r="E193" s="211"/>
      <c r="F193" s="211"/>
      <c r="G193" s="211"/>
      <c r="H193" s="211"/>
      <c r="I193" s="211"/>
      <c r="J193" s="212"/>
      <c r="K193"/>
      <c r="L193" s="210"/>
      <c r="M193" s="211"/>
      <c r="N193" s="211"/>
      <c r="O193" s="211"/>
      <c r="P193" s="211"/>
      <c r="Q193" s="211"/>
      <c r="R193" s="212"/>
      <c r="T193" s="210"/>
      <c r="U193" s="211"/>
      <c r="V193" s="211"/>
      <c r="W193" s="211"/>
      <c r="X193" s="211"/>
      <c r="Y193" s="211"/>
      <c r="Z193" s="212"/>
    </row>
    <row r="194" spans="1:26" ht="18.75" customHeight="1" hidden="1">
      <c r="A194" s="1"/>
      <c r="B194" s="1"/>
      <c r="D194" s="185" t="s">
        <v>265</v>
      </c>
      <c r="E194" s="186"/>
      <c r="F194" s="186"/>
      <c r="G194" s="186"/>
      <c r="H194" s="186"/>
      <c r="I194" s="186"/>
      <c r="J194" s="187"/>
      <c r="K194"/>
      <c r="L194" s="188"/>
      <c r="M194" s="186"/>
      <c r="N194" s="186"/>
      <c r="O194" s="186"/>
      <c r="P194" s="186"/>
      <c r="Q194" s="186"/>
      <c r="R194" s="187"/>
      <c r="T194" s="188"/>
      <c r="U194" s="186"/>
      <c r="V194" s="186"/>
      <c r="W194" s="186"/>
      <c r="X194" s="186"/>
      <c r="Y194" s="186"/>
      <c r="Z194" s="187"/>
    </row>
    <row r="195" spans="1:26" ht="18.75" customHeight="1" hidden="1">
      <c r="A195" s="1"/>
      <c r="B195" s="1"/>
      <c r="D195" s="132" t="s">
        <v>266</v>
      </c>
      <c r="E195" s="133" t="e">
        <f>_xlfn.XLOOKUP(E175,CurrentPlans!B:B,CurrentPlans!AE:AE,"NA",0,1)</f>
        <v>#N/A</v>
      </c>
      <c r="F195" s="134"/>
      <c r="G195" s="134"/>
      <c r="H195" s="134"/>
      <c r="I195" s="133"/>
      <c r="J195" s="135"/>
      <c r="K195"/>
      <c r="L195" s="136" t="str">
        <f ca="1">_xlfn.XLOOKUP(L175,RenewalPlans!B:B,RenewalPlans!AH:AH,"NA",0,1)</f>
        <v>NA</v>
      </c>
      <c r="M195" s="134"/>
      <c r="N195" s="134"/>
      <c r="O195" s="134"/>
      <c r="P195" s="133"/>
      <c r="Q195" s="134"/>
      <c r="R195" s="135"/>
      <c r="T195" s="136" t="str">
        <f>_xlfn.XLOOKUP(T175,RenewalPlans!B:B,RenewalPlans!AH:AH,"NA",0,1)</f>
        <v>NA</v>
      </c>
      <c r="U195" s="134"/>
      <c r="V195" s="134"/>
      <c r="W195" s="134"/>
      <c r="X195" s="133"/>
      <c r="Y195" s="134"/>
      <c r="Z195" s="135"/>
    </row>
    <row r="196" spans="1:26" ht="18.75" customHeight="1" hidden="1">
      <c r="A196" s="1"/>
      <c r="B196" s="1"/>
      <c r="D196" s="120" t="s">
        <v>267</v>
      </c>
      <c r="E196" s="130" t="e">
        <f>_xlfn.XLOOKUP(E175,CurrentPlans!B:B,CurrentPlans!AF:AF,"NA",0,1)</f>
        <v>#N/A</v>
      </c>
      <c r="F196" s="122"/>
      <c r="G196" s="122"/>
      <c r="H196" s="122"/>
      <c r="I196" s="130"/>
      <c r="J196" s="123"/>
      <c r="K196"/>
      <c r="L196" s="131" t="str">
        <f ca="1">_xlfn.XLOOKUP(L175,RenewalPlans!B:B,RenewalPlans!AI:AI,"NA",0,1)</f>
        <v>NA</v>
      </c>
      <c r="M196" s="122"/>
      <c r="N196" s="122"/>
      <c r="O196" s="122"/>
      <c r="P196" s="130"/>
      <c r="Q196" s="122"/>
      <c r="R196" s="123"/>
      <c r="T196" s="131" t="str">
        <f>_xlfn.XLOOKUP(T175,RenewalPlans!B:B,RenewalPlans!AI:AI,"NA",0,1)</f>
        <v>NA</v>
      </c>
      <c r="U196" s="122"/>
      <c r="V196" s="122"/>
      <c r="W196" s="122"/>
      <c r="X196" s="130"/>
      <c r="Y196" s="122"/>
      <c r="Z196" s="123"/>
    </row>
    <row r="197" spans="1:26" ht="18.75" customHeight="1" hidden="1">
      <c r="A197" s="1"/>
      <c r="B197" s="1"/>
      <c r="D197" s="198" t="s">
        <v>268</v>
      </c>
      <c r="E197" s="130" t="e">
        <f>_xlfn.XLOOKUP(E175,CurrentPlans!B:B,CurrentPlans!AH:AH,"NA",0,1)</f>
        <v>#N/A</v>
      </c>
      <c r="F197" s="200"/>
      <c r="G197" s="200"/>
      <c r="H197" s="200"/>
      <c r="I197" s="130"/>
      <c r="J197" s="201"/>
      <c r="K197"/>
      <c r="L197" s="131" t="str">
        <f ca="1">_xlfn.XLOOKUP(L175,RenewalPlans!B:B,RenewalPlans!AK:AK,"NA",0,1)</f>
        <v>NA</v>
      </c>
      <c r="M197" s="200"/>
      <c r="N197" s="200"/>
      <c r="O197" s="200"/>
      <c r="P197" s="130"/>
      <c r="Q197" s="200"/>
      <c r="R197" s="201"/>
      <c r="T197" s="131" t="str">
        <f>_xlfn.XLOOKUP(T175,RenewalPlans!B:B,RenewalPlans!AK:AK,"NA",0,1)</f>
        <v>NA</v>
      </c>
      <c r="U197" s="200"/>
      <c r="V197" s="200"/>
      <c r="W197" s="200"/>
      <c r="X197" s="130"/>
      <c r="Y197" s="200"/>
      <c r="Z197" s="201"/>
    </row>
    <row r="198" spans="1:26" ht="18.75" customHeight="1" hidden="1">
      <c r="A198" s="1"/>
      <c r="B198" s="1"/>
      <c r="D198" s="198" t="s">
        <v>269</v>
      </c>
      <c r="E198" s="130" t="e">
        <f>_xlfn.XLOOKUP(E175,CurrentPlans!B:B,CurrentPlans!AG:AG,"NA",0,1)</f>
        <v>#N/A</v>
      </c>
      <c r="F198" s="200"/>
      <c r="G198" s="200"/>
      <c r="H198" s="200"/>
      <c r="I198" s="130"/>
      <c r="J198" s="201"/>
      <c r="K198"/>
      <c r="L198" s="131" t="str">
        <f ca="1">_xlfn.XLOOKUP(L175,RenewalPlans!B:B,RenewalPlans!AJ:AJ,"NA",0,1)</f>
        <v>NA</v>
      </c>
      <c r="M198" s="200"/>
      <c r="N198" s="200"/>
      <c r="O198" s="200"/>
      <c r="P198" s="130"/>
      <c r="Q198" s="200"/>
      <c r="R198" s="201"/>
      <c r="T198" s="131" t="str">
        <f>_xlfn.XLOOKUP(T175,RenewalPlans!B:B,RenewalPlans!AJ:AJ,"NA",0,1)</f>
        <v>NA</v>
      </c>
      <c r="U198" s="200"/>
      <c r="V198" s="200"/>
      <c r="W198" s="200"/>
      <c r="X198" s="130"/>
      <c r="Y198" s="200"/>
      <c r="Z198" s="201"/>
    </row>
    <row r="199" spans="1:26" ht="18.75" customHeight="1" hidden="1">
      <c r="A199" s="1"/>
      <c r="B199" s="1"/>
      <c r="D199" s="213" t="s">
        <v>270</v>
      </c>
      <c r="E199" s="216" t="e">
        <f>_xlfn.XLOOKUP(E175,CurrentPlans!B:B,CurrentPlans!AU:AU,"NA",0,1)</f>
        <v>#N/A</v>
      </c>
      <c r="F199" s="214"/>
      <c r="G199" s="214"/>
      <c r="H199" s="214"/>
      <c r="I199" s="217"/>
      <c r="J199" s="215"/>
      <c r="K199"/>
      <c r="L199" s="218" t="str">
        <f ca="1">_xlfn.XLOOKUP(L175,RenewalPlans!B:B,RenewalPlans!AX:AX,"NA",0,1)</f>
        <v>NA</v>
      </c>
      <c r="M199" s="214"/>
      <c r="N199" s="214"/>
      <c r="O199" s="214"/>
      <c r="P199" s="217"/>
      <c r="Q199" s="214"/>
      <c r="R199" s="215"/>
      <c r="T199" s="218" t="str">
        <f>_xlfn.XLOOKUP(T175,RenewalPlans!B:B,RenewalPlans!AX:AX,"NA",0,1)</f>
        <v>NA</v>
      </c>
      <c r="U199" s="214"/>
      <c r="V199" s="214"/>
      <c r="W199" s="214"/>
      <c r="X199" s="217"/>
      <c r="Y199" s="214"/>
      <c r="Z199" s="215"/>
    </row>
    <row r="200" spans="1:26" ht="18.75" customHeight="1" hidden="1">
      <c r="A200" s="1"/>
      <c r="B200" s="1"/>
      <c r="D200" s="213" t="s">
        <v>271</v>
      </c>
      <c r="E200" s="216" t="e">
        <f>_xlfn.XLOOKUP(E175,CurrentPlans!B:B,CurrentPlans!AT:AT,"NA",0,1)</f>
        <v>#N/A</v>
      </c>
      <c r="F200" s="214"/>
      <c r="G200" s="214"/>
      <c r="H200" s="214"/>
      <c r="I200" s="217"/>
      <c r="J200" s="215"/>
      <c r="K200"/>
      <c r="L200" s="218" t="str">
        <f ca="1">_xlfn.XLOOKUP(L175,RenewalPlans!B:B,RenewalPlans!AW:AW,"NA",0,1)</f>
        <v>NA</v>
      </c>
      <c r="M200" s="214"/>
      <c r="N200" s="214"/>
      <c r="O200" s="214"/>
      <c r="P200" s="217"/>
      <c r="Q200" s="214"/>
      <c r="R200" s="215"/>
      <c r="T200" s="218" t="str">
        <f>_xlfn.XLOOKUP(T175,RenewalPlans!B:B,RenewalPlans!AW:AW,"NA",0,1)</f>
        <v>NA</v>
      </c>
      <c r="U200" s="214"/>
      <c r="V200" s="214"/>
      <c r="W200" s="214"/>
      <c r="X200" s="217"/>
      <c r="Y200" s="214"/>
      <c r="Z200" s="215"/>
    </row>
    <row r="201" spans="1:26" ht="18.75" customHeight="1" hidden="1">
      <c r="A201" s="1"/>
      <c r="B201" s="1"/>
      <c r="D201" s="198" t="s">
        <v>272</v>
      </c>
      <c r="E201" s="130" t="e">
        <f>_xlfn.XLOOKUP(E175,CurrentPlans!B:B,CurrentPlans!AD:AD,"NA",0,1)</f>
        <v>#N/A</v>
      </c>
      <c r="F201" s="200"/>
      <c r="G201" s="200"/>
      <c r="H201" s="200"/>
      <c r="I201" s="130"/>
      <c r="J201" s="201"/>
      <c r="K201"/>
      <c r="L201" s="131" t="str">
        <f ca="1">_xlfn.XLOOKUP(L175,RenewalPlans!B:B,RenewalPlans!AG:AG,"NA",0,1)</f>
        <v>NA</v>
      </c>
      <c r="M201" s="200"/>
      <c r="N201" s="200"/>
      <c r="O201" s="200"/>
      <c r="P201" s="130"/>
      <c r="Q201" s="200"/>
      <c r="R201" s="201"/>
      <c r="T201" s="131" t="str">
        <f>_xlfn.XLOOKUP(T175,RenewalPlans!B:B,RenewalPlans!AG:AG,"NA",0,1)</f>
        <v>NA</v>
      </c>
      <c r="U201" s="200"/>
      <c r="V201" s="200"/>
      <c r="W201" s="200"/>
      <c r="X201" s="130"/>
      <c r="Y201" s="200"/>
      <c r="Z201" s="201"/>
    </row>
    <row r="202" spans="1:26" ht="18.75" customHeight="1" hidden="1">
      <c r="A202" s="1"/>
      <c r="B202" s="1"/>
      <c r="D202" s="198" t="s">
        <v>273</v>
      </c>
      <c r="E202" s="200"/>
      <c r="F202" s="200"/>
      <c r="G202" s="200"/>
      <c r="H202" s="200"/>
      <c r="I202" s="200"/>
      <c r="J202" s="201"/>
      <c r="K202"/>
      <c r="L202" s="198"/>
      <c r="M202" s="200"/>
      <c r="N202" s="200"/>
      <c r="O202" s="200"/>
      <c r="P202" s="200"/>
      <c r="Q202" s="200"/>
      <c r="R202" s="201"/>
      <c r="T202" s="198"/>
      <c r="U202" s="200"/>
      <c r="V202" s="200"/>
      <c r="W202" s="200"/>
      <c r="X202" s="200"/>
      <c r="Y202" s="200"/>
      <c r="Z202" s="201"/>
    </row>
    <row r="203" spans="1:26" ht="18.75" customHeight="1" hidden="1">
      <c r="A203" s="1"/>
      <c r="B203" s="1"/>
      <c r="D203" s="210"/>
      <c r="E203" s="211"/>
      <c r="F203" s="211"/>
      <c r="G203" s="211"/>
      <c r="H203" s="211"/>
      <c r="I203" s="211"/>
      <c r="J203" s="212"/>
      <c r="K203"/>
      <c r="L203" s="210"/>
      <c r="M203" s="211"/>
      <c r="N203" s="211"/>
      <c r="O203" s="211"/>
      <c r="P203" s="211"/>
      <c r="Q203" s="211"/>
      <c r="R203" s="212"/>
      <c r="T203" s="210"/>
      <c r="U203" s="211"/>
      <c r="V203" s="211"/>
      <c r="W203" s="211"/>
      <c r="X203" s="211"/>
      <c r="Y203" s="211"/>
      <c r="Z203" s="212"/>
    </row>
    <row r="204" spans="1:26" ht="18.75" customHeight="1" hidden="1">
      <c r="A204" s="1"/>
      <c r="B204" s="1"/>
      <c r="D204" s="219" t="s">
        <v>274</v>
      </c>
      <c r="E204" s="220"/>
      <c r="F204" s="220"/>
      <c r="G204" s="220"/>
      <c r="H204" s="220"/>
      <c r="I204" s="220"/>
      <c r="J204" s="221"/>
      <c r="K204"/>
      <c r="L204" s="222"/>
      <c r="M204" s="220"/>
      <c r="N204" s="220"/>
      <c r="O204" s="220"/>
      <c r="P204" s="220"/>
      <c r="Q204" s="220"/>
      <c r="R204" s="221"/>
      <c r="T204" s="222"/>
      <c r="U204" s="220"/>
      <c r="V204" s="220"/>
      <c r="W204" s="220"/>
      <c r="X204" s="220"/>
      <c r="Y204" s="220"/>
      <c r="Z204" s="221"/>
    </row>
    <row r="205" spans="1:26" ht="18.75" customHeight="1" hidden="1">
      <c r="A205" s="1"/>
      <c r="B205" s="1"/>
      <c r="D205" s="223" t="s">
        <v>250</v>
      </c>
      <c r="E205" s="205"/>
      <c r="F205" s="205"/>
      <c r="G205" s="205"/>
      <c r="H205" s="205"/>
      <c r="I205" s="205"/>
      <c r="J205" s="206"/>
      <c r="K205"/>
      <c r="L205" s="203"/>
      <c r="M205" s="205"/>
      <c r="N205" s="205"/>
      <c r="O205" s="205"/>
      <c r="P205" s="205"/>
      <c r="Q205" s="205"/>
      <c r="R205" s="206"/>
      <c r="T205" s="203"/>
      <c r="U205" s="205"/>
      <c r="V205" s="205"/>
      <c r="W205" s="205"/>
      <c r="X205" s="205"/>
      <c r="Y205" s="205"/>
      <c r="Z205" s="206"/>
    </row>
    <row r="206" spans="1:26" ht="18.75" customHeight="1" hidden="1">
      <c r="A206" s="1"/>
      <c r="B206" s="1"/>
      <c r="D206" s="198" t="s">
        <v>251</v>
      </c>
      <c r="E206" s="130" t="e">
        <f>_xlfn.XLOOKUP(E175,CurrentPlans!B:B,CurrentPlans!AP:AP,"NA",0,1)</f>
        <v>#N/A</v>
      </c>
      <c r="F206" s="200"/>
      <c r="G206" s="200"/>
      <c r="H206" s="200"/>
      <c r="I206" s="130"/>
      <c r="J206" s="201"/>
      <c r="K206"/>
      <c r="L206" s="131" t="str">
        <f ca="1">_xlfn.XLOOKUP(L175,RenewalPlans!B:B,RenewalPlans!AS:AS,"NA",0,1)</f>
        <v>NA</v>
      </c>
      <c r="M206" s="200"/>
      <c r="N206" s="200"/>
      <c r="O206" s="200"/>
      <c r="P206" s="130"/>
      <c r="Q206" s="200"/>
      <c r="R206" s="201"/>
      <c r="T206" s="131" t="str">
        <f>_xlfn.XLOOKUP(T175,RenewalPlans!B:B,RenewalPlans!AS:AS,"NA",0,1)</f>
        <v>NA</v>
      </c>
      <c r="U206" s="200"/>
      <c r="V206" s="200"/>
      <c r="W206" s="200"/>
      <c r="X206" s="130"/>
      <c r="Y206" s="200"/>
      <c r="Z206" s="201"/>
    </row>
    <row r="207" spans="1:26" ht="18.75" customHeight="1" hidden="1">
      <c r="A207" s="1"/>
      <c r="B207" s="1"/>
      <c r="D207" s="198" t="s">
        <v>252</v>
      </c>
      <c r="E207" s="130" t="e">
        <f>_xlfn.XLOOKUP(E175,CurrentPlans!B:B,CurrentPlans!AQ:AQ,"NA",0,1)</f>
        <v>#N/A</v>
      </c>
      <c r="F207" s="200"/>
      <c r="G207" s="200"/>
      <c r="H207" s="200"/>
      <c r="I207" s="130"/>
      <c r="J207" s="201"/>
      <c r="K207"/>
      <c r="L207" s="131" t="str">
        <f ca="1">_xlfn.XLOOKUP(L175,RenewalPlans!B:B,RenewalPlans!AT:AT,"NA",0,1)</f>
        <v>NA</v>
      </c>
      <c r="M207" s="200"/>
      <c r="N207" s="200"/>
      <c r="O207" s="200"/>
      <c r="P207" s="130"/>
      <c r="Q207" s="200"/>
      <c r="R207" s="201"/>
      <c r="T207" s="131" t="str">
        <f>_xlfn.XLOOKUP(T175,RenewalPlans!B:B,RenewalPlans!AT:AT,"NA",0,1)</f>
        <v>NA</v>
      </c>
      <c r="U207" s="200"/>
      <c r="V207" s="200"/>
      <c r="W207" s="200"/>
      <c r="X207" s="130"/>
      <c r="Y207" s="200"/>
      <c r="Z207" s="201"/>
    </row>
    <row r="208" spans="1:26" ht="18.75" customHeight="1" hidden="1">
      <c r="A208" s="1"/>
      <c r="B208" s="1"/>
      <c r="D208" s="120" t="s">
        <v>253</v>
      </c>
      <c r="E208" s="133" t="e">
        <f>_xlfn.XLOOKUP(E175,CurrentPlans!B:B,CurrentPlans!AO:AO,"NA",0,1)</f>
        <v>#N/A</v>
      </c>
      <c r="F208" s="122"/>
      <c r="G208" s="122"/>
      <c r="H208" s="122"/>
      <c r="I208" s="133"/>
      <c r="J208" s="123"/>
      <c r="K208"/>
      <c r="L208" s="136" t="str">
        <f ca="1">_xlfn.XLOOKUP(L175,RenewalPlans!B:B,RenewalPlans!AR:AR,"NA",0,1)</f>
        <v>NA</v>
      </c>
      <c r="M208" s="122"/>
      <c r="N208" s="122"/>
      <c r="O208" s="122"/>
      <c r="P208" s="133"/>
      <c r="Q208" s="122"/>
      <c r="R208" s="123"/>
      <c r="T208" s="136" t="str">
        <f>_xlfn.XLOOKUP(T175,RenewalPlans!B:B,RenewalPlans!AR:AR,"NA",0,1)</f>
        <v>NA</v>
      </c>
      <c r="U208" s="122"/>
      <c r="V208" s="122"/>
      <c r="W208" s="122"/>
      <c r="X208" s="133"/>
      <c r="Y208" s="122"/>
      <c r="Z208" s="123"/>
    </row>
    <row r="209" spans="1:26" ht="18.75" customHeight="1" hidden="1">
      <c r="A209" s="1"/>
      <c r="B209" s="1"/>
      <c r="D209" s="223" t="s">
        <v>254</v>
      </c>
      <c r="E209" s="205"/>
      <c r="F209" s="205"/>
      <c r="G209" s="205"/>
      <c r="H209" s="205"/>
      <c r="I209" s="205"/>
      <c r="J209" s="206"/>
      <c r="K209"/>
      <c r="L209" s="203"/>
      <c r="M209" s="205"/>
      <c r="N209" s="205"/>
      <c r="O209" s="205"/>
      <c r="P209" s="205"/>
      <c r="Q209" s="205"/>
      <c r="R209" s="206"/>
      <c r="T209" s="203"/>
      <c r="U209" s="205"/>
      <c r="V209" s="205"/>
      <c r="W209" s="205"/>
      <c r="X209" s="205"/>
      <c r="Y209" s="205"/>
      <c r="Z209" s="206"/>
    </row>
    <row r="210" spans="1:26" ht="18.75" customHeight="1" hidden="1">
      <c r="A210" s="1"/>
      <c r="B210" s="1"/>
      <c r="D210" s="198" t="s">
        <v>255</v>
      </c>
      <c r="E210" s="130" t="e">
        <f>_xlfn.XLOOKUP(E175,CurrentPlans!B:B,CurrentPlans!AR:AR,"NA",0,1)</f>
        <v>#N/A</v>
      </c>
      <c r="F210" s="200"/>
      <c r="G210" s="200"/>
      <c r="H210" s="200"/>
      <c r="I210" s="130"/>
      <c r="J210" s="201"/>
      <c r="K210"/>
      <c r="L210" s="131" t="str">
        <f ca="1">_xlfn.XLOOKUP(L175,RenewalPlans!B:B,RenewalPlans!AU:AU,"NA",0,1)</f>
        <v>NA</v>
      </c>
      <c r="M210" s="200"/>
      <c r="N210" s="200"/>
      <c r="O210" s="200"/>
      <c r="P210" s="130"/>
      <c r="Q210" s="200"/>
      <c r="R210" s="201"/>
      <c r="T210" s="131" t="str">
        <f>_xlfn.XLOOKUP(T175,RenewalPlans!B:B,RenewalPlans!AU:AU,"NA",0,1)</f>
        <v>NA</v>
      </c>
      <c r="U210" s="200"/>
      <c r="V210" s="200"/>
      <c r="W210" s="200"/>
      <c r="X210" s="130"/>
      <c r="Y210" s="200"/>
      <c r="Z210" s="201"/>
    </row>
    <row r="211" spans="1:26" ht="18.75" customHeight="1" hidden="1" thickBot="1">
      <c r="A211" s="1"/>
      <c r="B211" s="1"/>
      <c r="D211" s="224" t="s">
        <v>256</v>
      </c>
      <c r="E211" s="137" t="e">
        <f>_xlfn.XLOOKUP(E175,CurrentPlans!B:B,CurrentPlans!AS:AS,"NA",0,1)</f>
        <v>#N/A</v>
      </c>
      <c r="F211" s="225"/>
      <c r="G211" s="225"/>
      <c r="H211" s="225"/>
      <c r="I211" s="137"/>
      <c r="J211" s="226"/>
      <c r="K211"/>
      <c r="L211" s="138" t="str">
        <f ca="1">_xlfn.XLOOKUP(L175,RenewalPlans!B:B,RenewalPlans!AV:AV,"NA",0,1)</f>
        <v>NA</v>
      </c>
      <c r="M211" s="225"/>
      <c r="N211" s="225"/>
      <c r="O211" s="225"/>
      <c r="P211" s="137"/>
      <c r="Q211" s="225"/>
      <c r="R211" s="226"/>
      <c r="T211" s="138" t="str">
        <f>_xlfn.XLOOKUP(T175,RenewalPlans!B:B,RenewalPlans!AV:AV,"NA",0,1)</f>
        <v>NA</v>
      </c>
      <c r="U211" s="225"/>
      <c r="V211" s="225"/>
      <c r="W211" s="225"/>
      <c r="X211" s="137"/>
      <c r="Y211" s="225"/>
      <c r="Z211" s="226"/>
    </row>
    <row r="212" spans="4:26" ht="18.75" customHeight="1">
      <c r="D212" s="227"/>
      <c r="E212" s="176"/>
      <c r="F212" s="178"/>
      <c r="G212" s="179"/>
      <c r="H212" s="178"/>
      <c r="I212" s="176"/>
      <c r="J212" s="228"/>
      <c r="K212"/>
      <c r="L212" s="178"/>
      <c r="M212" s="176"/>
      <c r="N212" s="139"/>
      <c r="O212" s="178"/>
      <c r="P212" s="178"/>
      <c r="Q212" s="178"/>
      <c r="R212" s="228"/>
      <c r="T212" s="178"/>
      <c r="U212" s="176"/>
      <c r="V212" s="139"/>
      <c r="W212" s="178"/>
      <c r="X212" s="178"/>
      <c r="Y212" s="178"/>
      <c r="Z212" s="228"/>
    </row>
    <row r="213" spans="4:26" ht="5.25" customHeight="1" thickBot="1">
      <c r="D213" s="229"/>
      <c r="E213" s="229"/>
      <c r="F213" s="230"/>
      <c r="G213" s="231"/>
      <c r="H213" s="232"/>
      <c r="I213" s="233"/>
      <c r="J213" s="233"/>
      <c r="K213"/>
      <c r="L213" s="233"/>
      <c r="M213" s="233"/>
      <c r="N213" s="233"/>
      <c r="O213" s="233"/>
      <c r="P213" s="233"/>
      <c r="Q213" s="233"/>
      <c r="R213" s="233"/>
      <c r="T213" s="233"/>
      <c r="U213" s="233"/>
      <c r="V213" s="233"/>
      <c r="W213" s="233"/>
      <c r="X213" s="233"/>
      <c r="Y213" s="233"/>
      <c r="Z213" s="233"/>
    </row>
    <row r="214" spans="1:26" ht="50.15" customHeight="1">
      <c r="A214" s="140">
        <v>5</v>
      </c>
      <c r="B214" s="140" cm="1">
        <f t="array" ref="B214">IF(A214&gt;Class1_CurrentHealthCount,"DELETE",Class1_CurrentHealthStart+A214)</f>
        <v>9</v>
      </c>
      <c r="C214" s="164" t="s">
        <v>278</v>
      </c>
      <c r="D214" s="273" t="e">
        <f ca="1">IF(B214="Delete","",VLOOKUP(F214,BEGIN_CURRENT_HEALTH:END_CURRENT_HEALTH,3,FALSE))</f>
        <v>#N/A</v>
      </c>
      <c r="E214" s="165"/>
      <c r="F214" s="272" cm="1">
        <f t="array" ca="1" aca="1" ref="F214">IF(B214="Delete","",INDIRECT("CurrentPlans!A"&amp;B214,TRUE))</f>
        <v>0</v>
      </c>
      <c r="G214" s="166"/>
      <c r="H214" s="167"/>
      <c r="I214" s="168"/>
      <c r="J214" s="169"/>
      <c r="K214"/>
      <c r="L214" s="274" t="str">
        <f ca="1">_xlfn.IFNA(VLOOKUP(F214,BEGIN_RENEWEDFROM_HEALTH:ROW_RenewHealth_PlanID,3,FALSE),"SELECT PLAN")</f>
        <v>SELECT PLAN</v>
      </c>
      <c r="M214" s="170"/>
      <c r="N214" s="274" t="s">
        <v>237</v>
      </c>
      <c r="O214" s="171"/>
      <c r="P214" s="171"/>
      <c r="Q214" s="171"/>
      <c r="R214" s="169"/>
      <c r="T214" s="274" t="s">
        <v>38</v>
      </c>
      <c r="U214" s="170"/>
      <c r="V214" s="274" t="s">
        <v>237</v>
      </c>
      <c r="W214" s="171"/>
      <c r="X214" s="171"/>
      <c r="Y214" s="171"/>
      <c r="Z214" s="169"/>
    </row>
    <row r="215" spans="4:26" ht="18.75" customHeight="1">
      <c r="D215" s="172" t="s">
        <v>238</v>
      </c>
      <c r="E215" s="407" t="str">
        <f ca="1">_xlfn.IFNA(VLOOKUP(F214,BEGIN_CURRENT_HEALTH:END_CURRENT_HEALTH,CURRENT_COL_EO_count,FALSE),"")</f>
        <v/>
      </c>
      <c r="F215" s="408" t="str">
        <f ca="1">_xlfn.IFNA(VLOOKUP(F214,BEGIN_CURRENT_HEALTH:END_CURRENT_HEALTH,CURRENT_COL_EO,FALSE),"")</f>
        <v/>
      </c>
      <c r="G215" s="468" t="str">
        <f ca="1" t="shared" si="22" ref="G215:G218">IF(F215="","",H215/F215)</f>
        <v/>
      </c>
      <c r="H215" s="408" t="str">
        <f ca="1">_xlfn.IFNA(VLOOKUP(F214,BEGIN_CURRENT_HEALTH:END_CURRENT_HEALTH,CURRENT_COL_EOContrib,FALSE),"")</f>
        <v/>
      </c>
      <c r="I215" s="409" t="str">
        <f ca="1">IFERROR(F215-H215,"")</f>
        <v/>
      </c>
      <c r="J215" s="410" t="str">
        <f ca="1">IF(F215="","",H215*E215)</f>
        <v/>
      </c>
      <c r="K215" s="411"/>
      <c r="L215" s="408" t="str" cm="1">
        <f t="array" ca="1" aca="1" ref="L215">_xlfn.IFNA(VLOOKUP(INDIRECT("L"&amp;ROW()-1)&amp;"_"&amp;$D$12,BEGIN_RENEW_HEALTH:END_RENEW_HEALTH,RENEW_COL_EO,FALSE),"")</f>
        <v/>
      </c>
      <c r="M215" s="412" t="str">
        <f ca="1">IF(E215="","",E215)</f>
        <v/>
      </c>
      <c r="N215" s="413"/>
      <c r="O215" s="414"/>
      <c r="P215" s="415" t="str">
        <f>IFERROR(IF($N214="Keep Contribution Same",H215,IF($N214="Enter Percentages",IF(N215="","",N215*L215),IF($N214="Keep Percentage Same",IF(G215="","",G215*L215),IF($N214="Enter Dollar Amount",IF(O215="","",O215),"")))),"")</f>
        <v/>
      </c>
      <c r="Q215" s="408" t="str">
        <f ca="1">IFERROR(L215-P215,"")</f>
        <v/>
      </c>
      <c r="R215" s="410" t="str">
        <f>IFERROR(IF(P215="","",M215*P215),"")</f>
        <v/>
      </c>
      <c r="S215" s="411"/>
      <c r="T215" s="408" t="str" cm="1">
        <f t="array" ca="1" aca="1" ref="T215">_xlfn.IFNA(VLOOKUP(INDIRECT("T"&amp;ROW()-1)&amp;"_"&amp;$D$12,BEGIN_RENEW_HEALTH:END_RENEW_HEALTH,RENEW_COL_EO,FALSE),"")</f>
        <v/>
      </c>
      <c r="U215" s="412" t="str">
        <f ca="1">IF(E215="","",E215)</f>
        <v/>
      </c>
      <c r="V215" s="413"/>
      <c r="W215" s="414"/>
      <c r="X215" s="415" t="str">
        <f>IFERROR(IF($V214="Keep Contribution Same",H215,IF($V214="Enter Percentages",IF(V215="","",V215*T215),IF($V214="Keep Percentage Same",IF(G215="","",G215*T215),IF($V214="Enter Dollar Amount",IF(W215="","",W215),"")))),"")</f>
        <v/>
      </c>
      <c r="Y215" s="408" t="str">
        <f ca="1">IFERROR(T215-X215,"")</f>
        <v/>
      </c>
      <c r="Z215" s="410" t="str">
        <f>IFERROR(IF(X215="","",U215*X215),"")</f>
        <v/>
      </c>
    </row>
    <row r="216" spans="4:26" ht="18.75" customHeight="1">
      <c r="D216" s="172" t="s">
        <v>239</v>
      </c>
      <c r="E216" s="407" t="str">
        <f ca="1">_xlfn.IFNA(VLOOKUP(F214,BEGIN_CURRENT_HEALTH:END_CURRENT_HEALTH,CURRENT_COL_ES_count,FALSE),"")</f>
        <v/>
      </c>
      <c r="F216" s="408" t="str">
        <f ca="1">_xlfn.IFNA(VLOOKUP(F214,BEGIN_CURRENT_HEALTH:END_CURRENT_HEALTH,CURRENT_COL_ES,FALSE),"")</f>
        <v/>
      </c>
      <c r="G216" s="468" t="str">
        <f t="shared" ca="1" si="22"/>
        <v/>
      </c>
      <c r="H216" s="408" t="str">
        <f ca="1">_xlfn.IFNA(VLOOKUP(F214,BEGIN_CURRENT_HEALTH:END_CURRENT_HEALTH,CURRENT_COL_ESContrib,FALSE),"")</f>
        <v/>
      </c>
      <c r="I216" s="409" t="str">
        <f ca="1" t="shared" si="23" ref="I216:I218">IFERROR(F216-H216,"")</f>
        <v/>
      </c>
      <c r="J216" s="410" t="str">
        <f ca="1">IF(F216="","",H216*E216)</f>
        <v/>
      </c>
      <c r="K216" s="411"/>
      <c r="L216" s="408" t="str" cm="1">
        <f t="array" ca="1" aca="1" ref="L216">_xlfn.IFNA(VLOOKUP(INDIRECT("L"&amp;ROW()-2)&amp;"_"&amp;$D$12,BEGIN_RENEW_HEALTH:END_RENEW_HEALTH,RENEW_COL_ES,FALSE),"")</f>
        <v/>
      </c>
      <c r="M216" s="412" t="str">
        <f ca="1">IF(E216="","",E216)</f>
        <v/>
      </c>
      <c r="N216" s="413"/>
      <c r="O216" s="414"/>
      <c r="P216" s="415" t="str">
        <f>IFERROR(IF($N214="Keep Contribution Same",H216,IF($N214="Enter Percentages",IF(N216="","",N216*L216),IF($N214="Keep Percentage Same",IF(G216="","",G216*L216),IF($N214="Enter Dollar Amount",IF(O216="","",O216),"")))),"")</f>
        <v/>
      </c>
      <c r="Q216" s="408" t="str">
        <f ca="1">IFERROR(L216-P216,"")</f>
        <v/>
      </c>
      <c r="R216" s="410" t="str">
        <f>IFERROR(IF(P216="","",M216*P216),"")</f>
        <v/>
      </c>
      <c r="S216" s="411"/>
      <c r="T216" s="408" t="str" cm="1">
        <f t="array" ca="1" aca="1" ref="T216">_xlfn.IFNA(VLOOKUP(INDIRECT("T"&amp;ROW()-2)&amp;"_"&amp;$D$12,BEGIN_RENEW_HEALTH:END_RENEW_HEALTH,RENEW_COL_ES,FALSE),"")</f>
        <v/>
      </c>
      <c r="U216" s="412" t="str">
        <f ca="1" t="shared" si="24" ref="U216:U218">IF(E216="","",E216)</f>
        <v/>
      </c>
      <c r="V216" s="413"/>
      <c r="W216" s="414"/>
      <c r="X216" s="415" t="str">
        <f>IFERROR(IF($V214="Keep Contribution Same",H216,IF($V214="Enter Percentages",IF(V216="","",V216*T216),IF($V214="Keep Percentage Same",IF(G216="","",G216*T216),IF($V214="Enter Dollar Amount",IF(W216="","",W216),"")))),"")</f>
        <v/>
      </c>
      <c r="Y216" s="408" t="str">
        <f ca="1" t="shared" si="25" ref="Y216:Y218">IFERROR(T216-X216,"")</f>
        <v/>
      </c>
      <c r="Z216" s="410" t="str">
        <f t="shared" si="26" ref="Z216:Z218">IFERROR(IF(X216="","",U216*X216),"")</f>
        <v/>
      </c>
    </row>
    <row r="217" spans="4:26" ht="18.75" customHeight="1">
      <c r="D217" s="172" t="s">
        <v>240</v>
      </c>
      <c r="E217" s="407" t="str">
        <f ca="1">_xlfn.IFNA(VLOOKUP(F214,BEGIN_CURRENT_HEALTH:END_CURRENT_HEALTH,CURRENT_COL_EC_count,FALSE),"")</f>
        <v/>
      </c>
      <c r="F217" s="408" t="str">
        <f ca="1">_xlfn.IFNA(VLOOKUP(F214,BEGIN_CURRENT_HEALTH:END_CURRENT_HEALTH,CURRENT_COL_EC,FALSE),"")</f>
        <v/>
      </c>
      <c r="G217" s="468" t="str">
        <f t="shared" ca="1" si="22"/>
        <v/>
      </c>
      <c r="H217" s="408" t="str">
        <f ca="1">_xlfn.IFNA(VLOOKUP(F214,BEGIN_CURRENT_HEALTH:END_CURRENT_HEALTH,CURRENT_COL_ECContrib,FALSE),"")</f>
        <v/>
      </c>
      <c r="I217" s="409" t="str">
        <f t="shared" ca="1" si="23"/>
        <v/>
      </c>
      <c r="J217" s="410" t="str">
        <f ca="1">IF(F217="","",H217*E217)</f>
        <v/>
      </c>
      <c r="K217" s="411"/>
      <c r="L217" s="408" t="str" cm="1">
        <f t="array" ca="1" aca="1" ref="L217">_xlfn.IFNA(VLOOKUP(INDIRECT("L"&amp;ROW()-3)&amp;"_"&amp;$D$12,BEGIN_RENEW_HEALTH:END_RENEW_HEALTH,RENEW_COL_EC,FALSE),"")</f>
        <v/>
      </c>
      <c r="M217" s="412" t="str">
        <f ca="1">IF(E217="","",E217)</f>
        <v/>
      </c>
      <c r="N217" s="413"/>
      <c r="O217" s="414"/>
      <c r="P217" s="415" t="str">
        <f>IFERROR(IF($N214="Keep Contribution Same",H217,IF($N214="Enter Percentages",IF(N217="","",N217*L217),IF($N214="Keep Percentage Same",IF(G217="","",G217*L217),IF($N214="Enter Dollar Amount",IF(O217="","",O217),"")))),"")</f>
        <v/>
      </c>
      <c r="Q217" s="408" t="str">
        <f ca="1">IFERROR(L217-P217,"")</f>
        <v/>
      </c>
      <c r="R217" s="410" t="str">
        <f>IFERROR(IF(P217="","",M217*P217),"")</f>
        <v/>
      </c>
      <c r="S217" s="411"/>
      <c r="T217" s="408" t="str" cm="1">
        <f t="array" ca="1" aca="1" ref="T217">_xlfn.IFNA(VLOOKUP(INDIRECT("T"&amp;ROW()-3)&amp;"_"&amp;$D$12,BEGIN_RENEW_HEALTH:END_RENEW_HEALTH,RENEW_COL_EC,FALSE),"")</f>
        <v/>
      </c>
      <c r="U217" s="412" t="str">
        <f t="shared" ca="1" si="24"/>
        <v/>
      </c>
      <c r="V217" s="413"/>
      <c r="W217" s="414"/>
      <c r="X217" s="415" t="str">
        <f>IFERROR(IF($V214="Keep Contribution Same",H217,IF($V214="Enter Percentages",IF(V217="","",V217*T217),IF($V214="Keep Percentage Same",IF(G217="","",G217*T217),IF($V214="Enter Dollar Amount",IF(W217="","",W217),"")))),"")</f>
        <v/>
      </c>
      <c r="Y217" s="408" t="str">
        <f t="shared" ca="1" si="25"/>
        <v/>
      </c>
      <c r="Z217" s="410" t="str">
        <f t="shared" si="26"/>
        <v/>
      </c>
    </row>
    <row r="218" spans="4:26" ht="18.75" customHeight="1" thickBot="1">
      <c r="D218" s="174" t="s">
        <v>241</v>
      </c>
      <c r="E218" s="416" t="str">
        <f ca="1">_xlfn.IFNA(VLOOKUP(F214,BEGIN_CURRENT_HEALTH:END_CURRENT_HEALTH,CURRENT_COL_FAM_count,FALSE),"")</f>
        <v/>
      </c>
      <c r="F218" s="417" t="str">
        <f ca="1">_xlfn.IFNA(VLOOKUP(F214,BEGIN_CURRENT_HEALTH:END_CURRENT_HEALTH,CURRENT_COL_FAM,FALSE),"")</f>
        <v/>
      </c>
      <c r="G218" s="469" t="str">
        <f t="shared" ca="1" si="22"/>
        <v/>
      </c>
      <c r="H218" s="417" t="str">
        <f ca="1">_xlfn.IFNA(VLOOKUP(F214,BEGIN_CURRENT_HEALTH:END_CURRENT_HEALTH,CURRENT_COL_FAMContrib,FALSE),"")</f>
        <v/>
      </c>
      <c r="I218" s="418" t="str">
        <f t="shared" ca="1" si="23"/>
        <v/>
      </c>
      <c r="J218" s="419" t="str">
        <f ca="1">IF(F218="","",H218*E218)</f>
        <v/>
      </c>
      <c r="K218" s="411"/>
      <c r="L218" s="417" t="str" cm="1">
        <f t="array" ca="1" aca="1" ref="L218">_xlfn.IFNA(VLOOKUP(INDIRECT("L"&amp;ROW()-4)&amp;"_"&amp;$D$12,BEGIN_RENEW_HEALTH:END_RENEW_HEALTH,RENEW_COL_FAM,FALSE),"")</f>
        <v/>
      </c>
      <c r="M218" s="412" t="str">
        <f ca="1">IF(E218="","",E218)</f>
        <v/>
      </c>
      <c r="N218" s="420"/>
      <c r="O218" s="421"/>
      <c r="P218" s="422" t="str">
        <f>IFERROR(IF($N214="Keep Contribution Same",H218,IF($N214="Enter Percentages",IF(N218="","",N218*L218),IF($N214="Keep Percentage Same",IF(G218="","",G218*L218),IF($N214="Enter Dollar Amount",IF(O218="","",O218),"")))),"")</f>
        <v/>
      </c>
      <c r="Q218" s="422" t="str">
        <f ca="1">IFERROR(L218-P218,"")</f>
        <v/>
      </c>
      <c r="R218" s="410" t="str">
        <f>IFERROR(IF(P218="","",M218*P218),"")</f>
        <v/>
      </c>
      <c r="S218" s="411"/>
      <c r="T218" s="417" t="str" cm="1">
        <f t="array" ca="1" aca="1" ref="T218">_xlfn.IFNA(VLOOKUP(INDIRECT("T"&amp;ROW()-4)&amp;"_"&amp;$D$12,BEGIN_RENEW_HEALTH:END_RENEW_HEALTH,RENEW_COL_FAM,FALSE),"")</f>
        <v/>
      </c>
      <c r="U218" s="423" t="str">
        <f t="shared" ca="1" si="24"/>
        <v/>
      </c>
      <c r="V218" s="420"/>
      <c r="W218" s="421"/>
      <c r="X218" s="422" t="str">
        <f>IFERROR(IF($V214="Keep Contribution Same",H218,IF($V214="Enter Percentages",IF(V218="","",V218*T218),IF($V214="Keep Percentage Same",IF(G218="","",G218*T218),IF($V214="Enter Dollar Amount",IF(W218="","",W218),"")))),"")</f>
        <v/>
      </c>
      <c r="Y218" s="417" t="str">
        <f t="shared" ca="1" si="25"/>
        <v/>
      </c>
      <c r="Z218" s="419" t="str">
        <f t="shared" si="26"/>
        <v/>
      </c>
    </row>
    <row r="219" spans="4:26" ht="18.75" customHeight="1" thickTop="1">
      <c r="D219" s="175" t="s">
        <v>242</v>
      </c>
      <c r="E219" s="424"/>
      <c r="F219" s="425" t="str">
        <f ca="1">IFERROR((F215*E215)+(F216*E216)+(F217*E217)+(F218*E218),"")</f>
        <v/>
      </c>
      <c r="G219" s="426"/>
      <c r="H219" s="427"/>
      <c r="I219" s="428"/>
      <c r="J219" s="429" t="str">
        <f ca="1">IFERROR(IF(J215="","",SUM(J215:J218)),0)</f>
        <v/>
      </c>
      <c r="K219" s="1"/>
      <c r="L219" s="430" t="str">
        <f ca="1">IFERROR((M215*L215)+(M216*L216)+(M217*L217)+(M218*L218),"")</f>
        <v/>
      </c>
      <c r="M219" s="427"/>
      <c r="N219" s="426"/>
      <c r="O219" s="427"/>
      <c r="P219" s="431"/>
      <c r="Q219" s="432"/>
      <c r="R219" s="429" t="str">
        <f>IFERROR(IF(R215="","",SUM(R215:R218)),0)</f>
        <v/>
      </c>
      <c r="T219" s="430" t="str">
        <f ca="1">IFERROR((U215*T215)+(U216*T216)+(U217*T217)+(U218*T218),"")</f>
        <v/>
      </c>
      <c r="U219" s="427"/>
      <c r="V219" s="426"/>
      <c r="W219" s="427"/>
      <c r="X219" s="431"/>
      <c r="Y219" s="432"/>
      <c r="Z219" s="429" t="str">
        <f>IFERROR(IF(Z215="","",SUM(Z215:Z218)),0)</f>
        <v/>
      </c>
    </row>
    <row r="220" spans="4:26" ht="18.75" customHeight="1">
      <c r="D220" s="177" t="s">
        <v>243</v>
      </c>
      <c r="E220" s="433"/>
      <c r="F220" s="434" t="str">
        <f ca="1">IFERROR(F219*12,"")</f>
        <v/>
      </c>
      <c r="G220" s="435"/>
      <c r="H220" s="436"/>
      <c r="I220" s="432"/>
      <c r="J220" s="437" t="str">
        <f ca="1">IF(J219="","",J219*12)</f>
        <v/>
      </c>
      <c r="K220" s="1"/>
      <c r="L220" s="438" t="str">
        <f ca="1">IFERROR(L219*12,"")</f>
        <v/>
      </c>
      <c r="M220" s="436"/>
      <c r="N220" s="435"/>
      <c r="O220" s="436"/>
      <c r="P220" s="432"/>
      <c r="Q220" s="432"/>
      <c r="R220" s="437" t="str">
        <f>IF(R219="","",R219*12)</f>
        <v/>
      </c>
      <c r="T220" s="438" t="str">
        <f ca="1">IFERROR(T219*12,"")</f>
        <v/>
      </c>
      <c r="U220" s="436"/>
      <c r="V220" s="435"/>
      <c r="W220" s="436"/>
      <c r="X220" s="432"/>
      <c r="Y220" s="432"/>
      <c r="Z220" s="437" t="str">
        <f>IF(Z219="","",Z219*12)</f>
        <v/>
      </c>
    </row>
    <row r="221" spans="4:26" ht="18.75" customHeight="1">
      <c r="D221" s="177" t="s">
        <v>244</v>
      </c>
      <c r="E221" s="433"/>
      <c r="F221" s="436"/>
      <c r="G221" s="435"/>
      <c r="H221" s="436"/>
      <c r="I221" s="432"/>
      <c r="J221" s="437"/>
      <c r="K221" s="1"/>
      <c r="L221" s="434" t="str">
        <f ca="1">IFERROR(L220-F220,"")</f>
        <v/>
      </c>
      <c r="M221" s="436"/>
      <c r="N221" s="435"/>
      <c r="O221" s="436"/>
      <c r="P221" s="432"/>
      <c r="Q221" s="432"/>
      <c r="R221" s="437" t="str">
        <f ca="1">IFERROR(IF(J220="","",R220-J220),0)</f>
        <v/>
      </c>
      <c r="T221" s="434" t="str">
        <f ca="1">IFERROR(T220-F220,"")</f>
        <v/>
      </c>
      <c r="U221" s="436"/>
      <c r="V221" s="435"/>
      <c r="W221" s="436"/>
      <c r="X221" s="432"/>
      <c r="Y221" s="432"/>
      <c r="Z221" s="437" t="str">
        <f>IFERROR(IF(R220="","",Z220-R220),0)</f>
        <v/>
      </c>
    </row>
    <row r="222" spans="4:26" ht="18.75" customHeight="1" thickBot="1">
      <c r="D222" s="180" t="s">
        <v>245</v>
      </c>
      <c r="E222" s="439"/>
      <c r="F222" s="440"/>
      <c r="G222" s="441"/>
      <c r="H222" s="440"/>
      <c r="I222" s="442"/>
      <c r="J222" s="443"/>
      <c r="K222" s="1"/>
      <c r="L222" s="444" t="str">
        <f ca="1">IFERROR(L220/F220-1,"")</f>
        <v/>
      </c>
      <c r="M222" s="440"/>
      <c r="N222" s="441"/>
      <c r="O222" s="440"/>
      <c r="P222" s="445"/>
      <c r="Q222" s="445"/>
      <c r="R222" s="446" t="str">
        <f ca="1">IFERROR(IF(J220="","",(R220/J220)-1),0)</f>
        <v/>
      </c>
      <c r="T222" s="444" t="str">
        <f ca="1">IFERROR(T220/F220-1,"")</f>
        <v/>
      </c>
      <c r="U222" s="440"/>
      <c r="V222" s="441"/>
      <c r="W222" s="440"/>
      <c r="X222" s="445"/>
      <c r="Y222" s="445"/>
      <c r="Z222" s="446" t="str">
        <f>IFERROR(IF(R220="","",(Z220/R220)-1),0)</f>
        <v/>
      </c>
    </row>
    <row r="223" spans="1:26" ht="18.75" customHeight="1">
      <c r="A223" s="1"/>
      <c r="B223" s="1"/>
      <c r="D223" s="181" t="s">
        <v>246</v>
      </c>
      <c r="E223" s="182"/>
      <c r="F223" s="182"/>
      <c r="G223" s="182"/>
      <c r="H223" s="182"/>
      <c r="I223" s="182"/>
      <c r="J223" s="183"/>
      <c r="K223"/>
      <c r="L223" s="184"/>
      <c r="M223" s="182"/>
      <c r="N223" s="182"/>
      <c r="O223" s="182"/>
      <c r="P223" s="182"/>
      <c r="Q223" s="182"/>
      <c r="R223" s="183"/>
      <c r="T223" s="184"/>
      <c r="U223" s="182"/>
      <c r="V223" s="182"/>
      <c r="W223" s="182"/>
      <c r="X223" s="182"/>
      <c r="Y223" s="182"/>
      <c r="Z223" s="183"/>
    </row>
    <row r="224" spans="1:26" ht="18.75" customHeight="1" hidden="1">
      <c r="A224" s="1"/>
      <c r="B224" s="1"/>
      <c r="D224" s="185" t="s">
        <v>247</v>
      </c>
      <c r="E224" s="186"/>
      <c r="F224" s="186"/>
      <c r="G224" s="186"/>
      <c r="H224" s="186"/>
      <c r="I224" s="186"/>
      <c r="J224" s="187"/>
      <c r="K224"/>
      <c r="L224" s="188"/>
      <c r="M224" s="186"/>
      <c r="N224" s="186"/>
      <c r="O224" s="186"/>
      <c r="P224" s="186"/>
      <c r="Q224" s="186"/>
      <c r="R224" s="187"/>
      <c r="T224" s="188"/>
      <c r="U224" s="186"/>
      <c r="V224" s="186"/>
      <c r="W224" s="186"/>
      <c r="X224" s="186"/>
      <c r="Y224" s="186"/>
      <c r="Z224" s="187"/>
    </row>
    <row r="225" spans="1:26" ht="18.75" customHeight="1" hidden="1">
      <c r="A225" s="1"/>
      <c r="B225" s="1"/>
      <c r="D225" s="189" t="s">
        <v>248</v>
      </c>
      <c r="E225" s="190" t="e">
        <f ca="1">D214&amp;"_"&amp;D12</f>
        <v>#N/A</v>
      </c>
      <c r="F225" s="191"/>
      <c r="G225" s="191"/>
      <c r="H225" s="191"/>
      <c r="I225" s="190"/>
      <c r="J225" s="192"/>
      <c r="K225"/>
      <c r="L225" s="193" t="str">
        <f ca="1">L214&amp;"_"&amp;D12</f>
        <v>SELECT PLAN_MANAGERS</v>
      </c>
      <c r="M225" s="191"/>
      <c r="N225" s="191"/>
      <c r="O225" s="191"/>
      <c r="P225" s="190"/>
      <c r="Q225" s="191"/>
      <c r="R225" s="192"/>
      <c r="T225" s="193" t="str">
        <f>T214&amp;"_"&amp;D12</f>
        <v>SELECT PLAN_MANAGERS</v>
      </c>
      <c r="U225" s="191"/>
      <c r="V225" s="191"/>
      <c r="W225" s="191"/>
      <c r="X225" s="190"/>
      <c r="Y225" s="191"/>
      <c r="Z225" s="192"/>
    </row>
    <row r="226" spans="1:26" ht="18.75" customHeight="1" hidden="1">
      <c r="A226" s="1"/>
      <c r="B226" s="1"/>
      <c r="D226" s="189" t="s">
        <v>249</v>
      </c>
      <c r="E226" s="191"/>
      <c r="F226" s="191"/>
      <c r="G226" s="191"/>
      <c r="H226" s="191"/>
      <c r="I226" s="191"/>
      <c r="J226" s="192"/>
      <c r="K226"/>
      <c r="L226" s="189"/>
      <c r="M226" s="191"/>
      <c r="N226" s="191"/>
      <c r="O226" s="191"/>
      <c r="P226" s="191"/>
      <c r="Q226" s="191"/>
      <c r="R226" s="192"/>
      <c r="T226" s="189"/>
      <c r="U226" s="191"/>
      <c r="V226" s="191"/>
      <c r="W226" s="191"/>
      <c r="X226" s="191"/>
      <c r="Y226" s="191"/>
      <c r="Z226" s="192"/>
    </row>
    <row r="227" spans="1:26" ht="18.75" customHeight="1" hidden="1">
      <c r="A227" s="1"/>
      <c r="B227" s="1"/>
      <c r="D227" s="194" t="s">
        <v>250</v>
      </c>
      <c r="E227" s="195"/>
      <c r="F227" s="195"/>
      <c r="G227" s="195"/>
      <c r="H227" s="195"/>
      <c r="I227" s="195"/>
      <c r="J227" s="196"/>
      <c r="K227"/>
      <c r="L227" s="197"/>
      <c r="M227" s="195"/>
      <c r="N227" s="195"/>
      <c r="O227" s="195"/>
      <c r="P227" s="195"/>
      <c r="Q227" s="195"/>
      <c r="R227" s="196"/>
      <c r="T227" s="197"/>
      <c r="U227" s="195"/>
      <c r="V227" s="195"/>
      <c r="W227" s="195"/>
      <c r="X227" s="195"/>
      <c r="Y227" s="195"/>
      <c r="Z227" s="196"/>
    </row>
    <row r="228" spans="1:26" ht="18.75" customHeight="1" hidden="1">
      <c r="A228" s="1"/>
      <c r="B228" s="1"/>
      <c r="D228" s="198" t="s">
        <v>251</v>
      </c>
      <c r="E228" s="199" t="e">
        <f>_xlfn.XLOOKUP(E225,CurrentPlans!B:B,CurrentPlans!X:X,"NA",0,1)</f>
        <v>#N/A</v>
      </c>
      <c r="F228" s="200"/>
      <c r="G228" s="200"/>
      <c r="H228" s="200"/>
      <c r="I228" s="199"/>
      <c r="J228" s="201"/>
      <c r="K228"/>
      <c r="L228" s="202" t="str">
        <f ca="1">_xlfn.XLOOKUP(L225,RenewalPlans!B:B,RenewalPlans!AA:AA,"NA",0,1)</f>
        <v>NA</v>
      </c>
      <c r="M228" s="200"/>
      <c r="N228" s="200"/>
      <c r="O228" s="200"/>
      <c r="P228" s="199"/>
      <c r="Q228" s="200"/>
      <c r="R228" s="201"/>
      <c r="T228" s="202" t="str">
        <f>_xlfn.XLOOKUP(T225,RenewalPlans!B:B,RenewalPlans!AA:AA,"NA",0,1)</f>
        <v>NA</v>
      </c>
      <c r="U228" s="200"/>
      <c r="V228" s="200"/>
      <c r="W228" s="200"/>
      <c r="X228" s="199"/>
      <c r="Y228" s="200"/>
      <c r="Z228" s="201"/>
    </row>
    <row r="229" spans="1:26" ht="18.75" customHeight="1" hidden="1">
      <c r="A229" s="1"/>
      <c r="B229" s="1"/>
      <c r="D229" s="198" t="s">
        <v>252</v>
      </c>
      <c r="E229" s="199" t="e">
        <f>_xlfn.XLOOKUP(E225,CurrentPlans!B:B,CurrentPlans!Y:Y,"NA",0,1)</f>
        <v>#N/A</v>
      </c>
      <c r="F229" s="200"/>
      <c r="G229" s="200"/>
      <c r="H229" s="200"/>
      <c r="I229" s="199"/>
      <c r="J229" s="201"/>
      <c r="K229"/>
      <c r="L229" s="202" t="str">
        <f ca="1">_xlfn.XLOOKUP(L225,RenewalPlans!B:B,RenewalPlans!AB:AB,"NA",0,1)</f>
        <v>NA</v>
      </c>
      <c r="M229" s="200"/>
      <c r="N229" s="200"/>
      <c r="O229" s="200"/>
      <c r="P229" s="199"/>
      <c r="Q229" s="200"/>
      <c r="R229" s="201"/>
      <c r="T229" s="202" t="str">
        <f>_xlfn.XLOOKUP(T225,RenewalPlans!B:B,RenewalPlans!AB:AB,"NA",0,1)</f>
        <v>NA</v>
      </c>
      <c r="U229" s="200"/>
      <c r="V229" s="200"/>
      <c r="W229" s="200"/>
      <c r="X229" s="199"/>
      <c r="Y229" s="200"/>
      <c r="Z229" s="201"/>
    </row>
    <row r="230" spans="1:26" ht="18.75" customHeight="1" hidden="1">
      <c r="A230" s="1"/>
      <c r="B230" s="1"/>
      <c r="D230" s="120" t="s">
        <v>253</v>
      </c>
      <c r="E230" s="121" t="e">
        <f>_xlfn.XLOOKUP(E225,CurrentPlans!B:B,CurrentPlans!W:W,"NA",0,1)</f>
        <v>#N/A</v>
      </c>
      <c r="F230" s="122"/>
      <c r="G230" s="122"/>
      <c r="H230" s="122"/>
      <c r="I230" s="121"/>
      <c r="J230" s="123"/>
      <c r="K230"/>
      <c r="L230" s="124" t="str">
        <f ca="1">_xlfn.XLOOKUP(L225,RenewalPlans!B:B,RenewalPlans!Z:Z,"NA",0,1)</f>
        <v>NA</v>
      </c>
      <c r="M230" s="122"/>
      <c r="N230" s="122"/>
      <c r="O230" s="122"/>
      <c r="P230" s="121"/>
      <c r="Q230" s="122"/>
      <c r="R230" s="123"/>
      <c r="T230" s="124" t="str">
        <f>_xlfn.XLOOKUP(T225,RenewalPlans!B:B,RenewalPlans!Z:Z,"NA",0,1)</f>
        <v>NA</v>
      </c>
      <c r="U230" s="122"/>
      <c r="V230" s="122"/>
      <c r="W230" s="122"/>
      <c r="X230" s="121"/>
      <c r="Y230" s="122"/>
      <c r="Z230" s="123"/>
    </row>
    <row r="231" spans="1:26" ht="18.75" customHeight="1" hidden="1">
      <c r="A231" s="1"/>
      <c r="B231" s="1"/>
      <c r="D231" s="203" t="s">
        <v>254</v>
      </c>
      <c r="E231" s="204"/>
      <c r="F231" s="205"/>
      <c r="G231" s="205"/>
      <c r="H231" s="205"/>
      <c r="I231" s="204"/>
      <c r="J231" s="206"/>
      <c r="K231"/>
      <c r="L231" s="207"/>
      <c r="M231" s="205"/>
      <c r="N231" s="205"/>
      <c r="O231" s="205"/>
      <c r="P231" s="204"/>
      <c r="Q231" s="205"/>
      <c r="R231" s="206"/>
      <c r="T231" s="207"/>
      <c r="U231" s="205"/>
      <c r="V231" s="205"/>
      <c r="W231" s="205"/>
      <c r="X231" s="204"/>
      <c r="Y231" s="205"/>
      <c r="Z231" s="206"/>
    </row>
    <row r="232" spans="1:26" ht="18.75" customHeight="1" hidden="1">
      <c r="A232" s="1"/>
      <c r="B232" s="1"/>
      <c r="D232" s="125" t="s">
        <v>255</v>
      </c>
      <c r="E232" s="126" t="e">
        <f>_xlfn.XLOOKUP(E225,CurrentPlans!B:B,CurrentPlans!Z:Z,"NA",0,1)</f>
        <v>#N/A</v>
      </c>
      <c r="F232" s="127"/>
      <c r="G232" s="127"/>
      <c r="H232" s="127"/>
      <c r="I232" s="126"/>
      <c r="J232" s="128"/>
      <c r="K232"/>
      <c r="L232" s="129" t="str">
        <f ca="1">_xlfn.XLOOKUP(L225,RenewalPlans!B:B,RenewalPlans!AC:AC,"NA",0,1)</f>
        <v>NA</v>
      </c>
      <c r="M232" s="127"/>
      <c r="N232" s="127"/>
      <c r="O232" s="127"/>
      <c r="P232" s="126"/>
      <c r="Q232" s="127"/>
      <c r="R232" s="128"/>
      <c r="T232" s="129" t="str">
        <f>_xlfn.XLOOKUP(T225,RenewalPlans!B:B,RenewalPlans!AC:AC,"NA",0,1)</f>
        <v>NA</v>
      </c>
      <c r="U232" s="127"/>
      <c r="V232" s="127"/>
      <c r="W232" s="127"/>
      <c r="X232" s="126"/>
      <c r="Y232" s="127"/>
      <c r="Z232" s="128"/>
    </row>
    <row r="233" spans="1:26" ht="18.75" customHeight="1" hidden="1">
      <c r="A233" s="1"/>
      <c r="B233" s="1"/>
      <c r="D233" s="198" t="s">
        <v>256</v>
      </c>
      <c r="E233" s="208" t="e">
        <f>_xlfn.XLOOKUP(E225,CurrentPlans!B:B,CurrentPlans!AA:AA,"NA",0,1)</f>
        <v>#N/A</v>
      </c>
      <c r="F233" s="200"/>
      <c r="G233" s="200"/>
      <c r="H233" s="200"/>
      <c r="I233" s="208"/>
      <c r="J233" s="201"/>
      <c r="K233"/>
      <c r="L233" s="209" t="str">
        <f ca="1">_xlfn.XLOOKUP(L225,RenewalPlans!B:B,RenewalPlans!AD:AD,"NA",0,1)</f>
        <v>NA</v>
      </c>
      <c r="M233" s="200"/>
      <c r="N233" s="200"/>
      <c r="O233" s="200"/>
      <c r="P233" s="208"/>
      <c r="Q233" s="200"/>
      <c r="R233" s="201"/>
      <c r="T233" s="209" t="str">
        <f>_xlfn.XLOOKUP(T225,RenewalPlans!B:B,RenewalPlans!AD:AD,"NA",0,1)</f>
        <v>NA</v>
      </c>
      <c r="U233" s="200"/>
      <c r="V233" s="200"/>
      <c r="W233" s="200"/>
      <c r="X233" s="208"/>
      <c r="Y233" s="200"/>
      <c r="Z233" s="201"/>
    </row>
    <row r="234" spans="1:26" ht="18.75" customHeight="1" hidden="1">
      <c r="A234" s="1"/>
      <c r="B234" s="1"/>
      <c r="D234" s="203" t="s">
        <v>257</v>
      </c>
      <c r="E234" s="204"/>
      <c r="F234" s="205"/>
      <c r="G234" s="205"/>
      <c r="H234" s="205"/>
      <c r="I234" s="204"/>
      <c r="J234" s="206"/>
      <c r="K234"/>
      <c r="L234" s="207"/>
      <c r="M234" s="205"/>
      <c r="N234" s="205"/>
      <c r="O234" s="205"/>
      <c r="P234" s="204"/>
      <c r="Q234" s="205"/>
      <c r="R234" s="206"/>
      <c r="T234" s="207"/>
      <c r="U234" s="205"/>
      <c r="V234" s="205"/>
      <c r="W234" s="205"/>
      <c r="X234" s="204"/>
      <c r="Y234" s="205"/>
      <c r="Z234" s="206"/>
    </row>
    <row r="235" spans="1:26" ht="18.75" customHeight="1" hidden="1">
      <c r="A235" s="1"/>
      <c r="B235" s="1"/>
      <c r="D235" s="198" t="s">
        <v>258</v>
      </c>
      <c r="E235" s="208" t="e">
        <f>_xlfn.XLOOKUP(E225,CurrentPlans!B:B,CurrentPlans!AB:AB,"NA",0,1)</f>
        <v>#N/A</v>
      </c>
      <c r="F235" s="200"/>
      <c r="G235" s="200"/>
      <c r="H235" s="200"/>
      <c r="I235" s="208"/>
      <c r="J235" s="201"/>
      <c r="K235"/>
      <c r="L235" s="209" t="str">
        <f ca="1">_xlfn.XLOOKUP(L225,RenewalPlans!B:B,RenewalPlans!AE:AE,"NA",0,1)</f>
        <v>NA</v>
      </c>
      <c r="M235" s="200"/>
      <c r="N235" s="200"/>
      <c r="O235" s="200"/>
      <c r="P235" s="208"/>
      <c r="Q235" s="200"/>
      <c r="R235" s="201"/>
      <c r="T235" s="209" t="str">
        <f>_xlfn.XLOOKUP(T225,RenewalPlans!B:B,RenewalPlans!AE:AE,"NA",0,1)</f>
        <v>NA</v>
      </c>
      <c r="U235" s="200"/>
      <c r="V235" s="200"/>
      <c r="W235" s="200"/>
      <c r="X235" s="208"/>
      <c r="Y235" s="200"/>
      <c r="Z235" s="201"/>
    </row>
    <row r="236" spans="1:26" ht="18.75" customHeight="1" hidden="1">
      <c r="A236" s="1"/>
      <c r="B236" s="1"/>
      <c r="D236" s="198" t="s">
        <v>259</v>
      </c>
      <c r="E236" s="208" t="e">
        <f>_xlfn.XLOOKUP(E225,CurrentPlans!B:B,CurrentPlans!AC:AC,"NA",0,1)</f>
        <v>#N/A</v>
      </c>
      <c r="F236" s="200"/>
      <c r="G236" s="200"/>
      <c r="H236" s="200"/>
      <c r="I236" s="208"/>
      <c r="J236" s="201"/>
      <c r="K236"/>
      <c r="L236" s="209" t="str">
        <f ca="1">_xlfn.XLOOKUP(L225,RenewalPlans!B:B,RenewalPlans!AF:AF,"NA",0,1)</f>
        <v>NA</v>
      </c>
      <c r="M236" s="200"/>
      <c r="N236" s="200"/>
      <c r="O236" s="200"/>
      <c r="P236" s="208"/>
      <c r="Q236" s="200"/>
      <c r="R236" s="201"/>
      <c r="T236" s="209" t="str">
        <f>_xlfn.XLOOKUP(T225,RenewalPlans!B:B,RenewalPlans!AF:AF,"NA",0,1)</f>
        <v>NA</v>
      </c>
      <c r="U236" s="200"/>
      <c r="V236" s="200"/>
      <c r="W236" s="200"/>
      <c r="X236" s="208"/>
      <c r="Y236" s="200"/>
      <c r="Z236" s="201"/>
    </row>
    <row r="237" spans="1:26" ht="18.75" customHeight="1" hidden="1">
      <c r="A237" s="1"/>
      <c r="B237" s="1"/>
      <c r="D237" s="210"/>
      <c r="E237" s="211"/>
      <c r="F237" s="211"/>
      <c r="G237" s="211"/>
      <c r="H237" s="211"/>
      <c r="I237" s="211"/>
      <c r="J237" s="212"/>
      <c r="K237"/>
      <c r="L237" s="210"/>
      <c r="M237" s="211"/>
      <c r="N237" s="211"/>
      <c r="O237" s="211"/>
      <c r="P237" s="211"/>
      <c r="Q237" s="211"/>
      <c r="R237" s="212"/>
      <c r="T237" s="210"/>
      <c r="U237" s="211"/>
      <c r="V237" s="211"/>
      <c r="W237" s="211"/>
      <c r="X237" s="211"/>
      <c r="Y237" s="211"/>
      <c r="Z237" s="212"/>
    </row>
    <row r="238" spans="1:26" ht="18.75" customHeight="1" hidden="1">
      <c r="A238" s="1"/>
      <c r="B238" s="1"/>
      <c r="D238" s="185" t="s">
        <v>260</v>
      </c>
      <c r="E238" s="186"/>
      <c r="F238" s="186"/>
      <c r="G238" s="186"/>
      <c r="H238" s="186"/>
      <c r="I238" s="186"/>
      <c r="J238" s="187"/>
      <c r="K238"/>
      <c r="L238" s="188"/>
      <c r="M238" s="186"/>
      <c r="N238" s="186"/>
      <c r="O238" s="186"/>
      <c r="P238" s="186"/>
      <c r="Q238" s="186"/>
      <c r="R238" s="187"/>
      <c r="T238" s="188"/>
      <c r="U238" s="186"/>
      <c r="V238" s="186"/>
      <c r="W238" s="186"/>
      <c r="X238" s="186"/>
      <c r="Y238" s="186"/>
      <c r="Z238" s="187"/>
    </row>
    <row r="239" spans="1:26" ht="18.75" customHeight="1" hidden="1">
      <c r="A239" s="1"/>
      <c r="B239" s="1"/>
      <c r="D239" s="213" t="s">
        <v>261</v>
      </c>
      <c r="E239" s="130" t="e">
        <f>_xlfn.XLOOKUP(E225,CurrentPlans!B:B,CurrentPlans!AJ:AJ,"NA",0,1)</f>
        <v>#N/A</v>
      </c>
      <c r="F239" s="214"/>
      <c r="G239" s="214"/>
      <c r="H239" s="214"/>
      <c r="I239" s="130"/>
      <c r="J239" s="215"/>
      <c r="K239"/>
      <c r="L239" s="131" t="str">
        <f ca="1">_xlfn.XLOOKUP(L225,RenewalPlans!B:B,RenewalPlans!AM:AM,"NA",0,1)</f>
        <v>NA</v>
      </c>
      <c r="M239" s="214"/>
      <c r="N239" s="214"/>
      <c r="O239" s="214"/>
      <c r="P239" s="130"/>
      <c r="Q239" s="214"/>
      <c r="R239" s="215"/>
      <c r="T239" s="131" t="str">
        <f>_xlfn.XLOOKUP(T225,RenewalPlans!B:B,RenewalPlans!AM:AM,"NA",0,1)</f>
        <v>NA</v>
      </c>
      <c r="U239" s="214"/>
      <c r="V239" s="214"/>
      <c r="W239" s="214"/>
      <c r="X239" s="130"/>
      <c r="Y239" s="214"/>
      <c r="Z239" s="215"/>
    </row>
    <row r="240" spans="1:26" ht="18.75" customHeight="1" hidden="1">
      <c r="A240" s="1"/>
      <c r="B240" s="1"/>
      <c r="D240" s="198" t="s">
        <v>262</v>
      </c>
      <c r="E240" s="130" t="e">
        <f>_xlfn.XLOOKUP(E225,CurrentPlans!B:B,CurrentPlans!AM:AM,"NA",0,1)</f>
        <v>#N/A</v>
      </c>
      <c r="F240" s="200"/>
      <c r="G240" s="200"/>
      <c r="H240" s="200"/>
      <c r="I240" s="130"/>
      <c r="J240" s="201"/>
      <c r="K240"/>
      <c r="L240" s="131" t="str">
        <f ca="1">_xlfn.XLOOKUP(L225,RenewalPlans!B:B,RenewalPlans!AP:AP,"NA",0,1)</f>
        <v>NA</v>
      </c>
      <c r="M240" s="200"/>
      <c r="N240" s="200"/>
      <c r="O240" s="200"/>
      <c r="P240" s="130"/>
      <c r="Q240" s="200"/>
      <c r="R240" s="201"/>
      <c r="T240" s="131" t="str">
        <f>_xlfn.XLOOKUP(T225,RenewalPlans!B:B,RenewalPlans!AP:AP,"NA",0,1)</f>
        <v>NA</v>
      </c>
      <c r="U240" s="200"/>
      <c r="V240" s="200"/>
      <c r="W240" s="200"/>
      <c r="X240" s="130"/>
      <c r="Y240" s="200"/>
      <c r="Z240" s="201"/>
    </row>
    <row r="241" spans="1:26" ht="18.75" customHeight="1" hidden="1">
      <c r="A241" s="1"/>
      <c r="B241" s="1"/>
      <c r="D241" s="198" t="s">
        <v>263</v>
      </c>
      <c r="E241" s="130" t="e">
        <f>_xlfn.XLOOKUP(E225,CurrentPlans!B:B,CurrentPlans!AI:AI,"NA",0,1)</f>
        <v>#N/A</v>
      </c>
      <c r="F241" s="200"/>
      <c r="G241" s="200"/>
      <c r="H241" s="200"/>
      <c r="I241" s="130"/>
      <c r="J241" s="201"/>
      <c r="K241"/>
      <c r="L241" s="131" t="str">
        <f ca="1">_xlfn.XLOOKUP(L225,RenewalPlans!B:B,RenewalPlans!AL:AL,"NA",0,1)</f>
        <v>NA</v>
      </c>
      <c r="M241" s="200"/>
      <c r="N241" s="200"/>
      <c r="O241" s="200"/>
      <c r="P241" s="130"/>
      <c r="Q241" s="200"/>
      <c r="R241" s="201"/>
      <c r="T241" s="131" t="str">
        <f>_xlfn.XLOOKUP(T225,RenewalPlans!B:B,RenewalPlans!AL:AL,"NA",0,1)</f>
        <v>NA</v>
      </c>
      <c r="U241" s="200"/>
      <c r="V241" s="200"/>
      <c r="W241" s="200"/>
      <c r="X241" s="130"/>
      <c r="Y241" s="200"/>
      <c r="Z241" s="201"/>
    </row>
    <row r="242" spans="1:26" ht="18.75" customHeight="1" hidden="1">
      <c r="A242" s="1"/>
      <c r="B242" s="1"/>
      <c r="D242" s="198" t="s">
        <v>264</v>
      </c>
      <c r="E242" s="208" t="e">
        <f>_xlfn.XLOOKUP(E225,CurrentPlans!B:B,CurrentPlans!AN:AN,"NA",0,1)</f>
        <v>#N/A</v>
      </c>
      <c r="F242" s="200"/>
      <c r="G242" s="200"/>
      <c r="H242" s="200"/>
      <c r="I242" s="208"/>
      <c r="J242" s="201"/>
      <c r="K242"/>
      <c r="L242" s="209" t="str">
        <f ca="1">_xlfn.XLOOKUP(L225,RenewalPlans!B:B,RenewalPlans!AQ:AQ,"NA",0,1)</f>
        <v>NA</v>
      </c>
      <c r="M242" s="200"/>
      <c r="N242" s="200"/>
      <c r="O242" s="200"/>
      <c r="P242" s="208"/>
      <c r="Q242" s="200"/>
      <c r="R242" s="201"/>
      <c r="T242" s="209" t="str">
        <f>_xlfn.XLOOKUP(T225,RenewalPlans!B:B,RenewalPlans!AQ:AQ,"NA",0,1)</f>
        <v>NA</v>
      </c>
      <c r="U242" s="200"/>
      <c r="V242" s="200"/>
      <c r="W242" s="200"/>
      <c r="X242" s="208"/>
      <c r="Y242" s="200"/>
      <c r="Z242" s="201"/>
    </row>
    <row r="243" spans="1:26" ht="18.75" customHeight="1" hidden="1">
      <c r="A243" s="1"/>
      <c r="B243" s="1"/>
      <c r="D243" s="210"/>
      <c r="E243" s="211"/>
      <c r="F243" s="211"/>
      <c r="G243" s="211"/>
      <c r="H243" s="211"/>
      <c r="I243" s="211"/>
      <c r="J243" s="212"/>
      <c r="K243"/>
      <c r="L243" s="210"/>
      <c r="M243" s="211"/>
      <c r="N243" s="211"/>
      <c r="O243" s="211"/>
      <c r="P243" s="211"/>
      <c r="Q243" s="211"/>
      <c r="R243" s="212"/>
      <c r="T243" s="210"/>
      <c r="U243" s="211"/>
      <c r="V243" s="211"/>
      <c r="W243" s="211"/>
      <c r="X243" s="211"/>
      <c r="Y243" s="211"/>
      <c r="Z243" s="212"/>
    </row>
    <row r="244" spans="1:26" ht="18.75" customHeight="1" hidden="1">
      <c r="A244" s="1"/>
      <c r="B244" s="1"/>
      <c r="D244" s="185" t="s">
        <v>265</v>
      </c>
      <c r="E244" s="186"/>
      <c r="F244" s="186"/>
      <c r="G244" s="186"/>
      <c r="H244" s="186"/>
      <c r="I244" s="186"/>
      <c r="J244" s="187"/>
      <c r="K244"/>
      <c r="L244" s="188"/>
      <c r="M244" s="186"/>
      <c r="N244" s="186"/>
      <c r="O244" s="186"/>
      <c r="P244" s="186"/>
      <c r="Q244" s="186"/>
      <c r="R244" s="187"/>
      <c r="T244" s="188"/>
      <c r="U244" s="186"/>
      <c r="V244" s="186"/>
      <c r="W244" s="186"/>
      <c r="X244" s="186"/>
      <c r="Y244" s="186"/>
      <c r="Z244" s="187"/>
    </row>
    <row r="245" spans="1:26" ht="18.75" customHeight="1" hidden="1">
      <c r="A245" s="1"/>
      <c r="B245" s="1"/>
      <c r="D245" s="132" t="s">
        <v>266</v>
      </c>
      <c r="E245" s="133" t="e">
        <f>_xlfn.XLOOKUP(E225,CurrentPlans!B:B,CurrentPlans!AE:AE,"NA",0,1)</f>
        <v>#N/A</v>
      </c>
      <c r="F245" s="134"/>
      <c r="G245" s="134"/>
      <c r="H245" s="134"/>
      <c r="I245" s="133"/>
      <c r="J245" s="135"/>
      <c r="K245"/>
      <c r="L245" s="136" t="str">
        <f ca="1">_xlfn.XLOOKUP(L225,RenewalPlans!B:B,RenewalPlans!AH:AH,"NA",0,1)</f>
        <v>NA</v>
      </c>
      <c r="M245" s="134"/>
      <c r="N245" s="134"/>
      <c r="O245" s="134"/>
      <c r="P245" s="133"/>
      <c r="Q245" s="134"/>
      <c r="R245" s="135"/>
      <c r="T245" s="136" t="str">
        <f>_xlfn.XLOOKUP(T225,RenewalPlans!B:B,RenewalPlans!AH:AH,"NA",0,1)</f>
        <v>NA</v>
      </c>
      <c r="U245" s="134"/>
      <c r="V245" s="134"/>
      <c r="W245" s="134"/>
      <c r="X245" s="133"/>
      <c r="Y245" s="134"/>
      <c r="Z245" s="135"/>
    </row>
    <row r="246" spans="1:26" ht="18.75" customHeight="1" hidden="1">
      <c r="A246" s="1"/>
      <c r="B246" s="1"/>
      <c r="D246" s="120" t="s">
        <v>267</v>
      </c>
      <c r="E246" s="130" t="e">
        <f>_xlfn.XLOOKUP(E225,CurrentPlans!B:B,CurrentPlans!AF:AF,"NA",0,1)</f>
        <v>#N/A</v>
      </c>
      <c r="F246" s="122"/>
      <c r="G246" s="122"/>
      <c r="H246" s="122"/>
      <c r="I246" s="130"/>
      <c r="J246" s="123"/>
      <c r="K246"/>
      <c r="L246" s="131" t="str">
        <f ca="1">_xlfn.XLOOKUP(L225,RenewalPlans!B:B,RenewalPlans!AI:AI,"NA",0,1)</f>
        <v>NA</v>
      </c>
      <c r="M246" s="122"/>
      <c r="N246" s="122"/>
      <c r="O246" s="122"/>
      <c r="P246" s="130"/>
      <c r="Q246" s="122"/>
      <c r="R246" s="123"/>
      <c r="T246" s="131" t="str">
        <f>_xlfn.XLOOKUP(T225,RenewalPlans!B:B,RenewalPlans!AI:AI,"NA",0,1)</f>
        <v>NA</v>
      </c>
      <c r="U246" s="122"/>
      <c r="V246" s="122"/>
      <c r="W246" s="122"/>
      <c r="X246" s="130"/>
      <c r="Y246" s="122"/>
      <c r="Z246" s="123"/>
    </row>
    <row r="247" spans="1:26" ht="18.75" customHeight="1" hidden="1">
      <c r="A247" s="1"/>
      <c r="B247" s="1"/>
      <c r="D247" s="198" t="s">
        <v>268</v>
      </c>
      <c r="E247" s="130" t="e">
        <f>_xlfn.XLOOKUP(E225,CurrentPlans!B:B,CurrentPlans!AH:AH,"NA",0,1)</f>
        <v>#N/A</v>
      </c>
      <c r="F247" s="200"/>
      <c r="G247" s="200"/>
      <c r="H247" s="200"/>
      <c r="I247" s="130"/>
      <c r="J247" s="201"/>
      <c r="K247"/>
      <c r="L247" s="131" t="str">
        <f ca="1">_xlfn.XLOOKUP(L225,RenewalPlans!B:B,RenewalPlans!AK:AK,"NA",0,1)</f>
        <v>NA</v>
      </c>
      <c r="M247" s="200"/>
      <c r="N247" s="200"/>
      <c r="O247" s="200"/>
      <c r="P247" s="130"/>
      <c r="Q247" s="200"/>
      <c r="R247" s="201"/>
      <c r="T247" s="131" t="str">
        <f>_xlfn.XLOOKUP(T225,RenewalPlans!B:B,RenewalPlans!AK:AK,"NA",0,1)</f>
        <v>NA</v>
      </c>
      <c r="U247" s="200"/>
      <c r="V247" s="200"/>
      <c r="W247" s="200"/>
      <c r="X247" s="130"/>
      <c r="Y247" s="200"/>
      <c r="Z247" s="201"/>
    </row>
    <row r="248" spans="1:26" ht="18.75" customHeight="1" hidden="1">
      <c r="A248" s="1"/>
      <c r="B248" s="1"/>
      <c r="D248" s="198" t="s">
        <v>269</v>
      </c>
      <c r="E248" s="130" t="e">
        <f>_xlfn.XLOOKUP(E225,CurrentPlans!B:B,CurrentPlans!AG:AG,"NA",0,1)</f>
        <v>#N/A</v>
      </c>
      <c r="F248" s="200"/>
      <c r="G248" s="200"/>
      <c r="H248" s="200"/>
      <c r="I248" s="130"/>
      <c r="J248" s="201"/>
      <c r="K248"/>
      <c r="L248" s="131" t="str">
        <f ca="1">_xlfn.XLOOKUP(L225,RenewalPlans!B:B,RenewalPlans!AJ:AJ,"NA",0,1)</f>
        <v>NA</v>
      </c>
      <c r="M248" s="200"/>
      <c r="N248" s="200"/>
      <c r="O248" s="200"/>
      <c r="P248" s="130"/>
      <c r="Q248" s="200"/>
      <c r="R248" s="201"/>
      <c r="T248" s="131" t="str">
        <f>_xlfn.XLOOKUP(T225,RenewalPlans!B:B,RenewalPlans!AJ:AJ,"NA",0,1)</f>
        <v>NA</v>
      </c>
      <c r="U248" s="200"/>
      <c r="V248" s="200"/>
      <c r="W248" s="200"/>
      <c r="X248" s="130"/>
      <c r="Y248" s="200"/>
      <c r="Z248" s="201"/>
    </row>
    <row r="249" spans="1:26" ht="18.75" customHeight="1" hidden="1">
      <c r="A249" s="1"/>
      <c r="B249" s="1"/>
      <c r="D249" s="213" t="s">
        <v>270</v>
      </c>
      <c r="E249" s="216" t="e">
        <f>_xlfn.XLOOKUP(E225,CurrentPlans!B:B,CurrentPlans!AU:AU,"NA",0,1)</f>
        <v>#N/A</v>
      </c>
      <c r="F249" s="214"/>
      <c r="G249" s="214"/>
      <c r="H249" s="214"/>
      <c r="I249" s="217"/>
      <c r="J249" s="215"/>
      <c r="K249"/>
      <c r="L249" s="218" t="str">
        <f ca="1">_xlfn.XLOOKUP(L225,RenewalPlans!B:B,RenewalPlans!AX:AX,"NA",0,1)</f>
        <v>NA</v>
      </c>
      <c r="M249" s="214"/>
      <c r="N249" s="214"/>
      <c r="O249" s="214"/>
      <c r="P249" s="217"/>
      <c r="Q249" s="214"/>
      <c r="R249" s="215"/>
      <c r="T249" s="218" t="str">
        <f>_xlfn.XLOOKUP(T225,RenewalPlans!B:B,RenewalPlans!AX:AX,"NA",0,1)</f>
        <v>NA</v>
      </c>
      <c r="U249" s="214"/>
      <c r="V249" s="214"/>
      <c r="W249" s="214"/>
      <c r="X249" s="217"/>
      <c r="Y249" s="214"/>
      <c r="Z249" s="215"/>
    </row>
    <row r="250" spans="1:26" ht="18.75" customHeight="1" hidden="1">
      <c r="A250" s="1"/>
      <c r="B250" s="1"/>
      <c r="D250" s="213" t="s">
        <v>271</v>
      </c>
      <c r="E250" s="216" t="e">
        <f>_xlfn.XLOOKUP(E225,CurrentPlans!B:B,CurrentPlans!AT:AT,"NA",0,1)</f>
        <v>#N/A</v>
      </c>
      <c r="F250" s="214"/>
      <c r="G250" s="214"/>
      <c r="H250" s="214"/>
      <c r="I250" s="217"/>
      <c r="J250" s="215"/>
      <c r="K250"/>
      <c r="L250" s="218" t="str">
        <f ca="1">_xlfn.XLOOKUP(L225,RenewalPlans!B:B,RenewalPlans!AW:AW,"NA",0,1)</f>
        <v>NA</v>
      </c>
      <c r="M250" s="214"/>
      <c r="N250" s="214"/>
      <c r="O250" s="214"/>
      <c r="P250" s="217"/>
      <c r="Q250" s="214"/>
      <c r="R250" s="215"/>
      <c r="T250" s="218" t="str">
        <f>_xlfn.XLOOKUP(T225,RenewalPlans!B:B,RenewalPlans!AW:AW,"NA",0,1)</f>
        <v>NA</v>
      </c>
      <c r="U250" s="214"/>
      <c r="V250" s="214"/>
      <c r="W250" s="214"/>
      <c r="X250" s="217"/>
      <c r="Y250" s="214"/>
      <c r="Z250" s="215"/>
    </row>
    <row r="251" spans="1:26" ht="18.75" customHeight="1" hidden="1">
      <c r="A251" s="1"/>
      <c r="B251" s="1"/>
      <c r="D251" s="198" t="s">
        <v>272</v>
      </c>
      <c r="E251" s="130" t="e">
        <f>_xlfn.XLOOKUP(E225,CurrentPlans!B:B,CurrentPlans!AD:AD,"NA",0,1)</f>
        <v>#N/A</v>
      </c>
      <c r="F251" s="200"/>
      <c r="G251" s="200"/>
      <c r="H251" s="200"/>
      <c r="I251" s="130"/>
      <c r="J251" s="201"/>
      <c r="K251"/>
      <c r="L251" s="131" t="str">
        <f ca="1">_xlfn.XLOOKUP(L225,RenewalPlans!B:B,RenewalPlans!AG:AG,"NA",0,1)</f>
        <v>NA</v>
      </c>
      <c r="M251" s="200"/>
      <c r="N251" s="200"/>
      <c r="O251" s="200"/>
      <c r="P251" s="130"/>
      <c r="Q251" s="200"/>
      <c r="R251" s="201"/>
      <c r="T251" s="131" t="str">
        <f>_xlfn.XLOOKUP(T225,RenewalPlans!B:B,RenewalPlans!AG:AG,"NA",0,1)</f>
        <v>NA</v>
      </c>
      <c r="U251" s="200"/>
      <c r="V251" s="200"/>
      <c r="W251" s="200"/>
      <c r="X251" s="130"/>
      <c r="Y251" s="200"/>
      <c r="Z251" s="201"/>
    </row>
    <row r="252" spans="1:26" ht="18.75" customHeight="1" hidden="1">
      <c r="A252" s="1"/>
      <c r="B252" s="1"/>
      <c r="D252" s="198" t="s">
        <v>273</v>
      </c>
      <c r="E252" s="200"/>
      <c r="F252" s="200"/>
      <c r="G252" s="200"/>
      <c r="H252" s="200"/>
      <c r="I252" s="200"/>
      <c r="J252" s="201"/>
      <c r="K252"/>
      <c r="L252" s="198"/>
      <c r="M252" s="200"/>
      <c r="N252" s="200"/>
      <c r="O252" s="200"/>
      <c r="P252" s="200"/>
      <c r="Q252" s="200"/>
      <c r="R252" s="201"/>
      <c r="T252" s="198"/>
      <c r="U252" s="200"/>
      <c r="V252" s="200"/>
      <c r="W252" s="200"/>
      <c r="X252" s="200"/>
      <c r="Y252" s="200"/>
      <c r="Z252" s="201"/>
    </row>
    <row r="253" spans="1:26" ht="18.75" customHeight="1" hidden="1">
      <c r="A253" s="1"/>
      <c r="B253" s="1"/>
      <c r="D253" s="210"/>
      <c r="E253" s="211"/>
      <c r="F253" s="211"/>
      <c r="G253" s="211"/>
      <c r="H253" s="211"/>
      <c r="I253" s="211"/>
      <c r="J253" s="212"/>
      <c r="K253"/>
      <c r="L253" s="210"/>
      <c r="M253" s="211"/>
      <c r="N253" s="211"/>
      <c r="O253" s="211"/>
      <c r="P253" s="211"/>
      <c r="Q253" s="211"/>
      <c r="R253" s="212"/>
      <c r="T253" s="210"/>
      <c r="U253" s="211"/>
      <c r="V253" s="211"/>
      <c r="W253" s="211"/>
      <c r="X253" s="211"/>
      <c r="Y253" s="211"/>
      <c r="Z253" s="212"/>
    </row>
    <row r="254" spans="1:26" ht="18.75" customHeight="1" hidden="1">
      <c r="A254" s="1"/>
      <c r="B254" s="1"/>
      <c r="D254" s="219" t="s">
        <v>274</v>
      </c>
      <c r="E254" s="220"/>
      <c r="F254" s="220"/>
      <c r="G254" s="220"/>
      <c r="H254" s="220"/>
      <c r="I254" s="220"/>
      <c r="J254" s="221"/>
      <c r="K254"/>
      <c r="L254" s="222"/>
      <c r="M254" s="220"/>
      <c r="N254" s="220"/>
      <c r="O254" s="220"/>
      <c r="P254" s="220"/>
      <c r="Q254" s="220"/>
      <c r="R254" s="221"/>
      <c r="T254" s="222"/>
      <c r="U254" s="220"/>
      <c r="V254" s="220"/>
      <c r="W254" s="220"/>
      <c r="X254" s="220"/>
      <c r="Y254" s="220"/>
      <c r="Z254" s="221"/>
    </row>
    <row r="255" spans="1:26" ht="18.75" customHeight="1" hidden="1">
      <c r="A255" s="1"/>
      <c r="B255" s="1"/>
      <c r="D255" s="223" t="s">
        <v>250</v>
      </c>
      <c r="E255" s="205"/>
      <c r="F255" s="205"/>
      <c r="G255" s="205"/>
      <c r="H255" s="205"/>
      <c r="I255" s="205"/>
      <c r="J255" s="206"/>
      <c r="K255"/>
      <c r="L255" s="203"/>
      <c r="M255" s="205"/>
      <c r="N255" s="205"/>
      <c r="O255" s="205"/>
      <c r="P255" s="205"/>
      <c r="Q255" s="205"/>
      <c r="R255" s="206"/>
      <c r="T255" s="203"/>
      <c r="U255" s="205"/>
      <c r="V255" s="205"/>
      <c r="W255" s="205"/>
      <c r="X255" s="205"/>
      <c r="Y255" s="205"/>
      <c r="Z255" s="206"/>
    </row>
    <row r="256" spans="1:26" ht="18.75" customHeight="1" hidden="1">
      <c r="A256" s="1"/>
      <c r="B256" s="1"/>
      <c r="D256" s="198" t="s">
        <v>251</v>
      </c>
      <c r="E256" s="130" t="e">
        <f>_xlfn.XLOOKUP(E225,CurrentPlans!B:B,CurrentPlans!AP:AP,"NA",0,1)</f>
        <v>#N/A</v>
      </c>
      <c r="F256" s="200"/>
      <c r="G256" s="200"/>
      <c r="H256" s="200"/>
      <c r="I256" s="130"/>
      <c r="J256" s="201"/>
      <c r="K256"/>
      <c r="L256" s="131" t="str">
        <f ca="1">_xlfn.XLOOKUP(L225,RenewalPlans!B:B,RenewalPlans!AS:AS,"NA",0,1)</f>
        <v>NA</v>
      </c>
      <c r="M256" s="200"/>
      <c r="N256" s="200"/>
      <c r="O256" s="200"/>
      <c r="P256" s="130"/>
      <c r="Q256" s="200"/>
      <c r="R256" s="201"/>
      <c r="T256" s="131" t="str">
        <f>_xlfn.XLOOKUP(T225,RenewalPlans!B:B,RenewalPlans!AS:AS,"NA",0,1)</f>
        <v>NA</v>
      </c>
      <c r="U256" s="200"/>
      <c r="V256" s="200"/>
      <c r="W256" s="200"/>
      <c r="X256" s="130"/>
      <c r="Y256" s="200"/>
      <c r="Z256" s="201"/>
    </row>
    <row r="257" spans="1:26" ht="18.75" customHeight="1" hidden="1">
      <c r="A257" s="1"/>
      <c r="B257" s="1"/>
      <c r="D257" s="198" t="s">
        <v>252</v>
      </c>
      <c r="E257" s="130" t="e">
        <f>_xlfn.XLOOKUP(E225,CurrentPlans!B:B,CurrentPlans!AQ:AQ,"NA",0,1)</f>
        <v>#N/A</v>
      </c>
      <c r="F257" s="200"/>
      <c r="G257" s="200"/>
      <c r="H257" s="200"/>
      <c r="I257" s="130"/>
      <c r="J257" s="201"/>
      <c r="K257"/>
      <c r="L257" s="131" t="str">
        <f ca="1">_xlfn.XLOOKUP(L225,RenewalPlans!B:B,RenewalPlans!AT:AT,"NA",0,1)</f>
        <v>NA</v>
      </c>
      <c r="M257" s="200"/>
      <c r="N257" s="200"/>
      <c r="O257" s="200"/>
      <c r="P257" s="130"/>
      <c r="Q257" s="200"/>
      <c r="R257" s="201"/>
      <c r="T257" s="131" t="str">
        <f>_xlfn.XLOOKUP(T225,RenewalPlans!B:B,RenewalPlans!AT:AT,"NA",0,1)</f>
        <v>NA</v>
      </c>
      <c r="U257" s="200"/>
      <c r="V257" s="200"/>
      <c r="W257" s="200"/>
      <c r="X257" s="130"/>
      <c r="Y257" s="200"/>
      <c r="Z257" s="201"/>
    </row>
    <row r="258" spans="1:26" ht="18.75" customHeight="1" hidden="1">
      <c r="A258" s="1"/>
      <c r="B258" s="1"/>
      <c r="D258" s="120" t="s">
        <v>253</v>
      </c>
      <c r="E258" s="133" t="e">
        <f>_xlfn.XLOOKUP(E225,CurrentPlans!B:B,CurrentPlans!AO:AO,"NA",0,1)</f>
        <v>#N/A</v>
      </c>
      <c r="F258" s="122"/>
      <c r="G258" s="122"/>
      <c r="H258" s="122"/>
      <c r="I258" s="133"/>
      <c r="J258" s="123"/>
      <c r="K258"/>
      <c r="L258" s="136" t="str">
        <f ca="1">_xlfn.XLOOKUP(L225,RenewalPlans!B:B,RenewalPlans!AR:AR,"NA",0,1)</f>
        <v>NA</v>
      </c>
      <c r="M258" s="122"/>
      <c r="N258" s="122"/>
      <c r="O258" s="122"/>
      <c r="P258" s="133"/>
      <c r="Q258" s="122"/>
      <c r="R258" s="123"/>
      <c r="T258" s="136" t="str">
        <f>_xlfn.XLOOKUP(T225,RenewalPlans!B:B,RenewalPlans!AR:AR,"NA",0,1)</f>
        <v>NA</v>
      </c>
      <c r="U258" s="122"/>
      <c r="V258" s="122"/>
      <c r="W258" s="122"/>
      <c r="X258" s="133"/>
      <c r="Y258" s="122"/>
      <c r="Z258" s="123"/>
    </row>
    <row r="259" spans="1:26" ht="18.75" customHeight="1" hidden="1">
      <c r="A259" s="1"/>
      <c r="B259" s="1"/>
      <c r="D259" s="223" t="s">
        <v>254</v>
      </c>
      <c r="E259" s="205"/>
      <c r="F259" s="205"/>
      <c r="G259" s="205"/>
      <c r="H259" s="205"/>
      <c r="I259" s="205"/>
      <c r="J259" s="206"/>
      <c r="K259"/>
      <c r="L259" s="203"/>
      <c r="M259" s="205"/>
      <c r="N259" s="205"/>
      <c r="O259" s="205"/>
      <c r="P259" s="205"/>
      <c r="Q259" s="205"/>
      <c r="R259" s="206"/>
      <c r="T259" s="203"/>
      <c r="U259" s="205"/>
      <c r="V259" s="205"/>
      <c r="W259" s="205"/>
      <c r="X259" s="205"/>
      <c r="Y259" s="205"/>
      <c r="Z259" s="206"/>
    </row>
    <row r="260" spans="1:26" ht="18.75" customHeight="1" hidden="1">
      <c r="A260" s="1"/>
      <c r="B260" s="1"/>
      <c r="D260" s="198" t="s">
        <v>255</v>
      </c>
      <c r="E260" s="130" t="e">
        <f>_xlfn.XLOOKUP(E225,CurrentPlans!B:B,CurrentPlans!AR:AR,"NA",0,1)</f>
        <v>#N/A</v>
      </c>
      <c r="F260" s="200"/>
      <c r="G260" s="200"/>
      <c r="H260" s="200"/>
      <c r="I260" s="130"/>
      <c r="J260" s="201"/>
      <c r="K260"/>
      <c r="L260" s="131" t="str">
        <f ca="1">_xlfn.XLOOKUP(L225,RenewalPlans!B:B,RenewalPlans!AU:AU,"NA",0,1)</f>
        <v>NA</v>
      </c>
      <c r="M260" s="200"/>
      <c r="N260" s="200"/>
      <c r="O260" s="200"/>
      <c r="P260" s="130"/>
      <c r="Q260" s="200"/>
      <c r="R260" s="201"/>
      <c r="T260" s="131" t="str">
        <f>_xlfn.XLOOKUP(T225,RenewalPlans!B:B,RenewalPlans!AU:AU,"NA",0,1)</f>
        <v>NA</v>
      </c>
      <c r="U260" s="200"/>
      <c r="V260" s="200"/>
      <c r="W260" s="200"/>
      <c r="X260" s="130"/>
      <c r="Y260" s="200"/>
      <c r="Z260" s="201"/>
    </row>
    <row r="261" spans="1:26" ht="18.75" customHeight="1" hidden="1" thickBot="1">
      <c r="A261" s="1"/>
      <c r="B261" s="1"/>
      <c r="D261" s="224" t="s">
        <v>256</v>
      </c>
      <c r="E261" s="137" t="e">
        <f>_xlfn.XLOOKUP(E225,CurrentPlans!B:B,CurrentPlans!AS:AS,"NA",0,1)</f>
        <v>#N/A</v>
      </c>
      <c r="F261" s="225"/>
      <c r="G261" s="225"/>
      <c r="H261" s="225"/>
      <c r="I261" s="137"/>
      <c r="J261" s="226"/>
      <c r="K261"/>
      <c r="L261" s="138" t="str">
        <f ca="1">_xlfn.XLOOKUP(L225,RenewalPlans!B:B,RenewalPlans!AV:AV,"NA",0,1)</f>
        <v>NA</v>
      </c>
      <c r="M261" s="225"/>
      <c r="N261" s="225"/>
      <c r="O261" s="225"/>
      <c r="P261" s="137"/>
      <c r="Q261" s="225"/>
      <c r="R261" s="226"/>
      <c r="T261" s="138" t="str">
        <f>_xlfn.XLOOKUP(T225,RenewalPlans!B:B,RenewalPlans!AV:AV,"NA",0,1)</f>
        <v>NA</v>
      </c>
      <c r="U261" s="225"/>
      <c r="V261" s="225"/>
      <c r="W261" s="225"/>
      <c r="X261" s="137"/>
      <c r="Y261" s="225"/>
      <c r="Z261" s="226"/>
    </row>
    <row r="262" spans="1:26" ht="18.75" customHeight="1">
      <c r="A262" s="1"/>
      <c r="B262" s="1"/>
      <c r="D262" s="227"/>
      <c r="E262" s="176"/>
      <c r="F262" s="178"/>
      <c r="G262" s="179"/>
      <c r="H262" s="178"/>
      <c r="I262" s="176"/>
      <c r="J262" s="228"/>
      <c r="K262"/>
      <c r="L262" s="178"/>
      <c r="M262" s="176"/>
      <c r="N262" s="139"/>
      <c r="O262" s="178"/>
      <c r="P262" s="178"/>
      <c r="Q262" s="178"/>
      <c r="R262" s="228"/>
      <c r="T262" s="178"/>
      <c r="U262" s="176"/>
      <c r="V262" s="139"/>
      <c r="W262" s="178"/>
      <c r="X262" s="178"/>
      <c r="Y262" s="178"/>
      <c r="Z262" s="228"/>
    </row>
    <row r="263" spans="4:26" ht="5.25" customHeight="1" thickBot="1">
      <c r="D263" s="229"/>
      <c r="E263" s="229"/>
      <c r="F263" s="230"/>
      <c r="G263" s="231"/>
      <c r="H263" s="232"/>
      <c r="I263" s="233"/>
      <c r="J263" s="233"/>
      <c r="K263"/>
      <c r="L263" s="233"/>
      <c r="M263" s="233"/>
      <c r="N263" s="233"/>
      <c r="O263" s="233"/>
      <c r="P263" s="233"/>
      <c r="Q263" s="233"/>
      <c r="R263" s="233"/>
      <c r="T263" s="233"/>
      <c r="U263" s="233"/>
      <c r="V263" s="233"/>
      <c r="W263" s="233"/>
      <c r="X263" s="233"/>
      <c r="Y263" s="233"/>
      <c r="Z263" s="233"/>
    </row>
    <row r="264" spans="1:26" ht="50.15" customHeight="1">
      <c r="A264" s="140">
        <v>6</v>
      </c>
      <c r="B264" s="140" cm="1">
        <f t="array" ref="B264">IF(A264&gt;Class1_CurrentHealthCount,"DELETE",Class1_CurrentHealthStart+A264)</f>
        <v>10</v>
      </c>
      <c r="C264" s="164" t="s">
        <v>279</v>
      </c>
      <c r="D264" s="273" t="e">
        <f ca="1">IF(B264="Delete","",VLOOKUP(F264,BEGIN_CURRENT_HEALTH:END_CURRENT_HEALTH,3,FALSE))</f>
        <v>#N/A</v>
      </c>
      <c r="E264" s="165"/>
      <c r="F264" s="272" cm="1">
        <f t="array" ca="1" aca="1" ref="F264">IF(B264="Delete","",INDIRECT("CurrentPlans!A"&amp;B264,TRUE))</f>
        <v>0</v>
      </c>
      <c r="G264" s="166"/>
      <c r="H264" s="167"/>
      <c r="I264" s="168"/>
      <c r="J264" s="169"/>
      <c r="K264"/>
      <c r="L264" s="274" t="str">
        <f ca="1">_xlfn.IFNA(VLOOKUP(F264,BEGIN_RENEWEDFROM_HEALTH:ROW_RenewHealth_PlanID,3,FALSE),"SELECT PLAN")</f>
        <v>SELECT PLAN</v>
      </c>
      <c r="M264" s="170"/>
      <c r="N264" s="274" t="s">
        <v>237</v>
      </c>
      <c r="O264" s="171"/>
      <c r="P264" s="171"/>
      <c r="Q264" s="171"/>
      <c r="R264" s="169"/>
      <c r="T264" s="274" t="s">
        <v>38</v>
      </c>
      <c r="U264" s="170"/>
      <c r="V264" s="274" t="s">
        <v>237</v>
      </c>
      <c r="W264" s="171"/>
      <c r="X264" s="171"/>
      <c r="Y264" s="171"/>
      <c r="Z264" s="169"/>
    </row>
    <row r="265" spans="4:26" ht="18.75" customHeight="1">
      <c r="D265" s="172" t="s">
        <v>238</v>
      </c>
      <c r="E265" s="407" t="str">
        <f ca="1">_xlfn.IFNA(VLOOKUP(F264,BEGIN_CURRENT_HEALTH:END_CURRENT_HEALTH,CURRENT_COL_EO_count,FALSE),"")</f>
        <v/>
      </c>
      <c r="F265" s="408" t="str">
        <f ca="1">_xlfn.IFNA(VLOOKUP(F264,BEGIN_CURRENT_HEALTH:END_CURRENT_HEALTH,CURRENT_COL_EO,FALSE),"")</f>
        <v/>
      </c>
      <c r="G265" s="468" t="str">
        <f ca="1" t="shared" si="27" ref="G265:G268">IF(F265="","",H265/F265)</f>
        <v/>
      </c>
      <c r="H265" s="408" t="str">
        <f ca="1">_xlfn.IFNA(VLOOKUP(F264,BEGIN_CURRENT_HEALTH:END_CURRENT_HEALTH,CURRENT_COL_EOContrib,FALSE),"")</f>
        <v/>
      </c>
      <c r="I265" s="409" t="str">
        <f ca="1">IFERROR(F265-H265,"")</f>
        <v/>
      </c>
      <c r="J265" s="410" t="str">
        <f ca="1">IF(F265="","",H265*E265)</f>
        <v/>
      </c>
      <c r="K265" s="411"/>
      <c r="L265" s="408" t="str" cm="1">
        <f t="array" ca="1" aca="1" ref="L265">_xlfn.IFNA(VLOOKUP(INDIRECT("L"&amp;ROW()-1)&amp;"_"&amp;$D$12,BEGIN_RENEW_HEALTH:END_RENEW_HEALTH,RENEW_COL_EO,FALSE),"")</f>
        <v/>
      </c>
      <c r="M265" s="412" t="str">
        <f ca="1">IF(E265="","",E265)</f>
        <v/>
      </c>
      <c r="N265" s="413"/>
      <c r="O265" s="414"/>
      <c r="P265" s="415" t="str">
        <f>IFERROR(IF($N264="Keep Contribution Same",H265,IF($N264="Enter Percentages",IF(N265="","",N265*L265),IF($N264="Keep Percentage Same",IF(G265="","",G265*L265),IF($N264="Enter Dollar Amount",IF(O265="","",O265),"")))),"")</f>
        <v/>
      </c>
      <c r="Q265" s="408" t="str">
        <f ca="1">IFERROR(L265-P265,"")</f>
        <v/>
      </c>
      <c r="R265" s="410" t="str">
        <f>IFERROR(IF(P265="","",M265*P265),"")</f>
        <v/>
      </c>
      <c r="S265" s="411"/>
      <c r="T265" s="408" t="str" cm="1">
        <f t="array" ca="1" aca="1" ref="T265">_xlfn.IFNA(VLOOKUP(INDIRECT("T"&amp;ROW()-1)&amp;"_"&amp;$D$12,BEGIN_RENEW_HEALTH:END_RENEW_HEALTH,RENEW_COL_EO,FALSE),"")</f>
        <v/>
      </c>
      <c r="U265" s="412" t="str">
        <f ca="1">IF(E265="","",E265)</f>
        <v/>
      </c>
      <c r="V265" s="413"/>
      <c r="W265" s="414"/>
      <c r="X265" s="415" t="str">
        <f>IFERROR(IF($V264="Keep Contribution Same",H265,IF($V264="Enter Percentages",IF(V265="","",V265*T265),IF($V264="Keep Percentage Same",IF(G265="","",G265*T265),IF($V264="Enter Dollar Amount",IF(W265="","",W265),"")))),"")</f>
        <v/>
      </c>
      <c r="Y265" s="408" t="str">
        <f ca="1">IFERROR(T265-X265,"")</f>
        <v/>
      </c>
      <c r="Z265" s="410" t="str">
        <f>IFERROR(IF(X265="","",U265*X265),"")</f>
        <v/>
      </c>
    </row>
    <row r="266" spans="4:26" ht="18.75" customHeight="1">
      <c r="D266" s="172" t="s">
        <v>239</v>
      </c>
      <c r="E266" s="407" t="str">
        <f ca="1">_xlfn.IFNA(VLOOKUP(F264,BEGIN_CURRENT_HEALTH:END_CURRENT_HEALTH,CURRENT_COL_ES_count,FALSE),"")</f>
        <v/>
      </c>
      <c r="F266" s="408" t="str">
        <f ca="1">_xlfn.IFNA(VLOOKUP(F264,BEGIN_CURRENT_HEALTH:END_CURRENT_HEALTH,CURRENT_COL_ES,FALSE),"")</f>
        <v/>
      </c>
      <c r="G266" s="468" t="str">
        <f t="shared" ca="1" si="27"/>
        <v/>
      </c>
      <c r="H266" s="408" t="str">
        <f ca="1">_xlfn.IFNA(VLOOKUP(F264,BEGIN_CURRENT_HEALTH:END_CURRENT_HEALTH,CURRENT_COL_ESContrib,FALSE),"")</f>
        <v/>
      </c>
      <c r="I266" s="409" t="str">
        <f ca="1" t="shared" si="28" ref="I266:I268">IFERROR(F266-H266,"")</f>
        <v/>
      </c>
      <c r="J266" s="410" t="str">
        <f ca="1">IF(F266="","",H266*E266)</f>
        <v/>
      </c>
      <c r="K266" s="411"/>
      <c r="L266" s="408" t="str" cm="1">
        <f t="array" ca="1" aca="1" ref="L266">_xlfn.IFNA(VLOOKUP(INDIRECT("L"&amp;ROW()-2)&amp;"_"&amp;$D$12,BEGIN_RENEW_HEALTH:END_RENEW_HEALTH,RENEW_COL_ES,FALSE),"")</f>
        <v/>
      </c>
      <c r="M266" s="412" t="str">
        <f ca="1">IF(E266="","",E266)</f>
        <v/>
      </c>
      <c r="N266" s="413"/>
      <c r="O266" s="414"/>
      <c r="P266" s="415" t="str">
        <f>IFERROR(IF($N264="Keep Contribution Same",H266,IF($N264="Enter Percentages",IF(N266="","",N266*L266),IF($N264="Keep Percentage Same",IF(G266="","",G266*L266),IF($N264="Enter Dollar Amount",IF(O266="","",O266),"")))),"")</f>
        <v/>
      </c>
      <c r="Q266" s="408" t="str">
        <f ca="1">IFERROR(L266-P266,"")</f>
        <v/>
      </c>
      <c r="R266" s="410" t="str">
        <f>IFERROR(IF(P266="","",M266*P266),"")</f>
        <v/>
      </c>
      <c r="S266" s="411"/>
      <c r="T266" s="408" t="str" cm="1">
        <f t="array" ca="1" aca="1" ref="T266">_xlfn.IFNA(VLOOKUP(INDIRECT("T"&amp;ROW()-2)&amp;"_"&amp;$D$12,BEGIN_RENEW_HEALTH:END_RENEW_HEALTH,RENEW_COL_ES,FALSE),"")</f>
        <v/>
      </c>
      <c r="U266" s="412" t="str">
        <f ca="1" t="shared" si="29" ref="U266:U268">IF(E266="","",E266)</f>
        <v/>
      </c>
      <c r="V266" s="413"/>
      <c r="W266" s="414"/>
      <c r="X266" s="415" t="str">
        <f>IFERROR(IF($V264="Keep Contribution Same",H266,IF($V264="Enter Percentages",IF(V266="","",V266*T266),IF($V264="Keep Percentage Same",IF(G266="","",G266*T266),IF($V264="Enter Dollar Amount",IF(W266="","",W266),"")))),"")</f>
        <v/>
      </c>
      <c r="Y266" s="408" t="str">
        <f ca="1" t="shared" si="30" ref="Y266:Y268">IFERROR(T266-X266,"")</f>
        <v/>
      </c>
      <c r="Z266" s="410" t="str">
        <f t="shared" si="31" ref="Z266:Z268">IFERROR(IF(X266="","",U266*X266),"")</f>
        <v/>
      </c>
    </row>
    <row r="267" spans="4:26" ht="18.75" customHeight="1">
      <c r="D267" s="172" t="s">
        <v>240</v>
      </c>
      <c r="E267" s="407" t="str">
        <f ca="1">_xlfn.IFNA(VLOOKUP(F264,BEGIN_CURRENT_HEALTH:END_CURRENT_HEALTH,CURRENT_COL_EC_count,FALSE),"")</f>
        <v/>
      </c>
      <c r="F267" s="408" t="str">
        <f ca="1">_xlfn.IFNA(VLOOKUP(F264,BEGIN_CURRENT_HEALTH:END_CURRENT_HEALTH,CURRENT_COL_EC,FALSE),"")</f>
        <v/>
      </c>
      <c r="G267" s="468" t="str">
        <f t="shared" ca="1" si="27"/>
        <v/>
      </c>
      <c r="H267" s="408" t="str">
        <f ca="1">_xlfn.IFNA(VLOOKUP(F264,BEGIN_CURRENT_HEALTH:END_CURRENT_HEALTH,CURRENT_COL_ECContrib,FALSE),"")</f>
        <v/>
      </c>
      <c r="I267" s="409" t="str">
        <f t="shared" ca="1" si="28"/>
        <v/>
      </c>
      <c r="J267" s="410" t="str">
        <f ca="1">IF(F267="","",H267*E267)</f>
        <v/>
      </c>
      <c r="K267" s="411"/>
      <c r="L267" s="408" t="str" cm="1">
        <f t="array" ca="1" aca="1" ref="L267">_xlfn.IFNA(VLOOKUP(INDIRECT("L"&amp;ROW()-3)&amp;"_"&amp;$D$12,BEGIN_RENEW_HEALTH:END_RENEW_HEALTH,RENEW_COL_EC,FALSE),"")</f>
        <v/>
      </c>
      <c r="M267" s="412" t="str">
        <f ca="1">IF(E267="","",E267)</f>
        <v/>
      </c>
      <c r="N267" s="413"/>
      <c r="O267" s="414"/>
      <c r="P267" s="415" t="str">
        <f>IFERROR(IF($N264="Keep Contribution Same",H267,IF($N264="Enter Percentages",IF(N267="","",N267*L267),IF($N264="Keep Percentage Same",IF(G267="","",G267*L267),IF($N264="Enter Dollar Amount",IF(O267="","",O267),"")))),"")</f>
        <v/>
      </c>
      <c r="Q267" s="408" t="str">
        <f ca="1">IFERROR(L267-P267,"")</f>
        <v/>
      </c>
      <c r="R267" s="410" t="str">
        <f>IFERROR(IF(P267="","",M267*P267),"")</f>
        <v/>
      </c>
      <c r="S267" s="411"/>
      <c r="T267" s="408" t="str" cm="1">
        <f t="array" ca="1" aca="1" ref="T267">_xlfn.IFNA(VLOOKUP(INDIRECT("T"&amp;ROW()-3)&amp;"_"&amp;$D$12,BEGIN_RENEW_HEALTH:END_RENEW_HEALTH,RENEW_COL_EC,FALSE),"")</f>
        <v/>
      </c>
      <c r="U267" s="412" t="str">
        <f t="shared" ca="1" si="29"/>
        <v/>
      </c>
      <c r="V267" s="413"/>
      <c r="W267" s="414"/>
      <c r="X267" s="415" t="str">
        <f>IFERROR(IF($V264="Keep Contribution Same",H267,IF($V264="Enter Percentages",IF(V267="","",V267*T267),IF($V264="Keep Percentage Same",IF(G267="","",G267*T267),IF($V264="Enter Dollar Amount",IF(W267="","",W267),"")))),"")</f>
        <v/>
      </c>
      <c r="Y267" s="408" t="str">
        <f t="shared" ca="1" si="30"/>
        <v/>
      </c>
      <c r="Z267" s="410" t="str">
        <f t="shared" si="31"/>
        <v/>
      </c>
    </row>
    <row r="268" spans="4:26" ht="18.75" customHeight="1" thickBot="1">
      <c r="D268" s="174" t="s">
        <v>241</v>
      </c>
      <c r="E268" s="416" t="str">
        <f ca="1">_xlfn.IFNA(VLOOKUP(F264,BEGIN_CURRENT_HEALTH:END_CURRENT_HEALTH,CURRENT_COL_FAM_count,FALSE),"")</f>
        <v/>
      </c>
      <c r="F268" s="417" t="str">
        <f ca="1">_xlfn.IFNA(VLOOKUP(F264,BEGIN_CURRENT_HEALTH:END_CURRENT_HEALTH,CURRENT_COL_FAM,FALSE),"")</f>
        <v/>
      </c>
      <c r="G268" s="469" t="str">
        <f t="shared" ca="1" si="27"/>
        <v/>
      </c>
      <c r="H268" s="417" t="str">
        <f ca="1">_xlfn.IFNA(VLOOKUP(F264,BEGIN_CURRENT_HEALTH:END_CURRENT_HEALTH,CURRENT_COL_FAMContrib,FALSE),"")</f>
        <v/>
      </c>
      <c r="I268" s="418" t="str">
        <f t="shared" ca="1" si="28"/>
        <v/>
      </c>
      <c r="J268" s="419" t="str">
        <f ca="1">IF(F268="","",H268*E268)</f>
        <v/>
      </c>
      <c r="K268" s="411"/>
      <c r="L268" s="417" t="str" cm="1">
        <f t="array" ca="1" aca="1" ref="L268">_xlfn.IFNA(VLOOKUP(INDIRECT("L"&amp;ROW()-4)&amp;"_"&amp;$D$12,BEGIN_RENEW_HEALTH:END_RENEW_HEALTH,RENEW_COL_FAM,FALSE),"")</f>
        <v/>
      </c>
      <c r="M268" s="412" t="str">
        <f ca="1">IF(E268="","",E268)</f>
        <v/>
      </c>
      <c r="N268" s="420"/>
      <c r="O268" s="421"/>
      <c r="P268" s="422" t="str">
        <f>IFERROR(IF($N264="Keep Contribution Same",H268,IF($N264="Enter Percentages",IF(N268="","",N268*L268),IF($N264="Keep Percentage Same",IF(G268="","",G268*L268),IF($N264="Enter Dollar Amount",IF(O268="","",O268),"")))),"")</f>
        <v/>
      </c>
      <c r="Q268" s="422" t="str">
        <f ca="1">IFERROR(L268-P268,"")</f>
        <v/>
      </c>
      <c r="R268" s="410" t="str">
        <f>IFERROR(IF(P268="","",M268*P268),"")</f>
        <v/>
      </c>
      <c r="S268" s="411"/>
      <c r="T268" s="417" t="str" cm="1">
        <f t="array" ca="1" aca="1" ref="T268">_xlfn.IFNA(VLOOKUP(INDIRECT("T"&amp;ROW()-4)&amp;"_"&amp;$D$12,BEGIN_RENEW_HEALTH:END_RENEW_HEALTH,RENEW_COL_FAM,FALSE),"")</f>
        <v/>
      </c>
      <c r="U268" s="423" t="str">
        <f t="shared" ca="1" si="29"/>
        <v/>
      </c>
      <c r="V268" s="420"/>
      <c r="W268" s="421"/>
      <c r="X268" s="422" t="str">
        <f>IFERROR(IF($V264="Keep Contribution Same",H268,IF($V264="Enter Percentages",IF(V268="","",V268*T268),IF($V264="Keep Percentage Same",IF(G268="","",G268*T268),IF($V264="Enter Dollar Amount",IF(W268="","",W268),"")))),"")</f>
        <v/>
      </c>
      <c r="Y268" s="417" t="str">
        <f t="shared" ca="1" si="30"/>
        <v/>
      </c>
      <c r="Z268" s="419" t="str">
        <f t="shared" si="31"/>
        <v/>
      </c>
    </row>
    <row r="269" spans="4:26" ht="18.75" customHeight="1" thickTop="1">
      <c r="D269" s="175" t="s">
        <v>242</v>
      </c>
      <c r="E269" s="424"/>
      <c r="F269" s="425" t="str">
        <f ca="1">IFERROR((F265*E265)+(F266*E266)+(F267*E267)+(F268*E268),"")</f>
        <v/>
      </c>
      <c r="G269" s="426"/>
      <c r="H269" s="427"/>
      <c r="I269" s="428"/>
      <c r="J269" s="429" t="str">
        <f ca="1">IFERROR(IF(J265="","",SUM(J265:J268)),0)</f>
        <v/>
      </c>
      <c r="K269" s="1"/>
      <c r="L269" s="430" t="str">
        <f ca="1">IFERROR((M265*L265)+(M266*L266)+(M267*L267)+(M268*L268),"")</f>
        <v/>
      </c>
      <c r="M269" s="427"/>
      <c r="N269" s="426"/>
      <c r="O269" s="427"/>
      <c r="P269" s="431"/>
      <c r="Q269" s="432"/>
      <c r="R269" s="429" t="str">
        <f>IFERROR(IF(R265="","",SUM(R265:R268)),0)</f>
        <v/>
      </c>
      <c r="T269" s="430" t="str">
        <f ca="1">IFERROR((U265*T265)+(U266*T266)+(U267*T267)+(U268*T268),"")</f>
        <v/>
      </c>
      <c r="U269" s="427"/>
      <c r="V269" s="426"/>
      <c r="W269" s="427"/>
      <c r="X269" s="431"/>
      <c r="Y269" s="432"/>
      <c r="Z269" s="429" t="str">
        <f>IFERROR(IF(Z265="","",SUM(Z265:Z268)),0)</f>
        <v/>
      </c>
    </row>
    <row r="270" spans="4:26" ht="18.75" customHeight="1">
      <c r="D270" s="177" t="s">
        <v>243</v>
      </c>
      <c r="E270" s="433"/>
      <c r="F270" s="434" t="str">
        <f ca="1">IFERROR(F269*12,"")</f>
        <v/>
      </c>
      <c r="G270" s="435"/>
      <c r="H270" s="436"/>
      <c r="I270" s="432"/>
      <c r="J270" s="437" t="str">
        <f ca="1">IF(J269="","",J269*12)</f>
        <v/>
      </c>
      <c r="K270" s="1"/>
      <c r="L270" s="438" t="str">
        <f ca="1">IFERROR(L269*12,"")</f>
        <v/>
      </c>
      <c r="M270" s="436"/>
      <c r="N270" s="435"/>
      <c r="O270" s="436"/>
      <c r="P270" s="432"/>
      <c r="Q270" s="432"/>
      <c r="R270" s="437" t="str">
        <f>IF(R269="","",R269*12)</f>
        <v/>
      </c>
      <c r="T270" s="438" t="str">
        <f ca="1">IFERROR(T269*12,"")</f>
        <v/>
      </c>
      <c r="U270" s="436"/>
      <c r="V270" s="435"/>
      <c r="W270" s="436"/>
      <c r="X270" s="432"/>
      <c r="Y270" s="432"/>
      <c r="Z270" s="437" t="str">
        <f>IF(Z269="","",Z269*12)</f>
        <v/>
      </c>
    </row>
    <row r="271" spans="4:26" ht="18.75" customHeight="1">
      <c r="D271" s="177" t="s">
        <v>244</v>
      </c>
      <c r="E271" s="433"/>
      <c r="F271" s="436"/>
      <c r="G271" s="435"/>
      <c r="H271" s="436"/>
      <c r="I271" s="432"/>
      <c r="J271" s="437"/>
      <c r="K271" s="1"/>
      <c r="L271" s="434" t="str">
        <f ca="1">IFERROR(L270-F270,"")</f>
        <v/>
      </c>
      <c r="M271" s="436"/>
      <c r="N271" s="435"/>
      <c r="O271" s="436"/>
      <c r="P271" s="432"/>
      <c r="Q271" s="432"/>
      <c r="R271" s="437" t="str">
        <f ca="1">IFERROR(IF(J270="","",R270-J270),0)</f>
        <v/>
      </c>
      <c r="T271" s="434" t="str">
        <f ca="1">IFERROR(T270-F270,"")</f>
        <v/>
      </c>
      <c r="U271" s="436"/>
      <c r="V271" s="435"/>
      <c r="W271" s="436"/>
      <c r="X271" s="432"/>
      <c r="Y271" s="432"/>
      <c r="Z271" s="437" t="str">
        <f>IFERROR(IF(R270="","",Z270-R270),0)</f>
        <v/>
      </c>
    </row>
    <row r="272" spans="4:26" ht="18.75" customHeight="1" thickBot="1">
      <c r="D272" s="180" t="s">
        <v>245</v>
      </c>
      <c r="E272" s="439"/>
      <c r="F272" s="440"/>
      <c r="G272" s="441"/>
      <c r="H272" s="440"/>
      <c r="I272" s="442"/>
      <c r="J272" s="443"/>
      <c r="K272" s="1"/>
      <c r="L272" s="444" t="str">
        <f ca="1">IFERROR(L270/F270-1,"")</f>
        <v/>
      </c>
      <c r="M272" s="440"/>
      <c r="N272" s="441"/>
      <c r="O272" s="440"/>
      <c r="P272" s="445"/>
      <c r="Q272" s="445"/>
      <c r="R272" s="446" t="str">
        <f ca="1">IFERROR(IF(J270="","",(R270/J270)-1),0)</f>
        <v/>
      </c>
      <c r="T272" s="444" t="str">
        <f ca="1">IFERROR(T270/F270-1,"")</f>
        <v/>
      </c>
      <c r="U272" s="440"/>
      <c r="V272" s="441"/>
      <c r="W272" s="440"/>
      <c r="X272" s="445"/>
      <c r="Y272" s="445"/>
      <c r="Z272" s="446" t="str">
        <f>IFERROR(IF(R270="","",(Z270/R270)-1),0)</f>
        <v/>
      </c>
    </row>
    <row r="273" spans="4:26" ht="18.75" customHeight="1">
      <c r="D273" s="181" t="s">
        <v>246</v>
      </c>
      <c r="E273" s="182"/>
      <c r="F273" s="182"/>
      <c r="G273" s="182"/>
      <c r="H273" s="182"/>
      <c r="I273" s="182"/>
      <c r="J273" s="183"/>
      <c r="K273"/>
      <c r="L273" s="184"/>
      <c r="M273" s="182"/>
      <c r="N273" s="182"/>
      <c r="O273" s="182"/>
      <c r="P273" s="182"/>
      <c r="Q273" s="182"/>
      <c r="R273" s="183"/>
      <c r="T273" s="184"/>
      <c r="U273" s="182"/>
      <c r="V273" s="182"/>
      <c r="W273" s="182"/>
      <c r="X273" s="182"/>
      <c r="Y273" s="182"/>
      <c r="Z273" s="183"/>
    </row>
    <row r="274" spans="4:26" ht="18.75" customHeight="1" hidden="1">
      <c r="D274" s="185" t="s">
        <v>247</v>
      </c>
      <c r="E274" s="186"/>
      <c r="F274" s="186"/>
      <c r="G274" s="186"/>
      <c r="H274" s="186"/>
      <c r="I274" s="186"/>
      <c r="J274" s="187"/>
      <c r="K274"/>
      <c r="L274" s="188"/>
      <c r="M274" s="186"/>
      <c r="N274" s="186"/>
      <c r="O274" s="186"/>
      <c r="P274" s="186"/>
      <c r="Q274" s="186"/>
      <c r="R274" s="187"/>
      <c r="T274" s="188"/>
      <c r="U274" s="186"/>
      <c r="V274" s="186"/>
      <c r="W274" s="186"/>
      <c r="X274" s="186"/>
      <c r="Y274" s="186"/>
      <c r="Z274" s="187"/>
    </row>
    <row r="275" spans="4:26" ht="18.75" customHeight="1" hidden="1">
      <c r="D275" s="189" t="s">
        <v>248</v>
      </c>
      <c r="E275" s="190" t="e">
        <f ca="1">D264&amp;"_"&amp;D12</f>
        <v>#N/A</v>
      </c>
      <c r="F275" s="191"/>
      <c r="G275" s="191"/>
      <c r="H275" s="191"/>
      <c r="I275" s="190"/>
      <c r="J275" s="192"/>
      <c r="K275"/>
      <c r="L275" s="193" t="str">
        <f ca="1">L264&amp;"_"&amp;D12</f>
        <v>SELECT PLAN_MANAGERS</v>
      </c>
      <c r="M275" s="191"/>
      <c r="N275" s="191"/>
      <c r="O275" s="191"/>
      <c r="P275" s="190"/>
      <c r="Q275" s="191"/>
      <c r="R275" s="192"/>
      <c r="T275" s="193" t="str">
        <f>T264&amp;"_"&amp;D12</f>
        <v>SELECT PLAN_MANAGERS</v>
      </c>
      <c r="U275" s="191"/>
      <c r="V275" s="191"/>
      <c r="W275" s="191"/>
      <c r="X275" s="190"/>
      <c r="Y275" s="191"/>
      <c r="Z275" s="192"/>
    </row>
    <row r="276" spans="4:26" ht="18.75" customHeight="1" hidden="1">
      <c r="D276" s="189" t="s">
        <v>249</v>
      </c>
      <c r="E276" s="191"/>
      <c r="F276" s="191"/>
      <c r="G276" s="191"/>
      <c r="H276" s="191"/>
      <c r="I276" s="191"/>
      <c r="J276" s="192"/>
      <c r="K276"/>
      <c r="L276" s="189"/>
      <c r="M276" s="191"/>
      <c r="N276" s="191"/>
      <c r="O276" s="191"/>
      <c r="P276" s="191"/>
      <c r="Q276" s="191"/>
      <c r="R276" s="192"/>
      <c r="T276" s="189"/>
      <c r="U276" s="191"/>
      <c r="V276" s="191"/>
      <c r="W276" s="191"/>
      <c r="X276" s="191"/>
      <c r="Y276" s="191"/>
      <c r="Z276" s="192"/>
    </row>
    <row r="277" spans="4:26" ht="18.75" customHeight="1" hidden="1">
      <c r="D277" s="194" t="s">
        <v>250</v>
      </c>
      <c r="E277" s="195"/>
      <c r="F277" s="195"/>
      <c r="G277" s="195"/>
      <c r="H277" s="195"/>
      <c r="I277" s="195"/>
      <c r="J277" s="196"/>
      <c r="K277"/>
      <c r="L277" s="197"/>
      <c r="M277" s="195"/>
      <c r="N277" s="195"/>
      <c r="O277" s="195"/>
      <c r="P277" s="195"/>
      <c r="Q277" s="195"/>
      <c r="R277" s="196"/>
      <c r="T277" s="197"/>
      <c r="U277" s="195"/>
      <c r="V277" s="195"/>
      <c r="W277" s="195"/>
      <c r="X277" s="195"/>
      <c r="Y277" s="195"/>
      <c r="Z277" s="196"/>
    </row>
    <row r="278" spans="4:26" ht="18.75" customHeight="1" hidden="1">
      <c r="D278" s="198" t="s">
        <v>251</v>
      </c>
      <c r="E278" s="199" t="e">
        <f>_xlfn.XLOOKUP(E275,CurrentPlans!B:B,CurrentPlans!X:X,"NA",0,1)</f>
        <v>#N/A</v>
      </c>
      <c r="F278" s="200"/>
      <c r="G278" s="200"/>
      <c r="H278" s="200"/>
      <c r="I278" s="199"/>
      <c r="J278" s="201"/>
      <c r="K278"/>
      <c r="L278" s="202" t="str">
        <f ca="1">_xlfn.XLOOKUP(L275,RenewalPlans!B:B,RenewalPlans!AA:AA,"NA",0,1)</f>
        <v>NA</v>
      </c>
      <c r="M278" s="200"/>
      <c r="N278" s="200"/>
      <c r="O278" s="200"/>
      <c r="P278" s="199"/>
      <c r="Q278" s="200"/>
      <c r="R278" s="201"/>
      <c r="T278" s="202" t="str">
        <f>_xlfn.XLOOKUP(T275,RenewalPlans!B:B,RenewalPlans!AA:AA,"NA",0,1)</f>
        <v>NA</v>
      </c>
      <c r="U278" s="200"/>
      <c r="V278" s="200"/>
      <c r="W278" s="200"/>
      <c r="X278" s="199"/>
      <c r="Y278" s="200"/>
      <c r="Z278" s="201"/>
    </row>
    <row r="279" spans="4:26" ht="18.75" customHeight="1" hidden="1">
      <c r="D279" s="198" t="s">
        <v>252</v>
      </c>
      <c r="E279" s="199" t="e">
        <f>_xlfn.XLOOKUP(E275,CurrentPlans!B:B,CurrentPlans!Y:Y,"NA",0,1)</f>
        <v>#N/A</v>
      </c>
      <c r="F279" s="200"/>
      <c r="G279" s="200"/>
      <c r="H279" s="200"/>
      <c r="I279" s="199"/>
      <c r="J279" s="201"/>
      <c r="K279"/>
      <c r="L279" s="202" t="str">
        <f ca="1">_xlfn.XLOOKUP(L275,RenewalPlans!B:B,RenewalPlans!AB:AB,"NA",0,1)</f>
        <v>NA</v>
      </c>
      <c r="M279" s="200"/>
      <c r="N279" s="200"/>
      <c r="O279" s="200"/>
      <c r="P279" s="199"/>
      <c r="Q279" s="200"/>
      <c r="R279" s="201"/>
      <c r="T279" s="202" t="str">
        <f>_xlfn.XLOOKUP(T275,RenewalPlans!B:B,RenewalPlans!AB:AB,"NA",0,1)</f>
        <v>NA</v>
      </c>
      <c r="U279" s="200"/>
      <c r="V279" s="200"/>
      <c r="W279" s="200"/>
      <c r="X279" s="199"/>
      <c r="Y279" s="200"/>
      <c r="Z279" s="201"/>
    </row>
    <row r="280" spans="4:26" ht="18.75" customHeight="1" hidden="1">
      <c r="D280" s="120" t="s">
        <v>253</v>
      </c>
      <c r="E280" s="121" t="e">
        <f>_xlfn.XLOOKUP(E275,CurrentPlans!B:B,CurrentPlans!W:W,"NA",0,1)</f>
        <v>#N/A</v>
      </c>
      <c r="F280" s="122"/>
      <c r="G280" s="122"/>
      <c r="H280" s="122"/>
      <c r="I280" s="121"/>
      <c r="J280" s="123"/>
      <c r="K280"/>
      <c r="L280" s="124" t="str">
        <f ca="1">_xlfn.XLOOKUP(L275,RenewalPlans!B:B,RenewalPlans!Z:Z,"NA",0,1)</f>
        <v>NA</v>
      </c>
      <c r="M280" s="122"/>
      <c r="N280" s="122"/>
      <c r="O280" s="122"/>
      <c r="P280" s="121"/>
      <c r="Q280" s="122"/>
      <c r="R280" s="123"/>
      <c r="T280" s="124" t="str">
        <f>_xlfn.XLOOKUP(T275,RenewalPlans!B:B,RenewalPlans!Z:Z,"NA",0,1)</f>
        <v>NA</v>
      </c>
      <c r="U280" s="122"/>
      <c r="V280" s="122"/>
      <c r="W280" s="122"/>
      <c r="X280" s="121"/>
      <c r="Y280" s="122"/>
      <c r="Z280" s="123"/>
    </row>
    <row r="281" spans="4:26" ht="18.75" customHeight="1" hidden="1">
      <c r="D281" s="203" t="s">
        <v>254</v>
      </c>
      <c r="E281" s="204"/>
      <c r="F281" s="205"/>
      <c r="G281" s="205"/>
      <c r="H281" s="205"/>
      <c r="I281" s="204"/>
      <c r="J281" s="206"/>
      <c r="K281"/>
      <c r="L281" s="207"/>
      <c r="M281" s="205"/>
      <c r="N281" s="205"/>
      <c r="O281" s="205"/>
      <c r="P281" s="204"/>
      <c r="Q281" s="205"/>
      <c r="R281" s="206"/>
      <c r="T281" s="207"/>
      <c r="U281" s="205"/>
      <c r="V281" s="205"/>
      <c r="W281" s="205"/>
      <c r="X281" s="204"/>
      <c r="Y281" s="205"/>
      <c r="Z281" s="206"/>
    </row>
    <row r="282" spans="4:26" ht="18.75" customHeight="1" hidden="1">
      <c r="D282" s="125" t="s">
        <v>255</v>
      </c>
      <c r="E282" s="126" t="e">
        <f>_xlfn.XLOOKUP(E275,CurrentPlans!B:B,CurrentPlans!Z:Z,"NA",0,1)</f>
        <v>#N/A</v>
      </c>
      <c r="F282" s="127"/>
      <c r="G282" s="127"/>
      <c r="H282" s="127"/>
      <c r="I282" s="126"/>
      <c r="J282" s="128"/>
      <c r="K282"/>
      <c r="L282" s="129" t="str">
        <f ca="1">_xlfn.XLOOKUP(L275,RenewalPlans!B:B,RenewalPlans!AC:AC,"NA",0,1)</f>
        <v>NA</v>
      </c>
      <c r="M282" s="127"/>
      <c r="N282" s="127"/>
      <c r="O282" s="127"/>
      <c r="P282" s="126"/>
      <c r="Q282" s="127"/>
      <c r="R282" s="128"/>
      <c r="T282" s="129" t="str">
        <f>_xlfn.XLOOKUP(T275,RenewalPlans!B:B,RenewalPlans!AC:AC,"NA",0,1)</f>
        <v>NA</v>
      </c>
      <c r="U282" s="127"/>
      <c r="V282" s="127"/>
      <c r="W282" s="127"/>
      <c r="X282" s="126"/>
      <c r="Y282" s="127"/>
      <c r="Z282" s="128"/>
    </row>
    <row r="283" spans="4:26" ht="18.75" customHeight="1" hidden="1">
      <c r="D283" s="198" t="s">
        <v>256</v>
      </c>
      <c r="E283" s="208" t="e">
        <f>_xlfn.XLOOKUP(E275,CurrentPlans!B:B,CurrentPlans!AA:AA,"NA",0,1)</f>
        <v>#N/A</v>
      </c>
      <c r="F283" s="200"/>
      <c r="G283" s="200"/>
      <c r="H283" s="200"/>
      <c r="I283" s="208"/>
      <c r="J283" s="201"/>
      <c r="K283"/>
      <c r="L283" s="209" t="str">
        <f ca="1">_xlfn.XLOOKUP(L275,RenewalPlans!B:B,RenewalPlans!AD:AD,"NA",0,1)</f>
        <v>NA</v>
      </c>
      <c r="M283" s="200"/>
      <c r="N283" s="200"/>
      <c r="O283" s="200"/>
      <c r="P283" s="208"/>
      <c r="Q283" s="200"/>
      <c r="R283" s="201"/>
      <c r="T283" s="209" t="str">
        <f>_xlfn.XLOOKUP(T275,RenewalPlans!B:B,RenewalPlans!AD:AD,"NA",0,1)</f>
        <v>NA</v>
      </c>
      <c r="U283" s="200"/>
      <c r="V283" s="200"/>
      <c r="W283" s="200"/>
      <c r="X283" s="208"/>
      <c r="Y283" s="200"/>
      <c r="Z283" s="201"/>
    </row>
    <row r="284" spans="4:26" ht="18.75" customHeight="1" hidden="1">
      <c r="D284" s="203" t="s">
        <v>257</v>
      </c>
      <c r="E284" s="204"/>
      <c r="F284" s="205"/>
      <c r="G284" s="205"/>
      <c r="H284" s="205"/>
      <c r="I284" s="204"/>
      <c r="J284" s="206"/>
      <c r="K284"/>
      <c r="L284" s="207"/>
      <c r="M284" s="205"/>
      <c r="N284" s="205"/>
      <c r="O284" s="205"/>
      <c r="P284" s="204"/>
      <c r="Q284" s="205"/>
      <c r="R284" s="206"/>
      <c r="T284" s="207"/>
      <c r="U284" s="205"/>
      <c r="V284" s="205"/>
      <c r="W284" s="205"/>
      <c r="X284" s="204"/>
      <c r="Y284" s="205"/>
      <c r="Z284" s="206"/>
    </row>
    <row r="285" spans="4:26" ht="18.75" customHeight="1" hidden="1">
      <c r="D285" s="198" t="s">
        <v>258</v>
      </c>
      <c r="E285" s="208" t="e">
        <f>_xlfn.XLOOKUP(E275,CurrentPlans!B:B,CurrentPlans!AB:AB,"NA",0,1)</f>
        <v>#N/A</v>
      </c>
      <c r="F285" s="200"/>
      <c r="G285" s="200"/>
      <c r="H285" s="200"/>
      <c r="I285" s="208"/>
      <c r="J285" s="201"/>
      <c r="K285"/>
      <c r="L285" s="209" t="str">
        <f ca="1">_xlfn.XLOOKUP(L275,RenewalPlans!B:B,RenewalPlans!AE:AE,"NA",0,1)</f>
        <v>NA</v>
      </c>
      <c r="M285" s="200"/>
      <c r="N285" s="200"/>
      <c r="O285" s="200"/>
      <c r="P285" s="208"/>
      <c r="Q285" s="200"/>
      <c r="R285" s="201"/>
      <c r="T285" s="209" t="str">
        <f>_xlfn.XLOOKUP(T275,RenewalPlans!B:B,RenewalPlans!AE:AE,"NA",0,1)</f>
        <v>NA</v>
      </c>
      <c r="U285" s="200"/>
      <c r="V285" s="200"/>
      <c r="W285" s="200"/>
      <c r="X285" s="208"/>
      <c r="Y285" s="200"/>
      <c r="Z285" s="201"/>
    </row>
    <row r="286" spans="4:26" ht="18.75" customHeight="1" hidden="1">
      <c r="D286" s="198" t="s">
        <v>259</v>
      </c>
      <c r="E286" s="208" t="e">
        <f>_xlfn.XLOOKUP(E275,CurrentPlans!B:B,CurrentPlans!AC:AC,"NA",0,1)</f>
        <v>#N/A</v>
      </c>
      <c r="F286" s="200"/>
      <c r="G286" s="200"/>
      <c r="H286" s="200"/>
      <c r="I286" s="208"/>
      <c r="J286" s="201"/>
      <c r="K286"/>
      <c r="L286" s="209" t="str">
        <f ca="1">_xlfn.XLOOKUP(L275,RenewalPlans!B:B,RenewalPlans!AF:AF,"NA",0,1)</f>
        <v>NA</v>
      </c>
      <c r="M286" s="200"/>
      <c r="N286" s="200"/>
      <c r="O286" s="200"/>
      <c r="P286" s="208"/>
      <c r="Q286" s="200"/>
      <c r="R286" s="201"/>
      <c r="T286" s="209" t="str">
        <f>_xlfn.XLOOKUP(T275,RenewalPlans!B:B,RenewalPlans!AF:AF,"NA",0,1)</f>
        <v>NA</v>
      </c>
      <c r="U286" s="200"/>
      <c r="V286" s="200"/>
      <c r="W286" s="200"/>
      <c r="X286" s="208"/>
      <c r="Y286" s="200"/>
      <c r="Z286" s="201"/>
    </row>
    <row r="287" spans="4:26" ht="18.75" customHeight="1" hidden="1">
      <c r="D287" s="210"/>
      <c r="E287" s="211"/>
      <c r="F287" s="211"/>
      <c r="G287" s="211"/>
      <c r="H287" s="211"/>
      <c r="I287" s="211"/>
      <c r="J287" s="212"/>
      <c r="K287"/>
      <c r="L287" s="210"/>
      <c r="M287" s="211"/>
      <c r="N287" s="211"/>
      <c r="O287" s="211"/>
      <c r="P287" s="211"/>
      <c r="Q287" s="211"/>
      <c r="R287" s="212"/>
      <c r="T287" s="210"/>
      <c r="U287" s="211"/>
      <c r="V287" s="211"/>
      <c r="W287" s="211"/>
      <c r="X287" s="211"/>
      <c r="Y287" s="211"/>
      <c r="Z287" s="212"/>
    </row>
    <row r="288" spans="4:26" ht="18.75" customHeight="1" hidden="1">
      <c r="D288" s="185" t="s">
        <v>260</v>
      </c>
      <c r="E288" s="186"/>
      <c r="F288" s="186"/>
      <c r="G288" s="186"/>
      <c r="H288" s="186"/>
      <c r="I288" s="186"/>
      <c r="J288" s="187"/>
      <c r="K288"/>
      <c r="L288" s="188"/>
      <c r="M288" s="186"/>
      <c r="N288" s="186"/>
      <c r="O288" s="186"/>
      <c r="P288" s="186"/>
      <c r="Q288" s="186"/>
      <c r="R288" s="187"/>
      <c r="T288" s="188"/>
      <c r="U288" s="186"/>
      <c r="V288" s="186"/>
      <c r="W288" s="186"/>
      <c r="X288" s="186"/>
      <c r="Y288" s="186"/>
      <c r="Z288" s="187"/>
    </row>
    <row r="289" spans="4:26" ht="18.75" customHeight="1" hidden="1">
      <c r="D289" s="213" t="s">
        <v>261</v>
      </c>
      <c r="E289" s="130" t="e">
        <f>_xlfn.XLOOKUP(E275,CurrentPlans!B:B,CurrentPlans!AJ:AJ,"NA",0,1)</f>
        <v>#N/A</v>
      </c>
      <c r="F289" s="214"/>
      <c r="G289" s="214"/>
      <c r="H289" s="214"/>
      <c r="I289" s="130"/>
      <c r="J289" s="215"/>
      <c r="K289"/>
      <c r="L289" s="131" t="str">
        <f ca="1">_xlfn.XLOOKUP(L275,RenewalPlans!B:B,RenewalPlans!AM:AM,"NA",0,1)</f>
        <v>NA</v>
      </c>
      <c r="M289" s="214"/>
      <c r="N289" s="214"/>
      <c r="O289" s="214"/>
      <c r="P289" s="130"/>
      <c r="Q289" s="214"/>
      <c r="R289" s="215"/>
      <c r="T289" s="131" t="str">
        <f>_xlfn.XLOOKUP(T275,RenewalPlans!B:B,RenewalPlans!AM:AM,"NA",0,1)</f>
        <v>NA</v>
      </c>
      <c r="U289" s="214"/>
      <c r="V289" s="214"/>
      <c r="W289" s="214"/>
      <c r="X289" s="130"/>
      <c r="Y289" s="214"/>
      <c r="Z289" s="215"/>
    </row>
    <row r="290" spans="4:26" ht="18.75" customHeight="1" hidden="1">
      <c r="D290" s="198" t="s">
        <v>262</v>
      </c>
      <c r="E290" s="130" t="e">
        <f>_xlfn.XLOOKUP(E275,CurrentPlans!B:B,CurrentPlans!AM:AM,"NA",0,1)</f>
        <v>#N/A</v>
      </c>
      <c r="F290" s="200"/>
      <c r="G290" s="200"/>
      <c r="H290" s="200"/>
      <c r="I290" s="130"/>
      <c r="J290" s="201"/>
      <c r="K290"/>
      <c r="L290" s="131" t="str">
        <f ca="1">_xlfn.XLOOKUP(L275,RenewalPlans!B:B,RenewalPlans!AP:AP,"NA",0,1)</f>
        <v>NA</v>
      </c>
      <c r="M290" s="200"/>
      <c r="N290" s="200"/>
      <c r="O290" s="200"/>
      <c r="P290" s="130"/>
      <c r="Q290" s="200"/>
      <c r="R290" s="201"/>
      <c r="T290" s="131" t="str">
        <f>_xlfn.XLOOKUP(T275,RenewalPlans!B:B,RenewalPlans!AP:AP,"NA",0,1)</f>
        <v>NA</v>
      </c>
      <c r="U290" s="200"/>
      <c r="V290" s="200"/>
      <c r="W290" s="200"/>
      <c r="X290" s="130"/>
      <c r="Y290" s="200"/>
      <c r="Z290" s="201"/>
    </row>
    <row r="291" spans="4:26" ht="18.75" customHeight="1" hidden="1">
      <c r="D291" s="198" t="s">
        <v>263</v>
      </c>
      <c r="E291" s="130" t="e">
        <f>_xlfn.XLOOKUP(E275,CurrentPlans!B:B,CurrentPlans!AI:AI,"NA",0,1)</f>
        <v>#N/A</v>
      </c>
      <c r="F291" s="200"/>
      <c r="G291" s="200"/>
      <c r="H291" s="200"/>
      <c r="I291" s="130"/>
      <c r="J291" s="201"/>
      <c r="K291"/>
      <c r="L291" s="131" t="str">
        <f ca="1">_xlfn.XLOOKUP(L275,RenewalPlans!B:B,RenewalPlans!AL:AL,"NA",0,1)</f>
        <v>NA</v>
      </c>
      <c r="M291" s="200"/>
      <c r="N291" s="200"/>
      <c r="O291" s="200"/>
      <c r="P291" s="130"/>
      <c r="Q291" s="200"/>
      <c r="R291" s="201"/>
      <c r="T291" s="131" t="str">
        <f>_xlfn.XLOOKUP(T275,RenewalPlans!B:B,RenewalPlans!AL:AL,"NA",0,1)</f>
        <v>NA</v>
      </c>
      <c r="U291" s="200"/>
      <c r="V291" s="200"/>
      <c r="W291" s="200"/>
      <c r="X291" s="130"/>
      <c r="Y291" s="200"/>
      <c r="Z291" s="201"/>
    </row>
    <row r="292" spans="4:26" ht="18.75" customHeight="1" hidden="1">
      <c r="D292" s="198" t="s">
        <v>264</v>
      </c>
      <c r="E292" s="208" t="e">
        <f>_xlfn.XLOOKUP(E275,CurrentPlans!B:B,CurrentPlans!AN:AN,"NA",0,1)</f>
        <v>#N/A</v>
      </c>
      <c r="F292" s="200"/>
      <c r="G292" s="200"/>
      <c r="H292" s="200"/>
      <c r="I292" s="208"/>
      <c r="J292" s="201"/>
      <c r="K292"/>
      <c r="L292" s="209" t="str">
        <f ca="1">_xlfn.XLOOKUP(L275,RenewalPlans!B:B,RenewalPlans!AQ:AQ,"NA",0,1)</f>
        <v>NA</v>
      </c>
      <c r="M292" s="200"/>
      <c r="N292" s="200"/>
      <c r="O292" s="200"/>
      <c r="P292" s="208"/>
      <c r="Q292" s="200"/>
      <c r="R292" s="201"/>
      <c r="T292" s="209" t="str">
        <f>_xlfn.XLOOKUP(T275,RenewalPlans!B:B,RenewalPlans!AQ:AQ,"NA",0,1)</f>
        <v>NA</v>
      </c>
      <c r="U292" s="200"/>
      <c r="V292" s="200"/>
      <c r="W292" s="200"/>
      <c r="X292" s="208"/>
      <c r="Y292" s="200"/>
      <c r="Z292" s="201"/>
    </row>
    <row r="293" spans="4:26" ht="18.75" customHeight="1" hidden="1">
      <c r="D293" s="210"/>
      <c r="E293" s="211"/>
      <c r="F293" s="211"/>
      <c r="G293" s="211"/>
      <c r="H293" s="211"/>
      <c r="I293" s="211"/>
      <c r="J293" s="212"/>
      <c r="K293"/>
      <c r="L293" s="210"/>
      <c r="M293" s="211"/>
      <c r="N293" s="211"/>
      <c r="O293" s="211"/>
      <c r="P293" s="211"/>
      <c r="Q293" s="211"/>
      <c r="R293" s="212"/>
      <c r="T293" s="210"/>
      <c r="U293" s="211"/>
      <c r="V293" s="211"/>
      <c r="W293" s="211"/>
      <c r="X293" s="211"/>
      <c r="Y293" s="211"/>
      <c r="Z293" s="212"/>
    </row>
    <row r="294" spans="4:26" ht="18.75" customHeight="1" hidden="1">
      <c r="D294" s="185" t="s">
        <v>265</v>
      </c>
      <c r="E294" s="186"/>
      <c r="F294" s="186"/>
      <c r="G294" s="186"/>
      <c r="H294" s="186"/>
      <c r="I294" s="186"/>
      <c r="J294" s="187"/>
      <c r="K294"/>
      <c r="L294" s="188"/>
      <c r="M294" s="186"/>
      <c r="N294" s="186"/>
      <c r="O294" s="186"/>
      <c r="P294" s="186"/>
      <c r="Q294" s="186"/>
      <c r="R294" s="187"/>
      <c r="T294" s="188"/>
      <c r="U294" s="186"/>
      <c r="V294" s="186"/>
      <c r="W294" s="186"/>
      <c r="X294" s="186"/>
      <c r="Y294" s="186"/>
      <c r="Z294" s="187"/>
    </row>
    <row r="295" spans="4:26" ht="18.75" customHeight="1" hidden="1">
      <c r="D295" s="132" t="s">
        <v>266</v>
      </c>
      <c r="E295" s="133" t="e">
        <f>_xlfn.XLOOKUP(E275,CurrentPlans!B:B,CurrentPlans!AE:AE,"NA",0,1)</f>
        <v>#N/A</v>
      </c>
      <c r="F295" s="134"/>
      <c r="G295" s="134"/>
      <c r="H295" s="134"/>
      <c r="I295" s="133"/>
      <c r="J295" s="135"/>
      <c r="K295"/>
      <c r="L295" s="136" t="str">
        <f ca="1">_xlfn.XLOOKUP(L275,RenewalPlans!B:B,RenewalPlans!AH:AH,"NA",0,1)</f>
        <v>NA</v>
      </c>
      <c r="M295" s="134"/>
      <c r="N295" s="134"/>
      <c r="O295" s="134"/>
      <c r="P295" s="133"/>
      <c r="Q295" s="134"/>
      <c r="R295" s="135"/>
      <c r="T295" s="136" t="str">
        <f>_xlfn.XLOOKUP(T275,RenewalPlans!B:B,RenewalPlans!AH:AH,"NA",0,1)</f>
        <v>NA</v>
      </c>
      <c r="U295" s="134"/>
      <c r="V295" s="134"/>
      <c r="W295" s="134"/>
      <c r="X295" s="133"/>
      <c r="Y295" s="134"/>
      <c r="Z295" s="135"/>
    </row>
    <row r="296" spans="4:26" ht="18.75" customHeight="1" hidden="1">
      <c r="D296" s="120" t="s">
        <v>267</v>
      </c>
      <c r="E296" s="130" t="e">
        <f>_xlfn.XLOOKUP(E275,CurrentPlans!B:B,CurrentPlans!AF:AF,"NA",0,1)</f>
        <v>#N/A</v>
      </c>
      <c r="F296" s="122"/>
      <c r="G296" s="122"/>
      <c r="H296" s="122"/>
      <c r="I296" s="130"/>
      <c r="J296" s="123"/>
      <c r="K296"/>
      <c r="L296" s="131" t="str">
        <f ca="1">_xlfn.XLOOKUP(L275,RenewalPlans!B:B,RenewalPlans!AI:AI,"NA",0,1)</f>
        <v>NA</v>
      </c>
      <c r="M296" s="122"/>
      <c r="N296" s="122"/>
      <c r="O296" s="122"/>
      <c r="P296" s="130"/>
      <c r="Q296" s="122"/>
      <c r="R296" s="123"/>
      <c r="T296" s="131" t="str">
        <f>_xlfn.XLOOKUP(T275,RenewalPlans!B:B,RenewalPlans!AI:AI,"NA",0,1)</f>
        <v>NA</v>
      </c>
      <c r="U296" s="122"/>
      <c r="V296" s="122"/>
      <c r="W296" s="122"/>
      <c r="X296" s="130"/>
      <c r="Y296" s="122"/>
      <c r="Z296" s="123"/>
    </row>
    <row r="297" spans="4:26" ht="18.75" customHeight="1" hidden="1">
      <c r="D297" s="198" t="s">
        <v>268</v>
      </c>
      <c r="E297" s="130" t="e">
        <f>_xlfn.XLOOKUP(E275,CurrentPlans!B:B,CurrentPlans!AH:AH,"NA",0,1)</f>
        <v>#N/A</v>
      </c>
      <c r="F297" s="200"/>
      <c r="G297" s="200"/>
      <c r="H297" s="200"/>
      <c r="I297" s="130"/>
      <c r="J297" s="201"/>
      <c r="K297"/>
      <c r="L297" s="131" t="str">
        <f ca="1">_xlfn.XLOOKUP(L275,RenewalPlans!B:B,RenewalPlans!AK:AK,"NA",0,1)</f>
        <v>NA</v>
      </c>
      <c r="M297" s="200"/>
      <c r="N297" s="200"/>
      <c r="O297" s="200"/>
      <c r="P297" s="130"/>
      <c r="Q297" s="200"/>
      <c r="R297" s="201"/>
      <c r="T297" s="131" t="str">
        <f>_xlfn.XLOOKUP(T275,RenewalPlans!B:B,RenewalPlans!AK:AK,"NA",0,1)</f>
        <v>NA</v>
      </c>
      <c r="U297" s="200"/>
      <c r="V297" s="200"/>
      <c r="W297" s="200"/>
      <c r="X297" s="130"/>
      <c r="Y297" s="200"/>
      <c r="Z297" s="201"/>
    </row>
    <row r="298" spans="4:26" ht="18.75" customHeight="1" hidden="1">
      <c r="D298" s="198" t="s">
        <v>269</v>
      </c>
      <c r="E298" s="130" t="e">
        <f>_xlfn.XLOOKUP(E275,CurrentPlans!B:B,CurrentPlans!AG:AG,"NA",0,1)</f>
        <v>#N/A</v>
      </c>
      <c r="F298" s="200"/>
      <c r="G298" s="200"/>
      <c r="H298" s="200"/>
      <c r="I298" s="130"/>
      <c r="J298" s="201"/>
      <c r="K298"/>
      <c r="L298" s="131" t="str">
        <f ca="1">_xlfn.XLOOKUP(L275,RenewalPlans!B:B,RenewalPlans!AJ:AJ,"NA",0,1)</f>
        <v>NA</v>
      </c>
      <c r="M298" s="200"/>
      <c r="N298" s="200"/>
      <c r="O298" s="200"/>
      <c r="P298" s="130"/>
      <c r="Q298" s="200"/>
      <c r="R298" s="201"/>
      <c r="T298" s="131" t="str">
        <f>_xlfn.XLOOKUP(T275,RenewalPlans!B:B,RenewalPlans!AJ:AJ,"NA",0,1)</f>
        <v>NA</v>
      </c>
      <c r="U298" s="200"/>
      <c r="V298" s="200"/>
      <c r="W298" s="200"/>
      <c r="X298" s="130"/>
      <c r="Y298" s="200"/>
      <c r="Z298" s="201"/>
    </row>
    <row r="299" spans="4:26" ht="18.75" customHeight="1" hidden="1">
      <c r="D299" s="213" t="s">
        <v>270</v>
      </c>
      <c r="E299" s="216" t="e">
        <f>_xlfn.XLOOKUP(E275,CurrentPlans!B:B,CurrentPlans!AU:AU,"NA",0,1)</f>
        <v>#N/A</v>
      </c>
      <c r="F299" s="214"/>
      <c r="G299" s="214"/>
      <c r="H299" s="214"/>
      <c r="I299" s="217"/>
      <c r="J299" s="215"/>
      <c r="K299"/>
      <c r="L299" s="218" t="str">
        <f ca="1">_xlfn.XLOOKUP(L275,RenewalPlans!B:B,RenewalPlans!AX:AX,"NA",0,1)</f>
        <v>NA</v>
      </c>
      <c r="M299" s="214"/>
      <c r="N299" s="214"/>
      <c r="O299" s="214"/>
      <c r="P299" s="217"/>
      <c r="Q299" s="214"/>
      <c r="R299" s="215"/>
      <c r="T299" s="218" t="str">
        <f>_xlfn.XLOOKUP(T275,RenewalPlans!B:B,RenewalPlans!AX:AX,"NA",0,1)</f>
        <v>NA</v>
      </c>
      <c r="U299" s="214"/>
      <c r="V299" s="214"/>
      <c r="W299" s="214"/>
      <c r="X299" s="217"/>
      <c r="Y299" s="214"/>
      <c r="Z299" s="215"/>
    </row>
    <row r="300" spans="4:26" ht="18.75" customHeight="1" hidden="1">
      <c r="D300" s="213" t="s">
        <v>271</v>
      </c>
      <c r="E300" s="216" t="e">
        <f>_xlfn.XLOOKUP(E275,CurrentPlans!B:B,CurrentPlans!AT:AT,"NA",0,1)</f>
        <v>#N/A</v>
      </c>
      <c r="F300" s="214"/>
      <c r="G300" s="214"/>
      <c r="H300" s="214"/>
      <c r="I300" s="217"/>
      <c r="J300" s="215"/>
      <c r="K300"/>
      <c r="L300" s="218" t="str">
        <f ca="1">_xlfn.XLOOKUP(L275,RenewalPlans!B:B,RenewalPlans!AW:AW,"NA",0,1)</f>
        <v>NA</v>
      </c>
      <c r="M300" s="214"/>
      <c r="N300" s="214"/>
      <c r="O300" s="214"/>
      <c r="P300" s="217"/>
      <c r="Q300" s="214"/>
      <c r="R300" s="215"/>
      <c r="T300" s="218" t="str">
        <f>_xlfn.XLOOKUP(T275,RenewalPlans!B:B,RenewalPlans!AW:AW,"NA",0,1)</f>
        <v>NA</v>
      </c>
      <c r="U300" s="214"/>
      <c r="V300" s="214"/>
      <c r="W300" s="214"/>
      <c r="X300" s="217"/>
      <c r="Y300" s="214"/>
      <c r="Z300" s="215"/>
    </row>
    <row r="301" spans="4:26" ht="18.75" customHeight="1" hidden="1">
      <c r="D301" s="198" t="s">
        <v>272</v>
      </c>
      <c r="E301" s="130" t="e">
        <f>_xlfn.XLOOKUP(E275,CurrentPlans!B:B,CurrentPlans!AD:AD,"NA",0,1)</f>
        <v>#N/A</v>
      </c>
      <c r="F301" s="200"/>
      <c r="G301" s="200"/>
      <c r="H301" s="200"/>
      <c r="I301" s="130"/>
      <c r="J301" s="201"/>
      <c r="K301"/>
      <c r="L301" s="131" t="str">
        <f ca="1">_xlfn.XLOOKUP(L275,RenewalPlans!B:B,RenewalPlans!AG:AG,"NA",0,1)</f>
        <v>NA</v>
      </c>
      <c r="M301" s="200"/>
      <c r="N301" s="200"/>
      <c r="O301" s="200"/>
      <c r="P301" s="130"/>
      <c r="Q301" s="200"/>
      <c r="R301" s="201"/>
      <c r="T301" s="131" t="str">
        <f>_xlfn.XLOOKUP(T275,RenewalPlans!B:B,RenewalPlans!AG:AG,"NA",0,1)</f>
        <v>NA</v>
      </c>
      <c r="U301" s="200"/>
      <c r="V301" s="200"/>
      <c r="W301" s="200"/>
      <c r="X301" s="130"/>
      <c r="Y301" s="200"/>
      <c r="Z301" s="201"/>
    </row>
    <row r="302" spans="4:26" ht="18.75" customHeight="1" hidden="1">
      <c r="D302" s="198" t="s">
        <v>273</v>
      </c>
      <c r="E302" s="200"/>
      <c r="F302" s="200"/>
      <c r="G302" s="200"/>
      <c r="H302" s="200"/>
      <c r="I302" s="200"/>
      <c r="J302" s="201"/>
      <c r="K302"/>
      <c r="L302" s="198"/>
      <c r="M302" s="200"/>
      <c r="N302" s="200"/>
      <c r="O302" s="200"/>
      <c r="P302" s="200"/>
      <c r="Q302" s="200"/>
      <c r="R302" s="201"/>
      <c r="T302" s="198"/>
      <c r="U302" s="200"/>
      <c r="V302" s="200"/>
      <c r="W302" s="200"/>
      <c r="X302" s="200"/>
      <c r="Y302" s="200"/>
      <c r="Z302" s="201"/>
    </row>
    <row r="303" spans="4:26" ht="18.75" customHeight="1" hidden="1">
      <c r="D303" s="210"/>
      <c r="E303" s="211"/>
      <c r="F303" s="211"/>
      <c r="G303" s="211"/>
      <c r="H303" s="211"/>
      <c r="I303" s="211"/>
      <c r="J303" s="212"/>
      <c r="K303"/>
      <c r="L303" s="210"/>
      <c r="M303" s="211"/>
      <c r="N303" s="211"/>
      <c r="O303" s="211"/>
      <c r="P303" s="211"/>
      <c r="Q303" s="211"/>
      <c r="R303" s="212"/>
      <c r="T303" s="210"/>
      <c r="U303" s="211"/>
      <c r="V303" s="211"/>
      <c r="W303" s="211"/>
      <c r="X303" s="211"/>
      <c r="Y303" s="211"/>
      <c r="Z303" s="212"/>
    </row>
    <row r="304" spans="4:26" ht="18.75" customHeight="1" hidden="1">
      <c r="D304" s="219" t="s">
        <v>274</v>
      </c>
      <c r="E304" s="220"/>
      <c r="F304" s="220"/>
      <c r="G304" s="220"/>
      <c r="H304" s="220"/>
      <c r="I304" s="220"/>
      <c r="J304" s="221"/>
      <c r="K304"/>
      <c r="L304" s="222"/>
      <c r="M304" s="220"/>
      <c r="N304" s="220"/>
      <c r="O304" s="220"/>
      <c r="P304" s="220"/>
      <c r="Q304" s="220"/>
      <c r="R304" s="221"/>
      <c r="T304" s="222"/>
      <c r="U304" s="220"/>
      <c r="V304" s="220"/>
      <c r="W304" s="220"/>
      <c r="X304" s="220"/>
      <c r="Y304" s="220"/>
      <c r="Z304" s="221"/>
    </row>
    <row r="305" spans="4:26" ht="18.75" customHeight="1" hidden="1">
      <c r="D305" s="223" t="s">
        <v>250</v>
      </c>
      <c r="E305" s="205"/>
      <c r="F305" s="205"/>
      <c r="G305" s="205"/>
      <c r="H305" s="205"/>
      <c r="I305" s="205"/>
      <c r="J305" s="206"/>
      <c r="K305"/>
      <c r="L305" s="203"/>
      <c r="M305" s="205"/>
      <c r="N305" s="205"/>
      <c r="O305" s="205"/>
      <c r="P305" s="205"/>
      <c r="Q305" s="205"/>
      <c r="R305" s="206"/>
      <c r="T305" s="203"/>
      <c r="U305" s="205"/>
      <c r="V305" s="205"/>
      <c r="W305" s="205"/>
      <c r="X305" s="205"/>
      <c r="Y305" s="205"/>
      <c r="Z305" s="206"/>
    </row>
    <row r="306" spans="4:26" ht="18.75" customHeight="1" hidden="1">
      <c r="D306" s="198" t="s">
        <v>251</v>
      </c>
      <c r="E306" s="130" t="e">
        <f>_xlfn.XLOOKUP(E275,CurrentPlans!B:B,CurrentPlans!AP:AP,"NA",0,1)</f>
        <v>#N/A</v>
      </c>
      <c r="F306" s="200"/>
      <c r="G306" s="200"/>
      <c r="H306" s="200"/>
      <c r="I306" s="130"/>
      <c r="J306" s="201"/>
      <c r="K306"/>
      <c r="L306" s="131" t="str">
        <f ca="1">_xlfn.XLOOKUP(L275,RenewalPlans!B:B,RenewalPlans!AS:AS,"NA",0,1)</f>
        <v>NA</v>
      </c>
      <c r="M306" s="200"/>
      <c r="N306" s="200"/>
      <c r="O306" s="200"/>
      <c r="P306" s="130"/>
      <c r="Q306" s="200"/>
      <c r="R306" s="201"/>
      <c r="T306" s="131" t="str">
        <f>_xlfn.XLOOKUP(T275,RenewalPlans!B:B,RenewalPlans!AS:AS,"NA",0,1)</f>
        <v>NA</v>
      </c>
      <c r="U306" s="200"/>
      <c r="V306" s="200"/>
      <c r="W306" s="200"/>
      <c r="X306" s="130"/>
      <c r="Y306" s="200"/>
      <c r="Z306" s="201"/>
    </row>
    <row r="307" spans="4:26" ht="18.75" customHeight="1" hidden="1">
      <c r="D307" s="198" t="s">
        <v>252</v>
      </c>
      <c r="E307" s="130" t="e">
        <f>_xlfn.XLOOKUP(E275,CurrentPlans!B:B,CurrentPlans!AQ:AQ,"NA",0,1)</f>
        <v>#N/A</v>
      </c>
      <c r="F307" s="200"/>
      <c r="G307" s="200"/>
      <c r="H307" s="200"/>
      <c r="I307" s="130"/>
      <c r="J307" s="201"/>
      <c r="K307"/>
      <c r="L307" s="131" t="str">
        <f ca="1">_xlfn.XLOOKUP(L275,RenewalPlans!B:B,RenewalPlans!AT:AT,"NA",0,1)</f>
        <v>NA</v>
      </c>
      <c r="M307" s="200"/>
      <c r="N307" s="200"/>
      <c r="O307" s="200"/>
      <c r="P307" s="130"/>
      <c r="Q307" s="200"/>
      <c r="R307" s="201"/>
      <c r="T307" s="131" t="str">
        <f>_xlfn.XLOOKUP(T275,RenewalPlans!B:B,RenewalPlans!AT:AT,"NA",0,1)</f>
        <v>NA</v>
      </c>
      <c r="U307" s="200"/>
      <c r="V307" s="200"/>
      <c r="W307" s="200"/>
      <c r="X307" s="130"/>
      <c r="Y307" s="200"/>
      <c r="Z307" s="201"/>
    </row>
    <row r="308" spans="4:26" ht="18.75" customHeight="1" hidden="1">
      <c r="D308" s="120" t="s">
        <v>253</v>
      </c>
      <c r="E308" s="133" t="e">
        <f>_xlfn.XLOOKUP(E275,CurrentPlans!B:B,CurrentPlans!AO:AO,"NA",0,1)</f>
        <v>#N/A</v>
      </c>
      <c r="F308" s="122"/>
      <c r="G308" s="122"/>
      <c r="H308" s="122"/>
      <c r="I308" s="133"/>
      <c r="J308" s="123"/>
      <c r="K308"/>
      <c r="L308" s="136" t="str">
        <f ca="1">_xlfn.XLOOKUP(L275,RenewalPlans!B:B,RenewalPlans!AR:AR,"NA",0,1)</f>
        <v>NA</v>
      </c>
      <c r="M308" s="122"/>
      <c r="N308" s="122"/>
      <c r="O308" s="122"/>
      <c r="P308" s="133"/>
      <c r="Q308" s="122"/>
      <c r="R308" s="123"/>
      <c r="T308" s="136" t="str">
        <f>_xlfn.XLOOKUP(T275,RenewalPlans!B:B,RenewalPlans!AR:AR,"NA",0,1)</f>
        <v>NA</v>
      </c>
      <c r="U308" s="122"/>
      <c r="V308" s="122"/>
      <c r="W308" s="122"/>
      <c r="X308" s="133"/>
      <c r="Y308" s="122"/>
      <c r="Z308" s="123"/>
    </row>
    <row r="309" spans="4:26" ht="18.75" customHeight="1" hidden="1">
      <c r="D309" s="223" t="s">
        <v>254</v>
      </c>
      <c r="E309" s="205"/>
      <c r="F309" s="205"/>
      <c r="G309" s="205"/>
      <c r="H309" s="205"/>
      <c r="I309" s="205"/>
      <c r="J309" s="206"/>
      <c r="K309"/>
      <c r="L309" s="203"/>
      <c r="M309" s="205"/>
      <c r="N309" s="205"/>
      <c r="O309" s="205"/>
      <c r="P309" s="205"/>
      <c r="Q309" s="205"/>
      <c r="R309" s="206"/>
      <c r="T309" s="203"/>
      <c r="U309" s="205"/>
      <c r="V309" s="205"/>
      <c r="W309" s="205"/>
      <c r="X309" s="205"/>
      <c r="Y309" s="205"/>
      <c r="Z309" s="206"/>
    </row>
    <row r="310" spans="4:26" ht="18.75" customHeight="1" hidden="1">
      <c r="D310" s="198" t="s">
        <v>255</v>
      </c>
      <c r="E310" s="130" t="e">
        <f>_xlfn.XLOOKUP(E275,CurrentPlans!B:B,CurrentPlans!AR:AR,"NA",0,1)</f>
        <v>#N/A</v>
      </c>
      <c r="F310" s="200"/>
      <c r="G310" s="200"/>
      <c r="H310" s="200"/>
      <c r="I310" s="130"/>
      <c r="J310" s="201"/>
      <c r="K310"/>
      <c r="L310" s="131" t="str">
        <f ca="1">_xlfn.XLOOKUP(L275,RenewalPlans!B:B,RenewalPlans!AU:AU,"NA",0,1)</f>
        <v>NA</v>
      </c>
      <c r="M310" s="200"/>
      <c r="N310" s="200"/>
      <c r="O310" s="200"/>
      <c r="P310" s="130"/>
      <c r="Q310" s="200"/>
      <c r="R310" s="201"/>
      <c r="T310" s="131" t="str">
        <f>_xlfn.XLOOKUP(T275,RenewalPlans!B:B,RenewalPlans!AU:AU,"NA",0,1)</f>
        <v>NA</v>
      </c>
      <c r="U310" s="200"/>
      <c r="V310" s="200"/>
      <c r="W310" s="200"/>
      <c r="X310" s="130"/>
      <c r="Y310" s="200"/>
      <c r="Z310" s="201"/>
    </row>
    <row r="311" spans="4:26" ht="18.75" customHeight="1" hidden="1" thickBot="1">
      <c r="D311" s="224" t="s">
        <v>256</v>
      </c>
      <c r="E311" s="137" t="e">
        <f>_xlfn.XLOOKUP(E275,CurrentPlans!B:B,CurrentPlans!AS:AS,"NA",0,1)</f>
        <v>#N/A</v>
      </c>
      <c r="F311" s="225"/>
      <c r="G311" s="225"/>
      <c r="H311" s="225"/>
      <c r="I311" s="137"/>
      <c r="J311" s="226"/>
      <c r="K311"/>
      <c r="L311" s="138" t="str">
        <f ca="1">_xlfn.XLOOKUP(L275,RenewalPlans!B:B,RenewalPlans!AV:AV,"NA",0,1)</f>
        <v>NA</v>
      </c>
      <c r="M311" s="225"/>
      <c r="N311" s="225"/>
      <c r="O311" s="225"/>
      <c r="P311" s="137"/>
      <c r="Q311" s="225"/>
      <c r="R311" s="226"/>
      <c r="T311" s="138" t="str">
        <f>_xlfn.XLOOKUP(T275,RenewalPlans!B:B,RenewalPlans!AV:AV,"NA",0,1)</f>
        <v>NA</v>
      </c>
      <c r="U311" s="225"/>
      <c r="V311" s="225"/>
      <c r="W311" s="225"/>
      <c r="X311" s="137"/>
      <c r="Y311" s="225"/>
      <c r="Z311" s="226"/>
    </row>
    <row r="312" spans="4:26" ht="18.75" customHeight="1">
      <c r="D312" s="227"/>
      <c r="E312" s="176"/>
      <c r="F312" s="178"/>
      <c r="G312" s="179"/>
      <c r="H312" s="178"/>
      <c r="I312" s="176"/>
      <c r="J312" s="228"/>
      <c r="K312"/>
      <c r="L312" s="178"/>
      <c r="M312" s="176"/>
      <c r="N312" s="139"/>
      <c r="O312" s="178"/>
      <c r="P312" s="178"/>
      <c r="Q312" s="178"/>
      <c r="R312" s="228"/>
      <c r="T312" s="178"/>
      <c r="U312" s="176"/>
      <c r="V312" s="139"/>
      <c r="W312" s="178"/>
      <c r="X312" s="178"/>
      <c r="Y312" s="178"/>
      <c r="Z312" s="228"/>
    </row>
    <row r="313" spans="4:26" ht="5.25" customHeight="1" thickBot="1">
      <c r="D313" s="229"/>
      <c r="E313" s="229"/>
      <c r="F313" s="230"/>
      <c r="G313" s="231"/>
      <c r="H313" s="232"/>
      <c r="I313" s="233"/>
      <c r="J313" s="233"/>
      <c r="K313"/>
      <c r="L313" s="233"/>
      <c r="M313" s="233"/>
      <c r="N313" s="233"/>
      <c r="O313" s="233"/>
      <c r="P313" s="233"/>
      <c r="Q313" s="233"/>
      <c r="R313" s="233"/>
      <c r="T313" s="233"/>
      <c r="U313" s="233"/>
      <c r="V313" s="233"/>
      <c r="W313" s="233"/>
      <c r="X313" s="233"/>
      <c r="Y313" s="233"/>
      <c r="Z313" s="233"/>
    </row>
    <row r="314" spans="1:26" ht="50.15" customHeight="1">
      <c r="A314" s="140">
        <v>7</v>
      </c>
      <c r="B314" s="140" cm="1">
        <f t="array" ref="B314">IF(A314&gt;Class1_CurrentHealthCount,"DELETE",Class1_CurrentHealthStart+A314)</f>
        <v>11</v>
      </c>
      <c r="C314" s="164" t="s">
        <v>280</v>
      </c>
      <c r="D314" s="273" t="e">
        <f ca="1">IF(B314="Delete","",VLOOKUP(F314,BEGIN_CURRENT_HEALTH:END_CURRENT_HEALTH,3,FALSE))</f>
        <v>#N/A</v>
      </c>
      <c r="E314" s="165"/>
      <c r="F314" s="272" cm="1">
        <f t="array" ca="1" aca="1" ref="F314">IF(B314="Delete","",INDIRECT("CurrentPlans!A"&amp;B314,TRUE))</f>
        <v>0</v>
      </c>
      <c r="G314" s="166"/>
      <c r="H314" s="167"/>
      <c r="I314" s="168"/>
      <c r="J314" s="169"/>
      <c r="K314"/>
      <c r="L314" s="274" t="str">
        <f ca="1">_xlfn.IFNA(VLOOKUP(F314,BEGIN_RENEWEDFROM_HEALTH:ROW_RenewHealth_PlanID,3,FALSE),"SELECT PLAN")</f>
        <v>SELECT PLAN</v>
      </c>
      <c r="M314" s="170"/>
      <c r="N314" s="274" t="s">
        <v>237</v>
      </c>
      <c r="O314" s="171"/>
      <c r="P314" s="171"/>
      <c r="Q314" s="171"/>
      <c r="R314" s="169"/>
      <c r="T314" s="274" t="s">
        <v>38</v>
      </c>
      <c r="U314" s="170"/>
      <c r="V314" s="274" t="s">
        <v>237</v>
      </c>
      <c r="W314" s="171"/>
      <c r="X314" s="171"/>
      <c r="Y314" s="171"/>
      <c r="Z314" s="169"/>
    </row>
    <row r="315" spans="4:26" ht="18.75" customHeight="1">
      <c r="D315" s="172" t="s">
        <v>238</v>
      </c>
      <c r="E315" s="407" t="str">
        <f ca="1">_xlfn.IFNA(VLOOKUP(F314,BEGIN_CURRENT_HEALTH:END_CURRENT_HEALTH,CURRENT_COL_EO_count,FALSE),"")</f>
        <v/>
      </c>
      <c r="F315" s="408" t="str">
        <f ca="1">_xlfn.IFNA(VLOOKUP(F314,BEGIN_CURRENT_HEALTH:END_CURRENT_HEALTH,CURRENT_COL_EO,FALSE),"")</f>
        <v/>
      </c>
      <c r="G315" s="468" t="str">
        <f ca="1" t="shared" si="32" ref="G315:G318">IF(F315="","",H315/F315)</f>
        <v/>
      </c>
      <c r="H315" s="408" t="str">
        <f ca="1">_xlfn.IFNA(VLOOKUP(F314,BEGIN_CURRENT_HEALTH:END_CURRENT_HEALTH,CURRENT_COL_EOContrib,FALSE),"")</f>
        <v/>
      </c>
      <c r="I315" s="409" t="str">
        <f ca="1">IFERROR(F315-H315,"")</f>
        <v/>
      </c>
      <c r="J315" s="410" t="str">
        <f ca="1">IF(F315="","",H315*E315)</f>
        <v/>
      </c>
      <c r="K315" s="411"/>
      <c r="L315" s="408" t="str" cm="1">
        <f t="array" ca="1" aca="1" ref="L315">_xlfn.IFNA(VLOOKUP(INDIRECT("L"&amp;ROW()-1)&amp;"_"&amp;$D$12,BEGIN_RENEW_HEALTH:END_RENEW_HEALTH,RENEW_COL_EO,FALSE),"")</f>
        <v/>
      </c>
      <c r="M315" s="412" t="str">
        <f ca="1">IF(E315="","",E315)</f>
        <v/>
      </c>
      <c r="N315" s="413"/>
      <c r="O315" s="414"/>
      <c r="P315" s="415" t="str">
        <f>IFERROR(IF($N314="Keep Contribution Same",H315,IF($N314="Enter Percentages",IF(N315="","",N315*L315),IF($N314="Keep Percentage Same",IF(G315="","",G315*L315),IF($N314="Enter Dollar Amount",IF(O315="","",O315),"")))),"")</f>
        <v/>
      </c>
      <c r="Q315" s="408" t="str">
        <f ca="1">IFERROR(L315-P315,"")</f>
        <v/>
      </c>
      <c r="R315" s="410" t="str">
        <f>IFERROR(IF(P315="","",M315*P315),"")</f>
        <v/>
      </c>
      <c r="S315" s="411"/>
      <c r="T315" s="408" t="str" cm="1">
        <f t="array" ca="1" aca="1" ref="T315">_xlfn.IFNA(VLOOKUP(INDIRECT("T"&amp;ROW()-1)&amp;"_"&amp;$D$12,BEGIN_RENEW_HEALTH:END_RENEW_HEALTH,RENEW_COL_EO,FALSE),"")</f>
        <v/>
      </c>
      <c r="U315" s="412" t="str">
        <f ca="1">IF(E315="","",E315)</f>
        <v/>
      </c>
      <c r="V315" s="413"/>
      <c r="W315" s="414"/>
      <c r="X315" s="415" t="str">
        <f>IFERROR(IF($V314="Keep Contribution Same",H315,IF($V314="Enter Percentages",IF(V315="","",V315*T315),IF($V314="Keep Percentage Same",IF(G315="","",G315*T315),IF($V314="Enter Dollar Amount",IF(W315="","",W315),"")))),"")</f>
        <v/>
      </c>
      <c r="Y315" s="408" t="str">
        <f ca="1">IFERROR(T315-X315,"")</f>
        <v/>
      </c>
      <c r="Z315" s="410" t="str">
        <f>IFERROR(IF(X315="","",U315*X315),"")</f>
        <v/>
      </c>
    </row>
    <row r="316" spans="4:26" ht="18.75" customHeight="1">
      <c r="D316" s="172" t="s">
        <v>239</v>
      </c>
      <c r="E316" s="407" t="str">
        <f ca="1">_xlfn.IFNA(VLOOKUP(F314,BEGIN_CURRENT_HEALTH:END_CURRENT_HEALTH,CURRENT_COL_ES_count,FALSE),"")</f>
        <v/>
      </c>
      <c r="F316" s="408" t="str">
        <f ca="1">_xlfn.IFNA(VLOOKUP(F314,BEGIN_CURRENT_HEALTH:END_CURRENT_HEALTH,CURRENT_COL_ES,FALSE),"")</f>
        <v/>
      </c>
      <c r="G316" s="468" t="str">
        <f t="shared" ca="1" si="32"/>
        <v/>
      </c>
      <c r="H316" s="408" t="str">
        <f ca="1">_xlfn.IFNA(VLOOKUP(F314,BEGIN_CURRENT_HEALTH:END_CURRENT_HEALTH,CURRENT_COL_ESContrib,FALSE),"")</f>
        <v/>
      </c>
      <c r="I316" s="409" t="str">
        <f ca="1" t="shared" si="33" ref="I316:I318">IFERROR(F316-H316,"")</f>
        <v/>
      </c>
      <c r="J316" s="410" t="str">
        <f ca="1">IF(F316="","",H316*E316)</f>
        <v/>
      </c>
      <c r="K316" s="411"/>
      <c r="L316" s="408" t="str" cm="1">
        <f t="array" ca="1" aca="1" ref="L316">_xlfn.IFNA(VLOOKUP(INDIRECT("L"&amp;ROW()-2)&amp;"_"&amp;$D$12,BEGIN_RENEW_HEALTH:END_RENEW_HEALTH,RENEW_COL_ES,FALSE),"")</f>
        <v/>
      </c>
      <c r="M316" s="412" t="str">
        <f ca="1">IF(E316="","",E316)</f>
        <v/>
      </c>
      <c r="N316" s="413"/>
      <c r="O316" s="414"/>
      <c r="P316" s="415" t="str">
        <f>IFERROR(IF($N314="Keep Contribution Same",H316,IF($N314="Enter Percentages",IF(N316="","",N316*L316),IF($N314="Keep Percentage Same",IF(G316="","",G316*L316),IF($N314="Enter Dollar Amount",IF(O316="","",O316),"")))),"")</f>
        <v/>
      </c>
      <c r="Q316" s="408" t="str">
        <f ca="1">IFERROR(L316-P316,"")</f>
        <v/>
      </c>
      <c r="R316" s="410" t="str">
        <f>IFERROR(IF(P316="","",M316*P316),"")</f>
        <v/>
      </c>
      <c r="S316" s="411"/>
      <c r="T316" s="408" t="str" cm="1">
        <f t="array" ca="1" aca="1" ref="T316">_xlfn.IFNA(VLOOKUP(INDIRECT("T"&amp;ROW()-2)&amp;"_"&amp;$D$12,BEGIN_RENEW_HEALTH:END_RENEW_HEALTH,RENEW_COL_ES,FALSE),"")</f>
        <v/>
      </c>
      <c r="U316" s="412" t="str">
        <f ca="1" t="shared" si="34" ref="U316:U318">IF(E316="","",E316)</f>
        <v/>
      </c>
      <c r="V316" s="413"/>
      <c r="W316" s="414"/>
      <c r="X316" s="415" t="str">
        <f>IFERROR(IF($V314="Keep Contribution Same",H316,IF($V314="Enter Percentages",IF(V316="","",V316*T316),IF($V314="Keep Percentage Same",IF(G316="","",G316*T316),IF($V314="Enter Dollar Amount",IF(W316="","",W316),"")))),"")</f>
        <v/>
      </c>
      <c r="Y316" s="408" t="str">
        <f ca="1" t="shared" si="35" ref="Y316:Y318">IFERROR(T316-X316,"")</f>
        <v/>
      </c>
      <c r="Z316" s="410" t="str">
        <f t="shared" si="36" ref="Z316:Z318">IFERROR(IF(X316="","",U316*X316),"")</f>
        <v/>
      </c>
    </row>
    <row r="317" spans="4:26" ht="18.75" customHeight="1">
      <c r="D317" s="172" t="s">
        <v>240</v>
      </c>
      <c r="E317" s="407" t="str">
        <f ca="1">_xlfn.IFNA(VLOOKUP(F314,BEGIN_CURRENT_HEALTH:END_CURRENT_HEALTH,CURRENT_COL_EC_count,FALSE),"")</f>
        <v/>
      </c>
      <c r="F317" s="408" t="str">
        <f ca="1">_xlfn.IFNA(VLOOKUP(F314,BEGIN_CURRENT_HEALTH:END_CURRENT_HEALTH,CURRENT_COL_EC,FALSE),"")</f>
        <v/>
      </c>
      <c r="G317" s="468" t="str">
        <f t="shared" ca="1" si="32"/>
        <v/>
      </c>
      <c r="H317" s="408" t="str">
        <f ca="1">_xlfn.IFNA(VLOOKUP(F314,BEGIN_CURRENT_HEALTH:END_CURRENT_HEALTH,CURRENT_COL_ECContrib,FALSE),"")</f>
        <v/>
      </c>
      <c r="I317" s="409" t="str">
        <f t="shared" ca="1" si="33"/>
        <v/>
      </c>
      <c r="J317" s="410" t="str">
        <f ca="1">IF(F317="","",H317*E317)</f>
        <v/>
      </c>
      <c r="K317" s="411"/>
      <c r="L317" s="408" t="str" cm="1">
        <f t="array" ca="1" aca="1" ref="L317">_xlfn.IFNA(VLOOKUP(INDIRECT("L"&amp;ROW()-3)&amp;"_"&amp;$D$12,BEGIN_RENEW_HEALTH:END_RENEW_HEALTH,RENEW_COL_EC,FALSE),"")</f>
        <v/>
      </c>
      <c r="M317" s="412" t="str">
        <f ca="1">IF(E317="","",E317)</f>
        <v/>
      </c>
      <c r="N317" s="413"/>
      <c r="O317" s="414"/>
      <c r="P317" s="415" t="str">
        <f>IFERROR(IF($N314="Keep Contribution Same",H317,IF($N314="Enter Percentages",IF(N317="","",N317*L317),IF($N314="Keep Percentage Same",IF(G317="","",G317*L317),IF($N314="Enter Dollar Amount",IF(O317="","",O317),"")))),"")</f>
        <v/>
      </c>
      <c r="Q317" s="408" t="str">
        <f ca="1">IFERROR(L317-P317,"")</f>
        <v/>
      </c>
      <c r="R317" s="410" t="str">
        <f>IFERROR(IF(P317="","",M317*P317),"")</f>
        <v/>
      </c>
      <c r="S317" s="411"/>
      <c r="T317" s="408" t="str" cm="1">
        <f t="array" ca="1" aca="1" ref="T317">_xlfn.IFNA(VLOOKUP(INDIRECT("T"&amp;ROW()-3)&amp;"_"&amp;$D$12,BEGIN_RENEW_HEALTH:END_RENEW_HEALTH,RENEW_COL_EC,FALSE),"")</f>
        <v/>
      </c>
      <c r="U317" s="412" t="str">
        <f t="shared" ca="1" si="34"/>
        <v/>
      </c>
      <c r="V317" s="413"/>
      <c r="W317" s="414"/>
      <c r="X317" s="415" t="str">
        <f>IFERROR(IF($V314="Keep Contribution Same",H317,IF($V314="Enter Percentages",IF(V317="","",V317*T317),IF($V314="Keep Percentage Same",IF(G317="","",G317*T317),IF($V314="Enter Dollar Amount",IF(W317="","",W317),"")))),"")</f>
        <v/>
      </c>
      <c r="Y317" s="408" t="str">
        <f t="shared" ca="1" si="35"/>
        <v/>
      </c>
      <c r="Z317" s="410" t="str">
        <f t="shared" si="36"/>
        <v/>
      </c>
    </row>
    <row r="318" spans="4:26" ht="18.75" customHeight="1" thickBot="1">
      <c r="D318" s="174" t="s">
        <v>241</v>
      </c>
      <c r="E318" s="416" t="str">
        <f ca="1">_xlfn.IFNA(VLOOKUP(F314,BEGIN_CURRENT_HEALTH:END_CURRENT_HEALTH,CURRENT_COL_FAM_count,FALSE),"")</f>
        <v/>
      </c>
      <c r="F318" s="417" t="str">
        <f ca="1">_xlfn.IFNA(VLOOKUP(F314,BEGIN_CURRENT_HEALTH:END_CURRENT_HEALTH,CURRENT_COL_FAM,FALSE),"")</f>
        <v/>
      </c>
      <c r="G318" s="469" t="str">
        <f t="shared" ca="1" si="32"/>
        <v/>
      </c>
      <c r="H318" s="417" t="str">
        <f ca="1">_xlfn.IFNA(VLOOKUP(F314,BEGIN_CURRENT_HEALTH:END_CURRENT_HEALTH,CURRENT_COL_FAMContrib,FALSE),"")</f>
        <v/>
      </c>
      <c r="I318" s="418" t="str">
        <f t="shared" ca="1" si="33"/>
        <v/>
      </c>
      <c r="J318" s="419" t="str">
        <f ca="1">IF(F318="","",H318*E318)</f>
        <v/>
      </c>
      <c r="K318" s="411"/>
      <c r="L318" s="417" t="str" cm="1">
        <f t="array" ca="1" aca="1" ref="L318">_xlfn.IFNA(VLOOKUP(INDIRECT("L"&amp;ROW()-4)&amp;"_"&amp;$D$12,BEGIN_RENEW_HEALTH:END_RENEW_HEALTH,RENEW_COL_FAM,FALSE),"")</f>
        <v/>
      </c>
      <c r="M318" s="412" t="str">
        <f ca="1">IF(E318="","",E318)</f>
        <v/>
      </c>
      <c r="N318" s="420"/>
      <c r="O318" s="421"/>
      <c r="P318" s="422" t="str">
        <f>IFERROR(IF($N314="Keep Contribution Same",H318,IF($N314="Enter Percentages",IF(N318="","",N318*L318),IF($N314="Keep Percentage Same",IF(G318="","",G318*L318),IF($N314="Enter Dollar Amount",IF(O318="","",O318),"")))),"")</f>
        <v/>
      </c>
      <c r="Q318" s="422" t="str">
        <f ca="1">IFERROR(L318-P318,"")</f>
        <v/>
      </c>
      <c r="R318" s="410" t="str">
        <f>IFERROR(IF(P318="","",M318*P318),"")</f>
        <v/>
      </c>
      <c r="S318" s="411"/>
      <c r="T318" s="417" t="str" cm="1">
        <f t="array" ca="1" aca="1" ref="T318">_xlfn.IFNA(VLOOKUP(INDIRECT("T"&amp;ROW()-4)&amp;"_"&amp;$D$12,BEGIN_RENEW_HEALTH:END_RENEW_HEALTH,RENEW_COL_FAM,FALSE),"")</f>
        <v/>
      </c>
      <c r="U318" s="423" t="str">
        <f t="shared" ca="1" si="34"/>
        <v/>
      </c>
      <c r="V318" s="420"/>
      <c r="W318" s="421"/>
      <c r="X318" s="422" t="str">
        <f>IFERROR(IF($V314="Keep Contribution Same",H318,IF($V314="Enter Percentages",IF(V318="","",V318*T318),IF($V314="Keep Percentage Same",IF(G318="","",G318*T318),IF($V314="Enter Dollar Amount",IF(W318="","",W318),"")))),"")</f>
        <v/>
      </c>
      <c r="Y318" s="417" t="str">
        <f t="shared" ca="1" si="35"/>
        <v/>
      </c>
      <c r="Z318" s="419" t="str">
        <f t="shared" si="36"/>
        <v/>
      </c>
    </row>
    <row r="319" spans="4:26" ht="18.75" customHeight="1" thickTop="1">
      <c r="D319" s="175" t="s">
        <v>242</v>
      </c>
      <c r="E319" s="424"/>
      <c r="F319" s="425" t="str">
        <f ca="1">IFERROR((F315*E315)+(F316*E316)+(F317*E317)+(F318*E318),"")</f>
        <v/>
      </c>
      <c r="G319" s="426"/>
      <c r="H319" s="427"/>
      <c r="I319" s="428"/>
      <c r="J319" s="429" t="str">
        <f ca="1">IFERROR(IF(J315="","",SUM(J315:J318)),0)</f>
        <v/>
      </c>
      <c r="K319" s="1"/>
      <c r="L319" s="430" t="str">
        <f ca="1">IFERROR((M315*L315)+(M316*L316)+(M317*L317)+(M318*L318),"")</f>
        <v/>
      </c>
      <c r="M319" s="427"/>
      <c r="N319" s="426"/>
      <c r="O319" s="427"/>
      <c r="P319" s="431"/>
      <c r="Q319" s="432"/>
      <c r="R319" s="429" t="str">
        <f>IFERROR(IF(R315="","",SUM(R315:R318)),0)</f>
        <v/>
      </c>
      <c r="T319" s="430" t="str">
        <f ca="1">IFERROR((U315*T315)+(U316*T316)+(U317*T317)+(U318*T318),"")</f>
        <v/>
      </c>
      <c r="U319" s="427"/>
      <c r="V319" s="426"/>
      <c r="W319" s="427"/>
      <c r="X319" s="431"/>
      <c r="Y319" s="432"/>
      <c r="Z319" s="429" t="str">
        <f>IFERROR(IF(Z315="","",SUM(Z315:Z318)),0)</f>
        <v/>
      </c>
    </row>
    <row r="320" spans="4:26" ht="18.75" customHeight="1">
      <c r="D320" s="177" t="s">
        <v>243</v>
      </c>
      <c r="E320" s="433"/>
      <c r="F320" s="434" t="str">
        <f ca="1">IFERROR(F319*12,"")</f>
        <v/>
      </c>
      <c r="G320" s="435"/>
      <c r="H320" s="436"/>
      <c r="I320" s="432"/>
      <c r="J320" s="437" t="str">
        <f ca="1">IF(J319="","",J319*12)</f>
        <v/>
      </c>
      <c r="K320" s="1"/>
      <c r="L320" s="438" t="str">
        <f ca="1">IFERROR(L319*12,"")</f>
        <v/>
      </c>
      <c r="M320" s="436"/>
      <c r="N320" s="435"/>
      <c r="O320" s="436"/>
      <c r="P320" s="432"/>
      <c r="Q320" s="432"/>
      <c r="R320" s="437" t="str">
        <f>IF(R319="","",R319*12)</f>
        <v/>
      </c>
      <c r="T320" s="438" t="str">
        <f ca="1">IFERROR(T319*12,"")</f>
        <v/>
      </c>
      <c r="U320" s="436"/>
      <c r="V320" s="435"/>
      <c r="W320" s="436"/>
      <c r="X320" s="432"/>
      <c r="Y320" s="432"/>
      <c r="Z320" s="437" t="str">
        <f>IF(Z319="","",Z319*12)</f>
        <v/>
      </c>
    </row>
    <row r="321" spans="4:26" ht="18.75" customHeight="1">
      <c r="D321" s="177" t="s">
        <v>244</v>
      </c>
      <c r="E321" s="433"/>
      <c r="F321" s="436"/>
      <c r="G321" s="435"/>
      <c r="H321" s="436"/>
      <c r="I321" s="432"/>
      <c r="J321" s="437"/>
      <c r="K321" s="1"/>
      <c r="L321" s="434" t="str">
        <f ca="1">IFERROR(L320-F320,"")</f>
        <v/>
      </c>
      <c r="M321" s="436"/>
      <c r="N321" s="435"/>
      <c r="O321" s="436"/>
      <c r="P321" s="432"/>
      <c r="Q321" s="432"/>
      <c r="R321" s="437" t="str">
        <f ca="1">IFERROR(IF(J320="","",R320-J320),0)</f>
        <v/>
      </c>
      <c r="T321" s="434" t="str">
        <f ca="1">IFERROR(T320-F320,"")</f>
        <v/>
      </c>
      <c r="U321" s="436"/>
      <c r="V321" s="435"/>
      <c r="W321" s="436"/>
      <c r="X321" s="432"/>
      <c r="Y321" s="432"/>
      <c r="Z321" s="437" t="str">
        <f>IFERROR(IF(R320="","",Z320-R320),0)</f>
        <v/>
      </c>
    </row>
    <row r="322" spans="4:26" ht="18.75" customHeight="1" thickBot="1">
      <c r="D322" s="180" t="s">
        <v>245</v>
      </c>
      <c r="E322" s="439"/>
      <c r="F322" s="440"/>
      <c r="G322" s="441"/>
      <c r="H322" s="440"/>
      <c r="I322" s="442"/>
      <c r="J322" s="443"/>
      <c r="K322" s="1"/>
      <c r="L322" s="444" t="str">
        <f ca="1">IFERROR(L320/F320-1,"")</f>
        <v/>
      </c>
      <c r="M322" s="440"/>
      <c r="N322" s="441"/>
      <c r="O322" s="440"/>
      <c r="P322" s="445"/>
      <c r="Q322" s="445"/>
      <c r="R322" s="446" t="str">
        <f ca="1">IFERROR(IF(J320="","",(R320/J320)-1),0)</f>
        <v/>
      </c>
      <c r="T322" s="444" t="str">
        <f ca="1">IFERROR(T320/F320-1,"")</f>
        <v/>
      </c>
      <c r="U322" s="440"/>
      <c r="V322" s="441"/>
      <c r="W322" s="440"/>
      <c r="X322" s="445"/>
      <c r="Y322" s="445"/>
      <c r="Z322" s="446" t="str">
        <f>IFERROR(IF(R320="","",(Z320/R320)-1),0)</f>
        <v/>
      </c>
    </row>
    <row r="323" spans="4:26" ht="18.75" customHeight="1">
      <c r="D323" s="181" t="s">
        <v>246</v>
      </c>
      <c r="E323" s="182"/>
      <c r="F323" s="182"/>
      <c r="G323" s="182"/>
      <c r="H323" s="182"/>
      <c r="I323" s="182"/>
      <c r="J323" s="183"/>
      <c r="K323"/>
      <c r="L323" s="184"/>
      <c r="M323" s="182"/>
      <c r="N323" s="182"/>
      <c r="O323" s="182"/>
      <c r="P323" s="182"/>
      <c r="Q323" s="182"/>
      <c r="R323" s="183"/>
      <c r="T323" s="184"/>
      <c r="U323" s="182"/>
      <c r="V323" s="182"/>
      <c r="W323" s="182"/>
      <c r="X323" s="182"/>
      <c r="Y323" s="182"/>
      <c r="Z323" s="183"/>
    </row>
    <row r="324" spans="4:26" ht="18.75" customHeight="1" hidden="1">
      <c r="D324" s="185" t="s">
        <v>247</v>
      </c>
      <c r="E324" s="186"/>
      <c r="F324" s="186"/>
      <c r="G324" s="186"/>
      <c r="H324" s="186"/>
      <c r="I324" s="186"/>
      <c r="J324" s="187"/>
      <c r="K324"/>
      <c r="L324" s="188"/>
      <c r="M324" s="186"/>
      <c r="N324" s="186"/>
      <c r="O324" s="186"/>
      <c r="P324" s="186"/>
      <c r="Q324" s="186"/>
      <c r="R324" s="187"/>
      <c r="T324" s="188"/>
      <c r="U324" s="186"/>
      <c r="V324" s="186"/>
      <c r="W324" s="186"/>
      <c r="X324" s="186"/>
      <c r="Y324" s="186"/>
      <c r="Z324" s="187"/>
    </row>
    <row r="325" spans="4:26" ht="18.75" customHeight="1" hidden="1">
      <c r="D325" s="189" t="s">
        <v>248</v>
      </c>
      <c r="E325" s="190" t="e">
        <f ca="1">D314&amp;"_"&amp;D12</f>
        <v>#N/A</v>
      </c>
      <c r="F325" s="191"/>
      <c r="G325" s="191"/>
      <c r="H325" s="191"/>
      <c r="I325" s="190"/>
      <c r="J325" s="192"/>
      <c r="K325"/>
      <c r="L325" s="193" t="str">
        <f ca="1">L314&amp;"_"&amp;D12</f>
        <v>SELECT PLAN_MANAGERS</v>
      </c>
      <c r="M325" s="191"/>
      <c r="N325" s="191"/>
      <c r="O325" s="191"/>
      <c r="P325" s="190"/>
      <c r="Q325" s="191"/>
      <c r="R325" s="192"/>
      <c r="T325" s="193" t="str">
        <f>T314&amp;"_"&amp;D12</f>
        <v>SELECT PLAN_MANAGERS</v>
      </c>
      <c r="U325" s="191"/>
      <c r="V325" s="191"/>
      <c r="W325" s="191"/>
      <c r="X325" s="190"/>
      <c r="Y325" s="191"/>
      <c r="Z325" s="192"/>
    </row>
    <row r="326" spans="4:26" ht="18.75" customHeight="1" hidden="1">
      <c r="D326" s="189" t="s">
        <v>249</v>
      </c>
      <c r="E326" s="191"/>
      <c r="F326" s="191"/>
      <c r="G326" s="191"/>
      <c r="H326" s="191"/>
      <c r="I326" s="191"/>
      <c r="J326" s="192"/>
      <c r="K326"/>
      <c r="L326" s="189"/>
      <c r="M326" s="191"/>
      <c r="N326" s="191"/>
      <c r="O326" s="191"/>
      <c r="P326" s="191"/>
      <c r="Q326" s="191"/>
      <c r="R326" s="192"/>
      <c r="T326" s="189"/>
      <c r="U326" s="191"/>
      <c r="V326" s="191"/>
      <c r="W326" s="191"/>
      <c r="X326" s="191"/>
      <c r="Y326" s="191"/>
      <c r="Z326" s="192"/>
    </row>
    <row r="327" spans="4:26" ht="18.75" customHeight="1" hidden="1">
      <c r="D327" s="194" t="s">
        <v>250</v>
      </c>
      <c r="E327" s="195"/>
      <c r="F327" s="195"/>
      <c r="G327" s="195"/>
      <c r="H327" s="195"/>
      <c r="I327" s="195"/>
      <c r="J327" s="196"/>
      <c r="K327"/>
      <c r="L327" s="197"/>
      <c r="M327" s="195"/>
      <c r="N327" s="195"/>
      <c r="O327" s="195"/>
      <c r="P327" s="195"/>
      <c r="Q327" s="195"/>
      <c r="R327" s="196"/>
      <c r="T327" s="197"/>
      <c r="U327" s="195"/>
      <c r="V327" s="195"/>
      <c r="W327" s="195"/>
      <c r="X327" s="195"/>
      <c r="Y327" s="195"/>
      <c r="Z327" s="196"/>
    </row>
    <row r="328" spans="4:26" ht="18.75" customHeight="1" hidden="1">
      <c r="D328" s="198" t="s">
        <v>251</v>
      </c>
      <c r="E328" s="199" t="e">
        <f>_xlfn.XLOOKUP(E325,CurrentPlans!B:B,CurrentPlans!X:X,"NA",0,1)</f>
        <v>#N/A</v>
      </c>
      <c r="F328" s="200"/>
      <c r="G328" s="200"/>
      <c r="H328" s="200"/>
      <c r="I328" s="199"/>
      <c r="J328" s="201"/>
      <c r="K328"/>
      <c r="L328" s="202" t="str">
        <f ca="1">_xlfn.XLOOKUP(L325,RenewalPlans!B:B,RenewalPlans!AA:AA,"NA",0,1)</f>
        <v>NA</v>
      </c>
      <c r="M328" s="200"/>
      <c r="N328" s="200"/>
      <c r="O328" s="200"/>
      <c r="P328" s="199"/>
      <c r="Q328" s="200"/>
      <c r="R328" s="201"/>
      <c r="T328" s="202" t="str">
        <f>_xlfn.XLOOKUP(T325,RenewalPlans!B:B,RenewalPlans!AA:AA,"NA",0,1)</f>
        <v>NA</v>
      </c>
      <c r="U328" s="200"/>
      <c r="V328" s="200"/>
      <c r="W328" s="200"/>
      <c r="X328" s="199"/>
      <c r="Y328" s="200"/>
      <c r="Z328" s="201"/>
    </row>
    <row r="329" spans="4:26" ht="18.75" customHeight="1" hidden="1">
      <c r="D329" s="198" t="s">
        <v>252</v>
      </c>
      <c r="E329" s="199" t="e">
        <f>_xlfn.XLOOKUP(E325,CurrentPlans!B:B,CurrentPlans!Y:Y,"NA",0,1)</f>
        <v>#N/A</v>
      </c>
      <c r="F329" s="200"/>
      <c r="G329" s="200"/>
      <c r="H329" s="200"/>
      <c r="I329" s="199"/>
      <c r="J329" s="201"/>
      <c r="K329"/>
      <c r="L329" s="202" t="str">
        <f ca="1">_xlfn.XLOOKUP(L325,RenewalPlans!B:B,RenewalPlans!AB:AB,"NA",0,1)</f>
        <v>NA</v>
      </c>
      <c r="M329" s="200"/>
      <c r="N329" s="200"/>
      <c r="O329" s="200"/>
      <c r="P329" s="199"/>
      <c r="Q329" s="200"/>
      <c r="R329" s="201"/>
      <c r="T329" s="202" t="str">
        <f>_xlfn.XLOOKUP(T325,RenewalPlans!B:B,RenewalPlans!AB:AB,"NA",0,1)</f>
        <v>NA</v>
      </c>
      <c r="U329" s="200"/>
      <c r="V329" s="200"/>
      <c r="W329" s="200"/>
      <c r="X329" s="199"/>
      <c r="Y329" s="200"/>
      <c r="Z329" s="201"/>
    </row>
    <row r="330" spans="4:26" ht="18.75" customHeight="1" hidden="1">
      <c r="D330" s="120" t="s">
        <v>253</v>
      </c>
      <c r="E330" s="121" t="e">
        <f>_xlfn.XLOOKUP(E325,CurrentPlans!B:B,CurrentPlans!W:W,"NA",0,1)</f>
        <v>#N/A</v>
      </c>
      <c r="F330" s="122"/>
      <c r="G330" s="122"/>
      <c r="H330" s="122"/>
      <c r="I330" s="121"/>
      <c r="J330" s="123"/>
      <c r="K330"/>
      <c r="L330" s="124" t="str">
        <f ca="1">_xlfn.XLOOKUP(L325,RenewalPlans!B:B,RenewalPlans!Z:Z,"NA",0,1)</f>
        <v>NA</v>
      </c>
      <c r="M330" s="122"/>
      <c r="N330" s="122"/>
      <c r="O330" s="122"/>
      <c r="P330" s="121"/>
      <c r="Q330" s="122"/>
      <c r="R330" s="123"/>
      <c r="T330" s="124" t="str">
        <f>_xlfn.XLOOKUP(T325,RenewalPlans!B:B,RenewalPlans!Z:Z,"NA",0,1)</f>
        <v>NA</v>
      </c>
      <c r="U330" s="122"/>
      <c r="V330" s="122"/>
      <c r="W330" s="122"/>
      <c r="X330" s="121"/>
      <c r="Y330" s="122"/>
      <c r="Z330" s="123"/>
    </row>
    <row r="331" spans="4:26" ht="18.75" customHeight="1" hidden="1">
      <c r="D331" s="203" t="s">
        <v>254</v>
      </c>
      <c r="E331" s="204"/>
      <c r="F331" s="205"/>
      <c r="G331" s="205"/>
      <c r="H331" s="205"/>
      <c r="I331" s="204"/>
      <c r="J331" s="206"/>
      <c r="K331"/>
      <c r="L331" s="207"/>
      <c r="M331" s="205"/>
      <c r="N331" s="205"/>
      <c r="O331" s="205"/>
      <c r="P331" s="204"/>
      <c r="Q331" s="205"/>
      <c r="R331" s="206"/>
      <c r="T331" s="207"/>
      <c r="U331" s="205"/>
      <c r="V331" s="205"/>
      <c r="W331" s="205"/>
      <c r="X331" s="204"/>
      <c r="Y331" s="205"/>
      <c r="Z331" s="206"/>
    </row>
    <row r="332" spans="4:26" ht="18.75" customHeight="1" hidden="1">
      <c r="D332" s="125" t="s">
        <v>255</v>
      </c>
      <c r="E332" s="126" t="e">
        <f>_xlfn.XLOOKUP(E325,CurrentPlans!B:B,CurrentPlans!Z:Z,"NA",0,1)</f>
        <v>#N/A</v>
      </c>
      <c r="F332" s="127"/>
      <c r="G332" s="127"/>
      <c r="H332" s="127"/>
      <c r="I332" s="126"/>
      <c r="J332" s="128"/>
      <c r="K332"/>
      <c r="L332" s="129" t="str">
        <f ca="1">_xlfn.XLOOKUP(L325,RenewalPlans!B:B,RenewalPlans!AC:AC,"NA",0,1)</f>
        <v>NA</v>
      </c>
      <c r="M332" s="127"/>
      <c r="N332" s="127"/>
      <c r="O332" s="127"/>
      <c r="P332" s="126"/>
      <c r="Q332" s="127"/>
      <c r="R332" s="128"/>
      <c r="T332" s="129" t="str">
        <f>_xlfn.XLOOKUP(T325,RenewalPlans!B:B,RenewalPlans!AC:AC,"NA",0,1)</f>
        <v>NA</v>
      </c>
      <c r="U332" s="127"/>
      <c r="V332" s="127"/>
      <c r="W332" s="127"/>
      <c r="X332" s="126"/>
      <c r="Y332" s="127"/>
      <c r="Z332" s="128"/>
    </row>
    <row r="333" spans="4:26" ht="18.75" customHeight="1" hidden="1">
      <c r="D333" s="198" t="s">
        <v>256</v>
      </c>
      <c r="E333" s="208" t="e">
        <f>_xlfn.XLOOKUP(E325,CurrentPlans!B:B,CurrentPlans!AA:AA,"NA",0,1)</f>
        <v>#N/A</v>
      </c>
      <c r="F333" s="200"/>
      <c r="G333" s="200"/>
      <c r="H333" s="200"/>
      <c r="I333" s="208"/>
      <c r="J333" s="201"/>
      <c r="K333"/>
      <c r="L333" s="209" t="str">
        <f ca="1">_xlfn.XLOOKUP(L325,RenewalPlans!B:B,RenewalPlans!AD:AD,"NA",0,1)</f>
        <v>NA</v>
      </c>
      <c r="M333" s="200"/>
      <c r="N333" s="200"/>
      <c r="O333" s="200"/>
      <c r="P333" s="208"/>
      <c r="Q333" s="200"/>
      <c r="R333" s="201"/>
      <c r="T333" s="209" t="str">
        <f>_xlfn.XLOOKUP(T325,RenewalPlans!B:B,RenewalPlans!AD:AD,"NA",0,1)</f>
        <v>NA</v>
      </c>
      <c r="U333" s="200"/>
      <c r="V333" s="200"/>
      <c r="W333" s="200"/>
      <c r="X333" s="208"/>
      <c r="Y333" s="200"/>
      <c r="Z333" s="201"/>
    </row>
    <row r="334" spans="4:26" ht="18.75" customHeight="1" hidden="1">
      <c r="D334" s="203" t="s">
        <v>257</v>
      </c>
      <c r="E334" s="204"/>
      <c r="F334" s="205"/>
      <c r="G334" s="205"/>
      <c r="H334" s="205"/>
      <c r="I334" s="204"/>
      <c r="J334" s="206"/>
      <c r="K334"/>
      <c r="L334" s="207"/>
      <c r="M334" s="205"/>
      <c r="N334" s="205"/>
      <c r="O334" s="205"/>
      <c r="P334" s="204"/>
      <c r="Q334" s="205"/>
      <c r="R334" s="206"/>
      <c r="T334" s="207"/>
      <c r="U334" s="205"/>
      <c r="V334" s="205"/>
      <c r="W334" s="205"/>
      <c r="X334" s="204"/>
      <c r="Y334" s="205"/>
      <c r="Z334" s="206"/>
    </row>
    <row r="335" spans="4:26" ht="18.75" customHeight="1" hidden="1">
      <c r="D335" s="198" t="s">
        <v>258</v>
      </c>
      <c r="E335" s="208" t="e">
        <f>_xlfn.XLOOKUP(E325,CurrentPlans!B:B,CurrentPlans!AB:AB,"NA",0,1)</f>
        <v>#N/A</v>
      </c>
      <c r="F335" s="200"/>
      <c r="G335" s="200"/>
      <c r="H335" s="200"/>
      <c r="I335" s="208"/>
      <c r="J335" s="201"/>
      <c r="K335"/>
      <c r="L335" s="209" t="str">
        <f ca="1">_xlfn.XLOOKUP(L325,RenewalPlans!B:B,RenewalPlans!AE:AE,"NA",0,1)</f>
        <v>NA</v>
      </c>
      <c r="M335" s="200"/>
      <c r="N335" s="200"/>
      <c r="O335" s="200"/>
      <c r="P335" s="208"/>
      <c r="Q335" s="200"/>
      <c r="R335" s="201"/>
      <c r="T335" s="209" t="str">
        <f>_xlfn.XLOOKUP(T325,RenewalPlans!B:B,RenewalPlans!AE:AE,"NA",0,1)</f>
        <v>NA</v>
      </c>
      <c r="U335" s="200"/>
      <c r="V335" s="200"/>
      <c r="W335" s="200"/>
      <c r="X335" s="208"/>
      <c r="Y335" s="200"/>
      <c r="Z335" s="201"/>
    </row>
    <row r="336" spans="4:26" ht="18.75" customHeight="1" hidden="1">
      <c r="D336" s="198" t="s">
        <v>259</v>
      </c>
      <c r="E336" s="208" t="e">
        <f>_xlfn.XLOOKUP(E325,CurrentPlans!B:B,CurrentPlans!AC:AC,"NA",0,1)</f>
        <v>#N/A</v>
      </c>
      <c r="F336" s="200"/>
      <c r="G336" s="200"/>
      <c r="H336" s="200"/>
      <c r="I336" s="208"/>
      <c r="J336" s="201"/>
      <c r="K336"/>
      <c r="L336" s="209" t="str">
        <f ca="1">_xlfn.XLOOKUP(L325,RenewalPlans!B:B,RenewalPlans!AF:AF,"NA",0,1)</f>
        <v>NA</v>
      </c>
      <c r="M336" s="200"/>
      <c r="N336" s="200"/>
      <c r="O336" s="200"/>
      <c r="P336" s="208"/>
      <c r="Q336" s="200"/>
      <c r="R336" s="201"/>
      <c r="T336" s="209" t="str">
        <f>_xlfn.XLOOKUP(T325,RenewalPlans!B:B,RenewalPlans!AF:AF,"NA",0,1)</f>
        <v>NA</v>
      </c>
      <c r="U336" s="200"/>
      <c r="V336" s="200"/>
      <c r="W336" s="200"/>
      <c r="X336" s="208"/>
      <c r="Y336" s="200"/>
      <c r="Z336" s="201"/>
    </row>
    <row r="337" spans="4:26" ht="18.75" customHeight="1" hidden="1">
      <c r="D337" s="210"/>
      <c r="E337" s="211"/>
      <c r="F337" s="211"/>
      <c r="G337" s="211"/>
      <c r="H337" s="211"/>
      <c r="I337" s="211"/>
      <c r="J337" s="212"/>
      <c r="K337"/>
      <c r="L337" s="210"/>
      <c r="M337" s="211"/>
      <c r="N337" s="211"/>
      <c r="O337" s="211"/>
      <c r="P337" s="211"/>
      <c r="Q337" s="211"/>
      <c r="R337" s="212"/>
      <c r="T337" s="210"/>
      <c r="U337" s="211"/>
      <c r="V337" s="211"/>
      <c r="W337" s="211"/>
      <c r="X337" s="211"/>
      <c r="Y337" s="211"/>
      <c r="Z337" s="212"/>
    </row>
    <row r="338" spans="4:26" ht="18.75" customHeight="1" hidden="1">
      <c r="D338" s="185" t="s">
        <v>260</v>
      </c>
      <c r="E338" s="186"/>
      <c r="F338" s="186"/>
      <c r="G338" s="186"/>
      <c r="H338" s="186"/>
      <c r="I338" s="186"/>
      <c r="J338" s="187"/>
      <c r="K338"/>
      <c r="L338" s="188"/>
      <c r="M338" s="186"/>
      <c r="N338" s="186"/>
      <c r="O338" s="186"/>
      <c r="P338" s="186"/>
      <c r="Q338" s="186"/>
      <c r="R338" s="187"/>
      <c r="T338" s="188"/>
      <c r="U338" s="186"/>
      <c r="V338" s="186"/>
      <c r="W338" s="186"/>
      <c r="X338" s="186"/>
      <c r="Y338" s="186"/>
      <c r="Z338" s="187"/>
    </row>
    <row r="339" spans="4:26" ht="18.75" customHeight="1" hidden="1">
      <c r="D339" s="213" t="s">
        <v>261</v>
      </c>
      <c r="E339" s="130" t="e">
        <f>_xlfn.XLOOKUP(E325,CurrentPlans!B:B,CurrentPlans!AJ:AJ,"NA",0,1)</f>
        <v>#N/A</v>
      </c>
      <c r="F339" s="214"/>
      <c r="G339" s="214"/>
      <c r="H339" s="214"/>
      <c r="I339" s="130"/>
      <c r="J339" s="215"/>
      <c r="K339"/>
      <c r="L339" s="131" t="str">
        <f ca="1">_xlfn.XLOOKUP(L325,RenewalPlans!B:B,RenewalPlans!AM:AM,"NA",0,1)</f>
        <v>NA</v>
      </c>
      <c r="M339" s="214"/>
      <c r="N339" s="214"/>
      <c r="O339" s="214"/>
      <c r="P339" s="130"/>
      <c r="Q339" s="214"/>
      <c r="R339" s="215"/>
      <c r="T339" s="131" t="str">
        <f>_xlfn.XLOOKUP(T325,RenewalPlans!B:B,RenewalPlans!AM:AM,"NA",0,1)</f>
        <v>NA</v>
      </c>
      <c r="U339" s="214"/>
      <c r="V339" s="214"/>
      <c r="W339" s="214"/>
      <c r="X339" s="130"/>
      <c r="Y339" s="214"/>
      <c r="Z339" s="215"/>
    </row>
    <row r="340" spans="4:26" ht="18.75" customHeight="1" hidden="1">
      <c r="D340" s="198" t="s">
        <v>262</v>
      </c>
      <c r="E340" s="130" t="e">
        <f>_xlfn.XLOOKUP(E325,CurrentPlans!B:B,CurrentPlans!AM:AM,"NA",0,1)</f>
        <v>#N/A</v>
      </c>
      <c r="F340" s="200"/>
      <c r="G340" s="200"/>
      <c r="H340" s="200"/>
      <c r="I340" s="130"/>
      <c r="J340" s="201"/>
      <c r="K340"/>
      <c r="L340" s="131" t="str">
        <f ca="1">_xlfn.XLOOKUP(L325,RenewalPlans!B:B,RenewalPlans!AP:AP,"NA",0,1)</f>
        <v>NA</v>
      </c>
      <c r="M340" s="200"/>
      <c r="N340" s="200"/>
      <c r="O340" s="200"/>
      <c r="P340" s="130"/>
      <c r="Q340" s="200"/>
      <c r="R340" s="201"/>
      <c r="T340" s="131" t="str">
        <f>_xlfn.XLOOKUP(T325,RenewalPlans!B:B,RenewalPlans!AP:AP,"NA",0,1)</f>
        <v>NA</v>
      </c>
      <c r="U340" s="200"/>
      <c r="V340" s="200"/>
      <c r="W340" s="200"/>
      <c r="X340" s="130"/>
      <c r="Y340" s="200"/>
      <c r="Z340" s="201"/>
    </row>
    <row r="341" spans="4:26" ht="18.75" customHeight="1" hidden="1">
      <c r="D341" s="198" t="s">
        <v>263</v>
      </c>
      <c r="E341" s="130" t="e">
        <f>_xlfn.XLOOKUP(E325,CurrentPlans!B:B,CurrentPlans!AI:AI,"NA",0,1)</f>
        <v>#N/A</v>
      </c>
      <c r="F341" s="200"/>
      <c r="G341" s="200"/>
      <c r="H341" s="200"/>
      <c r="I341" s="130"/>
      <c r="J341" s="201"/>
      <c r="K341"/>
      <c r="L341" s="131" t="str">
        <f ca="1">_xlfn.XLOOKUP(L325,RenewalPlans!B:B,RenewalPlans!AL:AL,"NA",0,1)</f>
        <v>NA</v>
      </c>
      <c r="M341" s="200"/>
      <c r="N341" s="200"/>
      <c r="O341" s="200"/>
      <c r="P341" s="130"/>
      <c r="Q341" s="200"/>
      <c r="R341" s="201"/>
      <c r="T341" s="131" t="str">
        <f>_xlfn.XLOOKUP(T325,RenewalPlans!B:B,RenewalPlans!AL:AL,"NA",0,1)</f>
        <v>NA</v>
      </c>
      <c r="U341" s="200"/>
      <c r="V341" s="200"/>
      <c r="W341" s="200"/>
      <c r="X341" s="130"/>
      <c r="Y341" s="200"/>
      <c r="Z341" s="201"/>
    </row>
    <row r="342" spans="4:26" ht="18.75" customHeight="1" hidden="1">
      <c r="D342" s="198" t="s">
        <v>264</v>
      </c>
      <c r="E342" s="208" t="e">
        <f>_xlfn.XLOOKUP(E325,CurrentPlans!B:B,CurrentPlans!AN:AN,"NA",0,1)</f>
        <v>#N/A</v>
      </c>
      <c r="F342" s="200"/>
      <c r="G342" s="200"/>
      <c r="H342" s="200"/>
      <c r="I342" s="208"/>
      <c r="J342" s="201"/>
      <c r="K342"/>
      <c r="L342" s="209" t="str">
        <f ca="1">_xlfn.XLOOKUP(L325,RenewalPlans!B:B,RenewalPlans!AQ:AQ,"NA",0,1)</f>
        <v>NA</v>
      </c>
      <c r="M342" s="200"/>
      <c r="N342" s="200"/>
      <c r="O342" s="200"/>
      <c r="P342" s="208"/>
      <c r="Q342" s="200"/>
      <c r="R342" s="201"/>
      <c r="T342" s="209" t="str">
        <f>_xlfn.XLOOKUP(T325,RenewalPlans!B:B,RenewalPlans!AQ:AQ,"NA",0,1)</f>
        <v>NA</v>
      </c>
      <c r="U342" s="200"/>
      <c r="V342" s="200"/>
      <c r="W342" s="200"/>
      <c r="X342" s="208"/>
      <c r="Y342" s="200"/>
      <c r="Z342" s="201"/>
    </row>
    <row r="343" spans="4:26" ht="18.75" customHeight="1" hidden="1">
      <c r="D343" s="210"/>
      <c r="E343" s="211"/>
      <c r="F343" s="211"/>
      <c r="G343" s="211"/>
      <c r="H343" s="211"/>
      <c r="I343" s="211"/>
      <c r="J343" s="212"/>
      <c r="K343"/>
      <c r="L343" s="210"/>
      <c r="M343" s="211"/>
      <c r="N343" s="211"/>
      <c r="O343" s="211"/>
      <c r="P343" s="211"/>
      <c r="Q343" s="211"/>
      <c r="R343" s="212"/>
      <c r="T343" s="210"/>
      <c r="U343" s="211"/>
      <c r="V343" s="211"/>
      <c r="W343" s="211"/>
      <c r="X343" s="211"/>
      <c r="Y343" s="211"/>
      <c r="Z343" s="212"/>
    </row>
    <row r="344" spans="4:26" ht="18.75" customHeight="1" hidden="1">
      <c r="D344" s="185" t="s">
        <v>265</v>
      </c>
      <c r="E344" s="186"/>
      <c r="F344" s="186"/>
      <c r="G344" s="186"/>
      <c r="H344" s="186"/>
      <c r="I344" s="186"/>
      <c r="J344" s="187"/>
      <c r="K344"/>
      <c r="L344" s="188"/>
      <c r="M344" s="186"/>
      <c r="N344" s="186"/>
      <c r="O344" s="186"/>
      <c r="P344" s="186"/>
      <c r="Q344" s="186"/>
      <c r="R344" s="187"/>
      <c r="T344" s="188"/>
      <c r="U344" s="186"/>
      <c r="V344" s="186"/>
      <c r="W344" s="186"/>
      <c r="X344" s="186"/>
      <c r="Y344" s="186"/>
      <c r="Z344" s="187"/>
    </row>
    <row r="345" spans="4:26" ht="18.75" customHeight="1" hidden="1">
      <c r="D345" s="132" t="s">
        <v>266</v>
      </c>
      <c r="E345" s="133" t="e">
        <f>_xlfn.XLOOKUP(E325,CurrentPlans!B:B,CurrentPlans!AE:AE,"NA",0,1)</f>
        <v>#N/A</v>
      </c>
      <c r="F345" s="134"/>
      <c r="G345" s="134"/>
      <c r="H345" s="134"/>
      <c r="I345" s="133"/>
      <c r="J345" s="135"/>
      <c r="K345"/>
      <c r="L345" s="136" t="str">
        <f ca="1">_xlfn.XLOOKUP(L325,RenewalPlans!B:B,RenewalPlans!AH:AH,"NA",0,1)</f>
        <v>NA</v>
      </c>
      <c r="M345" s="134"/>
      <c r="N345" s="134"/>
      <c r="O345" s="134"/>
      <c r="P345" s="133"/>
      <c r="Q345" s="134"/>
      <c r="R345" s="135"/>
      <c r="T345" s="136" t="str">
        <f>_xlfn.XLOOKUP(T325,RenewalPlans!B:B,RenewalPlans!AH:AH,"NA",0,1)</f>
        <v>NA</v>
      </c>
      <c r="U345" s="134"/>
      <c r="V345" s="134"/>
      <c r="W345" s="134"/>
      <c r="X345" s="133"/>
      <c r="Y345" s="134"/>
      <c r="Z345" s="135"/>
    </row>
    <row r="346" spans="4:26" ht="18.75" customHeight="1" hidden="1">
      <c r="D346" s="120" t="s">
        <v>267</v>
      </c>
      <c r="E346" s="130" t="e">
        <f>_xlfn.XLOOKUP(E325,CurrentPlans!B:B,CurrentPlans!AF:AF,"NA",0,1)</f>
        <v>#N/A</v>
      </c>
      <c r="F346" s="122"/>
      <c r="G346" s="122"/>
      <c r="H346" s="122"/>
      <c r="I346" s="130"/>
      <c r="J346" s="123"/>
      <c r="K346"/>
      <c r="L346" s="131" t="str">
        <f ca="1">_xlfn.XLOOKUP(L325,RenewalPlans!B:B,RenewalPlans!AI:AI,"NA",0,1)</f>
        <v>NA</v>
      </c>
      <c r="M346" s="122"/>
      <c r="N346" s="122"/>
      <c r="O346" s="122"/>
      <c r="P346" s="130"/>
      <c r="Q346" s="122"/>
      <c r="R346" s="123"/>
      <c r="T346" s="131" t="str">
        <f>_xlfn.XLOOKUP(T325,RenewalPlans!B:B,RenewalPlans!AI:AI,"NA",0,1)</f>
        <v>NA</v>
      </c>
      <c r="U346" s="122"/>
      <c r="V346" s="122"/>
      <c r="W346" s="122"/>
      <c r="X346" s="130"/>
      <c r="Y346" s="122"/>
      <c r="Z346" s="123"/>
    </row>
    <row r="347" spans="4:26" ht="18.75" customHeight="1" hidden="1">
      <c r="D347" s="198" t="s">
        <v>268</v>
      </c>
      <c r="E347" s="130" t="e">
        <f>_xlfn.XLOOKUP(E325,CurrentPlans!B:B,CurrentPlans!AH:AH,"NA",0,1)</f>
        <v>#N/A</v>
      </c>
      <c r="F347" s="200"/>
      <c r="G347" s="200"/>
      <c r="H347" s="200"/>
      <c r="I347" s="130"/>
      <c r="J347" s="201"/>
      <c r="K347"/>
      <c r="L347" s="131" t="str">
        <f ca="1">_xlfn.XLOOKUP(L325,RenewalPlans!B:B,RenewalPlans!AK:AK,"NA",0,1)</f>
        <v>NA</v>
      </c>
      <c r="M347" s="200"/>
      <c r="N347" s="200"/>
      <c r="O347" s="200"/>
      <c r="P347" s="130"/>
      <c r="Q347" s="200"/>
      <c r="R347" s="201"/>
      <c r="T347" s="131" t="str">
        <f>_xlfn.XLOOKUP(T325,RenewalPlans!B:B,RenewalPlans!AK:AK,"NA",0,1)</f>
        <v>NA</v>
      </c>
      <c r="U347" s="200"/>
      <c r="V347" s="200"/>
      <c r="W347" s="200"/>
      <c r="X347" s="130"/>
      <c r="Y347" s="200"/>
      <c r="Z347" s="201"/>
    </row>
    <row r="348" spans="4:26" ht="18.75" customHeight="1" hidden="1">
      <c r="D348" s="198" t="s">
        <v>269</v>
      </c>
      <c r="E348" s="130" t="e">
        <f>_xlfn.XLOOKUP(E325,CurrentPlans!B:B,CurrentPlans!AG:AG,"NA",0,1)</f>
        <v>#N/A</v>
      </c>
      <c r="F348" s="200"/>
      <c r="G348" s="200"/>
      <c r="H348" s="200"/>
      <c r="I348" s="130"/>
      <c r="J348" s="201"/>
      <c r="K348"/>
      <c r="L348" s="131" t="str">
        <f ca="1">_xlfn.XLOOKUP(L325,RenewalPlans!B:B,RenewalPlans!AJ:AJ,"NA",0,1)</f>
        <v>NA</v>
      </c>
      <c r="M348" s="200"/>
      <c r="N348" s="200"/>
      <c r="O348" s="200"/>
      <c r="P348" s="130"/>
      <c r="Q348" s="200"/>
      <c r="R348" s="201"/>
      <c r="T348" s="131" t="str">
        <f>_xlfn.XLOOKUP(T325,RenewalPlans!B:B,RenewalPlans!AJ:AJ,"NA",0,1)</f>
        <v>NA</v>
      </c>
      <c r="U348" s="200"/>
      <c r="V348" s="200"/>
      <c r="W348" s="200"/>
      <c r="X348" s="130"/>
      <c r="Y348" s="200"/>
      <c r="Z348" s="201"/>
    </row>
    <row r="349" spans="4:26" ht="18.75" customHeight="1" hidden="1">
      <c r="D349" s="213" t="s">
        <v>270</v>
      </c>
      <c r="E349" s="216" t="e">
        <f>_xlfn.XLOOKUP(E325,CurrentPlans!B:B,CurrentPlans!AU:AU,"NA",0,1)</f>
        <v>#N/A</v>
      </c>
      <c r="F349" s="214"/>
      <c r="G349" s="214"/>
      <c r="H349" s="214"/>
      <c r="I349" s="217"/>
      <c r="J349" s="215"/>
      <c r="K349"/>
      <c r="L349" s="218" t="str">
        <f ca="1">_xlfn.XLOOKUP(L325,RenewalPlans!B:B,RenewalPlans!AX:AX,"NA",0,1)</f>
        <v>NA</v>
      </c>
      <c r="M349" s="214"/>
      <c r="N349" s="214"/>
      <c r="O349" s="214"/>
      <c r="P349" s="217"/>
      <c r="Q349" s="214"/>
      <c r="R349" s="215"/>
      <c r="T349" s="218" t="str">
        <f>_xlfn.XLOOKUP(T325,RenewalPlans!B:B,RenewalPlans!AX:AX,"NA",0,1)</f>
        <v>NA</v>
      </c>
      <c r="U349" s="214"/>
      <c r="V349" s="214"/>
      <c r="W349" s="214"/>
      <c r="X349" s="217"/>
      <c r="Y349" s="214"/>
      <c r="Z349" s="215"/>
    </row>
    <row r="350" spans="4:26" ht="18.75" customHeight="1" hidden="1">
      <c r="D350" s="213" t="s">
        <v>271</v>
      </c>
      <c r="E350" s="216" t="e">
        <f>_xlfn.XLOOKUP(E325,CurrentPlans!B:B,CurrentPlans!AT:AT,"NA",0,1)</f>
        <v>#N/A</v>
      </c>
      <c r="F350" s="214"/>
      <c r="G350" s="214"/>
      <c r="H350" s="214"/>
      <c r="I350" s="217"/>
      <c r="J350" s="215"/>
      <c r="K350"/>
      <c r="L350" s="218" t="str">
        <f ca="1">_xlfn.XLOOKUP(L325,RenewalPlans!B:B,RenewalPlans!AW:AW,"NA",0,1)</f>
        <v>NA</v>
      </c>
      <c r="M350" s="214"/>
      <c r="N350" s="214"/>
      <c r="O350" s="214"/>
      <c r="P350" s="217"/>
      <c r="Q350" s="214"/>
      <c r="R350" s="215"/>
      <c r="T350" s="218" t="str">
        <f>_xlfn.XLOOKUP(T325,RenewalPlans!B:B,RenewalPlans!AW:AW,"NA",0,1)</f>
        <v>NA</v>
      </c>
      <c r="U350" s="214"/>
      <c r="V350" s="214"/>
      <c r="W350" s="214"/>
      <c r="X350" s="217"/>
      <c r="Y350" s="214"/>
      <c r="Z350" s="215"/>
    </row>
    <row r="351" spans="4:26" ht="18.75" customHeight="1" hidden="1">
      <c r="D351" s="198" t="s">
        <v>272</v>
      </c>
      <c r="E351" s="130" t="e">
        <f>_xlfn.XLOOKUP(E325,CurrentPlans!B:B,CurrentPlans!AD:AD,"NA",0,1)</f>
        <v>#N/A</v>
      </c>
      <c r="F351" s="200"/>
      <c r="G351" s="200"/>
      <c r="H351" s="200"/>
      <c r="I351" s="130"/>
      <c r="J351" s="201"/>
      <c r="K351"/>
      <c r="L351" s="131" t="str">
        <f ca="1">_xlfn.XLOOKUP(L325,RenewalPlans!B:B,RenewalPlans!AG:AG,"NA",0,1)</f>
        <v>NA</v>
      </c>
      <c r="M351" s="200"/>
      <c r="N351" s="200"/>
      <c r="O351" s="200"/>
      <c r="P351" s="130"/>
      <c r="Q351" s="200"/>
      <c r="R351" s="201"/>
      <c r="T351" s="131" t="str">
        <f>_xlfn.XLOOKUP(T325,RenewalPlans!B:B,RenewalPlans!AG:AG,"NA",0,1)</f>
        <v>NA</v>
      </c>
      <c r="U351" s="200"/>
      <c r="V351" s="200"/>
      <c r="W351" s="200"/>
      <c r="X351" s="130"/>
      <c r="Y351" s="200"/>
      <c r="Z351" s="201"/>
    </row>
    <row r="352" spans="4:26" ht="18.75" customHeight="1" hidden="1">
      <c r="D352" s="198" t="s">
        <v>273</v>
      </c>
      <c r="E352" s="200"/>
      <c r="F352" s="200"/>
      <c r="G352" s="200"/>
      <c r="H352" s="200"/>
      <c r="I352" s="200"/>
      <c r="J352" s="201"/>
      <c r="K352"/>
      <c r="L352" s="198"/>
      <c r="M352" s="200"/>
      <c r="N352" s="200"/>
      <c r="O352" s="200"/>
      <c r="P352" s="200"/>
      <c r="Q352" s="200"/>
      <c r="R352" s="201"/>
      <c r="T352" s="198"/>
      <c r="U352" s="200"/>
      <c r="V352" s="200"/>
      <c r="W352" s="200"/>
      <c r="X352" s="200"/>
      <c r="Y352" s="200"/>
      <c r="Z352" s="201"/>
    </row>
    <row r="353" spans="4:26" ht="18.75" customHeight="1" hidden="1">
      <c r="D353" s="210"/>
      <c r="E353" s="211"/>
      <c r="F353" s="211"/>
      <c r="G353" s="211"/>
      <c r="H353" s="211"/>
      <c r="I353" s="211"/>
      <c r="J353" s="212"/>
      <c r="K353"/>
      <c r="L353" s="210"/>
      <c r="M353" s="211"/>
      <c r="N353" s="211"/>
      <c r="O353" s="211"/>
      <c r="P353" s="211"/>
      <c r="Q353" s="211"/>
      <c r="R353" s="212"/>
      <c r="T353" s="210"/>
      <c r="U353" s="211"/>
      <c r="V353" s="211"/>
      <c r="W353" s="211"/>
      <c r="X353" s="211"/>
      <c r="Y353" s="211"/>
      <c r="Z353" s="212"/>
    </row>
    <row r="354" spans="4:26" ht="18.75" customHeight="1" hidden="1">
      <c r="D354" s="219" t="s">
        <v>274</v>
      </c>
      <c r="E354" s="220"/>
      <c r="F354" s="220"/>
      <c r="G354" s="220"/>
      <c r="H354" s="220"/>
      <c r="I354" s="220"/>
      <c r="J354" s="221"/>
      <c r="K354"/>
      <c r="L354" s="222"/>
      <c r="M354" s="220"/>
      <c r="N354" s="220"/>
      <c r="O354" s="220"/>
      <c r="P354" s="220"/>
      <c r="Q354" s="220"/>
      <c r="R354" s="221"/>
      <c r="T354" s="222"/>
      <c r="U354" s="220"/>
      <c r="V354" s="220"/>
      <c r="W354" s="220"/>
      <c r="X354" s="220"/>
      <c r="Y354" s="220"/>
      <c r="Z354" s="221"/>
    </row>
    <row r="355" spans="4:26" ht="18.75" customHeight="1" hidden="1">
      <c r="D355" s="223" t="s">
        <v>250</v>
      </c>
      <c r="E355" s="205"/>
      <c r="F355" s="205"/>
      <c r="G355" s="205"/>
      <c r="H355" s="205"/>
      <c r="I355" s="205"/>
      <c r="J355" s="206"/>
      <c r="K355"/>
      <c r="L355" s="203"/>
      <c r="M355" s="205"/>
      <c r="N355" s="205"/>
      <c r="O355" s="205"/>
      <c r="P355" s="205"/>
      <c r="Q355" s="205"/>
      <c r="R355" s="206"/>
      <c r="T355" s="203"/>
      <c r="U355" s="205"/>
      <c r="V355" s="205"/>
      <c r="W355" s="205"/>
      <c r="X355" s="205"/>
      <c r="Y355" s="205"/>
      <c r="Z355" s="206"/>
    </row>
    <row r="356" spans="4:26" ht="18.75" customHeight="1" hidden="1">
      <c r="D356" s="198" t="s">
        <v>251</v>
      </c>
      <c r="E356" s="130" t="e">
        <f>_xlfn.XLOOKUP(E325,CurrentPlans!B:B,CurrentPlans!AP:AP,"NA",0,1)</f>
        <v>#N/A</v>
      </c>
      <c r="F356" s="200"/>
      <c r="G356" s="200"/>
      <c r="H356" s="200"/>
      <c r="I356" s="130"/>
      <c r="J356" s="201"/>
      <c r="K356"/>
      <c r="L356" s="131" t="str">
        <f ca="1">_xlfn.XLOOKUP(L325,RenewalPlans!B:B,RenewalPlans!AS:AS,"NA",0,1)</f>
        <v>NA</v>
      </c>
      <c r="M356" s="200"/>
      <c r="N356" s="200"/>
      <c r="O356" s="200"/>
      <c r="P356" s="130"/>
      <c r="Q356" s="200"/>
      <c r="R356" s="201"/>
      <c r="T356" s="131" t="str">
        <f>_xlfn.XLOOKUP(T325,RenewalPlans!B:B,RenewalPlans!AS:AS,"NA",0,1)</f>
        <v>NA</v>
      </c>
      <c r="U356" s="200"/>
      <c r="V356" s="200"/>
      <c r="W356" s="200"/>
      <c r="X356" s="130"/>
      <c r="Y356" s="200"/>
      <c r="Z356" s="201"/>
    </row>
    <row r="357" spans="4:26" ht="18.75" customHeight="1" hidden="1">
      <c r="D357" s="198" t="s">
        <v>252</v>
      </c>
      <c r="E357" s="130" t="e">
        <f>_xlfn.XLOOKUP(E325,CurrentPlans!B:B,CurrentPlans!AQ:AQ,"NA",0,1)</f>
        <v>#N/A</v>
      </c>
      <c r="F357" s="200"/>
      <c r="G357" s="200"/>
      <c r="H357" s="200"/>
      <c r="I357" s="130"/>
      <c r="J357" s="201"/>
      <c r="K357"/>
      <c r="L357" s="131" t="str">
        <f ca="1">_xlfn.XLOOKUP(L325,RenewalPlans!B:B,RenewalPlans!AT:AT,"NA",0,1)</f>
        <v>NA</v>
      </c>
      <c r="M357" s="200"/>
      <c r="N357" s="200"/>
      <c r="O357" s="200"/>
      <c r="P357" s="130"/>
      <c r="Q357" s="200"/>
      <c r="R357" s="201"/>
      <c r="T357" s="131" t="str">
        <f>_xlfn.XLOOKUP(T325,RenewalPlans!B:B,RenewalPlans!AT:AT,"NA",0,1)</f>
        <v>NA</v>
      </c>
      <c r="U357" s="200"/>
      <c r="V357" s="200"/>
      <c r="W357" s="200"/>
      <c r="X357" s="130"/>
      <c r="Y357" s="200"/>
      <c r="Z357" s="201"/>
    </row>
    <row r="358" spans="4:26" ht="18.75" customHeight="1" hidden="1">
      <c r="D358" s="120" t="s">
        <v>253</v>
      </c>
      <c r="E358" s="133" t="e">
        <f>_xlfn.XLOOKUP(E325,CurrentPlans!B:B,CurrentPlans!AO:AO,"NA",0,1)</f>
        <v>#N/A</v>
      </c>
      <c r="F358" s="122"/>
      <c r="G358" s="122"/>
      <c r="H358" s="122"/>
      <c r="I358" s="133"/>
      <c r="J358" s="123"/>
      <c r="K358"/>
      <c r="L358" s="136" t="str">
        <f ca="1">_xlfn.XLOOKUP(L325,RenewalPlans!B:B,RenewalPlans!AR:AR,"NA",0,1)</f>
        <v>NA</v>
      </c>
      <c r="M358" s="122"/>
      <c r="N358" s="122"/>
      <c r="O358" s="122"/>
      <c r="P358" s="133"/>
      <c r="Q358" s="122"/>
      <c r="R358" s="123"/>
      <c r="T358" s="136" t="str">
        <f>_xlfn.XLOOKUP(T325,RenewalPlans!B:B,RenewalPlans!AR:AR,"NA",0,1)</f>
        <v>NA</v>
      </c>
      <c r="U358" s="122"/>
      <c r="V358" s="122"/>
      <c r="W358" s="122"/>
      <c r="X358" s="133"/>
      <c r="Y358" s="122"/>
      <c r="Z358" s="123"/>
    </row>
    <row r="359" spans="4:26" ht="18.75" customHeight="1" hidden="1">
      <c r="D359" s="223" t="s">
        <v>254</v>
      </c>
      <c r="E359" s="205"/>
      <c r="F359" s="205"/>
      <c r="G359" s="205"/>
      <c r="H359" s="205"/>
      <c r="I359" s="205"/>
      <c r="J359" s="206"/>
      <c r="K359"/>
      <c r="L359" s="203"/>
      <c r="M359" s="205"/>
      <c r="N359" s="205"/>
      <c r="O359" s="205"/>
      <c r="P359" s="205"/>
      <c r="Q359" s="205"/>
      <c r="R359" s="206"/>
      <c r="T359" s="203"/>
      <c r="U359" s="205"/>
      <c r="V359" s="205"/>
      <c r="W359" s="205"/>
      <c r="X359" s="205"/>
      <c r="Y359" s="205"/>
      <c r="Z359" s="206"/>
    </row>
    <row r="360" spans="4:26" ht="18.75" customHeight="1" hidden="1">
      <c r="D360" s="198" t="s">
        <v>255</v>
      </c>
      <c r="E360" s="130" t="e">
        <f>_xlfn.XLOOKUP(E325,CurrentPlans!B:B,CurrentPlans!AR:AR,"NA",0,1)</f>
        <v>#N/A</v>
      </c>
      <c r="F360" s="200"/>
      <c r="G360" s="200"/>
      <c r="H360" s="200"/>
      <c r="I360" s="130"/>
      <c r="J360" s="201"/>
      <c r="K360"/>
      <c r="L360" s="131" t="str">
        <f ca="1">_xlfn.XLOOKUP(L325,RenewalPlans!B:B,RenewalPlans!AU:AU,"NA",0,1)</f>
        <v>NA</v>
      </c>
      <c r="M360" s="200"/>
      <c r="N360" s="200"/>
      <c r="O360" s="200"/>
      <c r="P360" s="130"/>
      <c r="Q360" s="200"/>
      <c r="R360" s="201"/>
      <c r="T360" s="131" t="str">
        <f>_xlfn.XLOOKUP(T325,RenewalPlans!B:B,RenewalPlans!AU:AU,"NA",0,1)</f>
        <v>NA</v>
      </c>
      <c r="U360" s="200"/>
      <c r="V360" s="200"/>
      <c r="W360" s="200"/>
      <c r="X360" s="130"/>
      <c r="Y360" s="200"/>
      <c r="Z360" s="201"/>
    </row>
    <row r="361" spans="4:26" ht="18.75" customHeight="1" hidden="1" thickBot="1">
      <c r="D361" s="224" t="s">
        <v>256</v>
      </c>
      <c r="E361" s="137" t="e">
        <f>_xlfn.XLOOKUP(E325,CurrentPlans!B:B,CurrentPlans!AS:AS,"NA",0,1)</f>
        <v>#N/A</v>
      </c>
      <c r="F361" s="225"/>
      <c r="G361" s="225"/>
      <c r="H361" s="225"/>
      <c r="I361" s="137"/>
      <c r="J361" s="226"/>
      <c r="K361"/>
      <c r="L361" s="138" t="str">
        <f ca="1">_xlfn.XLOOKUP(L325,RenewalPlans!B:B,RenewalPlans!AV:AV,"NA",0,1)</f>
        <v>NA</v>
      </c>
      <c r="M361" s="225"/>
      <c r="N361" s="225"/>
      <c r="O361" s="225"/>
      <c r="P361" s="137"/>
      <c r="Q361" s="225"/>
      <c r="R361" s="226"/>
      <c r="T361" s="138" t="str">
        <f>_xlfn.XLOOKUP(T325,RenewalPlans!B:B,RenewalPlans!AV:AV,"NA",0,1)</f>
        <v>NA</v>
      </c>
      <c r="U361" s="225"/>
      <c r="V361" s="225"/>
      <c r="W361" s="225"/>
      <c r="X361" s="137"/>
      <c r="Y361" s="225"/>
      <c r="Z361" s="226"/>
    </row>
    <row r="362" spans="4:26" ht="18.75" customHeight="1">
      <c r="D362" s="227"/>
      <c r="E362" s="176"/>
      <c r="F362" s="178"/>
      <c r="G362" s="179"/>
      <c r="H362" s="178"/>
      <c r="I362" s="176"/>
      <c r="J362" s="228"/>
      <c r="K362"/>
      <c r="L362" s="178"/>
      <c r="M362" s="176"/>
      <c r="N362" s="139"/>
      <c r="O362" s="178"/>
      <c r="P362" s="178"/>
      <c r="Q362" s="178"/>
      <c r="R362" s="228"/>
      <c r="T362" s="178"/>
      <c r="U362" s="176"/>
      <c r="V362" s="139"/>
      <c r="W362" s="178"/>
      <c r="X362" s="178"/>
      <c r="Y362" s="178"/>
      <c r="Z362" s="228"/>
    </row>
    <row r="363" spans="4:26" ht="5.25" customHeight="1" thickBot="1">
      <c r="D363" s="229"/>
      <c r="E363" s="229"/>
      <c r="F363" s="230"/>
      <c r="G363" s="231"/>
      <c r="H363" s="232"/>
      <c r="I363" s="233"/>
      <c r="J363" s="233"/>
      <c r="K363"/>
      <c r="L363" s="233"/>
      <c r="M363" s="233"/>
      <c r="N363" s="233"/>
      <c r="O363" s="233"/>
      <c r="P363" s="233"/>
      <c r="Q363" s="233"/>
      <c r="R363" s="233"/>
      <c r="T363" s="233"/>
      <c r="U363" s="233"/>
      <c r="V363" s="233"/>
      <c r="W363" s="233"/>
      <c r="X363" s="233"/>
      <c r="Y363" s="233"/>
      <c r="Z363" s="233"/>
    </row>
    <row r="364" spans="1:26" ht="50.15" customHeight="1">
      <c r="A364" s="140">
        <v>8</v>
      </c>
      <c r="B364" s="140" cm="1">
        <f t="array" ref="B364">IF(A364&gt;Class1_CurrentHealthCount,"DELETE",Class1_CurrentHealthStart+A364)</f>
        <v>12</v>
      </c>
      <c r="C364" s="164" t="s">
        <v>281</v>
      </c>
      <c r="D364" s="273" t="e">
        <f ca="1">IF(B364="Delete","",VLOOKUP(F364,BEGIN_CURRENT_HEALTH:END_CURRENT_HEALTH,3,FALSE))</f>
        <v>#N/A</v>
      </c>
      <c r="E364" s="165"/>
      <c r="F364" s="272" t="str" cm="1">
        <f t="array" ca="1" aca="1" ref="F364">IF(B364="Delete","",INDIRECT("CurrentPlans!A"&amp;B364,TRUE))</f>
        <v>Vision</v>
      </c>
      <c r="G364" s="166"/>
      <c r="H364" s="167"/>
      <c r="I364" s="168"/>
      <c r="J364" s="169"/>
      <c r="K364"/>
      <c r="L364" s="274" t="str">
        <f ca="1">_xlfn.IFNA(VLOOKUP(F364,BEGIN_RENEWEDFROM_HEALTH:ROW_RenewHealth_PlanID,3,FALSE),"SELECT PLAN")</f>
        <v>SELECT PLAN</v>
      </c>
      <c r="M364" s="170"/>
      <c r="N364" s="274" t="s">
        <v>237</v>
      </c>
      <c r="O364" s="171"/>
      <c r="P364" s="171"/>
      <c r="Q364" s="171"/>
      <c r="R364" s="169"/>
      <c r="T364" s="274" t="s">
        <v>38</v>
      </c>
      <c r="U364" s="170"/>
      <c r="V364" s="274" t="s">
        <v>237</v>
      </c>
      <c r="W364" s="171"/>
      <c r="X364" s="171"/>
      <c r="Y364" s="171"/>
      <c r="Z364" s="169"/>
    </row>
    <row r="365" spans="4:26" ht="18.75" customHeight="1">
      <c r="D365" s="172" t="s">
        <v>238</v>
      </c>
      <c r="E365" s="407" t="str">
        <f ca="1">_xlfn.IFNA(VLOOKUP(F364,BEGIN_CURRENT_HEALTH:END_CURRENT_HEALTH,CURRENT_COL_EO_count,FALSE),"")</f>
        <v/>
      </c>
      <c r="F365" s="408" t="str">
        <f ca="1">_xlfn.IFNA(VLOOKUP(F364,BEGIN_CURRENT_HEALTH:END_CURRENT_HEALTH,CURRENT_COL_EO,FALSE),"")</f>
        <v/>
      </c>
      <c r="G365" s="468" t="str">
        <f ca="1" t="shared" si="37" ref="G365:G368">IF(F365="","",H365/F365)</f>
        <v/>
      </c>
      <c r="H365" s="408" t="str">
        <f ca="1">_xlfn.IFNA(VLOOKUP(F364,BEGIN_CURRENT_HEALTH:END_CURRENT_HEALTH,CURRENT_COL_EOContrib,FALSE),"")</f>
        <v/>
      </c>
      <c r="I365" s="409" t="str">
        <f ca="1">IFERROR(F365-H365,"")</f>
        <v/>
      </c>
      <c r="J365" s="410" t="str">
        <f ca="1">IF(F365="","",H365*E365)</f>
        <v/>
      </c>
      <c r="K365" s="411"/>
      <c r="L365" s="408" t="str" cm="1">
        <f t="array" ca="1" aca="1" ref="L365">_xlfn.IFNA(VLOOKUP(INDIRECT("L"&amp;ROW()-1)&amp;"_"&amp;$D$12,BEGIN_RENEW_HEALTH:END_RENEW_HEALTH,RENEW_COL_EO,FALSE),"")</f>
        <v/>
      </c>
      <c r="M365" s="412" t="str">
        <f ca="1">IF(E365="","",E365)</f>
        <v/>
      </c>
      <c r="N365" s="413"/>
      <c r="O365" s="414"/>
      <c r="P365" s="415" t="str">
        <f>IFERROR(IF($N364="Keep Contribution Same",H365,IF($N364="Enter Percentages",IF(N365="","",N365*L365),IF($N364="Keep Percentage Same",IF(G365="","",G365*L365),IF($N364="Enter Dollar Amount",IF(O365="","",O365),"")))),"")</f>
        <v/>
      </c>
      <c r="Q365" s="408" t="str">
        <f ca="1">IFERROR(L365-P365,"")</f>
        <v/>
      </c>
      <c r="R365" s="410" t="str">
        <f>IFERROR(IF(P365="","",M365*P365),"")</f>
        <v/>
      </c>
      <c r="S365" s="411"/>
      <c r="T365" s="408" t="str" cm="1">
        <f t="array" ca="1" aca="1" ref="T365">_xlfn.IFNA(VLOOKUP(INDIRECT("T"&amp;ROW()-1)&amp;"_"&amp;$D$12,BEGIN_RENEW_HEALTH:END_RENEW_HEALTH,RENEW_COL_EO,FALSE),"")</f>
        <v/>
      </c>
      <c r="U365" s="412" t="str">
        <f ca="1">IF(E365="","",E365)</f>
        <v/>
      </c>
      <c r="V365" s="413"/>
      <c r="W365" s="414"/>
      <c r="X365" s="415" t="str">
        <f>IFERROR(IF($V364="Keep Contribution Same",H365,IF($V364="Enter Percentages",IF(V365="","",V365*T365),IF($V364="Keep Percentage Same",IF(G365="","",G365*T365),IF($V364="Enter Dollar Amount",IF(W365="","",W365),"")))),"")</f>
        <v/>
      </c>
      <c r="Y365" s="408" t="str">
        <f ca="1">IFERROR(T365-X365,"")</f>
        <v/>
      </c>
      <c r="Z365" s="410" t="str">
        <f>IFERROR(IF(X365="","",U365*X365),"")</f>
        <v/>
      </c>
    </row>
    <row r="366" spans="4:26" ht="18.75" customHeight="1">
      <c r="D366" s="172" t="s">
        <v>239</v>
      </c>
      <c r="E366" s="407" t="str">
        <f ca="1">_xlfn.IFNA(VLOOKUP(F364,BEGIN_CURRENT_HEALTH:END_CURRENT_HEALTH,CURRENT_COL_ES_count,FALSE),"")</f>
        <v/>
      </c>
      <c r="F366" s="408" t="str">
        <f ca="1">_xlfn.IFNA(VLOOKUP(F364,BEGIN_CURRENT_HEALTH:END_CURRENT_HEALTH,CURRENT_COL_ES,FALSE),"")</f>
        <v/>
      </c>
      <c r="G366" s="468" t="str">
        <f t="shared" ca="1" si="37"/>
        <v/>
      </c>
      <c r="H366" s="408" t="str">
        <f ca="1">_xlfn.IFNA(VLOOKUP(F364,BEGIN_CURRENT_HEALTH:END_CURRENT_HEALTH,CURRENT_COL_ESContrib,FALSE),"")</f>
        <v/>
      </c>
      <c r="I366" s="409" t="str">
        <f ca="1" t="shared" si="38" ref="I366:I368">IFERROR(F366-H366,"")</f>
        <v/>
      </c>
      <c r="J366" s="410" t="str">
        <f ca="1">IF(F366="","",H366*E366)</f>
        <v/>
      </c>
      <c r="K366" s="411"/>
      <c r="L366" s="408" t="str" cm="1">
        <f t="array" ca="1" aca="1" ref="L366">_xlfn.IFNA(VLOOKUP(INDIRECT("L"&amp;ROW()-2)&amp;"_"&amp;$D$12,BEGIN_RENEW_HEALTH:END_RENEW_HEALTH,RENEW_COL_ES,FALSE),"")</f>
        <v/>
      </c>
      <c r="M366" s="412" t="str">
        <f ca="1">IF(E366="","",E366)</f>
        <v/>
      </c>
      <c r="N366" s="413"/>
      <c r="O366" s="414"/>
      <c r="P366" s="415" t="str">
        <f>IFERROR(IF($N364="Keep Contribution Same",H366,IF($N364="Enter Percentages",IF(N366="","",N366*L366),IF($N364="Keep Percentage Same",IF(G366="","",G366*L366),IF($N364="Enter Dollar Amount",IF(O366="","",O366),"")))),"")</f>
        <v/>
      </c>
      <c r="Q366" s="408" t="str">
        <f ca="1">IFERROR(L366-P366,"")</f>
        <v/>
      </c>
      <c r="R366" s="410" t="str">
        <f>IFERROR(IF(P366="","",M366*P366),"")</f>
        <v/>
      </c>
      <c r="S366" s="411"/>
      <c r="T366" s="408" t="str" cm="1">
        <f t="array" ca="1" aca="1" ref="T366">_xlfn.IFNA(VLOOKUP(INDIRECT("T"&amp;ROW()-2)&amp;"_"&amp;$D$12,BEGIN_RENEW_HEALTH:END_RENEW_HEALTH,RENEW_COL_ES,FALSE),"")</f>
        <v/>
      </c>
      <c r="U366" s="412" t="str">
        <f ca="1" t="shared" si="39" ref="U366:U368">IF(E366="","",E366)</f>
        <v/>
      </c>
      <c r="V366" s="413"/>
      <c r="W366" s="414"/>
      <c r="X366" s="415" t="str">
        <f>IFERROR(IF($V364="Keep Contribution Same",H366,IF($V364="Enter Percentages",IF(V366="","",V366*T366),IF($V364="Keep Percentage Same",IF(G366="","",G366*T366),IF($V364="Enter Dollar Amount",IF(W366="","",W366),"")))),"")</f>
        <v/>
      </c>
      <c r="Y366" s="408" t="str">
        <f ca="1" t="shared" si="40" ref="Y366:Y368">IFERROR(T366-X366,"")</f>
        <v/>
      </c>
      <c r="Z366" s="410" t="str">
        <f t="shared" si="41" ref="Z366:Z368">IFERROR(IF(X366="","",U366*X366),"")</f>
        <v/>
      </c>
    </row>
    <row r="367" spans="4:26" ht="18.75" customHeight="1">
      <c r="D367" s="172" t="s">
        <v>240</v>
      </c>
      <c r="E367" s="407" t="str">
        <f ca="1">_xlfn.IFNA(VLOOKUP(F364,BEGIN_CURRENT_HEALTH:END_CURRENT_HEALTH,CURRENT_COL_EC_count,FALSE),"")</f>
        <v/>
      </c>
      <c r="F367" s="408" t="str">
        <f ca="1">_xlfn.IFNA(VLOOKUP(F364,BEGIN_CURRENT_HEALTH:END_CURRENT_HEALTH,CURRENT_COL_EC,FALSE),"")</f>
        <v/>
      </c>
      <c r="G367" s="468" t="str">
        <f t="shared" ca="1" si="37"/>
        <v/>
      </c>
      <c r="H367" s="408" t="str">
        <f ca="1">_xlfn.IFNA(VLOOKUP(F364,BEGIN_CURRENT_HEALTH:END_CURRENT_HEALTH,CURRENT_COL_ECContrib,FALSE),"")</f>
        <v/>
      </c>
      <c r="I367" s="409" t="str">
        <f t="shared" ca="1" si="38"/>
        <v/>
      </c>
      <c r="J367" s="410" t="str">
        <f ca="1">IF(F367="","",H367*E367)</f>
        <v/>
      </c>
      <c r="K367" s="411"/>
      <c r="L367" s="408" t="str" cm="1">
        <f t="array" ca="1" aca="1" ref="L367">_xlfn.IFNA(VLOOKUP(INDIRECT("L"&amp;ROW()-3)&amp;"_"&amp;$D$12,BEGIN_RENEW_HEALTH:END_RENEW_HEALTH,RENEW_COL_EC,FALSE),"")</f>
        <v/>
      </c>
      <c r="M367" s="412" t="str">
        <f ca="1">IF(E367="","",E367)</f>
        <v/>
      </c>
      <c r="N367" s="413"/>
      <c r="O367" s="414"/>
      <c r="P367" s="415" t="str">
        <f>IFERROR(IF($N364="Keep Contribution Same",H367,IF($N364="Enter Percentages",IF(N367="","",N367*L367),IF($N364="Keep Percentage Same",IF(G367="","",G367*L367),IF($N364="Enter Dollar Amount",IF(O367="","",O367),"")))),"")</f>
        <v/>
      </c>
      <c r="Q367" s="408" t="str">
        <f ca="1">IFERROR(L367-P367,"")</f>
        <v/>
      </c>
      <c r="R367" s="410" t="str">
        <f>IFERROR(IF(P367="","",M367*P367),"")</f>
        <v/>
      </c>
      <c r="S367" s="411"/>
      <c r="T367" s="408" t="str" cm="1">
        <f t="array" ca="1" aca="1" ref="T367">_xlfn.IFNA(VLOOKUP(INDIRECT("T"&amp;ROW()-3)&amp;"_"&amp;$D$12,BEGIN_RENEW_HEALTH:END_RENEW_HEALTH,RENEW_COL_EC,FALSE),"")</f>
        <v/>
      </c>
      <c r="U367" s="412" t="str">
        <f t="shared" ca="1" si="39"/>
        <v/>
      </c>
      <c r="V367" s="413"/>
      <c r="W367" s="414"/>
      <c r="X367" s="415" t="str">
        <f>IFERROR(IF($V364="Keep Contribution Same",H367,IF($V364="Enter Percentages",IF(V367="","",V367*T367),IF($V364="Keep Percentage Same",IF(G367="","",G367*T367),IF($V364="Enter Dollar Amount",IF(W367="","",W367),"")))),"")</f>
        <v/>
      </c>
      <c r="Y367" s="408" t="str">
        <f t="shared" ca="1" si="40"/>
        <v/>
      </c>
      <c r="Z367" s="410" t="str">
        <f t="shared" si="41"/>
        <v/>
      </c>
    </row>
    <row r="368" spans="4:26" ht="18.75" customHeight="1" thickBot="1">
      <c r="D368" s="174" t="s">
        <v>241</v>
      </c>
      <c r="E368" s="416" t="str">
        <f ca="1">_xlfn.IFNA(VLOOKUP(F364,BEGIN_CURRENT_HEALTH:END_CURRENT_HEALTH,CURRENT_COL_FAM_count,FALSE),"")</f>
        <v/>
      </c>
      <c r="F368" s="417" t="str">
        <f ca="1">_xlfn.IFNA(VLOOKUP(F364,BEGIN_CURRENT_HEALTH:END_CURRENT_HEALTH,CURRENT_COL_FAM,FALSE),"")</f>
        <v/>
      </c>
      <c r="G368" s="469" t="str">
        <f t="shared" ca="1" si="37"/>
        <v/>
      </c>
      <c r="H368" s="417" t="str">
        <f ca="1">_xlfn.IFNA(VLOOKUP(F364,BEGIN_CURRENT_HEALTH:END_CURRENT_HEALTH,CURRENT_COL_FAMContrib,FALSE),"")</f>
        <v/>
      </c>
      <c r="I368" s="418" t="str">
        <f t="shared" ca="1" si="38"/>
        <v/>
      </c>
      <c r="J368" s="419" t="str">
        <f ca="1">IF(F368="","",H368*E368)</f>
        <v/>
      </c>
      <c r="K368" s="411"/>
      <c r="L368" s="417" t="str" cm="1">
        <f t="array" ca="1" aca="1" ref="L368">_xlfn.IFNA(VLOOKUP(INDIRECT("L"&amp;ROW()-4)&amp;"_"&amp;$D$12,BEGIN_RENEW_HEALTH:END_RENEW_HEALTH,RENEW_COL_FAM,FALSE),"")</f>
        <v/>
      </c>
      <c r="M368" s="412" t="str">
        <f ca="1">IF(E368="","",E368)</f>
        <v/>
      </c>
      <c r="N368" s="420"/>
      <c r="O368" s="421"/>
      <c r="P368" s="422" t="str">
        <f>IFERROR(IF($N364="Keep Contribution Same",H368,IF($N364="Enter Percentages",IF(N368="","",N368*L368),IF($N364="Keep Percentage Same",IF(G368="","",G368*L368),IF($N364="Enter Dollar Amount",IF(O368="","",O368),"")))),"")</f>
        <v/>
      </c>
      <c r="Q368" s="422" t="str">
        <f ca="1">IFERROR(L368-P368,"")</f>
        <v/>
      </c>
      <c r="R368" s="410" t="str">
        <f>IFERROR(IF(P368="","",M368*P368),"")</f>
        <v/>
      </c>
      <c r="S368" s="411"/>
      <c r="T368" s="417" t="str" cm="1">
        <f t="array" ca="1" aca="1" ref="T368">_xlfn.IFNA(VLOOKUP(INDIRECT("T"&amp;ROW()-4)&amp;"_"&amp;$D$12,BEGIN_RENEW_HEALTH:END_RENEW_HEALTH,RENEW_COL_FAM,FALSE),"")</f>
        <v/>
      </c>
      <c r="U368" s="423" t="str">
        <f t="shared" ca="1" si="39"/>
        <v/>
      </c>
      <c r="V368" s="420"/>
      <c r="W368" s="421"/>
      <c r="X368" s="422" t="str">
        <f>IFERROR(IF($V364="Keep Contribution Same",H368,IF($V364="Enter Percentages",IF(V368="","",V368*T368),IF($V364="Keep Percentage Same",IF(G368="","",G368*T368),IF($V364="Enter Dollar Amount",IF(W368="","",W368),"")))),"")</f>
        <v/>
      </c>
      <c r="Y368" s="417" t="str">
        <f t="shared" ca="1" si="40"/>
        <v/>
      </c>
      <c r="Z368" s="419" t="str">
        <f t="shared" si="41"/>
        <v/>
      </c>
    </row>
    <row r="369" spans="4:26" ht="18.75" customHeight="1" thickTop="1">
      <c r="D369" s="175" t="s">
        <v>242</v>
      </c>
      <c r="E369" s="424"/>
      <c r="F369" s="425" t="str">
        <f ca="1">IFERROR((F365*E365)+(F366*E366)+(F367*E367)+(F368*E368),"")</f>
        <v/>
      </c>
      <c r="G369" s="426"/>
      <c r="H369" s="427"/>
      <c r="I369" s="428"/>
      <c r="J369" s="429" t="str">
        <f ca="1">IFERROR(IF(J365="","",SUM(J365:J368)),0)</f>
        <v/>
      </c>
      <c r="K369" s="1"/>
      <c r="L369" s="430" t="str">
        <f ca="1">IFERROR((M365*L365)+(M366*L366)+(M367*L367)+(M368*L368),"")</f>
        <v/>
      </c>
      <c r="M369" s="427"/>
      <c r="N369" s="426"/>
      <c r="O369" s="427"/>
      <c r="P369" s="431"/>
      <c r="Q369" s="432"/>
      <c r="R369" s="429" t="str">
        <f>IFERROR(IF(R365="","",SUM(R365:R368)),0)</f>
        <v/>
      </c>
      <c r="T369" s="430" t="str">
        <f ca="1">IFERROR((U365*T365)+(U366*T366)+(U367*T367)+(U368*T368),"")</f>
        <v/>
      </c>
      <c r="U369" s="427"/>
      <c r="V369" s="426"/>
      <c r="W369" s="427"/>
      <c r="X369" s="431"/>
      <c r="Y369" s="432"/>
      <c r="Z369" s="429" t="str">
        <f>IFERROR(IF(Z365="","",SUM(Z365:Z368)),0)</f>
        <v/>
      </c>
    </row>
    <row r="370" spans="4:26" ht="18.75" customHeight="1">
      <c r="D370" s="177" t="s">
        <v>243</v>
      </c>
      <c r="E370" s="433"/>
      <c r="F370" s="434" t="str">
        <f ca="1">IFERROR(F369*12,"")</f>
        <v/>
      </c>
      <c r="G370" s="435"/>
      <c r="H370" s="436"/>
      <c r="I370" s="432"/>
      <c r="J370" s="437" t="str">
        <f ca="1">IF(J369="","",J369*12)</f>
        <v/>
      </c>
      <c r="K370" s="1"/>
      <c r="L370" s="438" t="str">
        <f ca="1">IFERROR(L369*12,"")</f>
        <v/>
      </c>
      <c r="M370" s="436"/>
      <c r="N370" s="435"/>
      <c r="O370" s="436"/>
      <c r="P370" s="432"/>
      <c r="Q370" s="432"/>
      <c r="R370" s="437" t="str">
        <f>IF(R369="","",R369*12)</f>
        <v/>
      </c>
      <c r="T370" s="438" t="str">
        <f ca="1">IFERROR(T369*12,"")</f>
        <v/>
      </c>
      <c r="U370" s="436"/>
      <c r="V370" s="435"/>
      <c r="W370" s="436"/>
      <c r="X370" s="432"/>
      <c r="Y370" s="432"/>
      <c r="Z370" s="437" t="str">
        <f>IF(Z369="","",Z369*12)</f>
        <v/>
      </c>
    </row>
    <row r="371" spans="4:26" ht="18.75" customHeight="1">
      <c r="D371" s="177" t="s">
        <v>244</v>
      </c>
      <c r="E371" s="433"/>
      <c r="F371" s="436"/>
      <c r="G371" s="435"/>
      <c r="H371" s="436"/>
      <c r="I371" s="432"/>
      <c r="J371" s="437"/>
      <c r="K371" s="1"/>
      <c r="L371" s="434" t="str">
        <f ca="1">IFERROR(L370-F370,"")</f>
        <v/>
      </c>
      <c r="M371" s="436"/>
      <c r="N371" s="435"/>
      <c r="O371" s="436"/>
      <c r="P371" s="432"/>
      <c r="Q371" s="432"/>
      <c r="R371" s="437" t="str">
        <f ca="1">IFERROR(IF(J370="","",R370-J370),0)</f>
        <v/>
      </c>
      <c r="T371" s="434" t="str">
        <f ca="1">IFERROR(T370-F370,"")</f>
        <v/>
      </c>
      <c r="U371" s="436"/>
      <c r="V371" s="435"/>
      <c r="W371" s="436"/>
      <c r="X371" s="432"/>
      <c r="Y371" s="432"/>
      <c r="Z371" s="437" t="str">
        <f>IFERROR(IF(R370="","",Z370-R370),0)</f>
        <v/>
      </c>
    </row>
    <row r="372" spans="4:26" ht="18.75" customHeight="1" thickBot="1">
      <c r="D372" s="180" t="s">
        <v>245</v>
      </c>
      <c r="E372" s="439"/>
      <c r="F372" s="440"/>
      <c r="G372" s="441"/>
      <c r="H372" s="440"/>
      <c r="I372" s="442"/>
      <c r="J372" s="443"/>
      <c r="K372" s="1"/>
      <c r="L372" s="444" t="str">
        <f ca="1">IFERROR(L370/F370-1,"")</f>
        <v/>
      </c>
      <c r="M372" s="440"/>
      <c r="N372" s="441"/>
      <c r="O372" s="440"/>
      <c r="P372" s="445"/>
      <c r="Q372" s="445"/>
      <c r="R372" s="446" t="str">
        <f ca="1">IFERROR(IF(J370="","",(R370/J370)-1),0)</f>
        <v/>
      </c>
      <c r="T372" s="444" t="str">
        <f ca="1">IFERROR(T370/F370-1,"")</f>
        <v/>
      </c>
      <c r="U372" s="440"/>
      <c r="V372" s="441"/>
      <c r="W372" s="440"/>
      <c r="X372" s="445"/>
      <c r="Y372" s="445"/>
      <c r="Z372" s="446" t="str">
        <f>IFERROR(IF(R370="","",(Z370/R370)-1),0)</f>
        <v/>
      </c>
    </row>
    <row r="373" spans="4:26" ht="18.75" customHeight="1">
      <c r="D373" s="181" t="s">
        <v>246</v>
      </c>
      <c r="E373" s="182"/>
      <c r="F373" s="182"/>
      <c r="G373" s="182"/>
      <c r="H373" s="182"/>
      <c r="I373" s="182"/>
      <c r="J373" s="183"/>
      <c r="K373"/>
      <c r="L373" s="184"/>
      <c r="M373" s="182"/>
      <c r="N373" s="182"/>
      <c r="O373" s="182"/>
      <c r="P373" s="182"/>
      <c r="Q373" s="182"/>
      <c r="R373" s="183"/>
      <c r="T373" s="184"/>
      <c r="U373" s="182"/>
      <c r="V373" s="182"/>
      <c r="W373" s="182"/>
      <c r="X373" s="182"/>
      <c r="Y373" s="182"/>
      <c r="Z373" s="183"/>
    </row>
    <row r="374" spans="4:26" ht="18.75" customHeight="1" hidden="1">
      <c r="D374" s="185" t="s">
        <v>247</v>
      </c>
      <c r="E374" s="186"/>
      <c r="F374" s="186"/>
      <c r="G374" s="186"/>
      <c r="H374" s="186"/>
      <c r="I374" s="186"/>
      <c r="J374" s="187"/>
      <c r="K374"/>
      <c r="L374" s="188"/>
      <c r="M374" s="186"/>
      <c r="N374" s="186"/>
      <c r="O374" s="186"/>
      <c r="P374" s="186"/>
      <c r="Q374" s="186"/>
      <c r="R374" s="187"/>
      <c r="T374" s="188"/>
      <c r="U374" s="186"/>
      <c r="V374" s="186"/>
      <c r="W374" s="186"/>
      <c r="X374" s="186"/>
      <c r="Y374" s="186"/>
      <c r="Z374" s="187"/>
    </row>
    <row r="375" spans="4:26" ht="18.75" customHeight="1" hidden="1">
      <c r="D375" s="189" t="s">
        <v>248</v>
      </c>
      <c r="E375" s="190" t="e">
        <f ca="1">D364&amp;"_"&amp;D12</f>
        <v>#N/A</v>
      </c>
      <c r="F375" s="191"/>
      <c r="G375" s="191"/>
      <c r="H375" s="191"/>
      <c r="I375" s="190"/>
      <c r="J375" s="192"/>
      <c r="K375"/>
      <c r="L375" s="193" t="str">
        <f ca="1">L364&amp;"_"&amp;D12</f>
        <v>SELECT PLAN_MANAGERS</v>
      </c>
      <c r="M375" s="191"/>
      <c r="N375" s="191"/>
      <c r="O375" s="191"/>
      <c r="P375" s="190"/>
      <c r="Q375" s="191"/>
      <c r="R375" s="192"/>
      <c r="T375" s="193" t="str">
        <f>T364&amp;"_"&amp;D12</f>
        <v>SELECT PLAN_MANAGERS</v>
      </c>
      <c r="U375" s="191"/>
      <c r="V375" s="191"/>
      <c r="W375" s="191"/>
      <c r="X375" s="190"/>
      <c r="Y375" s="191"/>
      <c r="Z375" s="192"/>
    </row>
    <row r="376" spans="4:26" ht="18.75" customHeight="1" hidden="1">
      <c r="D376" s="189" t="s">
        <v>249</v>
      </c>
      <c r="E376" s="191"/>
      <c r="F376" s="191"/>
      <c r="G376" s="191"/>
      <c r="H376" s="191"/>
      <c r="I376" s="191"/>
      <c r="J376" s="192"/>
      <c r="K376"/>
      <c r="L376" s="189"/>
      <c r="M376" s="191"/>
      <c r="N376" s="191"/>
      <c r="O376" s="191"/>
      <c r="P376" s="191"/>
      <c r="Q376" s="191"/>
      <c r="R376" s="192"/>
      <c r="T376" s="189"/>
      <c r="U376" s="191"/>
      <c r="V376" s="191"/>
      <c r="W376" s="191"/>
      <c r="X376" s="191"/>
      <c r="Y376" s="191"/>
      <c r="Z376" s="192"/>
    </row>
    <row r="377" spans="4:26" ht="18.75" customHeight="1" hidden="1">
      <c r="D377" s="194" t="s">
        <v>250</v>
      </c>
      <c r="E377" s="195"/>
      <c r="F377" s="195"/>
      <c r="G377" s="195"/>
      <c r="H377" s="195"/>
      <c r="I377" s="195"/>
      <c r="J377" s="196"/>
      <c r="K377"/>
      <c r="L377" s="197"/>
      <c r="M377" s="195"/>
      <c r="N377" s="195"/>
      <c r="O377" s="195"/>
      <c r="P377" s="195"/>
      <c r="Q377" s="195"/>
      <c r="R377" s="196"/>
      <c r="T377" s="197"/>
      <c r="U377" s="195"/>
      <c r="V377" s="195"/>
      <c r="W377" s="195"/>
      <c r="X377" s="195"/>
      <c r="Y377" s="195"/>
      <c r="Z377" s="196"/>
    </row>
    <row r="378" spans="4:26" ht="18.75" customHeight="1" hidden="1">
      <c r="D378" s="198" t="s">
        <v>251</v>
      </c>
      <c r="E378" s="199" t="e">
        <f>_xlfn.XLOOKUP(E375,CurrentPlans!B:B,CurrentPlans!X:X,"NA",0,1)</f>
        <v>#N/A</v>
      </c>
      <c r="F378" s="200"/>
      <c r="G378" s="200"/>
      <c r="H378" s="200"/>
      <c r="I378" s="199"/>
      <c r="J378" s="201"/>
      <c r="K378"/>
      <c r="L378" s="202" t="str">
        <f ca="1">_xlfn.XLOOKUP(L375,RenewalPlans!B:B,RenewalPlans!AA:AA,"NA",0,1)</f>
        <v>NA</v>
      </c>
      <c r="M378" s="200"/>
      <c r="N378" s="200"/>
      <c r="O378" s="200"/>
      <c r="P378" s="199"/>
      <c r="Q378" s="200"/>
      <c r="R378" s="201"/>
      <c r="T378" s="202" t="str">
        <f>_xlfn.XLOOKUP(T375,RenewalPlans!B:B,RenewalPlans!AA:AA,"NA",0,1)</f>
        <v>NA</v>
      </c>
      <c r="U378" s="200"/>
      <c r="V378" s="200"/>
      <c r="W378" s="200"/>
      <c r="X378" s="199"/>
      <c r="Y378" s="200"/>
      <c r="Z378" s="201"/>
    </row>
    <row r="379" spans="4:26" ht="18.75" customHeight="1" hidden="1">
      <c r="D379" s="198" t="s">
        <v>252</v>
      </c>
      <c r="E379" s="199" t="e">
        <f>_xlfn.XLOOKUP(E375,CurrentPlans!B:B,CurrentPlans!Y:Y,"NA",0,1)</f>
        <v>#N/A</v>
      </c>
      <c r="F379" s="200"/>
      <c r="G379" s="200"/>
      <c r="H379" s="200"/>
      <c r="I379" s="199"/>
      <c r="J379" s="201"/>
      <c r="K379"/>
      <c r="L379" s="202" t="str">
        <f ca="1">_xlfn.XLOOKUP(L375,RenewalPlans!B:B,RenewalPlans!AB:AB,"NA",0,1)</f>
        <v>NA</v>
      </c>
      <c r="M379" s="200"/>
      <c r="N379" s="200"/>
      <c r="O379" s="200"/>
      <c r="P379" s="199"/>
      <c r="Q379" s="200"/>
      <c r="R379" s="201"/>
      <c r="T379" s="202" t="str">
        <f>_xlfn.XLOOKUP(T375,RenewalPlans!B:B,RenewalPlans!AB:AB,"NA",0,1)</f>
        <v>NA</v>
      </c>
      <c r="U379" s="200"/>
      <c r="V379" s="200"/>
      <c r="W379" s="200"/>
      <c r="X379" s="199"/>
      <c r="Y379" s="200"/>
      <c r="Z379" s="201"/>
    </row>
    <row r="380" spans="4:26" ht="18.75" customHeight="1" hidden="1">
      <c r="D380" s="120" t="s">
        <v>253</v>
      </c>
      <c r="E380" s="121" t="e">
        <f>_xlfn.XLOOKUP(E375,CurrentPlans!B:B,CurrentPlans!W:W,"NA",0,1)</f>
        <v>#N/A</v>
      </c>
      <c r="F380" s="122"/>
      <c r="G380" s="122"/>
      <c r="H380" s="122"/>
      <c r="I380" s="121"/>
      <c r="J380" s="123"/>
      <c r="K380"/>
      <c r="L380" s="124" t="str">
        <f ca="1">_xlfn.XLOOKUP(L375,RenewalPlans!B:B,RenewalPlans!Z:Z,"NA",0,1)</f>
        <v>NA</v>
      </c>
      <c r="M380" s="122"/>
      <c r="N380" s="122"/>
      <c r="O380" s="122"/>
      <c r="P380" s="121"/>
      <c r="Q380" s="122"/>
      <c r="R380" s="123"/>
      <c r="T380" s="124" t="str">
        <f>_xlfn.XLOOKUP(T375,RenewalPlans!B:B,RenewalPlans!Z:Z,"NA",0,1)</f>
        <v>NA</v>
      </c>
      <c r="U380" s="122"/>
      <c r="V380" s="122"/>
      <c r="W380" s="122"/>
      <c r="X380" s="121"/>
      <c r="Y380" s="122"/>
      <c r="Z380" s="123"/>
    </row>
    <row r="381" spans="4:26" ht="18.75" customHeight="1" hidden="1">
      <c r="D381" s="203" t="s">
        <v>254</v>
      </c>
      <c r="E381" s="204"/>
      <c r="F381" s="205"/>
      <c r="G381" s="205"/>
      <c r="H381" s="205"/>
      <c r="I381" s="204"/>
      <c r="J381" s="206"/>
      <c r="K381"/>
      <c r="L381" s="207"/>
      <c r="M381" s="205"/>
      <c r="N381" s="205"/>
      <c r="O381" s="205"/>
      <c r="P381" s="204"/>
      <c r="Q381" s="205"/>
      <c r="R381" s="206"/>
      <c r="T381" s="207"/>
      <c r="U381" s="205"/>
      <c r="V381" s="205"/>
      <c r="W381" s="205"/>
      <c r="X381" s="204"/>
      <c r="Y381" s="205"/>
      <c r="Z381" s="206"/>
    </row>
    <row r="382" spans="4:26" ht="18.75" customHeight="1" hidden="1">
      <c r="D382" s="125" t="s">
        <v>255</v>
      </c>
      <c r="E382" s="126" t="e">
        <f>_xlfn.XLOOKUP(E375,CurrentPlans!B:B,CurrentPlans!Z:Z,"NA",0,1)</f>
        <v>#N/A</v>
      </c>
      <c r="F382" s="127"/>
      <c r="G382" s="127"/>
      <c r="H382" s="127"/>
      <c r="I382" s="126"/>
      <c r="J382" s="128"/>
      <c r="K382"/>
      <c r="L382" s="129" t="str">
        <f ca="1">_xlfn.XLOOKUP(L375,RenewalPlans!B:B,RenewalPlans!AC:AC,"NA",0,1)</f>
        <v>NA</v>
      </c>
      <c r="M382" s="127"/>
      <c r="N382" s="127"/>
      <c r="O382" s="127"/>
      <c r="P382" s="126"/>
      <c r="Q382" s="127"/>
      <c r="R382" s="128"/>
      <c r="T382" s="129" t="str">
        <f>_xlfn.XLOOKUP(T375,RenewalPlans!B:B,RenewalPlans!AC:AC,"NA",0,1)</f>
        <v>NA</v>
      </c>
      <c r="U382" s="127"/>
      <c r="V382" s="127"/>
      <c r="W382" s="127"/>
      <c r="X382" s="126"/>
      <c r="Y382" s="127"/>
      <c r="Z382" s="128"/>
    </row>
    <row r="383" spans="4:26" ht="18.75" customHeight="1" hidden="1">
      <c r="D383" s="198" t="s">
        <v>256</v>
      </c>
      <c r="E383" s="208" t="e">
        <f>_xlfn.XLOOKUP(E375,CurrentPlans!B:B,CurrentPlans!AA:AA,"NA",0,1)</f>
        <v>#N/A</v>
      </c>
      <c r="F383" s="200"/>
      <c r="G383" s="200"/>
      <c r="H383" s="200"/>
      <c r="I383" s="208"/>
      <c r="J383" s="201"/>
      <c r="K383"/>
      <c r="L383" s="209" t="str">
        <f ca="1">_xlfn.XLOOKUP(L375,RenewalPlans!B:B,RenewalPlans!AD:AD,"NA",0,1)</f>
        <v>NA</v>
      </c>
      <c r="M383" s="200"/>
      <c r="N383" s="200"/>
      <c r="O383" s="200"/>
      <c r="P383" s="208"/>
      <c r="Q383" s="200"/>
      <c r="R383" s="201"/>
      <c r="T383" s="209" t="str">
        <f>_xlfn.XLOOKUP(T375,RenewalPlans!B:B,RenewalPlans!AD:AD,"NA",0,1)</f>
        <v>NA</v>
      </c>
      <c r="U383" s="200"/>
      <c r="V383" s="200"/>
      <c r="W383" s="200"/>
      <c r="X383" s="208"/>
      <c r="Y383" s="200"/>
      <c r="Z383" s="201"/>
    </row>
    <row r="384" spans="4:26" ht="18.75" customHeight="1" hidden="1">
      <c r="D384" s="203" t="s">
        <v>257</v>
      </c>
      <c r="E384" s="204"/>
      <c r="F384" s="205"/>
      <c r="G384" s="205"/>
      <c r="H384" s="205"/>
      <c r="I384" s="204"/>
      <c r="J384" s="206"/>
      <c r="K384"/>
      <c r="L384" s="207"/>
      <c r="M384" s="205"/>
      <c r="N384" s="205"/>
      <c r="O384" s="205"/>
      <c r="P384" s="204"/>
      <c r="Q384" s="205"/>
      <c r="R384" s="206"/>
      <c r="T384" s="207"/>
      <c r="U384" s="205"/>
      <c r="V384" s="205"/>
      <c r="W384" s="205"/>
      <c r="X384" s="204"/>
      <c r="Y384" s="205"/>
      <c r="Z384" s="206"/>
    </row>
    <row r="385" spans="4:26" ht="18.75" customHeight="1" hidden="1">
      <c r="D385" s="198" t="s">
        <v>258</v>
      </c>
      <c r="E385" s="208" t="e">
        <f>_xlfn.XLOOKUP(E375,CurrentPlans!B:B,CurrentPlans!AB:AB,"NA",0,1)</f>
        <v>#N/A</v>
      </c>
      <c r="F385" s="200"/>
      <c r="G385" s="200"/>
      <c r="H385" s="200"/>
      <c r="I385" s="208"/>
      <c r="J385" s="201"/>
      <c r="K385"/>
      <c r="L385" s="209" t="str">
        <f ca="1">_xlfn.XLOOKUP(L375,RenewalPlans!B:B,RenewalPlans!AE:AE,"NA",0,1)</f>
        <v>NA</v>
      </c>
      <c r="M385" s="200"/>
      <c r="N385" s="200"/>
      <c r="O385" s="200"/>
      <c r="P385" s="208"/>
      <c r="Q385" s="200"/>
      <c r="R385" s="201"/>
      <c r="T385" s="209" t="str">
        <f>_xlfn.XLOOKUP(T375,RenewalPlans!B:B,RenewalPlans!AE:AE,"NA",0,1)</f>
        <v>NA</v>
      </c>
      <c r="U385" s="200"/>
      <c r="V385" s="200"/>
      <c r="W385" s="200"/>
      <c r="X385" s="208"/>
      <c r="Y385" s="200"/>
      <c r="Z385" s="201"/>
    </row>
    <row r="386" spans="4:26" ht="18.75" customHeight="1" hidden="1">
      <c r="D386" s="198" t="s">
        <v>259</v>
      </c>
      <c r="E386" s="208" t="e">
        <f>_xlfn.XLOOKUP(E375,CurrentPlans!B:B,CurrentPlans!AC:AC,"NA",0,1)</f>
        <v>#N/A</v>
      </c>
      <c r="F386" s="200"/>
      <c r="G386" s="200"/>
      <c r="H386" s="200"/>
      <c r="I386" s="208"/>
      <c r="J386" s="201"/>
      <c r="K386"/>
      <c r="L386" s="209" t="str">
        <f ca="1">_xlfn.XLOOKUP(L375,RenewalPlans!B:B,RenewalPlans!AF:AF,"NA",0,1)</f>
        <v>NA</v>
      </c>
      <c r="M386" s="200"/>
      <c r="N386" s="200"/>
      <c r="O386" s="200"/>
      <c r="P386" s="208"/>
      <c r="Q386" s="200"/>
      <c r="R386" s="201"/>
      <c r="T386" s="209" t="str">
        <f>_xlfn.XLOOKUP(T375,RenewalPlans!B:B,RenewalPlans!AF:AF,"NA",0,1)</f>
        <v>NA</v>
      </c>
      <c r="U386" s="200"/>
      <c r="V386" s="200"/>
      <c r="W386" s="200"/>
      <c r="X386" s="208"/>
      <c r="Y386" s="200"/>
      <c r="Z386" s="201"/>
    </row>
    <row r="387" spans="4:26" ht="18.75" customHeight="1" hidden="1">
      <c r="D387" s="210"/>
      <c r="E387" s="211"/>
      <c r="F387" s="211"/>
      <c r="G387" s="211"/>
      <c r="H387" s="211"/>
      <c r="I387" s="211"/>
      <c r="J387" s="212"/>
      <c r="K387"/>
      <c r="L387" s="210"/>
      <c r="M387" s="211"/>
      <c r="N387" s="211"/>
      <c r="O387" s="211"/>
      <c r="P387" s="211"/>
      <c r="Q387" s="211"/>
      <c r="R387" s="212"/>
      <c r="T387" s="210"/>
      <c r="U387" s="211"/>
      <c r="V387" s="211"/>
      <c r="W387" s="211"/>
      <c r="X387" s="211"/>
      <c r="Y387" s="211"/>
      <c r="Z387" s="212"/>
    </row>
    <row r="388" spans="4:26" ht="18.75" customHeight="1" hidden="1">
      <c r="D388" s="185" t="s">
        <v>260</v>
      </c>
      <c r="E388" s="186"/>
      <c r="F388" s="186"/>
      <c r="G388" s="186"/>
      <c r="H388" s="186"/>
      <c r="I388" s="186"/>
      <c r="J388" s="187"/>
      <c r="K388"/>
      <c r="L388" s="188"/>
      <c r="M388" s="186"/>
      <c r="N388" s="186"/>
      <c r="O388" s="186"/>
      <c r="P388" s="186"/>
      <c r="Q388" s="186"/>
      <c r="R388" s="187"/>
      <c r="T388" s="188"/>
      <c r="U388" s="186"/>
      <c r="V388" s="186"/>
      <c r="W388" s="186"/>
      <c r="X388" s="186"/>
      <c r="Y388" s="186"/>
      <c r="Z388" s="187"/>
    </row>
    <row r="389" spans="4:26" ht="18.75" customHeight="1" hidden="1">
      <c r="D389" s="213" t="s">
        <v>261</v>
      </c>
      <c r="E389" s="130" t="e">
        <f>_xlfn.XLOOKUP(E375,CurrentPlans!B:B,CurrentPlans!AJ:AJ,"NA",0,1)</f>
        <v>#N/A</v>
      </c>
      <c r="F389" s="214"/>
      <c r="G389" s="214"/>
      <c r="H389" s="214"/>
      <c r="I389" s="130"/>
      <c r="J389" s="215"/>
      <c r="K389"/>
      <c r="L389" s="131" t="str">
        <f ca="1">_xlfn.XLOOKUP(L375,RenewalPlans!B:B,RenewalPlans!AM:AM,"NA",0,1)</f>
        <v>NA</v>
      </c>
      <c r="M389" s="214"/>
      <c r="N389" s="214"/>
      <c r="O389" s="214"/>
      <c r="P389" s="130"/>
      <c r="Q389" s="214"/>
      <c r="R389" s="215"/>
      <c r="T389" s="131" t="str">
        <f>_xlfn.XLOOKUP(T375,RenewalPlans!B:B,RenewalPlans!AM:AM,"NA",0,1)</f>
        <v>NA</v>
      </c>
      <c r="U389" s="214"/>
      <c r="V389" s="214"/>
      <c r="W389" s="214"/>
      <c r="X389" s="130"/>
      <c r="Y389" s="214"/>
      <c r="Z389" s="215"/>
    </row>
    <row r="390" spans="4:26" ht="18.75" customHeight="1" hidden="1">
      <c r="D390" s="198" t="s">
        <v>262</v>
      </c>
      <c r="E390" s="130" t="e">
        <f>_xlfn.XLOOKUP(E375,CurrentPlans!B:B,CurrentPlans!AM:AM,"NA",0,1)</f>
        <v>#N/A</v>
      </c>
      <c r="F390" s="200"/>
      <c r="G390" s="200"/>
      <c r="H390" s="200"/>
      <c r="I390" s="130"/>
      <c r="J390" s="201"/>
      <c r="K390"/>
      <c r="L390" s="131" t="str">
        <f ca="1">_xlfn.XLOOKUP(L375,RenewalPlans!B:B,RenewalPlans!AP:AP,"NA",0,1)</f>
        <v>NA</v>
      </c>
      <c r="M390" s="200"/>
      <c r="N390" s="200"/>
      <c r="O390" s="200"/>
      <c r="P390" s="130"/>
      <c r="Q390" s="200"/>
      <c r="R390" s="201"/>
      <c r="T390" s="131" t="str">
        <f>_xlfn.XLOOKUP(T375,RenewalPlans!B:B,RenewalPlans!AP:AP,"NA",0,1)</f>
        <v>NA</v>
      </c>
      <c r="U390" s="200"/>
      <c r="V390" s="200"/>
      <c r="W390" s="200"/>
      <c r="X390" s="130"/>
      <c r="Y390" s="200"/>
      <c r="Z390" s="201"/>
    </row>
    <row r="391" spans="4:26" ht="18.75" customHeight="1" hidden="1">
      <c r="D391" s="198" t="s">
        <v>263</v>
      </c>
      <c r="E391" s="130" t="e">
        <f>_xlfn.XLOOKUP(E375,CurrentPlans!B:B,CurrentPlans!AI:AI,"NA",0,1)</f>
        <v>#N/A</v>
      </c>
      <c r="F391" s="200"/>
      <c r="G391" s="200"/>
      <c r="H391" s="200"/>
      <c r="I391" s="130"/>
      <c r="J391" s="201"/>
      <c r="K391"/>
      <c r="L391" s="131" t="str">
        <f ca="1">_xlfn.XLOOKUP(L375,RenewalPlans!B:B,RenewalPlans!AL:AL,"NA",0,1)</f>
        <v>NA</v>
      </c>
      <c r="M391" s="200"/>
      <c r="N391" s="200"/>
      <c r="O391" s="200"/>
      <c r="P391" s="130"/>
      <c r="Q391" s="200"/>
      <c r="R391" s="201"/>
      <c r="T391" s="131" t="str">
        <f>_xlfn.XLOOKUP(T375,RenewalPlans!B:B,RenewalPlans!AL:AL,"NA",0,1)</f>
        <v>NA</v>
      </c>
      <c r="U391" s="200"/>
      <c r="V391" s="200"/>
      <c r="W391" s="200"/>
      <c r="X391" s="130"/>
      <c r="Y391" s="200"/>
      <c r="Z391" s="201"/>
    </row>
    <row r="392" spans="4:26" ht="18.75" customHeight="1" hidden="1">
      <c r="D392" s="198" t="s">
        <v>264</v>
      </c>
      <c r="E392" s="208" t="e">
        <f>_xlfn.XLOOKUP(E375,CurrentPlans!B:B,CurrentPlans!AN:AN,"NA",0,1)</f>
        <v>#N/A</v>
      </c>
      <c r="F392" s="200"/>
      <c r="G392" s="200"/>
      <c r="H392" s="200"/>
      <c r="I392" s="208"/>
      <c r="J392" s="201"/>
      <c r="K392"/>
      <c r="L392" s="209" t="str">
        <f ca="1">_xlfn.XLOOKUP(L375,RenewalPlans!B:B,RenewalPlans!AQ:AQ,"NA",0,1)</f>
        <v>NA</v>
      </c>
      <c r="M392" s="200"/>
      <c r="N392" s="200"/>
      <c r="O392" s="200"/>
      <c r="P392" s="208"/>
      <c r="Q392" s="200"/>
      <c r="R392" s="201"/>
      <c r="T392" s="209" t="str">
        <f>_xlfn.XLOOKUP(T375,RenewalPlans!B:B,RenewalPlans!AQ:AQ,"NA",0,1)</f>
        <v>NA</v>
      </c>
      <c r="U392" s="200"/>
      <c r="V392" s="200"/>
      <c r="W392" s="200"/>
      <c r="X392" s="208"/>
      <c r="Y392" s="200"/>
      <c r="Z392" s="201"/>
    </row>
    <row r="393" spans="4:26" ht="18.75" customHeight="1" hidden="1">
      <c r="D393" s="210"/>
      <c r="E393" s="211"/>
      <c r="F393" s="211"/>
      <c r="G393" s="211"/>
      <c r="H393" s="211"/>
      <c r="I393" s="211"/>
      <c r="J393" s="212"/>
      <c r="K393"/>
      <c r="L393" s="210"/>
      <c r="M393" s="211"/>
      <c r="N393" s="211"/>
      <c r="O393" s="211"/>
      <c r="P393" s="211"/>
      <c r="Q393" s="211"/>
      <c r="R393" s="212"/>
      <c r="T393" s="210"/>
      <c r="U393" s="211"/>
      <c r="V393" s="211"/>
      <c r="W393" s="211"/>
      <c r="X393" s="211"/>
      <c r="Y393" s="211"/>
      <c r="Z393" s="212"/>
    </row>
    <row r="394" spans="4:26" ht="18.75" customHeight="1" hidden="1">
      <c r="D394" s="185" t="s">
        <v>265</v>
      </c>
      <c r="E394" s="186"/>
      <c r="F394" s="186"/>
      <c r="G394" s="186"/>
      <c r="H394" s="186"/>
      <c r="I394" s="186"/>
      <c r="J394" s="187"/>
      <c r="K394"/>
      <c r="L394" s="188"/>
      <c r="M394" s="186"/>
      <c r="N394" s="186"/>
      <c r="O394" s="186"/>
      <c r="P394" s="186"/>
      <c r="Q394" s="186"/>
      <c r="R394" s="187"/>
      <c r="T394" s="188"/>
      <c r="U394" s="186"/>
      <c r="V394" s="186"/>
      <c r="W394" s="186"/>
      <c r="X394" s="186"/>
      <c r="Y394" s="186"/>
      <c r="Z394" s="187"/>
    </row>
    <row r="395" spans="4:26" ht="18.75" customHeight="1" hidden="1">
      <c r="D395" s="132" t="s">
        <v>266</v>
      </c>
      <c r="E395" s="133" t="e">
        <f>_xlfn.XLOOKUP(E375,CurrentPlans!B:B,CurrentPlans!AE:AE,"NA",0,1)</f>
        <v>#N/A</v>
      </c>
      <c r="F395" s="134"/>
      <c r="G395" s="134"/>
      <c r="H395" s="134"/>
      <c r="I395" s="133"/>
      <c r="J395" s="135"/>
      <c r="K395"/>
      <c r="L395" s="136" t="str">
        <f ca="1">_xlfn.XLOOKUP(L375,RenewalPlans!B:B,RenewalPlans!AH:AH,"NA",0,1)</f>
        <v>NA</v>
      </c>
      <c r="M395" s="134"/>
      <c r="N395" s="134"/>
      <c r="O395" s="134"/>
      <c r="P395" s="133"/>
      <c r="Q395" s="134"/>
      <c r="R395" s="135"/>
      <c r="T395" s="136" t="str">
        <f>_xlfn.XLOOKUP(T375,RenewalPlans!B:B,RenewalPlans!AH:AH,"NA",0,1)</f>
        <v>NA</v>
      </c>
      <c r="U395" s="134"/>
      <c r="V395" s="134"/>
      <c r="W395" s="134"/>
      <c r="X395" s="133"/>
      <c r="Y395" s="134"/>
      <c r="Z395" s="135"/>
    </row>
    <row r="396" spans="4:26" ht="18.75" customHeight="1" hidden="1">
      <c r="D396" s="120" t="s">
        <v>267</v>
      </c>
      <c r="E396" s="130" t="e">
        <f>_xlfn.XLOOKUP(E375,CurrentPlans!B:B,CurrentPlans!AF:AF,"NA",0,1)</f>
        <v>#N/A</v>
      </c>
      <c r="F396" s="122"/>
      <c r="G396" s="122"/>
      <c r="H396" s="122"/>
      <c r="I396" s="130"/>
      <c r="J396" s="123"/>
      <c r="K396"/>
      <c r="L396" s="131" t="str">
        <f ca="1">_xlfn.XLOOKUP(L375,RenewalPlans!B:B,RenewalPlans!AI:AI,"NA",0,1)</f>
        <v>NA</v>
      </c>
      <c r="M396" s="122"/>
      <c r="N396" s="122"/>
      <c r="O396" s="122"/>
      <c r="P396" s="130"/>
      <c r="Q396" s="122"/>
      <c r="R396" s="123"/>
      <c r="T396" s="131" t="str">
        <f>_xlfn.XLOOKUP(T375,RenewalPlans!B:B,RenewalPlans!AI:AI,"NA",0,1)</f>
        <v>NA</v>
      </c>
      <c r="U396" s="122"/>
      <c r="V396" s="122"/>
      <c r="W396" s="122"/>
      <c r="X396" s="130"/>
      <c r="Y396" s="122"/>
      <c r="Z396" s="123"/>
    </row>
    <row r="397" spans="4:26" ht="18.75" customHeight="1" hidden="1">
      <c r="D397" s="198" t="s">
        <v>268</v>
      </c>
      <c r="E397" s="130" t="e">
        <f>_xlfn.XLOOKUP(E375,CurrentPlans!B:B,CurrentPlans!AH:AH,"NA",0,1)</f>
        <v>#N/A</v>
      </c>
      <c r="F397" s="200"/>
      <c r="G397" s="200"/>
      <c r="H397" s="200"/>
      <c r="I397" s="130"/>
      <c r="J397" s="201"/>
      <c r="K397"/>
      <c r="L397" s="131" t="str">
        <f ca="1">_xlfn.XLOOKUP(L375,RenewalPlans!B:B,RenewalPlans!AK:AK,"NA",0,1)</f>
        <v>NA</v>
      </c>
      <c r="M397" s="200"/>
      <c r="N397" s="200"/>
      <c r="O397" s="200"/>
      <c r="P397" s="130"/>
      <c r="Q397" s="200"/>
      <c r="R397" s="201"/>
      <c r="T397" s="131" t="str">
        <f>_xlfn.XLOOKUP(T375,RenewalPlans!B:B,RenewalPlans!AK:AK,"NA",0,1)</f>
        <v>NA</v>
      </c>
      <c r="U397" s="200"/>
      <c r="V397" s="200"/>
      <c r="W397" s="200"/>
      <c r="X397" s="130"/>
      <c r="Y397" s="200"/>
      <c r="Z397" s="201"/>
    </row>
    <row r="398" spans="4:26" ht="18.75" customHeight="1" hidden="1">
      <c r="D398" s="198" t="s">
        <v>269</v>
      </c>
      <c r="E398" s="130" t="e">
        <f>_xlfn.XLOOKUP(E375,CurrentPlans!B:B,CurrentPlans!AG:AG,"NA",0,1)</f>
        <v>#N/A</v>
      </c>
      <c r="F398" s="200"/>
      <c r="G398" s="200"/>
      <c r="H398" s="200"/>
      <c r="I398" s="130"/>
      <c r="J398" s="201"/>
      <c r="K398"/>
      <c r="L398" s="131" t="str">
        <f ca="1">_xlfn.XLOOKUP(L375,RenewalPlans!B:B,RenewalPlans!AJ:AJ,"NA",0,1)</f>
        <v>NA</v>
      </c>
      <c r="M398" s="200"/>
      <c r="N398" s="200"/>
      <c r="O398" s="200"/>
      <c r="P398" s="130"/>
      <c r="Q398" s="200"/>
      <c r="R398" s="201"/>
      <c r="T398" s="131" t="str">
        <f>_xlfn.XLOOKUP(T375,RenewalPlans!B:B,RenewalPlans!AJ:AJ,"NA",0,1)</f>
        <v>NA</v>
      </c>
      <c r="U398" s="200"/>
      <c r="V398" s="200"/>
      <c r="W398" s="200"/>
      <c r="X398" s="130"/>
      <c r="Y398" s="200"/>
      <c r="Z398" s="201"/>
    </row>
    <row r="399" spans="4:26" ht="18.75" customHeight="1" hidden="1">
      <c r="D399" s="213" t="s">
        <v>270</v>
      </c>
      <c r="E399" s="216" t="e">
        <f>_xlfn.XLOOKUP(E375,CurrentPlans!B:B,CurrentPlans!AU:AU,"NA",0,1)</f>
        <v>#N/A</v>
      </c>
      <c r="F399" s="214"/>
      <c r="G399" s="214"/>
      <c r="H399" s="214"/>
      <c r="I399" s="217"/>
      <c r="J399" s="215"/>
      <c r="K399"/>
      <c r="L399" s="218" t="str">
        <f ca="1">_xlfn.XLOOKUP(L375,RenewalPlans!B:B,RenewalPlans!AX:AX,"NA",0,1)</f>
        <v>NA</v>
      </c>
      <c r="M399" s="214"/>
      <c r="N399" s="214"/>
      <c r="O399" s="214"/>
      <c r="P399" s="217"/>
      <c r="Q399" s="214"/>
      <c r="R399" s="215"/>
      <c r="T399" s="218" t="str">
        <f>_xlfn.XLOOKUP(T375,RenewalPlans!B:B,RenewalPlans!AX:AX,"NA",0,1)</f>
        <v>NA</v>
      </c>
      <c r="U399" s="214"/>
      <c r="V399" s="214"/>
      <c r="W399" s="214"/>
      <c r="X399" s="217"/>
      <c r="Y399" s="214"/>
      <c r="Z399" s="215"/>
    </row>
    <row r="400" spans="4:26" ht="18.75" customHeight="1" hidden="1">
      <c r="D400" s="213" t="s">
        <v>271</v>
      </c>
      <c r="E400" s="216" t="e">
        <f>_xlfn.XLOOKUP(E375,CurrentPlans!B:B,CurrentPlans!AT:AT,"NA",0,1)</f>
        <v>#N/A</v>
      </c>
      <c r="F400" s="214"/>
      <c r="G400" s="214"/>
      <c r="H400" s="214"/>
      <c r="I400" s="217"/>
      <c r="J400" s="215"/>
      <c r="K400"/>
      <c r="L400" s="218" t="str">
        <f ca="1">_xlfn.XLOOKUP(L375,RenewalPlans!B:B,RenewalPlans!AW:AW,"NA",0,1)</f>
        <v>NA</v>
      </c>
      <c r="M400" s="214"/>
      <c r="N400" s="214"/>
      <c r="O400" s="214"/>
      <c r="P400" s="217"/>
      <c r="Q400" s="214"/>
      <c r="R400" s="215"/>
      <c r="T400" s="218" t="str">
        <f>_xlfn.XLOOKUP(T375,RenewalPlans!B:B,RenewalPlans!AW:AW,"NA",0,1)</f>
        <v>NA</v>
      </c>
      <c r="U400" s="214"/>
      <c r="V400" s="214"/>
      <c r="W400" s="214"/>
      <c r="X400" s="217"/>
      <c r="Y400" s="214"/>
      <c r="Z400" s="215"/>
    </row>
    <row r="401" spans="4:26" ht="18.75" customHeight="1" hidden="1">
      <c r="D401" s="198" t="s">
        <v>272</v>
      </c>
      <c r="E401" s="130" t="e">
        <f>_xlfn.XLOOKUP(E375,CurrentPlans!B:B,CurrentPlans!AD:AD,"NA",0,1)</f>
        <v>#N/A</v>
      </c>
      <c r="F401" s="200"/>
      <c r="G401" s="200"/>
      <c r="H401" s="200"/>
      <c r="I401" s="130"/>
      <c r="J401" s="201"/>
      <c r="K401"/>
      <c r="L401" s="131" t="str">
        <f ca="1">_xlfn.XLOOKUP(L375,RenewalPlans!B:B,RenewalPlans!AG:AG,"NA",0,1)</f>
        <v>NA</v>
      </c>
      <c r="M401" s="200"/>
      <c r="N401" s="200"/>
      <c r="O401" s="200"/>
      <c r="P401" s="130"/>
      <c r="Q401" s="200"/>
      <c r="R401" s="201"/>
      <c r="T401" s="131" t="str">
        <f>_xlfn.XLOOKUP(T375,RenewalPlans!B:B,RenewalPlans!AG:AG,"NA",0,1)</f>
        <v>NA</v>
      </c>
      <c r="U401" s="200"/>
      <c r="V401" s="200"/>
      <c r="W401" s="200"/>
      <c r="X401" s="130"/>
      <c r="Y401" s="200"/>
      <c r="Z401" s="201"/>
    </row>
    <row r="402" spans="4:26" ht="18.75" customHeight="1" hidden="1">
      <c r="D402" s="198" t="s">
        <v>273</v>
      </c>
      <c r="E402" s="200"/>
      <c r="F402" s="200"/>
      <c r="G402" s="200"/>
      <c r="H402" s="200"/>
      <c r="I402" s="200"/>
      <c r="J402" s="201"/>
      <c r="K402"/>
      <c r="L402" s="198"/>
      <c r="M402" s="200"/>
      <c r="N402" s="200"/>
      <c r="O402" s="200"/>
      <c r="P402" s="200"/>
      <c r="Q402" s="200"/>
      <c r="R402" s="201"/>
      <c r="T402" s="198"/>
      <c r="U402" s="200"/>
      <c r="V402" s="200"/>
      <c r="W402" s="200"/>
      <c r="X402" s="200"/>
      <c r="Y402" s="200"/>
      <c r="Z402" s="201"/>
    </row>
    <row r="403" spans="4:26" ht="18.75" customHeight="1" hidden="1">
      <c r="D403" s="210"/>
      <c r="E403" s="211"/>
      <c r="F403" s="211"/>
      <c r="G403" s="211"/>
      <c r="H403" s="211"/>
      <c r="I403" s="211"/>
      <c r="J403" s="212"/>
      <c r="K403"/>
      <c r="L403" s="210"/>
      <c r="M403" s="211"/>
      <c r="N403" s="211"/>
      <c r="O403" s="211"/>
      <c r="P403" s="211"/>
      <c r="Q403" s="211"/>
      <c r="R403" s="212"/>
      <c r="T403" s="210"/>
      <c r="U403" s="211"/>
      <c r="V403" s="211"/>
      <c r="W403" s="211"/>
      <c r="X403" s="211"/>
      <c r="Y403" s="211"/>
      <c r="Z403" s="212"/>
    </row>
    <row r="404" spans="4:26" ht="18.75" customHeight="1" hidden="1">
      <c r="D404" s="219" t="s">
        <v>274</v>
      </c>
      <c r="E404" s="220"/>
      <c r="F404" s="220"/>
      <c r="G404" s="220"/>
      <c r="H404" s="220"/>
      <c r="I404" s="220"/>
      <c r="J404" s="221"/>
      <c r="K404"/>
      <c r="L404" s="222"/>
      <c r="M404" s="220"/>
      <c r="N404" s="220"/>
      <c r="O404" s="220"/>
      <c r="P404" s="220"/>
      <c r="Q404" s="220"/>
      <c r="R404" s="221"/>
      <c r="T404" s="222"/>
      <c r="U404" s="220"/>
      <c r="V404" s="220"/>
      <c r="W404" s="220"/>
      <c r="X404" s="220"/>
      <c r="Y404" s="220"/>
      <c r="Z404" s="221"/>
    </row>
    <row r="405" spans="4:26" ht="18.75" customHeight="1" hidden="1">
      <c r="D405" s="223" t="s">
        <v>250</v>
      </c>
      <c r="E405" s="205"/>
      <c r="F405" s="205"/>
      <c r="G405" s="205"/>
      <c r="H405" s="205"/>
      <c r="I405" s="205"/>
      <c r="J405" s="206"/>
      <c r="K405"/>
      <c r="L405" s="203"/>
      <c r="M405" s="205"/>
      <c r="N405" s="205"/>
      <c r="O405" s="205"/>
      <c r="P405" s="205"/>
      <c r="Q405" s="205"/>
      <c r="R405" s="206"/>
      <c r="T405" s="203"/>
      <c r="U405" s="205"/>
      <c r="V405" s="205"/>
      <c r="W405" s="205"/>
      <c r="X405" s="205"/>
      <c r="Y405" s="205"/>
      <c r="Z405" s="206"/>
    </row>
    <row r="406" spans="4:26" ht="18.75" customHeight="1" hidden="1">
      <c r="D406" s="198" t="s">
        <v>251</v>
      </c>
      <c r="E406" s="130" t="e">
        <f>_xlfn.XLOOKUP(E375,CurrentPlans!B:B,CurrentPlans!AP:AP,"NA",0,1)</f>
        <v>#N/A</v>
      </c>
      <c r="F406" s="200"/>
      <c r="G406" s="200"/>
      <c r="H406" s="200"/>
      <c r="I406" s="130"/>
      <c r="J406" s="201"/>
      <c r="K406"/>
      <c r="L406" s="131" t="str">
        <f ca="1">_xlfn.XLOOKUP(L375,RenewalPlans!B:B,RenewalPlans!AS:AS,"NA",0,1)</f>
        <v>NA</v>
      </c>
      <c r="M406" s="200"/>
      <c r="N406" s="200"/>
      <c r="O406" s="200"/>
      <c r="P406" s="130"/>
      <c r="Q406" s="200"/>
      <c r="R406" s="201"/>
      <c r="T406" s="131" t="str">
        <f>_xlfn.XLOOKUP(T375,RenewalPlans!B:B,RenewalPlans!AS:AS,"NA",0,1)</f>
        <v>NA</v>
      </c>
      <c r="U406" s="200"/>
      <c r="V406" s="200"/>
      <c r="W406" s="200"/>
      <c r="X406" s="130"/>
      <c r="Y406" s="200"/>
      <c r="Z406" s="201"/>
    </row>
    <row r="407" spans="4:26" ht="18.75" customHeight="1" hidden="1">
      <c r="D407" s="198" t="s">
        <v>252</v>
      </c>
      <c r="E407" s="130" t="e">
        <f>_xlfn.XLOOKUP(E375,CurrentPlans!B:B,CurrentPlans!AQ:AQ,"NA",0,1)</f>
        <v>#N/A</v>
      </c>
      <c r="F407" s="200"/>
      <c r="G407" s="200"/>
      <c r="H407" s="200"/>
      <c r="I407" s="130"/>
      <c r="J407" s="201"/>
      <c r="K407"/>
      <c r="L407" s="131" t="str">
        <f ca="1">_xlfn.XLOOKUP(L375,RenewalPlans!B:B,RenewalPlans!AT:AT,"NA",0,1)</f>
        <v>NA</v>
      </c>
      <c r="M407" s="200"/>
      <c r="N407" s="200"/>
      <c r="O407" s="200"/>
      <c r="P407" s="130"/>
      <c r="Q407" s="200"/>
      <c r="R407" s="201"/>
      <c r="T407" s="131" t="str">
        <f>_xlfn.XLOOKUP(T375,RenewalPlans!B:B,RenewalPlans!AT:AT,"NA",0,1)</f>
        <v>NA</v>
      </c>
      <c r="U407" s="200"/>
      <c r="V407" s="200"/>
      <c r="W407" s="200"/>
      <c r="X407" s="130"/>
      <c r="Y407" s="200"/>
      <c r="Z407" s="201"/>
    </row>
    <row r="408" spans="4:26" ht="18.75" customHeight="1" hidden="1">
      <c r="D408" s="120" t="s">
        <v>253</v>
      </c>
      <c r="E408" s="133" t="e">
        <f>_xlfn.XLOOKUP(E375,CurrentPlans!B:B,CurrentPlans!AO:AO,"NA",0,1)</f>
        <v>#N/A</v>
      </c>
      <c r="F408" s="122"/>
      <c r="G408" s="122"/>
      <c r="H408" s="122"/>
      <c r="I408" s="133"/>
      <c r="J408" s="123"/>
      <c r="K408"/>
      <c r="L408" s="136" t="str">
        <f ca="1">_xlfn.XLOOKUP(L375,RenewalPlans!B:B,RenewalPlans!AR:AR,"NA",0,1)</f>
        <v>NA</v>
      </c>
      <c r="M408" s="122"/>
      <c r="N408" s="122"/>
      <c r="O408" s="122"/>
      <c r="P408" s="133"/>
      <c r="Q408" s="122"/>
      <c r="R408" s="123"/>
      <c r="T408" s="136" t="str">
        <f>_xlfn.XLOOKUP(T375,RenewalPlans!B:B,RenewalPlans!AR:AR,"NA",0,1)</f>
        <v>NA</v>
      </c>
      <c r="U408" s="122"/>
      <c r="V408" s="122"/>
      <c r="W408" s="122"/>
      <c r="X408" s="133"/>
      <c r="Y408" s="122"/>
      <c r="Z408" s="123"/>
    </row>
    <row r="409" spans="4:26" ht="18.75" customHeight="1" hidden="1">
      <c r="D409" s="223" t="s">
        <v>254</v>
      </c>
      <c r="E409" s="205"/>
      <c r="F409" s="205"/>
      <c r="G409" s="205"/>
      <c r="H409" s="205"/>
      <c r="I409" s="205"/>
      <c r="J409" s="206"/>
      <c r="K409"/>
      <c r="L409" s="203"/>
      <c r="M409" s="205"/>
      <c r="N409" s="205"/>
      <c r="O409" s="205"/>
      <c r="P409" s="205"/>
      <c r="Q409" s="205"/>
      <c r="R409" s="206"/>
      <c r="T409" s="203"/>
      <c r="U409" s="205"/>
      <c r="V409" s="205"/>
      <c r="W409" s="205"/>
      <c r="X409" s="205"/>
      <c r="Y409" s="205"/>
      <c r="Z409" s="206"/>
    </row>
    <row r="410" spans="4:26" ht="18.75" customHeight="1" hidden="1">
      <c r="D410" s="198" t="s">
        <v>255</v>
      </c>
      <c r="E410" s="130" t="e">
        <f>_xlfn.XLOOKUP(E375,CurrentPlans!B:B,CurrentPlans!AR:AR,"NA",0,1)</f>
        <v>#N/A</v>
      </c>
      <c r="F410" s="200"/>
      <c r="G410" s="200"/>
      <c r="H410" s="200"/>
      <c r="I410" s="130"/>
      <c r="J410" s="201"/>
      <c r="K410"/>
      <c r="L410" s="131" t="str">
        <f ca="1">_xlfn.XLOOKUP(L375,RenewalPlans!B:B,RenewalPlans!AU:AU,"NA",0,1)</f>
        <v>NA</v>
      </c>
      <c r="M410" s="200"/>
      <c r="N410" s="200"/>
      <c r="O410" s="200"/>
      <c r="P410" s="130"/>
      <c r="Q410" s="200"/>
      <c r="R410" s="201"/>
      <c r="T410" s="131" t="str">
        <f>_xlfn.XLOOKUP(T375,RenewalPlans!B:B,RenewalPlans!AU:AU,"NA",0,1)</f>
        <v>NA</v>
      </c>
      <c r="U410" s="200"/>
      <c r="V410" s="200"/>
      <c r="W410" s="200"/>
      <c r="X410" s="130"/>
      <c r="Y410" s="200"/>
      <c r="Z410" s="201"/>
    </row>
    <row r="411" spans="4:26" ht="18.75" customHeight="1" hidden="1" thickBot="1">
      <c r="D411" s="224" t="s">
        <v>256</v>
      </c>
      <c r="E411" s="137" t="e">
        <f>_xlfn.XLOOKUP(E375,CurrentPlans!B:B,CurrentPlans!AS:AS,"NA",0,1)</f>
        <v>#N/A</v>
      </c>
      <c r="F411" s="225"/>
      <c r="G411" s="225"/>
      <c r="H411" s="225"/>
      <c r="I411" s="137"/>
      <c r="J411" s="226"/>
      <c r="K411"/>
      <c r="L411" s="138" t="str">
        <f ca="1">_xlfn.XLOOKUP(L375,RenewalPlans!B:B,RenewalPlans!AV:AV,"NA",0,1)</f>
        <v>NA</v>
      </c>
      <c r="M411" s="225"/>
      <c r="N411" s="225"/>
      <c r="O411" s="225"/>
      <c r="P411" s="137"/>
      <c r="Q411" s="225"/>
      <c r="R411" s="226"/>
      <c r="T411" s="138" t="str">
        <f>_xlfn.XLOOKUP(T375,RenewalPlans!B:B,RenewalPlans!AV:AV,"NA",0,1)</f>
        <v>NA</v>
      </c>
      <c r="U411" s="225"/>
      <c r="V411" s="225"/>
      <c r="W411" s="225"/>
      <c r="X411" s="137"/>
      <c r="Y411" s="225"/>
      <c r="Z411" s="226"/>
    </row>
    <row r="412" spans="4:26" ht="18.75" customHeight="1">
      <c r="D412" s="227"/>
      <c r="E412" s="176"/>
      <c r="F412" s="178"/>
      <c r="G412" s="179"/>
      <c r="H412" s="178"/>
      <c r="I412" s="176"/>
      <c r="J412" s="228"/>
      <c r="K412"/>
      <c r="L412" s="178"/>
      <c r="M412" s="176"/>
      <c r="N412" s="139"/>
      <c r="O412" s="178"/>
      <c r="P412" s="178"/>
      <c r="Q412" s="178"/>
      <c r="R412" s="228"/>
      <c r="T412" s="178"/>
      <c r="U412" s="176"/>
      <c r="V412" s="139"/>
      <c r="W412" s="178"/>
      <c r="X412" s="178"/>
      <c r="Y412" s="178"/>
      <c r="Z412" s="228"/>
    </row>
    <row r="413" spans="4:26" ht="5.25" customHeight="1" thickBot="1">
      <c r="D413" s="229"/>
      <c r="E413" s="229"/>
      <c r="F413" s="230"/>
      <c r="G413" s="231"/>
      <c r="H413" s="232"/>
      <c r="I413" s="233"/>
      <c r="J413" s="233"/>
      <c r="K413"/>
      <c r="L413" s="233"/>
      <c r="M413" s="233"/>
      <c r="N413" s="233"/>
      <c r="O413" s="233"/>
      <c r="P413" s="233"/>
      <c r="Q413" s="233"/>
      <c r="R413" s="233"/>
      <c r="T413" s="233"/>
      <c r="U413" s="233"/>
      <c r="V413" s="233"/>
      <c r="W413" s="233"/>
      <c r="X413" s="233"/>
      <c r="Y413" s="233"/>
      <c r="Z413" s="233"/>
    </row>
    <row r="414" spans="1:26" ht="50.15" customHeight="1">
      <c r="A414" s="140">
        <v>9</v>
      </c>
      <c r="B414" s="140" cm="1">
        <f t="array" ref="B414">IF(A414&gt;Class1_CurrentHealthCount,"DELETE",Class1_CurrentHealthStart+A414)</f>
        <v>13</v>
      </c>
      <c r="C414" s="164" t="s">
        <v>282</v>
      </c>
      <c r="D414" s="273" t="e">
        <f ca="1">IF(B414="Delete","",VLOOKUP(F414,BEGIN_CURRENT_HEALTH:END_CURRENT_HEALTH,3,FALSE))</f>
        <v>#N/A</v>
      </c>
      <c r="E414" s="165"/>
      <c r="F414" s="272" t="str" cm="1">
        <f t="array" ca="1" aca="1" ref="F414">IF(B414="Delete","",INDIRECT("CurrentPlans!A"&amp;B414,TRUE))</f>
        <v>PrimaryKey</v>
      </c>
      <c r="G414" s="166"/>
      <c r="H414" s="167"/>
      <c r="I414" s="168"/>
      <c r="J414" s="169"/>
      <c r="K414"/>
      <c r="L414" s="274" t="str">
        <f ca="1">_xlfn.IFNA(VLOOKUP(F414,BEGIN_RENEWEDFROM_HEALTH:ROW_RenewHealth_PlanID,3,FALSE),"SELECT PLAN")</f>
        <v>SELECT PLAN</v>
      </c>
      <c r="M414" s="170"/>
      <c r="N414" s="274" t="s">
        <v>237</v>
      </c>
      <c r="O414" s="171"/>
      <c r="P414" s="171"/>
      <c r="Q414" s="171"/>
      <c r="R414" s="169"/>
      <c r="T414" s="274" t="s">
        <v>38</v>
      </c>
      <c r="U414" s="170"/>
      <c r="V414" s="274" t="s">
        <v>237</v>
      </c>
      <c r="W414" s="171"/>
      <c r="X414" s="171"/>
      <c r="Y414" s="171"/>
      <c r="Z414" s="169"/>
    </row>
    <row r="415" spans="4:26" ht="18.75" customHeight="1">
      <c r="D415" s="172" t="s">
        <v>238</v>
      </c>
      <c r="E415" s="407" t="str">
        <f ca="1">_xlfn.IFNA(VLOOKUP(F414,BEGIN_CURRENT_HEALTH:END_CURRENT_HEALTH,CURRENT_COL_EO_count,FALSE),"")</f>
        <v/>
      </c>
      <c r="F415" s="408" t="str">
        <f ca="1">_xlfn.IFNA(VLOOKUP(F414,BEGIN_CURRENT_HEALTH:END_CURRENT_HEALTH,CURRENT_COL_EO,FALSE),"")</f>
        <v/>
      </c>
      <c r="G415" s="468" t="str">
        <f ca="1" t="shared" si="42" ref="G415:G418">IF(F415="","",H415/F415)</f>
        <v/>
      </c>
      <c r="H415" s="408" t="str">
        <f ca="1">_xlfn.IFNA(VLOOKUP(F414,BEGIN_CURRENT_HEALTH:END_CURRENT_HEALTH,CURRENT_COL_EOContrib,FALSE),"")</f>
        <v/>
      </c>
      <c r="I415" s="409" t="str">
        <f ca="1">IFERROR(F415-H415,"")</f>
        <v/>
      </c>
      <c r="J415" s="410" t="str">
        <f ca="1">IF(F415="","",H415*E415)</f>
        <v/>
      </c>
      <c r="K415" s="411"/>
      <c r="L415" s="408" t="str" cm="1">
        <f t="array" ca="1" aca="1" ref="L415">_xlfn.IFNA(VLOOKUP(INDIRECT("L"&amp;ROW()-1)&amp;"_"&amp;$D$12,BEGIN_RENEW_HEALTH:END_RENEW_HEALTH,RENEW_COL_EO,FALSE),"")</f>
        <v/>
      </c>
      <c r="M415" s="412" t="str">
        <f ca="1">IF(E415="","",E415)</f>
        <v/>
      </c>
      <c r="N415" s="413"/>
      <c r="O415" s="414"/>
      <c r="P415" s="415" t="str">
        <f>IFERROR(IF($N414="Keep Contribution Same",H415,IF($N414="Enter Percentages",IF(N415="","",N415*L415),IF($N414="Keep Percentage Same",IF(G415="","",G415*L415),IF($N414="Enter Dollar Amount",IF(O415="","",O415),"")))),"")</f>
        <v/>
      </c>
      <c r="Q415" s="408" t="str">
        <f ca="1">IFERROR(L415-P415,"")</f>
        <v/>
      </c>
      <c r="R415" s="410" t="str">
        <f>IFERROR(IF(P415="","",M415*P415),"")</f>
        <v/>
      </c>
      <c r="S415" s="411"/>
      <c r="T415" s="408" t="str" cm="1">
        <f t="array" ca="1" aca="1" ref="T415">_xlfn.IFNA(VLOOKUP(INDIRECT("T"&amp;ROW()-1)&amp;"_"&amp;$D$12,BEGIN_RENEW_HEALTH:END_RENEW_HEALTH,RENEW_COL_EO,FALSE),"")</f>
        <v/>
      </c>
      <c r="U415" s="412" t="str">
        <f ca="1">IF(E415="","",E415)</f>
        <v/>
      </c>
      <c r="V415" s="413"/>
      <c r="W415" s="414"/>
      <c r="X415" s="415" t="str">
        <f>IFERROR(IF($V414="Keep Contribution Same",H415,IF($V414="Enter Percentages",IF(V415="","",V415*T415),IF($V414="Keep Percentage Same",IF(G415="","",G415*T415),IF($V414="Enter Dollar Amount",IF(W415="","",W415),"")))),"")</f>
        <v/>
      </c>
      <c r="Y415" s="408" t="str">
        <f ca="1">IFERROR(T415-X415,"")</f>
        <v/>
      </c>
      <c r="Z415" s="410" t="str">
        <f>IFERROR(IF(X415="","",U415*X415),"")</f>
        <v/>
      </c>
    </row>
    <row r="416" spans="4:26" ht="18.75" customHeight="1">
      <c r="D416" s="172" t="s">
        <v>239</v>
      </c>
      <c r="E416" s="407" t="str">
        <f ca="1">_xlfn.IFNA(VLOOKUP(F414,BEGIN_CURRENT_HEALTH:END_CURRENT_HEALTH,CURRENT_COL_ES_count,FALSE),"")</f>
        <v/>
      </c>
      <c r="F416" s="408" t="str">
        <f ca="1">_xlfn.IFNA(VLOOKUP(F414,BEGIN_CURRENT_HEALTH:END_CURRENT_HEALTH,CURRENT_COL_ES,FALSE),"")</f>
        <v/>
      </c>
      <c r="G416" s="468" t="str">
        <f t="shared" ca="1" si="42"/>
        <v/>
      </c>
      <c r="H416" s="408" t="str">
        <f ca="1">_xlfn.IFNA(VLOOKUP(F414,BEGIN_CURRENT_HEALTH:END_CURRENT_HEALTH,CURRENT_COL_ESContrib,FALSE),"")</f>
        <v/>
      </c>
      <c r="I416" s="409" t="str">
        <f ca="1" t="shared" si="43" ref="I416:I418">IFERROR(F416-H416,"")</f>
        <v/>
      </c>
      <c r="J416" s="410" t="str">
        <f ca="1">IF(F416="","",H416*E416)</f>
        <v/>
      </c>
      <c r="K416" s="411"/>
      <c r="L416" s="408" t="str" cm="1">
        <f t="array" ca="1" aca="1" ref="L416">_xlfn.IFNA(VLOOKUP(INDIRECT("L"&amp;ROW()-2)&amp;"_"&amp;$D$12,BEGIN_RENEW_HEALTH:END_RENEW_HEALTH,RENEW_COL_ES,FALSE),"")</f>
        <v/>
      </c>
      <c r="M416" s="412" t="str">
        <f ca="1">IF(E416="","",E416)</f>
        <v/>
      </c>
      <c r="N416" s="413"/>
      <c r="O416" s="414"/>
      <c r="P416" s="415" t="str">
        <f>IFERROR(IF($N414="Keep Contribution Same",H416,IF($N414="Enter Percentages",IF(N416="","",N416*L416),IF($N414="Keep Percentage Same",IF(G416="","",G416*L416),IF($N414="Enter Dollar Amount",IF(O416="","",O416),"")))),"")</f>
        <v/>
      </c>
      <c r="Q416" s="408" t="str">
        <f ca="1">IFERROR(L416-P416,"")</f>
        <v/>
      </c>
      <c r="R416" s="410" t="str">
        <f>IFERROR(IF(P416="","",M416*P416),"")</f>
        <v/>
      </c>
      <c r="S416" s="411"/>
      <c r="T416" s="408" t="str" cm="1">
        <f t="array" ca="1" aca="1" ref="T416">_xlfn.IFNA(VLOOKUP(INDIRECT("T"&amp;ROW()-2)&amp;"_"&amp;$D$12,BEGIN_RENEW_HEALTH:END_RENEW_HEALTH,RENEW_COL_ES,FALSE),"")</f>
        <v/>
      </c>
      <c r="U416" s="412" t="str">
        <f ca="1" t="shared" si="44" ref="U416:U418">IF(E416="","",E416)</f>
        <v/>
      </c>
      <c r="V416" s="413"/>
      <c r="W416" s="414"/>
      <c r="X416" s="415" t="str">
        <f>IFERROR(IF($V414="Keep Contribution Same",H416,IF($V414="Enter Percentages",IF(V416="","",V416*T416),IF($V414="Keep Percentage Same",IF(G416="","",G416*T416),IF($V414="Enter Dollar Amount",IF(W416="","",W416),"")))),"")</f>
        <v/>
      </c>
      <c r="Y416" s="408" t="str">
        <f ca="1" t="shared" si="45" ref="Y416:Y418">IFERROR(T416-X416,"")</f>
        <v/>
      </c>
      <c r="Z416" s="410" t="str">
        <f t="shared" si="46" ref="Z416:Z418">IFERROR(IF(X416="","",U416*X416),"")</f>
        <v/>
      </c>
    </row>
    <row r="417" spans="4:26" ht="18.75" customHeight="1">
      <c r="D417" s="172" t="s">
        <v>240</v>
      </c>
      <c r="E417" s="407" t="str">
        <f ca="1">_xlfn.IFNA(VLOOKUP(F414,BEGIN_CURRENT_HEALTH:END_CURRENT_HEALTH,CURRENT_COL_EC_count,FALSE),"")</f>
        <v/>
      </c>
      <c r="F417" s="408" t="str">
        <f ca="1">_xlfn.IFNA(VLOOKUP(F414,BEGIN_CURRENT_HEALTH:END_CURRENT_HEALTH,CURRENT_COL_EC,FALSE),"")</f>
        <v/>
      </c>
      <c r="G417" s="468" t="str">
        <f t="shared" ca="1" si="42"/>
        <v/>
      </c>
      <c r="H417" s="408" t="str">
        <f ca="1">_xlfn.IFNA(VLOOKUP(F414,BEGIN_CURRENT_HEALTH:END_CURRENT_HEALTH,CURRENT_COL_ECContrib,FALSE),"")</f>
        <v/>
      </c>
      <c r="I417" s="409" t="str">
        <f t="shared" ca="1" si="43"/>
        <v/>
      </c>
      <c r="J417" s="410" t="str">
        <f ca="1">IF(F417="","",H417*E417)</f>
        <v/>
      </c>
      <c r="K417" s="411"/>
      <c r="L417" s="408" t="str" cm="1">
        <f t="array" ca="1" aca="1" ref="L417">_xlfn.IFNA(VLOOKUP(INDIRECT("L"&amp;ROW()-3)&amp;"_"&amp;$D$12,BEGIN_RENEW_HEALTH:END_RENEW_HEALTH,RENEW_COL_EC,FALSE),"")</f>
        <v/>
      </c>
      <c r="M417" s="412" t="str">
        <f ca="1">IF(E417="","",E417)</f>
        <v/>
      </c>
      <c r="N417" s="413"/>
      <c r="O417" s="414"/>
      <c r="P417" s="415" t="str">
        <f>IFERROR(IF($N414="Keep Contribution Same",H417,IF($N414="Enter Percentages",IF(N417="","",N417*L417),IF($N414="Keep Percentage Same",IF(G417="","",G417*L417),IF($N414="Enter Dollar Amount",IF(O417="","",O417),"")))),"")</f>
        <v/>
      </c>
      <c r="Q417" s="408" t="str">
        <f ca="1">IFERROR(L417-P417,"")</f>
        <v/>
      </c>
      <c r="R417" s="410" t="str">
        <f>IFERROR(IF(P417="","",M417*P417),"")</f>
        <v/>
      </c>
      <c r="S417" s="411"/>
      <c r="T417" s="408" t="str" cm="1">
        <f t="array" ca="1" aca="1" ref="T417">_xlfn.IFNA(VLOOKUP(INDIRECT("T"&amp;ROW()-3)&amp;"_"&amp;$D$12,BEGIN_RENEW_HEALTH:END_RENEW_HEALTH,RENEW_COL_EC,FALSE),"")</f>
        <v/>
      </c>
      <c r="U417" s="412" t="str">
        <f t="shared" ca="1" si="44"/>
        <v/>
      </c>
      <c r="V417" s="413"/>
      <c r="W417" s="414"/>
      <c r="X417" s="415" t="str">
        <f>IFERROR(IF($V414="Keep Contribution Same",H417,IF($V414="Enter Percentages",IF(V417="","",V417*T417),IF($V414="Keep Percentage Same",IF(G417="","",G417*T417),IF($V414="Enter Dollar Amount",IF(W417="","",W417),"")))),"")</f>
        <v/>
      </c>
      <c r="Y417" s="408" t="str">
        <f t="shared" ca="1" si="45"/>
        <v/>
      </c>
      <c r="Z417" s="410" t="str">
        <f t="shared" si="46"/>
        <v/>
      </c>
    </row>
    <row r="418" spans="4:26" ht="18.75" customHeight="1" thickBot="1">
      <c r="D418" s="174" t="s">
        <v>241</v>
      </c>
      <c r="E418" s="416" t="str">
        <f ca="1">_xlfn.IFNA(VLOOKUP(F414,BEGIN_CURRENT_HEALTH:END_CURRENT_HEALTH,CURRENT_COL_FAM_count,FALSE),"")</f>
        <v/>
      </c>
      <c r="F418" s="417" t="str">
        <f ca="1">_xlfn.IFNA(VLOOKUP(F414,BEGIN_CURRENT_HEALTH:END_CURRENT_HEALTH,CURRENT_COL_FAM,FALSE),"")</f>
        <v/>
      </c>
      <c r="G418" s="469" t="str">
        <f t="shared" ca="1" si="42"/>
        <v/>
      </c>
      <c r="H418" s="417" t="str">
        <f ca="1">_xlfn.IFNA(VLOOKUP(F414,BEGIN_CURRENT_HEALTH:END_CURRENT_HEALTH,CURRENT_COL_FAMContrib,FALSE),"")</f>
        <v/>
      </c>
      <c r="I418" s="418" t="str">
        <f t="shared" ca="1" si="43"/>
        <v/>
      </c>
      <c r="J418" s="419" t="str">
        <f ca="1">IF(F418="","",H418*E418)</f>
        <v/>
      </c>
      <c r="K418" s="411"/>
      <c r="L418" s="417" t="str" cm="1">
        <f t="array" ca="1" aca="1" ref="L418">_xlfn.IFNA(VLOOKUP(INDIRECT("L"&amp;ROW()-4)&amp;"_"&amp;$D$12,BEGIN_RENEW_HEALTH:END_RENEW_HEALTH,RENEW_COL_FAM,FALSE),"")</f>
        <v/>
      </c>
      <c r="M418" s="412" t="str">
        <f ca="1">IF(E418="","",E418)</f>
        <v/>
      </c>
      <c r="N418" s="420"/>
      <c r="O418" s="421"/>
      <c r="P418" s="422" t="str">
        <f>IFERROR(IF($N414="Keep Contribution Same",H418,IF($N414="Enter Percentages",IF(N418="","",N418*L418),IF($N414="Keep Percentage Same",IF(G418="","",G418*L418),IF($N414="Enter Dollar Amount",IF(O418="","",O418),"")))),"")</f>
        <v/>
      </c>
      <c r="Q418" s="422" t="str">
        <f ca="1">IFERROR(L418-P418,"")</f>
        <v/>
      </c>
      <c r="R418" s="410" t="str">
        <f>IFERROR(IF(P418="","",M418*P418),"")</f>
        <v/>
      </c>
      <c r="S418" s="411"/>
      <c r="T418" s="417" t="str" cm="1">
        <f t="array" ca="1" aca="1" ref="T418">_xlfn.IFNA(VLOOKUP(INDIRECT("T"&amp;ROW()-4)&amp;"_"&amp;$D$12,BEGIN_RENEW_HEALTH:END_RENEW_HEALTH,RENEW_COL_FAM,FALSE),"")</f>
        <v/>
      </c>
      <c r="U418" s="423" t="str">
        <f t="shared" ca="1" si="44"/>
        <v/>
      </c>
      <c r="V418" s="420"/>
      <c r="W418" s="421"/>
      <c r="X418" s="422" t="str">
        <f>IFERROR(IF($V414="Keep Contribution Same",H418,IF($V414="Enter Percentages",IF(V418="","",V418*T418),IF($V414="Keep Percentage Same",IF(G418="","",G418*T418),IF($V414="Enter Dollar Amount",IF(W418="","",W418),"")))),"")</f>
        <v/>
      </c>
      <c r="Y418" s="417" t="str">
        <f t="shared" ca="1" si="45"/>
        <v/>
      </c>
      <c r="Z418" s="419" t="str">
        <f t="shared" si="46"/>
        <v/>
      </c>
    </row>
    <row r="419" spans="4:26" ht="18.75" customHeight="1" thickTop="1">
      <c r="D419" s="175" t="s">
        <v>242</v>
      </c>
      <c r="E419" s="424"/>
      <c r="F419" s="425" t="str">
        <f ca="1">IFERROR((F415*E415)+(F416*E416)+(F417*E417)+(F418*E418),"")</f>
        <v/>
      </c>
      <c r="G419" s="426"/>
      <c r="H419" s="427"/>
      <c r="I419" s="428"/>
      <c r="J419" s="429" t="str">
        <f ca="1">IFERROR(IF(J415="","",SUM(J415:J418)),0)</f>
        <v/>
      </c>
      <c r="K419" s="1"/>
      <c r="L419" s="430" t="str">
        <f ca="1">IFERROR((M415*L415)+(M416*L416)+(M417*L417)+(M418*L418),"")</f>
        <v/>
      </c>
      <c r="M419" s="427"/>
      <c r="N419" s="426"/>
      <c r="O419" s="427"/>
      <c r="P419" s="431"/>
      <c r="Q419" s="432"/>
      <c r="R419" s="429" t="str">
        <f>IFERROR(IF(R415="","",SUM(R415:R418)),0)</f>
        <v/>
      </c>
      <c r="T419" s="430" t="str">
        <f ca="1">IFERROR((U415*T415)+(U416*T416)+(U417*T417)+(U418*T418),"")</f>
        <v/>
      </c>
      <c r="U419" s="427"/>
      <c r="V419" s="426"/>
      <c r="W419" s="427"/>
      <c r="X419" s="431"/>
      <c r="Y419" s="432"/>
      <c r="Z419" s="429" t="str">
        <f>IFERROR(IF(Z415="","",SUM(Z415:Z418)),0)</f>
        <v/>
      </c>
    </row>
    <row r="420" spans="4:26" ht="18.75" customHeight="1">
      <c r="D420" s="177" t="s">
        <v>243</v>
      </c>
      <c r="E420" s="433"/>
      <c r="F420" s="434" t="str">
        <f ca="1">IFERROR(F419*12,"")</f>
        <v/>
      </c>
      <c r="G420" s="435"/>
      <c r="H420" s="436"/>
      <c r="I420" s="432"/>
      <c r="J420" s="437" t="str">
        <f ca="1">IF(J419="","",J419*12)</f>
        <v/>
      </c>
      <c r="K420" s="1"/>
      <c r="L420" s="438" t="str">
        <f ca="1">IFERROR(L419*12,"")</f>
        <v/>
      </c>
      <c r="M420" s="436"/>
      <c r="N420" s="435"/>
      <c r="O420" s="436"/>
      <c r="P420" s="432"/>
      <c r="Q420" s="432"/>
      <c r="R420" s="437" t="str">
        <f>IF(R419="","",R419*12)</f>
        <v/>
      </c>
      <c r="T420" s="438" t="str">
        <f ca="1">IFERROR(T419*12,"")</f>
        <v/>
      </c>
      <c r="U420" s="436"/>
      <c r="V420" s="435"/>
      <c r="W420" s="436"/>
      <c r="X420" s="432"/>
      <c r="Y420" s="432"/>
      <c r="Z420" s="437" t="str">
        <f>IF(Z419="","",Z419*12)</f>
        <v/>
      </c>
    </row>
    <row r="421" spans="4:26" ht="18.75" customHeight="1">
      <c r="D421" s="177" t="s">
        <v>244</v>
      </c>
      <c r="E421" s="433"/>
      <c r="F421" s="436"/>
      <c r="G421" s="435"/>
      <c r="H421" s="436"/>
      <c r="I421" s="432"/>
      <c r="J421" s="437"/>
      <c r="K421" s="1"/>
      <c r="L421" s="434" t="str">
        <f ca="1">IFERROR(L420-F420,"")</f>
        <v/>
      </c>
      <c r="M421" s="436"/>
      <c r="N421" s="435"/>
      <c r="O421" s="436"/>
      <c r="P421" s="432"/>
      <c r="Q421" s="432"/>
      <c r="R421" s="437" t="str">
        <f ca="1">IFERROR(IF(J420="","",R420-J420),0)</f>
        <v/>
      </c>
      <c r="T421" s="434" t="str">
        <f ca="1">IFERROR(T420-F420,"")</f>
        <v/>
      </c>
      <c r="U421" s="436"/>
      <c r="V421" s="435"/>
      <c r="W421" s="436"/>
      <c r="X421" s="432"/>
      <c r="Y421" s="432"/>
      <c r="Z421" s="437" t="str">
        <f>IFERROR(IF(R420="","",Z420-R420),0)</f>
        <v/>
      </c>
    </row>
    <row r="422" spans="4:26" ht="18.75" customHeight="1" thickBot="1">
      <c r="D422" s="180" t="s">
        <v>245</v>
      </c>
      <c r="E422" s="439"/>
      <c r="F422" s="440"/>
      <c r="G422" s="441"/>
      <c r="H422" s="440"/>
      <c r="I422" s="442"/>
      <c r="J422" s="443"/>
      <c r="K422" s="1"/>
      <c r="L422" s="444" t="str">
        <f ca="1">IFERROR(L420/F420-1,"")</f>
        <v/>
      </c>
      <c r="M422" s="440"/>
      <c r="N422" s="441"/>
      <c r="O422" s="440"/>
      <c r="P422" s="445"/>
      <c r="Q422" s="445"/>
      <c r="R422" s="446" t="str">
        <f ca="1">IFERROR(IF(J420="","",(R420/J420)-1),0)</f>
        <v/>
      </c>
      <c r="T422" s="444" t="str">
        <f ca="1">IFERROR(T420/F420-1,"")</f>
        <v/>
      </c>
      <c r="U422" s="440"/>
      <c r="V422" s="441"/>
      <c r="W422" s="440"/>
      <c r="X422" s="445"/>
      <c r="Y422" s="445"/>
      <c r="Z422" s="446" t="str">
        <f>IFERROR(IF(R420="","",(Z420/R420)-1),0)</f>
        <v/>
      </c>
    </row>
    <row r="423" spans="4:26" ht="18.75" customHeight="1">
      <c r="D423" s="181" t="s">
        <v>246</v>
      </c>
      <c r="E423" s="182"/>
      <c r="F423" s="182"/>
      <c r="G423" s="182"/>
      <c r="H423" s="182"/>
      <c r="I423" s="182"/>
      <c r="J423" s="183"/>
      <c r="K423"/>
      <c r="L423" s="184"/>
      <c r="M423" s="182"/>
      <c r="N423" s="182"/>
      <c r="O423" s="182"/>
      <c r="P423" s="182"/>
      <c r="Q423" s="182"/>
      <c r="R423" s="183"/>
      <c r="T423" s="184"/>
      <c r="U423" s="182"/>
      <c r="V423" s="182"/>
      <c r="W423" s="182"/>
      <c r="X423" s="182"/>
      <c r="Y423" s="182"/>
      <c r="Z423" s="183"/>
    </row>
    <row r="424" spans="4:26" ht="18.75" customHeight="1" hidden="1">
      <c r="D424" s="185" t="s">
        <v>247</v>
      </c>
      <c r="E424" s="186"/>
      <c r="F424" s="186"/>
      <c r="G424" s="186"/>
      <c r="H424" s="186"/>
      <c r="I424" s="186"/>
      <c r="J424" s="187"/>
      <c r="K424"/>
      <c r="L424" s="188"/>
      <c r="M424" s="186"/>
      <c r="N424" s="186"/>
      <c r="O424" s="186"/>
      <c r="P424" s="186"/>
      <c r="Q424" s="186"/>
      <c r="R424" s="187"/>
      <c r="T424" s="188"/>
      <c r="U424" s="186"/>
      <c r="V424" s="186"/>
      <c r="W424" s="186"/>
      <c r="X424" s="186"/>
      <c r="Y424" s="186"/>
      <c r="Z424" s="187"/>
    </row>
    <row r="425" spans="4:26" ht="18.75" customHeight="1" hidden="1">
      <c r="D425" s="189" t="s">
        <v>248</v>
      </c>
      <c r="E425" s="190" t="e">
        <f ca="1">D414&amp;"_"&amp;D12</f>
        <v>#N/A</v>
      </c>
      <c r="F425" s="191"/>
      <c r="G425" s="191"/>
      <c r="H425" s="191"/>
      <c r="I425" s="190"/>
      <c r="J425" s="192"/>
      <c r="K425"/>
      <c r="L425" s="193" t="str">
        <f ca="1">L414&amp;"_"&amp;D12</f>
        <v>SELECT PLAN_MANAGERS</v>
      </c>
      <c r="M425" s="191"/>
      <c r="N425" s="191"/>
      <c r="O425" s="191"/>
      <c r="P425" s="190"/>
      <c r="Q425" s="191"/>
      <c r="R425" s="192"/>
      <c r="T425" s="193" t="str">
        <f>T414&amp;"_"&amp;D12</f>
        <v>SELECT PLAN_MANAGERS</v>
      </c>
      <c r="U425" s="191"/>
      <c r="V425" s="191"/>
      <c r="W425" s="191"/>
      <c r="X425" s="190"/>
      <c r="Y425" s="191"/>
      <c r="Z425" s="192"/>
    </row>
    <row r="426" spans="4:26" ht="18.75" customHeight="1" hidden="1">
      <c r="D426" s="189" t="s">
        <v>249</v>
      </c>
      <c r="E426" s="191"/>
      <c r="F426" s="191"/>
      <c r="G426" s="191"/>
      <c r="H426" s="191"/>
      <c r="I426" s="191"/>
      <c r="J426" s="192"/>
      <c r="K426"/>
      <c r="L426" s="189"/>
      <c r="M426" s="191"/>
      <c r="N426" s="191"/>
      <c r="O426" s="191"/>
      <c r="P426" s="191"/>
      <c r="Q426" s="191"/>
      <c r="R426" s="192"/>
      <c r="T426" s="189"/>
      <c r="U426" s="191"/>
      <c r="V426" s="191"/>
      <c r="W426" s="191"/>
      <c r="X426" s="191"/>
      <c r="Y426" s="191"/>
      <c r="Z426" s="192"/>
    </row>
    <row r="427" spans="4:26" ht="18.75" customHeight="1" hidden="1">
      <c r="D427" s="194" t="s">
        <v>250</v>
      </c>
      <c r="E427" s="195"/>
      <c r="F427" s="195"/>
      <c r="G427" s="195"/>
      <c r="H427" s="195"/>
      <c r="I427" s="195"/>
      <c r="J427" s="196"/>
      <c r="K427"/>
      <c r="L427" s="197"/>
      <c r="M427" s="195"/>
      <c r="N427" s="195"/>
      <c r="O427" s="195"/>
      <c r="P427" s="195"/>
      <c r="Q427" s="195"/>
      <c r="R427" s="196"/>
      <c r="T427" s="197"/>
      <c r="U427" s="195"/>
      <c r="V427" s="195"/>
      <c r="W427" s="195"/>
      <c r="X427" s="195"/>
      <c r="Y427" s="195"/>
      <c r="Z427" s="196"/>
    </row>
    <row r="428" spans="4:26" ht="18.75" customHeight="1" hidden="1">
      <c r="D428" s="198" t="s">
        <v>251</v>
      </c>
      <c r="E428" s="199" t="e">
        <f>_xlfn.XLOOKUP(E425,CurrentPlans!B:B,CurrentPlans!X:X,"NA",0,1)</f>
        <v>#N/A</v>
      </c>
      <c r="F428" s="200"/>
      <c r="G428" s="200"/>
      <c r="H428" s="200"/>
      <c r="I428" s="199"/>
      <c r="J428" s="201"/>
      <c r="K428"/>
      <c r="L428" s="202" t="str">
        <f ca="1">_xlfn.XLOOKUP(L425,RenewalPlans!B:B,RenewalPlans!AA:AA,"NA",0,1)</f>
        <v>NA</v>
      </c>
      <c r="M428" s="200"/>
      <c r="N428" s="200"/>
      <c r="O428" s="200"/>
      <c r="P428" s="199"/>
      <c r="Q428" s="200"/>
      <c r="R428" s="201"/>
      <c r="T428" s="202" t="str">
        <f>_xlfn.XLOOKUP(T425,RenewalPlans!B:B,RenewalPlans!AA:AA,"NA",0,1)</f>
        <v>NA</v>
      </c>
      <c r="U428" s="200"/>
      <c r="V428" s="200"/>
      <c r="W428" s="200"/>
      <c r="X428" s="199"/>
      <c r="Y428" s="200"/>
      <c r="Z428" s="201"/>
    </row>
    <row r="429" spans="4:26" ht="18.75" customHeight="1" hidden="1">
      <c r="D429" s="198" t="s">
        <v>252</v>
      </c>
      <c r="E429" s="199" t="e">
        <f>_xlfn.XLOOKUP(E425,CurrentPlans!B:B,CurrentPlans!Y:Y,"NA",0,1)</f>
        <v>#N/A</v>
      </c>
      <c r="F429" s="200"/>
      <c r="G429" s="200"/>
      <c r="H429" s="200"/>
      <c r="I429" s="199"/>
      <c r="J429" s="201"/>
      <c r="K429"/>
      <c r="L429" s="202" t="str">
        <f ca="1">_xlfn.XLOOKUP(L425,RenewalPlans!B:B,RenewalPlans!AB:AB,"NA",0,1)</f>
        <v>NA</v>
      </c>
      <c r="M429" s="200"/>
      <c r="N429" s="200"/>
      <c r="O429" s="200"/>
      <c r="P429" s="199"/>
      <c r="Q429" s="200"/>
      <c r="R429" s="201"/>
      <c r="T429" s="202" t="str">
        <f>_xlfn.XLOOKUP(T425,RenewalPlans!B:B,RenewalPlans!AB:AB,"NA",0,1)</f>
        <v>NA</v>
      </c>
      <c r="U429" s="200"/>
      <c r="V429" s="200"/>
      <c r="W429" s="200"/>
      <c r="X429" s="199"/>
      <c r="Y429" s="200"/>
      <c r="Z429" s="201"/>
    </row>
    <row r="430" spans="4:26" ht="18.75" customHeight="1" hidden="1">
      <c r="D430" s="120" t="s">
        <v>253</v>
      </c>
      <c r="E430" s="121" t="e">
        <f>_xlfn.XLOOKUP(E425,CurrentPlans!B:B,CurrentPlans!W:W,"NA",0,1)</f>
        <v>#N/A</v>
      </c>
      <c r="F430" s="122"/>
      <c r="G430" s="122"/>
      <c r="H430" s="122"/>
      <c r="I430" s="121"/>
      <c r="J430" s="123"/>
      <c r="K430"/>
      <c r="L430" s="124" t="str">
        <f ca="1">_xlfn.XLOOKUP(L425,RenewalPlans!B:B,RenewalPlans!Z:Z,"NA",0,1)</f>
        <v>NA</v>
      </c>
      <c r="M430" s="122"/>
      <c r="N430" s="122"/>
      <c r="O430" s="122"/>
      <c r="P430" s="121"/>
      <c r="Q430" s="122"/>
      <c r="R430" s="123"/>
      <c r="T430" s="124" t="str">
        <f>_xlfn.XLOOKUP(T425,RenewalPlans!B:B,RenewalPlans!Z:Z,"NA",0,1)</f>
        <v>NA</v>
      </c>
      <c r="U430" s="122"/>
      <c r="V430" s="122"/>
      <c r="W430" s="122"/>
      <c r="X430" s="121"/>
      <c r="Y430" s="122"/>
      <c r="Z430" s="123"/>
    </row>
    <row r="431" spans="4:26" ht="18.75" customHeight="1" hidden="1">
      <c r="D431" s="203" t="s">
        <v>254</v>
      </c>
      <c r="E431" s="204"/>
      <c r="F431" s="205"/>
      <c r="G431" s="205"/>
      <c r="H431" s="205"/>
      <c r="I431" s="204"/>
      <c r="J431" s="206"/>
      <c r="K431"/>
      <c r="L431" s="207"/>
      <c r="M431" s="205"/>
      <c r="N431" s="205"/>
      <c r="O431" s="205"/>
      <c r="P431" s="204"/>
      <c r="Q431" s="205"/>
      <c r="R431" s="206"/>
      <c r="T431" s="207"/>
      <c r="U431" s="205"/>
      <c r="V431" s="205"/>
      <c r="W431" s="205"/>
      <c r="X431" s="204"/>
      <c r="Y431" s="205"/>
      <c r="Z431" s="206"/>
    </row>
    <row r="432" spans="4:26" ht="18.75" customHeight="1" hidden="1">
      <c r="D432" s="125" t="s">
        <v>255</v>
      </c>
      <c r="E432" s="126" t="e">
        <f>_xlfn.XLOOKUP(E425,CurrentPlans!B:B,CurrentPlans!Z:Z,"NA",0,1)</f>
        <v>#N/A</v>
      </c>
      <c r="F432" s="127"/>
      <c r="G432" s="127"/>
      <c r="H432" s="127"/>
      <c r="I432" s="126"/>
      <c r="J432" s="128"/>
      <c r="K432"/>
      <c r="L432" s="129" t="str">
        <f ca="1">_xlfn.XLOOKUP(L425,RenewalPlans!B:B,RenewalPlans!AC:AC,"NA",0,1)</f>
        <v>NA</v>
      </c>
      <c r="M432" s="127"/>
      <c r="N432" s="127"/>
      <c r="O432" s="127"/>
      <c r="P432" s="126"/>
      <c r="Q432" s="127"/>
      <c r="R432" s="128"/>
      <c r="T432" s="129" t="str">
        <f>_xlfn.XLOOKUP(T425,RenewalPlans!B:B,RenewalPlans!AC:AC,"NA",0,1)</f>
        <v>NA</v>
      </c>
      <c r="U432" s="127"/>
      <c r="V432" s="127"/>
      <c r="W432" s="127"/>
      <c r="X432" s="126"/>
      <c r="Y432" s="127"/>
      <c r="Z432" s="128"/>
    </row>
    <row r="433" spans="4:26" ht="18.75" customHeight="1" hidden="1">
      <c r="D433" s="198" t="s">
        <v>256</v>
      </c>
      <c r="E433" s="208" t="e">
        <f>_xlfn.XLOOKUP(E425,CurrentPlans!B:B,CurrentPlans!AA:AA,"NA",0,1)</f>
        <v>#N/A</v>
      </c>
      <c r="F433" s="200"/>
      <c r="G433" s="200"/>
      <c r="H433" s="200"/>
      <c r="I433" s="208"/>
      <c r="J433" s="201"/>
      <c r="K433"/>
      <c r="L433" s="209" t="str">
        <f ca="1">_xlfn.XLOOKUP(L425,RenewalPlans!B:B,RenewalPlans!AD:AD,"NA",0,1)</f>
        <v>NA</v>
      </c>
      <c r="M433" s="200"/>
      <c r="N433" s="200"/>
      <c r="O433" s="200"/>
      <c r="P433" s="208"/>
      <c r="Q433" s="200"/>
      <c r="R433" s="201"/>
      <c r="T433" s="209" t="str">
        <f>_xlfn.XLOOKUP(T425,RenewalPlans!B:B,RenewalPlans!AD:AD,"NA",0,1)</f>
        <v>NA</v>
      </c>
      <c r="U433" s="200"/>
      <c r="V433" s="200"/>
      <c r="W433" s="200"/>
      <c r="X433" s="208"/>
      <c r="Y433" s="200"/>
      <c r="Z433" s="201"/>
    </row>
    <row r="434" spans="4:26" ht="18.75" customHeight="1" hidden="1">
      <c r="D434" s="203" t="s">
        <v>257</v>
      </c>
      <c r="E434" s="204"/>
      <c r="F434" s="205"/>
      <c r="G434" s="205"/>
      <c r="H434" s="205"/>
      <c r="I434" s="204"/>
      <c r="J434" s="206"/>
      <c r="K434"/>
      <c r="L434" s="207"/>
      <c r="M434" s="205"/>
      <c r="N434" s="205"/>
      <c r="O434" s="205"/>
      <c r="P434" s="204"/>
      <c r="Q434" s="205"/>
      <c r="R434" s="206"/>
      <c r="T434" s="207"/>
      <c r="U434" s="205"/>
      <c r="V434" s="205"/>
      <c r="W434" s="205"/>
      <c r="X434" s="204"/>
      <c r="Y434" s="205"/>
      <c r="Z434" s="206"/>
    </row>
    <row r="435" spans="4:26" ht="18.75" customHeight="1" hidden="1">
      <c r="D435" s="198" t="s">
        <v>258</v>
      </c>
      <c r="E435" s="208" t="e">
        <f>_xlfn.XLOOKUP(E425,CurrentPlans!B:B,CurrentPlans!AB:AB,"NA",0,1)</f>
        <v>#N/A</v>
      </c>
      <c r="F435" s="200"/>
      <c r="G435" s="200"/>
      <c r="H435" s="200"/>
      <c r="I435" s="208"/>
      <c r="J435" s="201"/>
      <c r="K435"/>
      <c r="L435" s="209" t="str">
        <f ca="1">_xlfn.XLOOKUP(L425,RenewalPlans!B:B,RenewalPlans!AE:AE,"NA",0,1)</f>
        <v>NA</v>
      </c>
      <c r="M435" s="200"/>
      <c r="N435" s="200"/>
      <c r="O435" s="200"/>
      <c r="P435" s="208"/>
      <c r="Q435" s="200"/>
      <c r="R435" s="201"/>
      <c r="T435" s="209" t="str">
        <f>_xlfn.XLOOKUP(T425,RenewalPlans!B:B,RenewalPlans!AE:AE,"NA",0,1)</f>
        <v>NA</v>
      </c>
      <c r="U435" s="200"/>
      <c r="V435" s="200"/>
      <c r="W435" s="200"/>
      <c r="X435" s="208"/>
      <c r="Y435" s="200"/>
      <c r="Z435" s="201"/>
    </row>
    <row r="436" spans="4:26" ht="18.75" customHeight="1" hidden="1">
      <c r="D436" s="198" t="s">
        <v>259</v>
      </c>
      <c r="E436" s="208" t="e">
        <f>_xlfn.XLOOKUP(E425,CurrentPlans!B:B,CurrentPlans!AC:AC,"NA",0,1)</f>
        <v>#N/A</v>
      </c>
      <c r="F436" s="200"/>
      <c r="G436" s="200"/>
      <c r="H436" s="200"/>
      <c r="I436" s="208"/>
      <c r="J436" s="201"/>
      <c r="K436"/>
      <c r="L436" s="209" t="str">
        <f ca="1">_xlfn.XLOOKUP(L425,RenewalPlans!B:B,RenewalPlans!AF:AF,"NA",0,1)</f>
        <v>NA</v>
      </c>
      <c r="M436" s="200"/>
      <c r="N436" s="200"/>
      <c r="O436" s="200"/>
      <c r="P436" s="208"/>
      <c r="Q436" s="200"/>
      <c r="R436" s="201"/>
      <c r="T436" s="209" t="str">
        <f>_xlfn.XLOOKUP(T425,RenewalPlans!B:B,RenewalPlans!AF:AF,"NA",0,1)</f>
        <v>NA</v>
      </c>
      <c r="U436" s="200"/>
      <c r="V436" s="200"/>
      <c r="W436" s="200"/>
      <c r="X436" s="208"/>
      <c r="Y436" s="200"/>
      <c r="Z436" s="201"/>
    </row>
    <row r="437" spans="4:26" ht="18.75" customHeight="1" hidden="1">
      <c r="D437" s="210"/>
      <c r="E437" s="211"/>
      <c r="F437" s="211"/>
      <c r="G437" s="211"/>
      <c r="H437" s="211"/>
      <c r="I437" s="211"/>
      <c r="J437" s="212"/>
      <c r="K437"/>
      <c r="L437" s="210"/>
      <c r="M437" s="211"/>
      <c r="N437" s="211"/>
      <c r="O437" s="211"/>
      <c r="P437" s="211"/>
      <c r="Q437" s="211"/>
      <c r="R437" s="212"/>
      <c r="T437" s="210"/>
      <c r="U437" s="211"/>
      <c r="V437" s="211"/>
      <c r="W437" s="211"/>
      <c r="X437" s="211"/>
      <c r="Y437" s="211"/>
      <c r="Z437" s="212"/>
    </row>
    <row r="438" spans="4:26" ht="18.75" customHeight="1" hidden="1">
      <c r="D438" s="185" t="s">
        <v>260</v>
      </c>
      <c r="E438" s="186"/>
      <c r="F438" s="186"/>
      <c r="G438" s="186"/>
      <c r="H438" s="186"/>
      <c r="I438" s="186"/>
      <c r="J438" s="187"/>
      <c r="K438"/>
      <c r="L438" s="188"/>
      <c r="M438" s="186"/>
      <c r="N438" s="186"/>
      <c r="O438" s="186"/>
      <c r="P438" s="186"/>
      <c r="Q438" s="186"/>
      <c r="R438" s="187"/>
      <c r="T438" s="188"/>
      <c r="U438" s="186"/>
      <c r="V438" s="186"/>
      <c r="W438" s="186"/>
      <c r="X438" s="186"/>
      <c r="Y438" s="186"/>
      <c r="Z438" s="187"/>
    </row>
    <row r="439" spans="4:26" ht="18.75" customHeight="1" hidden="1">
      <c r="D439" s="213" t="s">
        <v>261</v>
      </c>
      <c r="E439" s="130" t="e">
        <f>_xlfn.XLOOKUP(E425,CurrentPlans!B:B,CurrentPlans!AJ:AJ,"NA",0,1)</f>
        <v>#N/A</v>
      </c>
      <c r="F439" s="214"/>
      <c r="G439" s="214"/>
      <c r="H439" s="214"/>
      <c r="I439" s="130"/>
      <c r="J439" s="215"/>
      <c r="K439"/>
      <c r="L439" s="131" t="str">
        <f ca="1">_xlfn.XLOOKUP(L425,RenewalPlans!B:B,RenewalPlans!AM:AM,"NA",0,1)</f>
        <v>NA</v>
      </c>
      <c r="M439" s="214"/>
      <c r="N439" s="214"/>
      <c r="O439" s="214"/>
      <c r="P439" s="130"/>
      <c r="Q439" s="214"/>
      <c r="R439" s="215"/>
      <c r="T439" s="131" t="str">
        <f>_xlfn.XLOOKUP(T425,RenewalPlans!B:B,RenewalPlans!AM:AM,"NA",0,1)</f>
        <v>NA</v>
      </c>
      <c r="U439" s="214"/>
      <c r="V439" s="214"/>
      <c r="W439" s="214"/>
      <c r="X439" s="130"/>
      <c r="Y439" s="214"/>
      <c r="Z439" s="215"/>
    </row>
    <row r="440" spans="4:26" ht="18.75" customHeight="1" hidden="1">
      <c r="D440" s="198" t="s">
        <v>262</v>
      </c>
      <c r="E440" s="130" t="e">
        <f>_xlfn.XLOOKUP(E425,CurrentPlans!B:B,CurrentPlans!AM:AM,"NA",0,1)</f>
        <v>#N/A</v>
      </c>
      <c r="F440" s="200"/>
      <c r="G440" s="200"/>
      <c r="H440" s="200"/>
      <c r="I440" s="130"/>
      <c r="J440" s="201"/>
      <c r="K440"/>
      <c r="L440" s="131" t="str">
        <f ca="1">_xlfn.XLOOKUP(L425,RenewalPlans!B:B,RenewalPlans!AP:AP,"NA",0,1)</f>
        <v>NA</v>
      </c>
      <c r="M440" s="200"/>
      <c r="N440" s="200"/>
      <c r="O440" s="200"/>
      <c r="P440" s="130"/>
      <c r="Q440" s="200"/>
      <c r="R440" s="201"/>
      <c r="T440" s="131" t="str">
        <f>_xlfn.XLOOKUP(T425,RenewalPlans!B:B,RenewalPlans!AP:AP,"NA",0,1)</f>
        <v>NA</v>
      </c>
      <c r="U440" s="200"/>
      <c r="V440" s="200"/>
      <c r="W440" s="200"/>
      <c r="X440" s="130"/>
      <c r="Y440" s="200"/>
      <c r="Z440" s="201"/>
    </row>
    <row r="441" spans="4:26" ht="18.75" customHeight="1" hidden="1">
      <c r="D441" s="198" t="s">
        <v>263</v>
      </c>
      <c r="E441" s="130" t="e">
        <f>_xlfn.XLOOKUP(E425,CurrentPlans!B:B,CurrentPlans!AI:AI,"NA",0,1)</f>
        <v>#N/A</v>
      </c>
      <c r="F441" s="200"/>
      <c r="G441" s="200"/>
      <c r="H441" s="200"/>
      <c r="I441" s="130"/>
      <c r="J441" s="201"/>
      <c r="K441"/>
      <c r="L441" s="131" t="str">
        <f ca="1">_xlfn.XLOOKUP(L425,RenewalPlans!B:B,RenewalPlans!AL:AL,"NA",0,1)</f>
        <v>NA</v>
      </c>
      <c r="M441" s="200"/>
      <c r="N441" s="200"/>
      <c r="O441" s="200"/>
      <c r="P441" s="130"/>
      <c r="Q441" s="200"/>
      <c r="R441" s="201"/>
      <c r="T441" s="131" t="str">
        <f>_xlfn.XLOOKUP(T425,RenewalPlans!B:B,RenewalPlans!AL:AL,"NA",0,1)</f>
        <v>NA</v>
      </c>
      <c r="U441" s="200"/>
      <c r="V441" s="200"/>
      <c r="W441" s="200"/>
      <c r="X441" s="130"/>
      <c r="Y441" s="200"/>
      <c r="Z441" s="201"/>
    </row>
    <row r="442" spans="4:26" ht="18.75" customHeight="1" hidden="1">
      <c r="D442" s="198" t="s">
        <v>264</v>
      </c>
      <c r="E442" s="208" t="e">
        <f>_xlfn.XLOOKUP(E425,CurrentPlans!B:B,CurrentPlans!AN:AN,"NA",0,1)</f>
        <v>#N/A</v>
      </c>
      <c r="F442" s="200"/>
      <c r="G442" s="200"/>
      <c r="H442" s="200"/>
      <c r="I442" s="208"/>
      <c r="J442" s="201"/>
      <c r="K442"/>
      <c r="L442" s="209" t="str">
        <f ca="1">_xlfn.XLOOKUP(L425,RenewalPlans!B:B,RenewalPlans!AQ:AQ,"NA",0,1)</f>
        <v>NA</v>
      </c>
      <c r="M442" s="200"/>
      <c r="N442" s="200"/>
      <c r="O442" s="200"/>
      <c r="P442" s="208"/>
      <c r="Q442" s="200"/>
      <c r="R442" s="201"/>
      <c r="T442" s="209" t="str">
        <f>_xlfn.XLOOKUP(T425,RenewalPlans!B:B,RenewalPlans!AQ:AQ,"NA",0,1)</f>
        <v>NA</v>
      </c>
      <c r="U442" s="200"/>
      <c r="V442" s="200"/>
      <c r="W442" s="200"/>
      <c r="X442" s="208"/>
      <c r="Y442" s="200"/>
      <c r="Z442" s="201"/>
    </row>
    <row r="443" spans="4:26" ht="18.75" customHeight="1" hidden="1">
      <c r="D443" s="210"/>
      <c r="E443" s="211"/>
      <c r="F443" s="211"/>
      <c r="G443" s="211"/>
      <c r="H443" s="211"/>
      <c r="I443" s="211"/>
      <c r="J443" s="212"/>
      <c r="K443"/>
      <c r="L443" s="210"/>
      <c r="M443" s="211"/>
      <c r="N443" s="211"/>
      <c r="O443" s="211"/>
      <c r="P443" s="211"/>
      <c r="Q443" s="211"/>
      <c r="R443" s="212"/>
      <c r="T443" s="210"/>
      <c r="U443" s="211"/>
      <c r="V443" s="211"/>
      <c r="W443" s="211"/>
      <c r="X443" s="211"/>
      <c r="Y443" s="211"/>
      <c r="Z443" s="212"/>
    </row>
    <row r="444" spans="4:26" ht="18.75" customHeight="1" hidden="1">
      <c r="D444" s="185" t="s">
        <v>265</v>
      </c>
      <c r="E444" s="186"/>
      <c r="F444" s="186"/>
      <c r="G444" s="186"/>
      <c r="H444" s="186"/>
      <c r="I444" s="186"/>
      <c r="J444" s="187"/>
      <c r="K444"/>
      <c r="L444" s="188"/>
      <c r="M444" s="186"/>
      <c r="N444" s="186"/>
      <c r="O444" s="186"/>
      <c r="P444" s="186"/>
      <c r="Q444" s="186"/>
      <c r="R444" s="187"/>
      <c r="T444" s="188"/>
      <c r="U444" s="186"/>
      <c r="V444" s="186"/>
      <c r="W444" s="186"/>
      <c r="X444" s="186"/>
      <c r="Y444" s="186"/>
      <c r="Z444" s="187"/>
    </row>
    <row r="445" spans="4:26" ht="18.75" customHeight="1" hidden="1">
      <c r="D445" s="132" t="s">
        <v>266</v>
      </c>
      <c r="E445" s="133" t="e">
        <f>_xlfn.XLOOKUP(E425,CurrentPlans!B:B,CurrentPlans!AE:AE,"NA",0,1)</f>
        <v>#N/A</v>
      </c>
      <c r="F445" s="134"/>
      <c r="G445" s="134"/>
      <c r="H445" s="134"/>
      <c r="I445" s="133"/>
      <c r="J445" s="135"/>
      <c r="K445"/>
      <c r="L445" s="136" t="str">
        <f ca="1">_xlfn.XLOOKUP(L425,RenewalPlans!B:B,RenewalPlans!AH:AH,"NA",0,1)</f>
        <v>NA</v>
      </c>
      <c r="M445" s="134"/>
      <c r="N445" s="134"/>
      <c r="O445" s="134"/>
      <c r="P445" s="133"/>
      <c r="Q445" s="134"/>
      <c r="R445" s="135"/>
      <c r="T445" s="136" t="str">
        <f>_xlfn.XLOOKUP(T425,RenewalPlans!B:B,RenewalPlans!AH:AH,"NA",0,1)</f>
        <v>NA</v>
      </c>
      <c r="U445" s="134"/>
      <c r="V445" s="134"/>
      <c r="W445" s="134"/>
      <c r="X445" s="133"/>
      <c r="Y445" s="134"/>
      <c r="Z445" s="135"/>
    </row>
    <row r="446" spans="4:26" ht="18.75" customHeight="1" hidden="1">
      <c r="D446" s="120" t="s">
        <v>267</v>
      </c>
      <c r="E446" s="130" t="e">
        <f>_xlfn.XLOOKUP(E425,CurrentPlans!B:B,CurrentPlans!AF:AF,"NA",0,1)</f>
        <v>#N/A</v>
      </c>
      <c r="F446" s="122"/>
      <c r="G446" s="122"/>
      <c r="H446" s="122"/>
      <c r="I446" s="130"/>
      <c r="J446" s="123"/>
      <c r="K446"/>
      <c r="L446" s="131" t="str">
        <f ca="1">_xlfn.XLOOKUP(L425,RenewalPlans!B:B,RenewalPlans!AI:AI,"NA",0,1)</f>
        <v>NA</v>
      </c>
      <c r="M446" s="122"/>
      <c r="N446" s="122"/>
      <c r="O446" s="122"/>
      <c r="P446" s="130"/>
      <c r="Q446" s="122"/>
      <c r="R446" s="123"/>
      <c r="T446" s="131" t="str">
        <f>_xlfn.XLOOKUP(T425,RenewalPlans!B:B,RenewalPlans!AI:AI,"NA",0,1)</f>
        <v>NA</v>
      </c>
      <c r="U446" s="122"/>
      <c r="V446" s="122"/>
      <c r="W446" s="122"/>
      <c r="X446" s="130"/>
      <c r="Y446" s="122"/>
      <c r="Z446" s="123"/>
    </row>
    <row r="447" spans="4:26" ht="18.75" customHeight="1" hidden="1">
      <c r="D447" s="198" t="s">
        <v>268</v>
      </c>
      <c r="E447" s="130" t="e">
        <f>_xlfn.XLOOKUP(E425,CurrentPlans!B:B,CurrentPlans!AH:AH,"NA",0,1)</f>
        <v>#N/A</v>
      </c>
      <c r="F447" s="200"/>
      <c r="G447" s="200"/>
      <c r="H447" s="200"/>
      <c r="I447" s="130"/>
      <c r="J447" s="201"/>
      <c r="K447"/>
      <c r="L447" s="131" t="str">
        <f ca="1">_xlfn.XLOOKUP(L425,RenewalPlans!B:B,RenewalPlans!AK:AK,"NA",0,1)</f>
        <v>NA</v>
      </c>
      <c r="M447" s="200"/>
      <c r="N447" s="200"/>
      <c r="O447" s="200"/>
      <c r="P447" s="130"/>
      <c r="Q447" s="200"/>
      <c r="R447" s="201"/>
      <c r="T447" s="131" t="str">
        <f>_xlfn.XLOOKUP(T425,RenewalPlans!B:B,RenewalPlans!AK:AK,"NA",0,1)</f>
        <v>NA</v>
      </c>
      <c r="U447" s="200"/>
      <c r="V447" s="200"/>
      <c r="W447" s="200"/>
      <c r="X447" s="130"/>
      <c r="Y447" s="200"/>
      <c r="Z447" s="201"/>
    </row>
    <row r="448" spans="4:26" ht="18.75" customHeight="1" hidden="1">
      <c r="D448" s="198" t="s">
        <v>269</v>
      </c>
      <c r="E448" s="130" t="e">
        <f>_xlfn.XLOOKUP(E425,CurrentPlans!B:B,CurrentPlans!AG:AG,"NA",0,1)</f>
        <v>#N/A</v>
      </c>
      <c r="F448" s="200"/>
      <c r="G448" s="200"/>
      <c r="H448" s="200"/>
      <c r="I448" s="130"/>
      <c r="J448" s="201"/>
      <c r="K448"/>
      <c r="L448" s="131" t="str">
        <f ca="1">_xlfn.XLOOKUP(L425,RenewalPlans!B:B,RenewalPlans!AJ:AJ,"NA",0,1)</f>
        <v>NA</v>
      </c>
      <c r="M448" s="200"/>
      <c r="N448" s="200"/>
      <c r="O448" s="200"/>
      <c r="P448" s="130"/>
      <c r="Q448" s="200"/>
      <c r="R448" s="201"/>
      <c r="T448" s="131" t="str">
        <f>_xlfn.XLOOKUP(T425,RenewalPlans!B:B,RenewalPlans!AJ:AJ,"NA",0,1)</f>
        <v>NA</v>
      </c>
      <c r="U448" s="200"/>
      <c r="V448" s="200"/>
      <c r="W448" s="200"/>
      <c r="X448" s="130"/>
      <c r="Y448" s="200"/>
      <c r="Z448" s="201"/>
    </row>
    <row r="449" spans="4:26" ht="18.75" customHeight="1" hidden="1">
      <c r="D449" s="213" t="s">
        <v>270</v>
      </c>
      <c r="E449" s="216" t="e">
        <f>_xlfn.XLOOKUP(E425,CurrentPlans!B:B,CurrentPlans!AU:AU,"NA",0,1)</f>
        <v>#N/A</v>
      </c>
      <c r="F449" s="214"/>
      <c r="G449" s="214"/>
      <c r="H449" s="214"/>
      <c r="I449" s="217"/>
      <c r="J449" s="215"/>
      <c r="K449"/>
      <c r="L449" s="218" t="str">
        <f ca="1">_xlfn.XLOOKUP(L425,RenewalPlans!B:B,RenewalPlans!AX:AX,"NA",0,1)</f>
        <v>NA</v>
      </c>
      <c r="M449" s="214"/>
      <c r="N449" s="214"/>
      <c r="O449" s="214"/>
      <c r="P449" s="217"/>
      <c r="Q449" s="214"/>
      <c r="R449" s="215"/>
      <c r="T449" s="218" t="str">
        <f>_xlfn.XLOOKUP(T425,RenewalPlans!B:B,RenewalPlans!AX:AX,"NA",0,1)</f>
        <v>NA</v>
      </c>
      <c r="U449" s="214"/>
      <c r="V449" s="214"/>
      <c r="W449" s="214"/>
      <c r="X449" s="217"/>
      <c r="Y449" s="214"/>
      <c r="Z449" s="215"/>
    </row>
    <row r="450" spans="4:26" ht="18.75" customHeight="1" hidden="1">
      <c r="D450" s="213" t="s">
        <v>271</v>
      </c>
      <c r="E450" s="216" t="e">
        <f>_xlfn.XLOOKUP(E425,CurrentPlans!B:B,CurrentPlans!AT:AT,"NA",0,1)</f>
        <v>#N/A</v>
      </c>
      <c r="F450" s="214"/>
      <c r="G450" s="214"/>
      <c r="H450" s="214"/>
      <c r="I450" s="217"/>
      <c r="J450" s="215"/>
      <c r="K450"/>
      <c r="L450" s="218" t="str">
        <f ca="1">_xlfn.XLOOKUP(L425,RenewalPlans!B:B,RenewalPlans!AW:AW,"NA",0,1)</f>
        <v>NA</v>
      </c>
      <c r="M450" s="214"/>
      <c r="N450" s="214"/>
      <c r="O450" s="214"/>
      <c r="P450" s="217"/>
      <c r="Q450" s="214"/>
      <c r="R450" s="215"/>
      <c r="T450" s="218" t="str">
        <f>_xlfn.XLOOKUP(T425,RenewalPlans!B:B,RenewalPlans!AW:AW,"NA",0,1)</f>
        <v>NA</v>
      </c>
      <c r="U450" s="214"/>
      <c r="V450" s="214"/>
      <c r="W450" s="214"/>
      <c r="X450" s="217"/>
      <c r="Y450" s="214"/>
      <c r="Z450" s="215"/>
    </row>
    <row r="451" spans="4:26" ht="18.75" customHeight="1" hidden="1">
      <c r="D451" s="198" t="s">
        <v>272</v>
      </c>
      <c r="E451" s="130" t="e">
        <f>_xlfn.XLOOKUP(E425,CurrentPlans!B:B,CurrentPlans!AD:AD,"NA",0,1)</f>
        <v>#N/A</v>
      </c>
      <c r="F451" s="200"/>
      <c r="G451" s="200"/>
      <c r="H451" s="200"/>
      <c r="I451" s="130"/>
      <c r="J451" s="201"/>
      <c r="K451"/>
      <c r="L451" s="131" t="str">
        <f ca="1">_xlfn.XLOOKUP(L425,RenewalPlans!B:B,RenewalPlans!AG:AG,"NA",0,1)</f>
        <v>NA</v>
      </c>
      <c r="M451" s="200"/>
      <c r="N451" s="200"/>
      <c r="O451" s="200"/>
      <c r="P451" s="130"/>
      <c r="Q451" s="200"/>
      <c r="R451" s="201"/>
      <c r="T451" s="131" t="str">
        <f>_xlfn.XLOOKUP(T425,RenewalPlans!B:B,RenewalPlans!AG:AG,"NA",0,1)</f>
        <v>NA</v>
      </c>
      <c r="U451" s="200"/>
      <c r="V451" s="200"/>
      <c r="W451" s="200"/>
      <c r="X451" s="130"/>
      <c r="Y451" s="200"/>
      <c r="Z451" s="201"/>
    </row>
    <row r="452" spans="4:26" ht="18.75" customHeight="1" hidden="1">
      <c r="D452" s="198" t="s">
        <v>273</v>
      </c>
      <c r="E452" s="200"/>
      <c r="F452" s="200"/>
      <c r="G452" s="200"/>
      <c r="H452" s="200"/>
      <c r="I452" s="200"/>
      <c r="J452" s="201"/>
      <c r="K452"/>
      <c r="L452" s="198"/>
      <c r="M452" s="200"/>
      <c r="N452" s="200"/>
      <c r="O452" s="200"/>
      <c r="P452" s="200"/>
      <c r="Q452" s="200"/>
      <c r="R452" s="201"/>
      <c r="T452" s="198"/>
      <c r="U452" s="200"/>
      <c r="V452" s="200"/>
      <c r="W452" s="200"/>
      <c r="X452" s="200"/>
      <c r="Y452" s="200"/>
      <c r="Z452" s="201"/>
    </row>
    <row r="453" spans="4:26" ht="18.75" customHeight="1" hidden="1">
      <c r="D453" s="210"/>
      <c r="E453" s="211"/>
      <c r="F453" s="211"/>
      <c r="G453" s="211"/>
      <c r="H453" s="211"/>
      <c r="I453" s="211"/>
      <c r="J453" s="212"/>
      <c r="K453"/>
      <c r="L453" s="210"/>
      <c r="M453" s="211"/>
      <c r="N453" s="211"/>
      <c r="O453" s="211"/>
      <c r="P453" s="211"/>
      <c r="Q453" s="211"/>
      <c r="R453" s="212"/>
      <c r="T453" s="210"/>
      <c r="U453" s="211"/>
      <c r="V453" s="211"/>
      <c r="W453" s="211"/>
      <c r="X453" s="211"/>
      <c r="Y453" s="211"/>
      <c r="Z453" s="212"/>
    </row>
    <row r="454" spans="4:26" ht="18.75" customHeight="1" hidden="1">
      <c r="D454" s="219" t="s">
        <v>274</v>
      </c>
      <c r="E454" s="220"/>
      <c r="F454" s="220"/>
      <c r="G454" s="220"/>
      <c r="H454" s="220"/>
      <c r="I454" s="220"/>
      <c r="J454" s="221"/>
      <c r="K454"/>
      <c r="L454" s="222"/>
      <c r="M454" s="220"/>
      <c r="N454" s="220"/>
      <c r="O454" s="220"/>
      <c r="P454" s="220"/>
      <c r="Q454" s="220"/>
      <c r="R454" s="221"/>
      <c r="T454" s="222"/>
      <c r="U454" s="220"/>
      <c r="V454" s="220"/>
      <c r="W454" s="220"/>
      <c r="X454" s="220"/>
      <c r="Y454" s="220"/>
      <c r="Z454" s="221"/>
    </row>
    <row r="455" spans="4:26" ht="18.75" customHeight="1" hidden="1">
      <c r="D455" s="223" t="s">
        <v>250</v>
      </c>
      <c r="E455" s="205"/>
      <c r="F455" s="205"/>
      <c r="G455" s="205"/>
      <c r="H455" s="205"/>
      <c r="I455" s="205"/>
      <c r="J455" s="206"/>
      <c r="K455"/>
      <c r="L455" s="203"/>
      <c r="M455" s="205"/>
      <c r="N455" s="205"/>
      <c r="O455" s="205"/>
      <c r="P455" s="205"/>
      <c r="Q455" s="205"/>
      <c r="R455" s="206"/>
      <c r="T455" s="203"/>
      <c r="U455" s="205"/>
      <c r="V455" s="205"/>
      <c r="W455" s="205"/>
      <c r="X455" s="205"/>
      <c r="Y455" s="205"/>
      <c r="Z455" s="206"/>
    </row>
    <row r="456" spans="4:26" ht="18.75" customHeight="1" hidden="1">
      <c r="D456" s="198" t="s">
        <v>251</v>
      </c>
      <c r="E456" s="130" t="e">
        <f>_xlfn.XLOOKUP(E425,CurrentPlans!B:B,CurrentPlans!AP:AP,"NA",0,1)</f>
        <v>#N/A</v>
      </c>
      <c r="F456" s="200"/>
      <c r="G456" s="200"/>
      <c r="H456" s="200"/>
      <c r="I456" s="130"/>
      <c r="J456" s="201"/>
      <c r="K456"/>
      <c r="L456" s="131" t="str">
        <f ca="1">_xlfn.XLOOKUP(L425,RenewalPlans!B:B,RenewalPlans!AS:AS,"NA",0,1)</f>
        <v>NA</v>
      </c>
      <c r="M456" s="200"/>
      <c r="N456" s="200"/>
      <c r="O456" s="200"/>
      <c r="P456" s="130"/>
      <c r="Q456" s="200"/>
      <c r="R456" s="201"/>
      <c r="T456" s="131" t="str">
        <f>_xlfn.XLOOKUP(T425,RenewalPlans!B:B,RenewalPlans!AS:AS,"NA",0,1)</f>
        <v>NA</v>
      </c>
      <c r="U456" s="200"/>
      <c r="V456" s="200"/>
      <c r="W456" s="200"/>
      <c r="X456" s="130"/>
      <c r="Y456" s="200"/>
      <c r="Z456" s="201"/>
    </row>
    <row r="457" spans="4:26" ht="18.75" customHeight="1" hidden="1">
      <c r="D457" s="198" t="s">
        <v>252</v>
      </c>
      <c r="E457" s="130" t="e">
        <f>_xlfn.XLOOKUP(E425,CurrentPlans!B:B,CurrentPlans!AQ:AQ,"NA",0,1)</f>
        <v>#N/A</v>
      </c>
      <c r="F457" s="200"/>
      <c r="G457" s="200"/>
      <c r="H457" s="200"/>
      <c r="I457" s="130"/>
      <c r="J457" s="201"/>
      <c r="K457"/>
      <c r="L457" s="131" t="str">
        <f ca="1">_xlfn.XLOOKUP(L425,RenewalPlans!B:B,RenewalPlans!AT:AT,"NA",0,1)</f>
        <v>NA</v>
      </c>
      <c r="M457" s="200"/>
      <c r="N457" s="200"/>
      <c r="O457" s="200"/>
      <c r="P457" s="130"/>
      <c r="Q457" s="200"/>
      <c r="R457" s="201"/>
      <c r="T457" s="131" t="str">
        <f>_xlfn.XLOOKUP(T425,RenewalPlans!B:B,RenewalPlans!AT:AT,"NA",0,1)</f>
        <v>NA</v>
      </c>
      <c r="U457" s="200"/>
      <c r="V457" s="200"/>
      <c r="W457" s="200"/>
      <c r="X457" s="130"/>
      <c r="Y457" s="200"/>
      <c r="Z457" s="201"/>
    </row>
    <row r="458" spans="4:26" ht="18.75" customHeight="1" hidden="1">
      <c r="D458" s="120" t="s">
        <v>253</v>
      </c>
      <c r="E458" s="133" t="e">
        <f>_xlfn.XLOOKUP(E425,CurrentPlans!B:B,CurrentPlans!AO:AO,"NA",0,1)</f>
        <v>#N/A</v>
      </c>
      <c r="F458" s="122"/>
      <c r="G458" s="122"/>
      <c r="H458" s="122"/>
      <c r="I458" s="133"/>
      <c r="J458" s="123"/>
      <c r="K458"/>
      <c r="L458" s="136" t="str">
        <f ca="1">_xlfn.XLOOKUP(L425,RenewalPlans!B:B,RenewalPlans!AR:AR,"NA",0,1)</f>
        <v>NA</v>
      </c>
      <c r="M458" s="122"/>
      <c r="N458" s="122"/>
      <c r="O458" s="122"/>
      <c r="P458" s="133"/>
      <c r="Q458" s="122"/>
      <c r="R458" s="123"/>
      <c r="T458" s="136" t="str">
        <f>_xlfn.XLOOKUP(T425,RenewalPlans!B:B,RenewalPlans!AR:AR,"NA",0,1)</f>
        <v>NA</v>
      </c>
      <c r="U458" s="122"/>
      <c r="V458" s="122"/>
      <c r="W458" s="122"/>
      <c r="X458" s="133"/>
      <c r="Y458" s="122"/>
      <c r="Z458" s="123"/>
    </row>
    <row r="459" spans="4:26" ht="18.75" customHeight="1" hidden="1">
      <c r="D459" s="223" t="s">
        <v>254</v>
      </c>
      <c r="E459" s="205"/>
      <c r="F459" s="205"/>
      <c r="G459" s="205"/>
      <c r="H459" s="205"/>
      <c r="I459" s="205"/>
      <c r="J459" s="206"/>
      <c r="K459"/>
      <c r="L459" s="203"/>
      <c r="M459" s="205"/>
      <c r="N459" s="205"/>
      <c r="O459" s="205"/>
      <c r="P459" s="205"/>
      <c r="Q459" s="205"/>
      <c r="R459" s="206"/>
      <c r="T459" s="203"/>
      <c r="U459" s="205"/>
      <c r="V459" s="205"/>
      <c r="W459" s="205"/>
      <c r="X459" s="205"/>
      <c r="Y459" s="205"/>
      <c r="Z459" s="206"/>
    </row>
    <row r="460" spans="4:26" ht="18.75" customHeight="1" hidden="1">
      <c r="D460" s="198" t="s">
        <v>255</v>
      </c>
      <c r="E460" s="130" t="e">
        <f>_xlfn.XLOOKUP(E425,CurrentPlans!B:B,CurrentPlans!AR:AR,"NA",0,1)</f>
        <v>#N/A</v>
      </c>
      <c r="F460" s="200"/>
      <c r="G460" s="200"/>
      <c r="H460" s="200"/>
      <c r="I460" s="130"/>
      <c r="J460" s="201"/>
      <c r="K460"/>
      <c r="L460" s="131" t="str">
        <f ca="1">_xlfn.XLOOKUP(L425,RenewalPlans!B:B,RenewalPlans!AU:AU,"NA",0,1)</f>
        <v>NA</v>
      </c>
      <c r="M460" s="200"/>
      <c r="N460" s="200"/>
      <c r="O460" s="200"/>
      <c r="P460" s="130"/>
      <c r="Q460" s="200"/>
      <c r="R460" s="201"/>
      <c r="T460" s="131" t="str">
        <f>_xlfn.XLOOKUP(T425,RenewalPlans!B:B,RenewalPlans!AU:AU,"NA",0,1)</f>
        <v>NA</v>
      </c>
      <c r="U460" s="200"/>
      <c r="V460" s="200"/>
      <c r="W460" s="200"/>
      <c r="X460" s="130"/>
      <c r="Y460" s="200"/>
      <c r="Z460" s="201"/>
    </row>
    <row r="461" spans="4:26" ht="18.75" customHeight="1" hidden="1" thickBot="1">
      <c r="D461" s="224" t="s">
        <v>256</v>
      </c>
      <c r="E461" s="137" t="e">
        <f>_xlfn.XLOOKUP(E425,CurrentPlans!B:B,CurrentPlans!AS:AS,"NA",0,1)</f>
        <v>#N/A</v>
      </c>
      <c r="F461" s="225"/>
      <c r="G461" s="225"/>
      <c r="H461" s="225"/>
      <c r="I461" s="137"/>
      <c r="J461" s="226"/>
      <c r="K461"/>
      <c r="L461" s="138" t="str">
        <f ca="1">_xlfn.XLOOKUP(L425,RenewalPlans!B:B,RenewalPlans!AV:AV,"NA",0,1)</f>
        <v>NA</v>
      </c>
      <c r="M461" s="225"/>
      <c r="N461" s="225"/>
      <c r="O461" s="225"/>
      <c r="P461" s="137"/>
      <c r="Q461" s="225"/>
      <c r="R461" s="226"/>
      <c r="T461" s="138" t="str">
        <f>_xlfn.XLOOKUP(T425,RenewalPlans!B:B,RenewalPlans!AV:AV,"NA",0,1)</f>
        <v>NA</v>
      </c>
      <c r="U461" s="225"/>
      <c r="V461" s="225"/>
      <c r="W461" s="225"/>
      <c r="X461" s="137"/>
      <c r="Y461" s="225"/>
      <c r="Z461" s="226"/>
    </row>
    <row r="462" spans="4:26" ht="18.75" customHeight="1">
      <c r="D462" s="227"/>
      <c r="E462" s="176"/>
      <c r="F462" s="178"/>
      <c r="G462" s="179"/>
      <c r="H462" s="178"/>
      <c r="I462" s="176"/>
      <c r="J462" s="228"/>
      <c r="K462"/>
      <c r="L462" s="178"/>
      <c r="M462" s="176"/>
      <c r="N462" s="139"/>
      <c r="O462" s="178"/>
      <c r="P462" s="178"/>
      <c r="Q462" s="178"/>
      <c r="R462" s="228"/>
      <c r="T462" s="178"/>
      <c r="U462" s="176"/>
      <c r="V462" s="139"/>
      <c r="W462" s="178"/>
      <c r="X462" s="178"/>
      <c r="Y462" s="178"/>
      <c r="Z462" s="228"/>
    </row>
    <row r="463" spans="4:26" ht="5.25" customHeight="1" thickBot="1">
      <c r="D463" s="229"/>
      <c r="E463" s="229"/>
      <c r="F463" s="230"/>
      <c r="G463" s="231"/>
      <c r="H463" s="232"/>
      <c r="I463" s="233"/>
      <c r="J463" s="233"/>
      <c r="K463"/>
      <c r="L463" s="233"/>
      <c r="M463" s="233"/>
      <c r="N463" s="233"/>
      <c r="O463" s="233"/>
      <c r="P463" s="233"/>
      <c r="Q463" s="233"/>
      <c r="R463" s="233"/>
      <c r="T463" s="233"/>
      <c r="U463" s="233"/>
      <c r="V463" s="233"/>
      <c r="W463" s="233"/>
      <c r="X463" s="233"/>
      <c r="Y463" s="233"/>
      <c r="Z463" s="233"/>
    </row>
    <row r="464" spans="1:26" ht="50.15" customHeight="1">
      <c r="A464" s="140">
        <v>10</v>
      </c>
      <c r="B464" s="140" cm="1">
        <f t="array" ref="B464">IF(A464&gt;Class1_CurrentHealthCount,"DELETE",Class1_CurrentHealthStart+A464)</f>
        <v>14</v>
      </c>
      <c r="C464" s="164" t="s">
        <v>283</v>
      </c>
      <c r="D464" s="273" t="e">
        <f ca="1">IF(B464="Delete","",VLOOKUP(F464,BEGIN_CURRENT_HEALTH:END_CURRENT_HEALTH,3,FALSE))</f>
        <v>#N/A</v>
      </c>
      <c r="E464" s="165"/>
      <c r="F464" s="272" cm="1">
        <f t="array" ca="1" aca="1" ref="F464">IF(B464="Delete","",INDIRECT("CurrentPlans!A"&amp;B464,TRUE))</f>
        <v>0</v>
      </c>
      <c r="G464" s="166"/>
      <c r="H464" s="167"/>
      <c r="I464" s="168"/>
      <c r="J464" s="169"/>
      <c r="K464"/>
      <c r="L464" s="274" t="str">
        <f ca="1">_xlfn.IFNA(VLOOKUP(F464,BEGIN_RENEWEDFROM_HEALTH:ROW_RenewHealth_PlanID,3,FALSE),"SELECT PLAN")</f>
        <v>SELECT PLAN</v>
      </c>
      <c r="M464" s="170"/>
      <c r="N464" s="274" t="s">
        <v>237</v>
      </c>
      <c r="O464" s="171"/>
      <c r="P464" s="171"/>
      <c r="Q464" s="171"/>
      <c r="R464" s="169"/>
      <c r="T464" s="274" t="s">
        <v>38</v>
      </c>
      <c r="U464" s="170"/>
      <c r="V464" s="274" t="s">
        <v>237</v>
      </c>
      <c r="W464" s="171"/>
      <c r="X464" s="171"/>
      <c r="Y464" s="171"/>
      <c r="Z464" s="169"/>
    </row>
    <row r="465" spans="4:26" ht="18.75" customHeight="1">
      <c r="D465" s="172" t="s">
        <v>238</v>
      </c>
      <c r="E465" s="407" t="str">
        <f ca="1">_xlfn.IFNA(VLOOKUP(F464,BEGIN_CURRENT_HEALTH:END_CURRENT_HEALTH,CURRENT_COL_EO_count,FALSE),"")</f>
        <v/>
      </c>
      <c r="F465" s="408" t="str">
        <f ca="1">_xlfn.IFNA(VLOOKUP(F464,BEGIN_CURRENT_HEALTH:END_CURRENT_HEALTH,CURRENT_COL_EO,FALSE),"")</f>
        <v/>
      </c>
      <c r="G465" s="468" t="str">
        <f ca="1" t="shared" si="47" ref="G465:G468">IF(F465="","",H465/F465)</f>
        <v/>
      </c>
      <c r="H465" s="408" t="str">
        <f ca="1">_xlfn.IFNA(VLOOKUP(F464,BEGIN_CURRENT_HEALTH:END_CURRENT_HEALTH,CURRENT_COL_EOContrib,FALSE),"")</f>
        <v/>
      </c>
      <c r="I465" s="409" t="str">
        <f ca="1">IFERROR(F465-H465,"")</f>
        <v/>
      </c>
      <c r="J465" s="410" t="str">
        <f ca="1">IF(F465="","",H465*E465)</f>
        <v/>
      </c>
      <c r="K465" s="411"/>
      <c r="L465" s="408" t="str" cm="1">
        <f t="array" ca="1" aca="1" ref="L465">_xlfn.IFNA(VLOOKUP(INDIRECT("L"&amp;ROW()-1)&amp;"_"&amp;$D$12,BEGIN_RENEW_HEALTH:END_RENEW_HEALTH,RENEW_COL_EO,FALSE),"")</f>
        <v/>
      </c>
      <c r="M465" s="412" t="str">
        <f ca="1">IF(E465="","",E465)</f>
        <v/>
      </c>
      <c r="N465" s="413"/>
      <c r="O465" s="414"/>
      <c r="P465" s="415" t="str">
        <f>IFERROR(IF($N464="Keep Contribution Same",H465,IF($N464="Enter Percentages",IF(N465="","",N465*L465),IF($N464="Keep Percentage Same",IF(G465="","",G465*L465),IF($N464="Enter Dollar Amount",IF(O465="","",O465),"")))),"")</f>
        <v/>
      </c>
      <c r="Q465" s="408" t="str">
        <f ca="1">IFERROR(L465-P465,"")</f>
        <v/>
      </c>
      <c r="R465" s="410" t="str">
        <f>IFERROR(IF(P465="","",M465*P465),"")</f>
        <v/>
      </c>
      <c r="S465" s="411"/>
      <c r="T465" s="408" t="str" cm="1">
        <f t="array" ca="1" aca="1" ref="T465">_xlfn.IFNA(VLOOKUP(INDIRECT("T"&amp;ROW()-1)&amp;"_"&amp;$D$12,BEGIN_RENEW_HEALTH:END_RENEW_HEALTH,RENEW_COL_EO,FALSE),"")</f>
        <v/>
      </c>
      <c r="U465" s="412" t="str">
        <f ca="1">IF(E465="","",E465)</f>
        <v/>
      </c>
      <c r="V465" s="413"/>
      <c r="W465" s="414"/>
      <c r="X465" s="415" t="str">
        <f>IFERROR(IF($V464="Keep Contribution Same",H465,IF($V464="Enter Percentages",IF(V465="","",V465*T465),IF($V464="Keep Percentage Same",IF(G465="","",G465*T465),IF($V464="Enter Dollar Amount",IF(W465="","",W465),"")))),"")</f>
        <v/>
      </c>
      <c r="Y465" s="408" t="str">
        <f ca="1">IFERROR(T465-X465,"")</f>
        <v/>
      </c>
      <c r="Z465" s="410" t="str">
        <f>IFERROR(IF(X465="","",U465*X465),"")</f>
        <v/>
      </c>
    </row>
    <row r="466" spans="4:26" ht="18.75" customHeight="1">
      <c r="D466" s="172" t="s">
        <v>239</v>
      </c>
      <c r="E466" s="407" t="str">
        <f ca="1">_xlfn.IFNA(VLOOKUP(F464,BEGIN_CURRENT_HEALTH:END_CURRENT_HEALTH,CURRENT_COL_ES_count,FALSE),"")</f>
        <v/>
      </c>
      <c r="F466" s="408" t="str">
        <f ca="1">_xlfn.IFNA(VLOOKUP(F464,BEGIN_CURRENT_HEALTH:END_CURRENT_HEALTH,CURRENT_COL_ES,FALSE),"")</f>
        <v/>
      </c>
      <c r="G466" s="468" t="str">
        <f t="shared" ca="1" si="47"/>
        <v/>
      </c>
      <c r="H466" s="408" t="str">
        <f ca="1">_xlfn.IFNA(VLOOKUP(F464,BEGIN_CURRENT_HEALTH:END_CURRENT_HEALTH,CURRENT_COL_ESContrib,FALSE),"")</f>
        <v/>
      </c>
      <c r="I466" s="409" t="str">
        <f ca="1" t="shared" si="48" ref="I466:I468">IFERROR(F466-H466,"")</f>
        <v/>
      </c>
      <c r="J466" s="410" t="str">
        <f ca="1">IF(F466="","",H466*E466)</f>
        <v/>
      </c>
      <c r="K466" s="411"/>
      <c r="L466" s="408" t="str" cm="1">
        <f t="array" ca="1" aca="1" ref="L466">_xlfn.IFNA(VLOOKUP(INDIRECT("L"&amp;ROW()-2)&amp;"_"&amp;$D$12,BEGIN_RENEW_HEALTH:END_RENEW_HEALTH,RENEW_COL_ES,FALSE),"")</f>
        <v/>
      </c>
      <c r="M466" s="412" t="str">
        <f ca="1">IF(E466="","",E466)</f>
        <v/>
      </c>
      <c r="N466" s="413"/>
      <c r="O466" s="414"/>
      <c r="P466" s="415" t="str">
        <f>IFERROR(IF($N464="Keep Contribution Same",H466,IF($N464="Enter Percentages",IF(N466="","",N466*L466),IF($N464="Keep Percentage Same",IF(G466="","",G466*L466),IF($N464="Enter Dollar Amount",IF(O466="","",O466),"")))),"")</f>
        <v/>
      </c>
      <c r="Q466" s="408" t="str">
        <f ca="1">IFERROR(L466-P466,"")</f>
        <v/>
      </c>
      <c r="R466" s="410" t="str">
        <f>IFERROR(IF(P466="","",M466*P466),"")</f>
        <v/>
      </c>
      <c r="S466" s="411"/>
      <c r="T466" s="408" t="str" cm="1">
        <f t="array" ca="1" aca="1" ref="T466">_xlfn.IFNA(VLOOKUP(INDIRECT("T"&amp;ROW()-2)&amp;"_"&amp;$D$12,BEGIN_RENEW_HEALTH:END_RENEW_HEALTH,RENEW_COL_ES,FALSE),"")</f>
        <v/>
      </c>
      <c r="U466" s="412" t="str">
        <f ca="1" t="shared" si="49" ref="U466:U468">IF(E466="","",E466)</f>
        <v/>
      </c>
      <c r="V466" s="413"/>
      <c r="W466" s="414"/>
      <c r="X466" s="415" t="str">
        <f>IFERROR(IF($V464="Keep Contribution Same",H466,IF($V464="Enter Percentages",IF(V466="","",V466*T466),IF($V464="Keep Percentage Same",IF(G466="","",G466*T466),IF($V464="Enter Dollar Amount",IF(W466="","",W466),"")))),"")</f>
        <v/>
      </c>
      <c r="Y466" s="408" t="str">
        <f ca="1" t="shared" si="50" ref="Y466:Y468">IFERROR(T466-X466,"")</f>
        <v/>
      </c>
      <c r="Z466" s="410" t="str">
        <f t="shared" si="51" ref="Z466:Z468">IFERROR(IF(X466="","",U466*X466),"")</f>
        <v/>
      </c>
    </row>
    <row r="467" spans="4:26" ht="18.75" customHeight="1">
      <c r="D467" s="172" t="s">
        <v>240</v>
      </c>
      <c r="E467" s="407" t="str">
        <f ca="1">_xlfn.IFNA(VLOOKUP(F464,BEGIN_CURRENT_HEALTH:END_CURRENT_HEALTH,CURRENT_COL_EC_count,FALSE),"")</f>
        <v/>
      </c>
      <c r="F467" s="408" t="str">
        <f ca="1">_xlfn.IFNA(VLOOKUP(F464,BEGIN_CURRENT_HEALTH:END_CURRENT_HEALTH,CURRENT_COL_EC,FALSE),"")</f>
        <v/>
      </c>
      <c r="G467" s="468" t="str">
        <f t="shared" ca="1" si="47"/>
        <v/>
      </c>
      <c r="H467" s="408" t="str">
        <f ca="1">_xlfn.IFNA(VLOOKUP(F464,BEGIN_CURRENT_HEALTH:END_CURRENT_HEALTH,CURRENT_COL_ECContrib,FALSE),"")</f>
        <v/>
      </c>
      <c r="I467" s="409" t="str">
        <f t="shared" ca="1" si="48"/>
        <v/>
      </c>
      <c r="J467" s="410" t="str">
        <f ca="1">IF(F467="","",H467*E467)</f>
        <v/>
      </c>
      <c r="K467" s="411"/>
      <c r="L467" s="408" t="str" cm="1">
        <f t="array" ca="1" aca="1" ref="L467">_xlfn.IFNA(VLOOKUP(INDIRECT("L"&amp;ROW()-3)&amp;"_"&amp;$D$12,BEGIN_RENEW_HEALTH:END_RENEW_HEALTH,RENEW_COL_EC,FALSE),"")</f>
        <v/>
      </c>
      <c r="M467" s="412" t="str">
        <f ca="1">IF(E467="","",E467)</f>
        <v/>
      </c>
      <c r="N467" s="413"/>
      <c r="O467" s="414"/>
      <c r="P467" s="415" t="str">
        <f>IFERROR(IF($N464="Keep Contribution Same",H467,IF($N464="Enter Percentages",IF(N467="","",N467*L467),IF($N464="Keep Percentage Same",IF(G467="","",G467*L467),IF($N464="Enter Dollar Amount",IF(O467="","",O467),"")))),"")</f>
        <v/>
      </c>
      <c r="Q467" s="408" t="str">
        <f ca="1">IFERROR(L467-P467,"")</f>
        <v/>
      </c>
      <c r="R467" s="410" t="str">
        <f>IFERROR(IF(P467="","",M467*P467),"")</f>
        <v/>
      </c>
      <c r="S467" s="411"/>
      <c r="T467" s="408" t="str" cm="1">
        <f t="array" ca="1" aca="1" ref="T467">_xlfn.IFNA(VLOOKUP(INDIRECT("T"&amp;ROW()-3)&amp;"_"&amp;$D$12,BEGIN_RENEW_HEALTH:END_RENEW_HEALTH,RENEW_COL_EC,FALSE),"")</f>
        <v/>
      </c>
      <c r="U467" s="412" t="str">
        <f t="shared" ca="1" si="49"/>
        <v/>
      </c>
      <c r="V467" s="413"/>
      <c r="W467" s="414"/>
      <c r="X467" s="415" t="str">
        <f>IFERROR(IF($V464="Keep Contribution Same",H467,IF($V464="Enter Percentages",IF(V467="","",V467*T467),IF($V464="Keep Percentage Same",IF(G467="","",G467*T467),IF($V464="Enter Dollar Amount",IF(W467="","",W467),"")))),"")</f>
        <v/>
      </c>
      <c r="Y467" s="408" t="str">
        <f t="shared" ca="1" si="50"/>
        <v/>
      </c>
      <c r="Z467" s="410" t="str">
        <f t="shared" si="51"/>
        <v/>
      </c>
    </row>
    <row r="468" spans="4:26" ht="18.75" customHeight="1" thickBot="1">
      <c r="D468" s="174" t="s">
        <v>241</v>
      </c>
      <c r="E468" s="416" t="str">
        <f ca="1">_xlfn.IFNA(VLOOKUP(F464,BEGIN_CURRENT_HEALTH:END_CURRENT_HEALTH,CURRENT_COL_FAM_count,FALSE),"")</f>
        <v/>
      </c>
      <c r="F468" s="417" t="str">
        <f ca="1">_xlfn.IFNA(VLOOKUP(F464,BEGIN_CURRENT_HEALTH:END_CURRENT_HEALTH,CURRENT_COL_FAM,FALSE),"")</f>
        <v/>
      </c>
      <c r="G468" s="469" t="str">
        <f t="shared" ca="1" si="47"/>
        <v/>
      </c>
      <c r="H468" s="417" t="str">
        <f ca="1">_xlfn.IFNA(VLOOKUP(F464,BEGIN_CURRENT_HEALTH:END_CURRENT_HEALTH,CURRENT_COL_FAMContrib,FALSE),"")</f>
        <v/>
      </c>
      <c r="I468" s="418" t="str">
        <f t="shared" ca="1" si="48"/>
        <v/>
      </c>
      <c r="J468" s="419" t="str">
        <f ca="1">IF(F468="","",H468*E468)</f>
        <v/>
      </c>
      <c r="K468" s="411"/>
      <c r="L468" s="417" t="str" cm="1">
        <f t="array" ca="1" aca="1" ref="L468">_xlfn.IFNA(VLOOKUP(INDIRECT("L"&amp;ROW()-4)&amp;"_"&amp;$D$12,BEGIN_RENEW_HEALTH:END_RENEW_HEALTH,RENEW_COL_FAM,FALSE),"")</f>
        <v/>
      </c>
      <c r="M468" s="412" t="str">
        <f ca="1">IF(E468="","",E468)</f>
        <v/>
      </c>
      <c r="N468" s="420"/>
      <c r="O468" s="421"/>
      <c r="P468" s="422" t="str">
        <f>IFERROR(IF($N464="Keep Contribution Same",H468,IF($N464="Enter Percentages",IF(N468="","",N468*L468),IF($N464="Keep Percentage Same",IF(G468="","",G468*L468),IF($N464="Enter Dollar Amount",IF(O468="","",O468),"")))),"")</f>
        <v/>
      </c>
      <c r="Q468" s="422" t="str">
        <f ca="1">IFERROR(L468-P468,"")</f>
        <v/>
      </c>
      <c r="R468" s="410" t="str">
        <f>IFERROR(IF(P468="","",M468*P468),"")</f>
        <v/>
      </c>
      <c r="S468" s="411"/>
      <c r="T468" s="417" t="str" cm="1">
        <f t="array" ca="1" aca="1" ref="T468">_xlfn.IFNA(VLOOKUP(INDIRECT("T"&amp;ROW()-4)&amp;"_"&amp;$D$12,BEGIN_RENEW_HEALTH:END_RENEW_HEALTH,RENEW_COL_FAM,FALSE),"")</f>
        <v/>
      </c>
      <c r="U468" s="423" t="str">
        <f t="shared" ca="1" si="49"/>
        <v/>
      </c>
      <c r="V468" s="420"/>
      <c r="W468" s="421"/>
      <c r="X468" s="422" t="str">
        <f>IFERROR(IF($V464="Keep Contribution Same",H468,IF($V464="Enter Percentages",IF(V468="","",V468*T468),IF($V464="Keep Percentage Same",IF(G468="","",G468*T468),IF($V464="Enter Dollar Amount",IF(W468="","",W468),"")))),"")</f>
        <v/>
      </c>
      <c r="Y468" s="417" t="str">
        <f t="shared" ca="1" si="50"/>
        <v/>
      </c>
      <c r="Z468" s="419" t="str">
        <f t="shared" si="51"/>
        <v/>
      </c>
    </row>
    <row r="469" spans="4:26" ht="18.75" customHeight="1" thickTop="1">
      <c r="D469" s="175" t="s">
        <v>242</v>
      </c>
      <c r="E469" s="424"/>
      <c r="F469" s="425" t="str">
        <f ca="1">IFERROR((F465*E465)+(F466*E466)+(F467*E467)+(F468*E468),"")</f>
        <v/>
      </c>
      <c r="G469" s="426"/>
      <c r="H469" s="427"/>
      <c r="I469" s="428"/>
      <c r="J469" s="429" t="str">
        <f ca="1">IFERROR(IF(J465="","",SUM(J465:J468)),0)</f>
        <v/>
      </c>
      <c r="K469" s="1"/>
      <c r="L469" s="430" t="str">
        <f ca="1">IFERROR((M465*L465)+(M466*L466)+(M467*L467)+(M468*L468),"")</f>
        <v/>
      </c>
      <c r="M469" s="427"/>
      <c r="N469" s="426"/>
      <c r="O469" s="427"/>
      <c r="P469" s="431"/>
      <c r="Q469" s="432"/>
      <c r="R469" s="429" t="str">
        <f>IFERROR(IF(R465="","",SUM(R465:R468)),0)</f>
        <v/>
      </c>
      <c r="T469" s="430" t="str">
        <f ca="1">IFERROR((U465*T465)+(U466*T466)+(U467*T467)+(U468*T468),"")</f>
        <v/>
      </c>
      <c r="U469" s="427"/>
      <c r="V469" s="426"/>
      <c r="W469" s="427"/>
      <c r="X469" s="431"/>
      <c r="Y469" s="432"/>
      <c r="Z469" s="429" t="str">
        <f>IFERROR(IF(Z465="","",SUM(Z465:Z468)),0)</f>
        <v/>
      </c>
    </row>
    <row r="470" spans="4:26" ht="19.5" customHeight="1">
      <c r="D470" s="177" t="s">
        <v>243</v>
      </c>
      <c r="E470" s="433"/>
      <c r="F470" s="434" t="str">
        <f ca="1">IFERROR(F469*12,"")</f>
        <v/>
      </c>
      <c r="G470" s="435"/>
      <c r="H470" s="436"/>
      <c r="I470" s="432"/>
      <c r="J470" s="437" t="str">
        <f ca="1">IF(J469="","",J469*12)</f>
        <v/>
      </c>
      <c r="K470" s="1"/>
      <c r="L470" s="438" t="str">
        <f ca="1">IFERROR(L469*12,"")</f>
        <v/>
      </c>
      <c r="M470" s="436"/>
      <c r="N470" s="435"/>
      <c r="O470" s="436"/>
      <c r="P470" s="432"/>
      <c r="Q470" s="432"/>
      <c r="R470" s="437" t="str">
        <f>IF(R469="","",R469*12)</f>
        <v/>
      </c>
      <c r="T470" s="438" t="str">
        <f ca="1">IFERROR(T469*12,"")</f>
        <v/>
      </c>
      <c r="U470" s="436"/>
      <c r="V470" s="435"/>
      <c r="W470" s="436"/>
      <c r="X470" s="432"/>
      <c r="Y470" s="432"/>
      <c r="Z470" s="437" t="str">
        <f>IF(Z469="","",Z469*12)</f>
        <v/>
      </c>
    </row>
    <row r="471" spans="4:26" ht="19.5" customHeight="1">
      <c r="D471" s="177" t="s">
        <v>244</v>
      </c>
      <c r="E471" s="433"/>
      <c r="F471" s="436"/>
      <c r="G471" s="435"/>
      <c r="H471" s="436"/>
      <c r="I471" s="432"/>
      <c r="J471" s="437"/>
      <c r="K471" s="1"/>
      <c r="L471" s="434" t="str">
        <f ca="1">IFERROR(L470-F470,"")</f>
        <v/>
      </c>
      <c r="M471" s="436"/>
      <c r="N471" s="435"/>
      <c r="O471" s="436"/>
      <c r="P471" s="432"/>
      <c r="Q471" s="432"/>
      <c r="R471" s="437" t="str">
        <f ca="1">IFERROR(IF(J470="","",R470-J470),0)</f>
        <v/>
      </c>
      <c r="T471" s="434" t="str">
        <f ca="1">IFERROR(T470-F470,"")</f>
        <v/>
      </c>
      <c r="U471" s="436"/>
      <c r="V471" s="435"/>
      <c r="W471" s="436"/>
      <c r="X471" s="432"/>
      <c r="Y471" s="432"/>
      <c r="Z471" s="437" t="str">
        <f>IFERROR(IF(R470="","",Z470-R470),0)</f>
        <v/>
      </c>
    </row>
    <row r="472" spans="4:26" ht="19.5" customHeight="1" thickBot="1">
      <c r="D472" s="180" t="s">
        <v>245</v>
      </c>
      <c r="E472" s="439"/>
      <c r="F472" s="440"/>
      <c r="G472" s="441"/>
      <c r="H472" s="440"/>
      <c r="I472" s="442"/>
      <c r="J472" s="443"/>
      <c r="K472" s="1"/>
      <c r="L472" s="444" t="str">
        <f ca="1">IFERROR(L470/F470-1,"")</f>
        <v/>
      </c>
      <c r="M472" s="440"/>
      <c r="N472" s="441"/>
      <c r="O472" s="440"/>
      <c r="P472" s="445"/>
      <c r="Q472" s="445"/>
      <c r="R472" s="446" t="str">
        <f ca="1">IFERROR(IF(J470="","",(R470/J470)-1),0)</f>
        <v/>
      </c>
      <c r="T472" s="444" t="str">
        <f ca="1">IFERROR(T470/F470-1,"")</f>
        <v/>
      </c>
      <c r="U472" s="440"/>
      <c r="V472" s="441"/>
      <c r="W472" s="440"/>
      <c r="X472" s="445"/>
      <c r="Y472" s="445"/>
      <c r="Z472" s="446" t="str">
        <f>IFERROR(IF(R470="","",(Z470/R470)-1),0)</f>
        <v/>
      </c>
    </row>
    <row r="473" spans="4:26" ht="19.5" customHeight="1">
      <c r="D473" s="181" t="s">
        <v>246</v>
      </c>
      <c r="E473" s="182"/>
      <c r="F473" s="182"/>
      <c r="G473" s="182"/>
      <c r="H473" s="182"/>
      <c r="I473" s="182"/>
      <c r="J473" s="183"/>
      <c r="K473"/>
      <c r="L473" s="184"/>
      <c r="M473" s="182"/>
      <c r="N473" s="182"/>
      <c r="O473" s="182"/>
      <c r="P473" s="182"/>
      <c r="Q473" s="182"/>
      <c r="R473" s="183"/>
      <c r="T473" s="184"/>
      <c r="U473" s="182"/>
      <c r="V473" s="182"/>
      <c r="W473" s="182"/>
      <c r="X473" s="182"/>
      <c r="Y473" s="182"/>
      <c r="Z473" s="183"/>
    </row>
    <row r="474" spans="4:26" ht="19.5" customHeight="1" hidden="1">
      <c r="D474" s="185" t="s">
        <v>247</v>
      </c>
      <c r="E474" s="186"/>
      <c r="F474" s="186"/>
      <c r="G474" s="186"/>
      <c r="H474" s="186"/>
      <c r="I474" s="186"/>
      <c r="J474" s="187"/>
      <c r="K474"/>
      <c r="L474" s="188"/>
      <c r="M474" s="186"/>
      <c r="N474" s="186"/>
      <c r="O474" s="186"/>
      <c r="P474" s="186"/>
      <c r="Q474" s="186"/>
      <c r="R474" s="187"/>
      <c r="T474" s="188"/>
      <c r="U474" s="186"/>
      <c r="V474" s="186"/>
      <c r="W474" s="186"/>
      <c r="X474" s="186"/>
      <c r="Y474" s="186"/>
      <c r="Z474" s="187"/>
    </row>
    <row r="475" spans="4:26" ht="19.5" customHeight="1" hidden="1">
      <c r="D475" s="189" t="s">
        <v>248</v>
      </c>
      <c r="E475" s="190" t="e">
        <f ca="1">D464&amp;"_"&amp;D12</f>
        <v>#N/A</v>
      </c>
      <c r="F475" s="191"/>
      <c r="G475" s="191"/>
      <c r="H475" s="191"/>
      <c r="I475" s="190"/>
      <c r="J475" s="192"/>
      <c r="K475"/>
      <c r="L475" s="193" t="str">
        <f ca="1">L464&amp;"_"&amp;D12</f>
        <v>SELECT PLAN_MANAGERS</v>
      </c>
      <c r="M475" s="191"/>
      <c r="N475" s="191"/>
      <c r="O475" s="191"/>
      <c r="P475" s="190"/>
      <c r="Q475" s="191"/>
      <c r="R475" s="192"/>
      <c r="T475" s="193" t="str">
        <f>T464&amp;"_"&amp;D12</f>
        <v>SELECT PLAN_MANAGERS</v>
      </c>
      <c r="U475" s="191"/>
      <c r="V475" s="191"/>
      <c r="W475" s="191"/>
      <c r="X475" s="190"/>
      <c r="Y475" s="191"/>
      <c r="Z475" s="192"/>
    </row>
    <row r="476" spans="4:26" ht="19.5" customHeight="1" hidden="1">
      <c r="D476" s="189" t="s">
        <v>249</v>
      </c>
      <c r="E476" s="191"/>
      <c r="F476" s="191"/>
      <c r="G476" s="191"/>
      <c r="H476" s="191"/>
      <c r="I476" s="191"/>
      <c r="J476" s="192"/>
      <c r="K476"/>
      <c r="L476" s="189"/>
      <c r="M476" s="191"/>
      <c r="N476" s="191"/>
      <c r="O476" s="191"/>
      <c r="P476" s="191"/>
      <c r="Q476" s="191"/>
      <c r="R476" s="192"/>
      <c r="T476" s="189"/>
      <c r="U476" s="191"/>
      <c r="V476" s="191"/>
      <c r="W476" s="191"/>
      <c r="X476" s="191"/>
      <c r="Y476" s="191"/>
      <c r="Z476" s="192"/>
    </row>
    <row r="477" spans="4:26" ht="19.5" customHeight="1" hidden="1">
      <c r="D477" s="194" t="s">
        <v>250</v>
      </c>
      <c r="E477" s="195"/>
      <c r="F477" s="195"/>
      <c r="G477" s="195"/>
      <c r="H477" s="195"/>
      <c r="I477" s="195"/>
      <c r="J477" s="196"/>
      <c r="K477"/>
      <c r="L477" s="197"/>
      <c r="M477" s="195"/>
      <c r="N477" s="195"/>
      <c r="O477" s="195"/>
      <c r="P477" s="195"/>
      <c r="Q477" s="195"/>
      <c r="R477" s="196"/>
      <c r="T477" s="197"/>
      <c r="U477" s="195"/>
      <c r="V477" s="195"/>
      <c r="W477" s="195"/>
      <c r="X477" s="195"/>
      <c r="Y477" s="195"/>
      <c r="Z477" s="196"/>
    </row>
    <row r="478" spans="4:26" ht="19.5" customHeight="1" hidden="1">
      <c r="D478" s="198" t="s">
        <v>251</v>
      </c>
      <c r="E478" s="199" t="e">
        <f>_xlfn.XLOOKUP(E475,CurrentPlans!B:B,CurrentPlans!X:X,"NA",0,1)</f>
        <v>#N/A</v>
      </c>
      <c r="F478" s="200"/>
      <c r="G478" s="200"/>
      <c r="H478" s="200"/>
      <c r="I478" s="199"/>
      <c r="J478" s="201"/>
      <c r="K478"/>
      <c r="L478" s="202" t="str">
        <f ca="1">_xlfn.XLOOKUP(L475,RenewalPlans!B:B,RenewalPlans!AA:AA,"NA",0,1)</f>
        <v>NA</v>
      </c>
      <c r="M478" s="200"/>
      <c r="N478" s="200"/>
      <c r="O478" s="200"/>
      <c r="P478" s="199"/>
      <c r="Q478" s="200"/>
      <c r="R478" s="201"/>
      <c r="T478" s="202" t="str">
        <f>_xlfn.XLOOKUP(T475,RenewalPlans!B:B,RenewalPlans!AA:AA,"NA",0,1)</f>
        <v>NA</v>
      </c>
      <c r="U478" s="200"/>
      <c r="V478" s="200"/>
      <c r="W478" s="200"/>
      <c r="X478" s="199"/>
      <c r="Y478" s="200"/>
      <c r="Z478" s="201"/>
    </row>
    <row r="479" spans="4:26" ht="19.5" customHeight="1" hidden="1">
      <c r="D479" s="198" t="s">
        <v>252</v>
      </c>
      <c r="E479" s="199" t="e">
        <f>_xlfn.XLOOKUP(E475,CurrentPlans!B:B,CurrentPlans!Y:Y,"NA",0,1)</f>
        <v>#N/A</v>
      </c>
      <c r="F479" s="200"/>
      <c r="G479" s="200"/>
      <c r="H479" s="200"/>
      <c r="I479" s="199"/>
      <c r="J479" s="201"/>
      <c r="K479"/>
      <c r="L479" s="202" t="str">
        <f ca="1">_xlfn.XLOOKUP(L475,RenewalPlans!B:B,RenewalPlans!AB:AB,"NA",0,1)</f>
        <v>NA</v>
      </c>
      <c r="M479" s="200"/>
      <c r="N479" s="200"/>
      <c r="O479" s="200"/>
      <c r="P479" s="199"/>
      <c r="Q479" s="200"/>
      <c r="R479" s="201"/>
      <c r="T479" s="202" t="str">
        <f>_xlfn.XLOOKUP(T475,RenewalPlans!B:B,RenewalPlans!AB:AB,"NA",0,1)</f>
        <v>NA</v>
      </c>
      <c r="U479" s="200"/>
      <c r="V479" s="200"/>
      <c r="W479" s="200"/>
      <c r="X479" s="199"/>
      <c r="Y479" s="200"/>
      <c r="Z479" s="201"/>
    </row>
    <row r="480" spans="4:26" ht="19.5" customHeight="1" hidden="1">
      <c r="D480" s="120" t="s">
        <v>253</v>
      </c>
      <c r="E480" s="121" t="e">
        <f>_xlfn.XLOOKUP(E475,CurrentPlans!B:B,CurrentPlans!W:W,"NA",0,1)</f>
        <v>#N/A</v>
      </c>
      <c r="F480" s="122"/>
      <c r="G480" s="122"/>
      <c r="H480" s="122"/>
      <c r="I480" s="121"/>
      <c r="J480" s="123"/>
      <c r="K480"/>
      <c r="L480" s="124" t="str">
        <f ca="1">_xlfn.XLOOKUP(L475,RenewalPlans!B:B,RenewalPlans!Z:Z,"NA",0,1)</f>
        <v>NA</v>
      </c>
      <c r="M480" s="122"/>
      <c r="N480" s="122"/>
      <c r="O480" s="122"/>
      <c r="P480" s="121"/>
      <c r="Q480" s="122"/>
      <c r="R480" s="123"/>
      <c r="T480" s="124" t="str">
        <f>_xlfn.XLOOKUP(T475,RenewalPlans!B:B,RenewalPlans!Z:Z,"NA",0,1)</f>
        <v>NA</v>
      </c>
      <c r="U480" s="122"/>
      <c r="V480" s="122"/>
      <c r="W480" s="122"/>
      <c r="X480" s="121"/>
      <c r="Y480" s="122"/>
      <c r="Z480" s="123"/>
    </row>
    <row r="481" spans="4:26" ht="19.5" customHeight="1" hidden="1">
      <c r="D481" s="203" t="s">
        <v>254</v>
      </c>
      <c r="E481" s="204"/>
      <c r="F481" s="205"/>
      <c r="G481" s="205"/>
      <c r="H481" s="205"/>
      <c r="I481" s="204"/>
      <c r="J481" s="206"/>
      <c r="K481"/>
      <c r="L481" s="207"/>
      <c r="M481" s="205"/>
      <c r="N481" s="205"/>
      <c r="O481" s="205"/>
      <c r="P481" s="204"/>
      <c r="Q481" s="205"/>
      <c r="R481" s="206"/>
      <c r="T481" s="207"/>
      <c r="U481" s="205"/>
      <c r="V481" s="205"/>
      <c r="W481" s="205"/>
      <c r="X481" s="204"/>
      <c r="Y481" s="205"/>
      <c r="Z481" s="206"/>
    </row>
    <row r="482" spans="4:26" ht="19.5" customHeight="1" hidden="1">
      <c r="D482" s="125" t="s">
        <v>255</v>
      </c>
      <c r="E482" s="126" t="e">
        <f>_xlfn.XLOOKUP(E475,CurrentPlans!B:B,CurrentPlans!Z:Z,"NA",0,1)</f>
        <v>#N/A</v>
      </c>
      <c r="F482" s="127"/>
      <c r="G482" s="127"/>
      <c r="H482" s="127"/>
      <c r="I482" s="126"/>
      <c r="J482" s="128"/>
      <c r="K482"/>
      <c r="L482" s="129" t="str">
        <f ca="1">_xlfn.XLOOKUP(L475,RenewalPlans!B:B,RenewalPlans!AC:AC,"NA",0,1)</f>
        <v>NA</v>
      </c>
      <c r="M482" s="127"/>
      <c r="N482" s="127"/>
      <c r="O482" s="127"/>
      <c r="P482" s="126"/>
      <c r="Q482" s="127"/>
      <c r="R482" s="128"/>
      <c r="T482" s="129" t="str">
        <f>_xlfn.XLOOKUP(T475,RenewalPlans!B:B,RenewalPlans!AC:AC,"NA",0,1)</f>
        <v>NA</v>
      </c>
      <c r="U482" s="127"/>
      <c r="V482" s="127"/>
      <c r="W482" s="127"/>
      <c r="X482" s="126"/>
      <c r="Y482" s="127"/>
      <c r="Z482" s="128"/>
    </row>
    <row r="483" spans="4:26" ht="19.5" customHeight="1" hidden="1">
      <c r="D483" s="198" t="s">
        <v>256</v>
      </c>
      <c r="E483" s="208" t="e">
        <f>_xlfn.XLOOKUP(E475,CurrentPlans!B:B,CurrentPlans!AA:AA,"NA",0,1)</f>
        <v>#N/A</v>
      </c>
      <c r="F483" s="200"/>
      <c r="G483" s="200"/>
      <c r="H483" s="200"/>
      <c r="I483" s="208"/>
      <c r="J483" s="201"/>
      <c r="K483"/>
      <c r="L483" s="209" t="str">
        <f ca="1">_xlfn.XLOOKUP(L475,RenewalPlans!B:B,RenewalPlans!AD:AD,"NA",0,1)</f>
        <v>NA</v>
      </c>
      <c r="M483" s="200"/>
      <c r="N483" s="200"/>
      <c r="O483" s="200"/>
      <c r="P483" s="208"/>
      <c r="Q483" s="200"/>
      <c r="R483" s="201"/>
      <c r="T483" s="209" t="str">
        <f>_xlfn.XLOOKUP(T475,RenewalPlans!B:B,RenewalPlans!AD:AD,"NA",0,1)</f>
        <v>NA</v>
      </c>
      <c r="U483" s="200"/>
      <c r="V483" s="200"/>
      <c r="W483" s="200"/>
      <c r="X483" s="208"/>
      <c r="Y483" s="200"/>
      <c r="Z483" s="201"/>
    </row>
    <row r="484" spans="4:26" ht="19.5" customHeight="1" hidden="1">
      <c r="D484" s="203" t="s">
        <v>257</v>
      </c>
      <c r="E484" s="204"/>
      <c r="F484" s="205"/>
      <c r="G484" s="205"/>
      <c r="H484" s="205"/>
      <c r="I484" s="204"/>
      <c r="J484" s="206"/>
      <c r="K484"/>
      <c r="L484" s="207"/>
      <c r="M484" s="205"/>
      <c r="N484" s="205"/>
      <c r="O484" s="205"/>
      <c r="P484" s="204"/>
      <c r="Q484" s="205"/>
      <c r="R484" s="206"/>
      <c r="T484" s="207"/>
      <c r="U484" s="205"/>
      <c r="V484" s="205"/>
      <c r="W484" s="205"/>
      <c r="X484" s="204"/>
      <c r="Y484" s="205"/>
      <c r="Z484" s="206"/>
    </row>
    <row r="485" spans="4:26" ht="19.5" customHeight="1" hidden="1">
      <c r="D485" s="198" t="s">
        <v>258</v>
      </c>
      <c r="E485" s="208" t="e">
        <f>_xlfn.XLOOKUP(E475,CurrentPlans!B:B,CurrentPlans!AB:AB,"NA",0,1)</f>
        <v>#N/A</v>
      </c>
      <c r="F485" s="200"/>
      <c r="G485" s="200"/>
      <c r="H485" s="200"/>
      <c r="I485" s="208"/>
      <c r="J485" s="201"/>
      <c r="K485"/>
      <c r="L485" s="209" t="str">
        <f ca="1">_xlfn.XLOOKUP(L475,RenewalPlans!B:B,RenewalPlans!AE:AE,"NA",0,1)</f>
        <v>NA</v>
      </c>
      <c r="M485" s="200"/>
      <c r="N485" s="200"/>
      <c r="O485" s="200"/>
      <c r="P485" s="208"/>
      <c r="Q485" s="200"/>
      <c r="R485" s="201"/>
      <c r="T485" s="209" t="str">
        <f>_xlfn.XLOOKUP(T475,RenewalPlans!B:B,RenewalPlans!AE:AE,"NA",0,1)</f>
        <v>NA</v>
      </c>
      <c r="U485" s="200"/>
      <c r="V485" s="200"/>
      <c r="W485" s="200"/>
      <c r="X485" s="208"/>
      <c r="Y485" s="200"/>
      <c r="Z485" s="201"/>
    </row>
    <row r="486" spans="4:26" ht="19.5" customHeight="1" hidden="1">
      <c r="D486" s="198" t="s">
        <v>259</v>
      </c>
      <c r="E486" s="208" t="e">
        <f>_xlfn.XLOOKUP(E475,CurrentPlans!B:B,CurrentPlans!AC:AC,"NA",0,1)</f>
        <v>#N/A</v>
      </c>
      <c r="F486" s="200"/>
      <c r="G486" s="200"/>
      <c r="H486" s="200"/>
      <c r="I486" s="208"/>
      <c r="J486" s="201"/>
      <c r="K486"/>
      <c r="L486" s="209" t="str">
        <f ca="1">_xlfn.XLOOKUP(L475,RenewalPlans!B:B,RenewalPlans!AF:AF,"NA",0,1)</f>
        <v>NA</v>
      </c>
      <c r="M486" s="200"/>
      <c r="N486" s="200"/>
      <c r="O486" s="200"/>
      <c r="P486" s="208"/>
      <c r="Q486" s="200"/>
      <c r="R486" s="201"/>
      <c r="T486" s="209" t="str">
        <f>_xlfn.XLOOKUP(T475,RenewalPlans!B:B,RenewalPlans!AF:AF,"NA",0,1)</f>
        <v>NA</v>
      </c>
      <c r="U486" s="200"/>
      <c r="V486" s="200"/>
      <c r="W486" s="200"/>
      <c r="X486" s="208"/>
      <c r="Y486" s="200"/>
      <c r="Z486" s="201"/>
    </row>
    <row r="487" spans="4:26" ht="19.5" customHeight="1" hidden="1">
      <c r="D487" s="210"/>
      <c r="E487" s="211"/>
      <c r="F487" s="211"/>
      <c r="G487" s="211"/>
      <c r="H487" s="211"/>
      <c r="I487" s="211"/>
      <c r="J487" s="212"/>
      <c r="K487"/>
      <c r="L487" s="210"/>
      <c r="M487" s="211"/>
      <c r="N487" s="211"/>
      <c r="O487" s="211"/>
      <c r="P487" s="211"/>
      <c r="Q487" s="211"/>
      <c r="R487" s="212"/>
      <c r="T487" s="210"/>
      <c r="U487" s="211"/>
      <c r="V487" s="211"/>
      <c r="W487" s="211"/>
      <c r="X487" s="211"/>
      <c r="Y487" s="211"/>
      <c r="Z487" s="212"/>
    </row>
    <row r="488" spans="4:26" ht="19.5" customHeight="1" hidden="1">
      <c r="D488" s="185" t="s">
        <v>260</v>
      </c>
      <c r="E488" s="186"/>
      <c r="F488" s="186"/>
      <c r="G488" s="186"/>
      <c r="H488" s="186"/>
      <c r="I488" s="186"/>
      <c r="J488" s="187"/>
      <c r="K488"/>
      <c r="L488" s="188"/>
      <c r="M488" s="186"/>
      <c r="N488" s="186"/>
      <c r="O488" s="186"/>
      <c r="P488" s="186"/>
      <c r="Q488" s="186"/>
      <c r="R488" s="187"/>
      <c r="T488" s="188"/>
      <c r="U488" s="186"/>
      <c r="V488" s="186"/>
      <c r="W488" s="186"/>
      <c r="X488" s="186"/>
      <c r="Y488" s="186"/>
      <c r="Z488" s="187"/>
    </row>
    <row r="489" spans="4:26" ht="19.5" customHeight="1" hidden="1">
      <c r="D489" s="213" t="s">
        <v>261</v>
      </c>
      <c r="E489" s="130" t="e">
        <f>_xlfn.XLOOKUP(E475,CurrentPlans!B:B,CurrentPlans!AJ:AJ,"NA",0,1)</f>
        <v>#N/A</v>
      </c>
      <c r="F489" s="214"/>
      <c r="G489" s="214"/>
      <c r="H489" s="214"/>
      <c r="I489" s="130"/>
      <c r="J489" s="215"/>
      <c r="K489"/>
      <c r="L489" s="131" t="str">
        <f ca="1">_xlfn.XLOOKUP(L475,RenewalPlans!B:B,RenewalPlans!AM:AM,"NA",0,1)</f>
        <v>NA</v>
      </c>
      <c r="M489" s="214"/>
      <c r="N489" s="214"/>
      <c r="O489" s="214"/>
      <c r="P489" s="130"/>
      <c r="Q489" s="214"/>
      <c r="R489" s="215"/>
      <c r="T489" s="131" t="str">
        <f>_xlfn.XLOOKUP(T475,RenewalPlans!B:B,RenewalPlans!AM:AM,"NA",0,1)</f>
        <v>NA</v>
      </c>
      <c r="U489" s="214"/>
      <c r="V489" s="214"/>
      <c r="W489" s="214"/>
      <c r="X489" s="130"/>
      <c r="Y489" s="214"/>
      <c r="Z489" s="215"/>
    </row>
    <row r="490" spans="4:26" ht="19.5" customHeight="1" hidden="1">
      <c r="D490" s="198" t="s">
        <v>262</v>
      </c>
      <c r="E490" s="130" t="e">
        <f>_xlfn.XLOOKUP(E475,CurrentPlans!B:B,CurrentPlans!AM:AM,"NA",0,1)</f>
        <v>#N/A</v>
      </c>
      <c r="F490" s="200"/>
      <c r="G490" s="200"/>
      <c r="H490" s="200"/>
      <c r="I490" s="130"/>
      <c r="J490" s="201"/>
      <c r="K490"/>
      <c r="L490" s="131" t="str">
        <f ca="1">_xlfn.XLOOKUP(L475,RenewalPlans!B:B,RenewalPlans!AP:AP,"NA",0,1)</f>
        <v>NA</v>
      </c>
      <c r="M490" s="200"/>
      <c r="N490" s="200"/>
      <c r="O490" s="200"/>
      <c r="P490" s="130"/>
      <c r="Q490" s="200"/>
      <c r="R490" s="201"/>
      <c r="T490" s="131" t="str">
        <f>_xlfn.XLOOKUP(T475,RenewalPlans!B:B,RenewalPlans!AP:AP,"NA",0,1)</f>
        <v>NA</v>
      </c>
      <c r="U490" s="200"/>
      <c r="V490" s="200"/>
      <c r="W490" s="200"/>
      <c r="X490" s="130"/>
      <c r="Y490" s="200"/>
      <c r="Z490" s="201"/>
    </row>
    <row r="491" spans="4:26" ht="19.5" customHeight="1" hidden="1">
      <c r="D491" s="198" t="s">
        <v>263</v>
      </c>
      <c r="E491" s="130" t="e">
        <f>_xlfn.XLOOKUP(E475,CurrentPlans!B:B,CurrentPlans!AI:AI,"NA",0,1)</f>
        <v>#N/A</v>
      </c>
      <c r="F491" s="200"/>
      <c r="G491" s="200"/>
      <c r="H491" s="200"/>
      <c r="I491" s="130"/>
      <c r="J491" s="201"/>
      <c r="K491"/>
      <c r="L491" s="131" t="str">
        <f ca="1">_xlfn.XLOOKUP(L475,RenewalPlans!B:B,RenewalPlans!AL:AL,"NA",0,1)</f>
        <v>NA</v>
      </c>
      <c r="M491" s="200"/>
      <c r="N491" s="200"/>
      <c r="O491" s="200"/>
      <c r="P491" s="130"/>
      <c r="Q491" s="200"/>
      <c r="R491" s="201"/>
      <c r="T491" s="131" t="str">
        <f>_xlfn.XLOOKUP(T475,RenewalPlans!B:B,RenewalPlans!AL:AL,"NA",0,1)</f>
        <v>NA</v>
      </c>
      <c r="U491" s="200"/>
      <c r="V491" s="200"/>
      <c r="W491" s="200"/>
      <c r="X491" s="130"/>
      <c r="Y491" s="200"/>
      <c r="Z491" s="201"/>
    </row>
    <row r="492" spans="4:26" ht="19.5" customHeight="1" hidden="1">
      <c r="D492" s="198" t="s">
        <v>264</v>
      </c>
      <c r="E492" s="208" t="e">
        <f>_xlfn.XLOOKUP(E475,CurrentPlans!B:B,CurrentPlans!AN:AN,"NA",0,1)</f>
        <v>#N/A</v>
      </c>
      <c r="F492" s="200"/>
      <c r="G492" s="200"/>
      <c r="H492" s="200"/>
      <c r="I492" s="208"/>
      <c r="J492" s="201"/>
      <c r="K492"/>
      <c r="L492" s="209" t="str">
        <f ca="1">_xlfn.XLOOKUP(L475,RenewalPlans!B:B,RenewalPlans!AQ:AQ,"NA",0,1)</f>
        <v>NA</v>
      </c>
      <c r="M492" s="200"/>
      <c r="N492" s="200"/>
      <c r="O492" s="200"/>
      <c r="P492" s="208"/>
      <c r="Q492" s="200"/>
      <c r="R492" s="201"/>
      <c r="T492" s="209" t="str">
        <f>_xlfn.XLOOKUP(T475,RenewalPlans!B:B,RenewalPlans!AQ:AQ,"NA",0,1)</f>
        <v>NA</v>
      </c>
      <c r="U492" s="200"/>
      <c r="V492" s="200"/>
      <c r="W492" s="200"/>
      <c r="X492" s="208"/>
      <c r="Y492" s="200"/>
      <c r="Z492" s="201"/>
    </row>
    <row r="493" spans="4:26" ht="19.5" customHeight="1" hidden="1">
      <c r="D493" s="210"/>
      <c r="E493" s="211"/>
      <c r="F493" s="211"/>
      <c r="G493" s="211"/>
      <c r="H493" s="211"/>
      <c r="I493" s="211"/>
      <c r="J493" s="212"/>
      <c r="K493"/>
      <c r="L493" s="210"/>
      <c r="M493" s="211"/>
      <c r="N493" s="211"/>
      <c r="O493" s="211"/>
      <c r="P493" s="211"/>
      <c r="Q493" s="211"/>
      <c r="R493" s="212"/>
      <c r="T493" s="210"/>
      <c r="U493" s="211"/>
      <c r="V493" s="211"/>
      <c r="W493" s="211"/>
      <c r="X493" s="211"/>
      <c r="Y493" s="211"/>
      <c r="Z493" s="212"/>
    </row>
    <row r="494" spans="4:26" ht="19.5" customHeight="1" hidden="1">
      <c r="D494" s="185" t="s">
        <v>265</v>
      </c>
      <c r="E494" s="186"/>
      <c r="F494" s="186"/>
      <c r="G494" s="186"/>
      <c r="H494" s="186"/>
      <c r="I494" s="186"/>
      <c r="J494" s="187"/>
      <c r="K494"/>
      <c r="L494" s="188"/>
      <c r="M494" s="186"/>
      <c r="N494" s="186"/>
      <c r="O494" s="186"/>
      <c r="P494" s="186"/>
      <c r="Q494" s="186"/>
      <c r="R494" s="187"/>
      <c r="T494" s="188"/>
      <c r="U494" s="186"/>
      <c r="V494" s="186"/>
      <c r="W494" s="186"/>
      <c r="X494" s="186"/>
      <c r="Y494" s="186"/>
      <c r="Z494" s="187"/>
    </row>
    <row r="495" spans="4:26" ht="19.5" customHeight="1" hidden="1">
      <c r="D495" s="132" t="s">
        <v>266</v>
      </c>
      <c r="E495" s="133" t="e">
        <f>_xlfn.XLOOKUP(E475,CurrentPlans!B:B,CurrentPlans!AE:AE,"NA",0,1)</f>
        <v>#N/A</v>
      </c>
      <c r="F495" s="134"/>
      <c r="G495" s="134"/>
      <c r="H495" s="134"/>
      <c r="I495" s="133"/>
      <c r="J495" s="135"/>
      <c r="K495"/>
      <c r="L495" s="136" t="str">
        <f ca="1">_xlfn.XLOOKUP(L475,RenewalPlans!B:B,RenewalPlans!AH:AH,"NA",0,1)</f>
        <v>NA</v>
      </c>
      <c r="M495" s="134"/>
      <c r="N495" s="134"/>
      <c r="O495" s="134"/>
      <c r="P495" s="133"/>
      <c r="Q495" s="134"/>
      <c r="R495" s="135"/>
      <c r="T495" s="136" t="str">
        <f>_xlfn.XLOOKUP(T475,RenewalPlans!B:B,RenewalPlans!AH:AH,"NA",0,1)</f>
        <v>NA</v>
      </c>
      <c r="U495" s="134"/>
      <c r="V495" s="134"/>
      <c r="W495" s="134"/>
      <c r="X495" s="133"/>
      <c r="Y495" s="134"/>
      <c r="Z495" s="135"/>
    </row>
    <row r="496" spans="4:26" ht="19.5" customHeight="1" hidden="1">
      <c r="D496" s="120" t="s">
        <v>267</v>
      </c>
      <c r="E496" s="130" t="e">
        <f>_xlfn.XLOOKUP(E475,CurrentPlans!B:B,CurrentPlans!AF:AF,"NA",0,1)</f>
        <v>#N/A</v>
      </c>
      <c r="F496" s="122"/>
      <c r="G496" s="122"/>
      <c r="H496" s="122"/>
      <c r="I496" s="130"/>
      <c r="J496" s="123"/>
      <c r="K496"/>
      <c r="L496" s="131" t="str">
        <f ca="1">_xlfn.XLOOKUP(L475,RenewalPlans!B:B,RenewalPlans!AI:AI,"NA",0,1)</f>
        <v>NA</v>
      </c>
      <c r="M496" s="122"/>
      <c r="N496" s="122"/>
      <c r="O496" s="122"/>
      <c r="P496" s="130"/>
      <c r="Q496" s="122"/>
      <c r="R496" s="123"/>
      <c r="T496" s="131" t="str">
        <f>_xlfn.XLOOKUP(T475,RenewalPlans!B:B,RenewalPlans!AI:AI,"NA",0,1)</f>
        <v>NA</v>
      </c>
      <c r="U496" s="122"/>
      <c r="V496" s="122"/>
      <c r="W496" s="122"/>
      <c r="X496" s="130"/>
      <c r="Y496" s="122"/>
      <c r="Z496" s="123"/>
    </row>
    <row r="497" spans="4:26" ht="19.5" customHeight="1" hidden="1">
      <c r="D497" s="198" t="s">
        <v>268</v>
      </c>
      <c r="E497" s="130" t="e">
        <f>_xlfn.XLOOKUP(E475,CurrentPlans!B:B,CurrentPlans!AH:AH,"NA",0,1)</f>
        <v>#N/A</v>
      </c>
      <c r="F497" s="200"/>
      <c r="G497" s="200"/>
      <c r="H497" s="200"/>
      <c r="I497" s="130"/>
      <c r="J497" s="201"/>
      <c r="K497"/>
      <c r="L497" s="131" t="str">
        <f ca="1">_xlfn.XLOOKUP(L475,RenewalPlans!B:B,RenewalPlans!AK:AK,"NA",0,1)</f>
        <v>NA</v>
      </c>
      <c r="M497" s="200"/>
      <c r="N497" s="200"/>
      <c r="O497" s="200"/>
      <c r="P497" s="130"/>
      <c r="Q497" s="200"/>
      <c r="R497" s="201"/>
      <c r="T497" s="131" t="str">
        <f>_xlfn.XLOOKUP(T475,RenewalPlans!B:B,RenewalPlans!AK:AK,"NA",0,1)</f>
        <v>NA</v>
      </c>
      <c r="U497" s="200"/>
      <c r="V497" s="200"/>
      <c r="W497" s="200"/>
      <c r="X497" s="130"/>
      <c r="Y497" s="200"/>
      <c r="Z497" s="201"/>
    </row>
    <row r="498" spans="4:26" ht="19.5" customHeight="1" hidden="1">
      <c r="D498" s="198" t="s">
        <v>269</v>
      </c>
      <c r="E498" s="130" t="e">
        <f>_xlfn.XLOOKUP(E475,CurrentPlans!B:B,CurrentPlans!AG:AG,"NA",0,1)</f>
        <v>#N/A</v>
      </c>
      <c r="F498" s="200"/>
      <c r="G498" s="200"/>
      <c r="H498" s="200"/>
      <c r="I498" s="130"/>
      <c r="J498" s="201"/>
      <c r="K498"/>
      <c r="L498" s="131" t="str">
        <f ca="1">_xlfn.XLOOKUP(L475,RenewalPlans!B:B,RenewalPlans!AJ:AJ,"NA",0,1)</f>
        <v>NA</v>
      </c>
      <c r="M498" s="200"/>
      <c r="N498" s="200"/>
      <c r="O498" s="200"/>
      <c r="P498" s="130"/>
      <c r="Q498" s="200"/>
      <c r="R498" s="201"/>
      <c r="T498" s="131" t="str">
        <f>_xlfn.XLOOKUP(T475,RenewalPlans!B:B,RenewalPlans!AJ:AJ,"NA",0,1)</f>
        <v>NA</v>
      </c>
      <c r="U498" s="200"/>
      <c r="V498" s="200"/>
      <c r="W498" s="200"/>
      <c r="X498" s="130"/>
      <c r="Y498" s="200"/>
      <c r="Z498" s="201"/>
    </row>
    <row r="499" spans="4:26" ht="19.5" customHeight="1" hidden="1">
      <c r="D499" s="213" t="s">
        <v>270</v>
      </c>
      <c r="E499" s="216" t="e">
        <f>_xlfn.XLOOKUP(E475,CurrentPlans!B:B,CurrentPlans!AU:AU,"NA",0,1)</f>
        <v>#N/A</v>
      </c>
      <c r="F499" s="214"/>
      <c r="G499" s="214"/>
      <c r="H499" s="214"/>
      <c r="I499" s="217"/>
      <c r="J499" s="215"/>
      <c r="K499"/>
      <c r="L499" s="218" t="str">
        <f ca="1">_xlfn.XLOOKUP(L475,RenewalPlans!B:B,RenewalPlans!AX:AX,"NA",0,1)</f>
        <v>NA</v>
      </c>
      <c r="M499" s="214"/>
      <c r="N499" s="214"/>
      <c r="O499" s="214"/>
      <c r="P499" s="217"/>
      <c r="Q499" s="214"/>
      <c r="R499" s="215"/>
      <c r="T499" s="218" t="str">
        <f>_xlfn.XLOOKUP(T475,RenewalPlans!B:B,RenewalPlans!AX:AX,"NA",0,1)</f>
        <v>NA</v>
      </c>
      <c r="U499" s="214"/>
      <c r="V499" s="214"/>
      <c r="W499" s="214"/>
      <c r="X499" s="217"/>
      <c r="Y499" s="214"/>
      <c r="Z499" s="215"/>
    </row>
    <row r="500" spans="4:26" ht="19.5" customHeight="1" hidden="1">
      <c r="D500" s="213" t="s">
        <v>271</v>
      </c>
      <c r="E500" s="216" t="e">
        <f>_xlfn.XLOOKUP(E475,CurrentPlans!B:B,CurrentPlans!AT:AT,"NA",0,1)</f>
        <v>#N/A</v>
      </c>
      <c r="F500" s="214"/>
      <c r="G500" s="214"/>
      <c r="H500" s="214"/>
      <c r="I500" s="217"/>
      <c r="J500" s="215"/>
      <c r="K500"/>
      <c r="L500" s="218" t="str">
        <f ca="1">_xlfn.XLOOKUP(L475,RenewalPlans!B:B,RenewalPlans!AW:AW,"NA",0,1)</f>
        <v>NA</v>
      </c>
      <c r="M500" s="214"/>
      <c r="N500" s="214"/>
      <c r="O500" s="214"/>
      <c r="P500" s="217"/>
      <c r="Q500" s="214"/>
      <c r="R500" s="215"/>
      <c r="T500" s="218" t="str">
        <f>_xlfn.XLOOKUP(T475,RenewalPlans!B:B,RenewalPlans!AW:AW,"NA",0,1)</f>
        <v>NA</v>
      </c>
      <c r="U500" s="214"/>
      <c r="V500" s="214"/>
      <c r="W500" s="214"/>
      <c r="X500" s="217"/>
      <c r="Y500" s="214"/>
      <c r="Z500" s="215"/>
    </row>
    <row r="501" spans="4:26" ht="19.5" customHeight="1" hidden="1">
      <c r="D501" s="198" t="s">
        <v>272</v>
      </c>
      <c r="E501" s="130" t="e">
        <f>_xlfn.XLOOKUP(E475,CurrentPlans!B:B,CurrentPlans!AD:AD,"NA",0,1)</f>
        <v>#N/A</v>
      </c>
      <c r="F501" s="200"/>
      <c r="G501" s="200"/>
      <c r="H501" s="200"/>
      <c r="I501" s="130"/>
      <c r="J501" s="201"/>
      <c r="K501"/>
      <c r="L501" s="131" t="str">
        <f ca="1">_xlfn.XLOOKUP(L475,RenewalPlans!B:B,RenewalPlans!AG:AG,"NA",0,1)</f>
        <v>NA</v>
      </c>
      <c r="M501" s="200"/>
      <c r="N501" s="200"/>
      <c r="O501" s="200"/>
      <c r="P501" s="130"/>
      <c r="Q501" s="200"/>
      <c r="R501" s="201"/>
      <c r="T501" s="131" t="str">
        <f>_xlfn.XLOOKUP(T475,RenewalPlans!B:B,RenewalPlans!AG:AG,"NA",0,1)</f>
        <v>NA</v>
      </c>
      <c r="U501" s="200"/>
      <c r="V501" s="200"/>
      <c r="W501" s="200"/>
      <c r="X501" s="130"/>
      <c r="Y501" s="200"/>
      <c r="Z501" s="201"/>
    </row>
    <row r="502" spans="4:26" ht="19.5" customHeight="1" hidden="1">
      <c r="D502" s="198" t="s">
        <v>273</v>
      </c>
      <c r="E502" s="200"/>
      <c r="F502" s="200"/>
      <c r="G502" s="200"/>
      <c r="H502" s="200"/>
      <c r="I502" s="200"/>
      <c r="J502" s="201"/>
      <c r="K502"/>
      <c r="L502" s="198"/>
      <c r="M502" s="200"/>
      <c r="N502" s="200"/>
      <c r="O502" s="200"/>
      <c r="P502" s="200"/>
      <c r="Q502" s="200"/>
      <c r="R502" s="201"/>
      <c r="T502" s="198"/>
      <c r="U502" s="200"/>
      <c r="V502" s="200"/>
      <c r="W502" s="200"/>
      <c r="X502" s="200"/>
      <c r="Y502" s="200"/>
      <c r="Z502" s="201"/>
    </row>
    <row r="503" spans="4:26" ht="19.5" customHeight="1" hidden="1">
      <c r="D503" s="210"/>
      <c r="E503" s="211"/>
      <c r="F503" s="211"/>
      <c r="G503" s="211"/>
      <c r="H503" s="211"/>
      <c r="I503" s="211"/>
      <c r="J503" s="212"/>
      <c r="K503"/>
      <c r="L503" s="210"/>
      <c r="M503" s="211"/>
      <c r="N503" s="211"/>
      <c r="O503" s="211"/>
      <c r="P503" s="211"/>
      <c r="Q503" s="211"/>
      <c r="R503" s="212"/>
      <c r="T503" s="210"/>
      <c r="U503" s="211"/>
      <c r="V503" s="211"/>
      <c r="W503" s="211"/>
      <c r="X503" s="211"/>
      <c r="Y503" s="211"/>
      <c r="Z503" s="212"/>
    </row>
    <row r="504" spans="4:26" ht="19.5" customHeight="1" hidden="1">
      <c r="D504" s="219" t="s">
        <v>274</v>
      </c>
      <c r="E504" s="220"/>
      <c r="F504" s="220"/>
      <c r="G504" s="220"/>
      <c r="H504" s="220"/>
      <c r="I504" s="220"/>
      <c r="J504" s="221"/>
      <c r="K504"/>
      <c r="L504" s="222"/>
      <c r="M504" s="220"/>
      <c r="N504" s="220"/>
      <c r="O504" s="220"/>
      <c r="P504" s="220"/>
      <c r="Q504" s="220"/>
      <c r="R504" s="221"/>
      <c r="T504" s="222"/>
      <c r="U504" s="220"/>
      <c r="V504" s="220"/>
      <c r="W504" s="220"/>
      <c r="X504" s="220"/>
      <c r="Y504" s="220"/>
      <c r="Z504" s="221"/>
    </row>
    <row r="505" spans="4:26" ht="19.5" customHeight="1" hidden="1">
      <c r="D505" s="223" t="s">
        <v>250</v>
      </c>
      <c r="E505" s="205"/>
      <c r="F505" s="205"/>
      <c r="G505" s="205"/>
      <c r="H505" s="205"/>
      <c r="I505" s="205"/>
      <c r="J505" s="206"/>
      <c r="K505"/>
      <c r="L505" s="203"/>
      <c r="M505" s="205"/>
      <c r="N505" s="205"/>
      <c r="O505" s="205"/>
      <c r="P505" s="205"/>
      <c r="Q505" s="205"/>
      <c r="R505" s="206"/>
      <c r="T505" s="203"/>
      <c r="U505" s="205"/>
      <c r="V505" s="205"/>
      <c r="W505" s="205"/>
      <c r="X505" s="205"/>
      <c r="Y505" s="205"/>
      <c r="Z505" s="206"/>
    </row>
    <row r="506" spans="4:26" ht="19.5" customHeight="1" hidden="1">
      <c r="D506" s="198" t="s">
        <v>251</v>
      </c>
      <c r="E506" s="130" t="e">
        <f>_xlfn.XLOOKUP(E475,CurrentPlans!B:B,CurrentPlans!AP:AP,"NA",0,1)</f>
        <v>#N/A</v>
      </c>
      <c r="F506" s="200"/>
      <c r="G506" s="200"/>
      <c r="H506" s="200"/>
      <c r="I506" s="130"/>
      <c r="J506" s="201"/>
      <c r="K506"/>
      <c r="L506" s="131" t="str">
        <f ca="1">_xlfn.XLOOKUP(L475,RenewalPlans!B:B,RenewalPlans!AS:AS,"NA",0,1)</f>
        <v>NA</v>
      </c>
      <c r="M506" s="200"/>
      <c r="N506" s="200"/>
      <c r="O506" s="200"/>
      <c r="P506" s="130"/>
      <c r="Q506" s="200"/>
      <c r="R506" s="201"/>
      <c r="T506" s="131" t="str">
        <f>_xlfn.XLOOKUP(T475,RenewalPlans!B:B,RenewalPlans!AS:AS,"NA",0,1)</f>
        <v>NA</v>
      </c>
      <c r="U506" s="200"/>
      <c r="V506" s="200"/>
      <c r="W506" s="200"/>
      <c r="X506" s="130"/>
      <c r="Y506" s="200"/>
      <c r="Z506" s="201"/>
    </row>
    <row r="507" spans="4:26" ht="19.5" customHeight="1" hidden="1">
      <c r="D507" s="198" t="s">
        <v>252</v>
      </c>
      <c r="E507" s="130" t="e">
        <f>_xlfn.XLOOKUP(E475,CurrentPlans!B:B,CurrentPlans!AQ:AQ,"NA",0,1)</f>
        <v>#N/A</v>
      </c>
      <c r="F507" s="200"/>
      <c r="G507" s="200"/>
      <c r="H507" s="200"/>
      <c r="I507" s="130"/>
      <c r="J507" s="201"/>
      <c r="K507"/>
      <c r="L507" s="131" t="str">
        <f ca="1">_xlfn.XLOOKUP(L475,RenewalPlans!B:B,RenewalPlans!AT:AT,"NA",0,1)</f>
        <v>NA</v>
      </c>
      <c r="M507" s="200"/>
      <c r="N507" s="200"/>
      <c r="O507" s="200"/>
      <c r="P507" s="130"/>
      <c r="Q507" s="200"/>
      <c r="R507" s="201"/>
      <c r="T507" s="131" t="str">
        <f>_xlfn.XLOOKUP(T475,RenewalPlans!B:B,RenewalPlans!AT:AT,"NA",0,1)</f>
        <v>NA</v>
      </c>
      <c r="U507" s="200"/>
      <c r="V507" s="200"/>
      <c r="W507" s="200"/>
      <c r="X507" s="130"/>
      <c r="Y507" s="200"/>
      <c r="Z507" s="201"/>
    </row>
    <row r="508" spans="4:26" ht="19.5" customHeight="1" hidden="1">
      <c r="D508" s="120" t="s">
        <v>253</v>
      </c>
      <c r="E508" s="133" t="e">
        <f>_xlfn.XLOOKUP(E475,CurrentPlans!B:B,CurrentPlans!AO:AO,"NA",0,1)</f>
        <v>#N/A</v>
      </c>
      <c r="F508" s="122"/>
      <c r="G508" s="122"/>
      <c r="H508" s="122"/>
      <c r="I508" s="133"/>
      <c r="J508" s="123"/>
      <c r="K508"/>
      <c r="L508" s="136" t="str">
        <f ca="1">_xlfn.XLOOKUP(L475,RenewalPlans!B:B,RenewalPlans!AR:AR,"NA",0,1)</f>
        <v>NA</v>
      </c>
      <c r="M508" s="122"/>
      <c r="N508" s="122"/>
      <c r="O508" s="122"/>
      <c r="P508" s="133"/>
      <c r="Q508" s="122"/>
      <c r="R508" s="123"/>
      <c r="T508" s="136" t="str">
        <f>_xlfn.XLOOKUP(T475,RenewalPlans!B:B,RenewalPlans!AR:AR,"NA",0,1)</f>
        <v>NA</v>
      </c>
      <c r="U508" s="122"/>
      <c r="V508" s="122"/>
      <c r="W508" s="122"/>
      <c r="X508" s="133"/>
      <c r="Y508" s="122"/>
      <c r="Z508" s="123"/>
    </row>
    <row r="509" spans="4:26" ht="19.5" customHeight="1" hidden="1">
      <c r="D509" s="223" t="s">
        <v>254</v>
      </c>
      <c r="E509" s="205"/>
      <c r="F509" s="205"/>
      <c r="G509" s="205"/>
      <c r="H509" s="205"/>
      <c r="I509" s="205"/>
      <c r="J509" s="206"/>
      <c r="K509"/>
      <c r="L509" s="203"/>
      <c r="M509" s="205"/>
      <c r="N509" s="205"/>
      <c r="O509" s="205"/>
      <c r="P509" s="205"/>
      <c r="Q509" s="205"/>
      <c r="R509" s="206"/>
      <c r="T509" s="203"/>
      <c r="U509" s="205"/>
      <c r="V509" s="205"/>
      <c r="W509" s="205"/>
      <c r="X509" s="205"/>
      <c r="Y509" s="205"/>
      <c r="Z509" s="206"/>
    </row>
    <row r="510" spans="4:26" ht="19.5" customHeight="1" hidden="1">
      <c r="D510" s="198" t="s">
        <v>255</v>
      </c>
      <c r="E510" s="130" t="e">
        <f>_xlfn.XLOOKUP(E475,CurrentPlans!B:B,CurrentPlans!AR:AR,"NA",0,1)</f>
        <v>#N/A</v>
      </c>
      <c r="F510" s="200"/>
      <c r="G510" s="200"/>
      <c r="H510" s="200"/>
      <c r="I510" s="130"/>
      <c r="J510" s="201"/>
      <c r="K510"/>
      <c r="L510" s="131" t="str">
        <f ca="1">_xlfn.XLOOKUP(L475,RenewalPlans!B:B,RenewalPlans!AU:AU,"NA",0,1)</f>
        <v>NA</v>
      </c>
      <c r="M510" s="200"/>
      <c r="N510" s="200"/>
      <c r="O510" s="200"/>
      <c r="P510" s="130"/>
      <c r="Q510" s="200"/>
      <c r="R510" s="201"/>
      <c r="T510" s="131" t="str">
        <f>_xlfn.XLOOKUP(T475,RenewalPlans!B:B,RenewalPlans!AU:AU,"NA",0,1)</f>
        <v>NA</v>
      </c>
      <c r="U510" s="200"/>
      <c r="V510" s="200"/>
      <c r="W510" s="200"/>
      <c r="X510" s="130"/>
      <c r="Y510" s="200"/>
      <c r="Z510" s="201"/>
    </row>
    <row r="511" spans="4:26" ht="19.5" customHeight="1" hidden="1" thickBot="1">
      <c r="D511" s="224" t="s">
        <v>256</v>
      </c>
      <c r="E511" s="137" t="e">
        <f>_xlfn.XLOOKUP(E475,CurrentPlans!B:B,CurrentPlans!AS:AS,"NA",0,1)</f>
        <v>#N/A</v>
      </c>
      <c r="F511" s="225"/>
      <c r="G511" s="225"/>
      <c r="H511" s="225"/>
      <c r="I511" s="137"/>
      <c r="J511" s="226"/>
      <c r="K511"/>
      <c r="L511" s="138" t="str">
        <f ca="1">_xlfn.XLOOKUP(L475,RenewalPlans!B:B,RenewalPlans!AV:AV,"NA",0,1)</f>
        <v>NA</v>
      </c>
      <c r="M511" s="225"/>
      <c r="N511" s="225"/>
      <c r="O511" s="225"/>
      <c r="P511" s="137"/>
      <c r="Q511" s="225"/>
      <c r="R511" s="226"/>
      <c r="T511" s="138" t="str">
        <f>_xlfn.XLOOKUP(T475,RenewalPlans!B:B,RenewalPlans!AV:AV,"NA",0,1)</f>
        <v>NA</v>
      </c>
      <c r="U511" s="225"/>
      <c r="V511" s="225"/>
      <c r="W511" s="225"/>
      <c r="X511" s="137"/>
      <c r="Y511" s="225"/>
      <c r="Z511" s="226"/>
    </row>
    <row r="512" spans="4:26" ht="19.5" customHeight="1">
      <c r="D512" s="227"/>
      <c r="E512" s="176"/>
      <c r="F512" s="178"/>
      <c r="G512" s="179"/>
      <c r="H512" s="178"/>
      <c r="I512" s="176"/>
      <c r="J512" s="228"/>
      <c r="K512"/>
      <c r="L512" s="178"/>
      <c r="M512" s="176"/>
      <c r="N512" s="139"/>
      <c r="O512" s="178"/>
      <c r="P512" s="178"/>
      <c r="Q512" s="178"/>
      <c r="R512" s="228"/>
      <c r="T512" s="178"/>
      <c r="U512" s="176"/>
      <c r="V512" s="139"/>
      <c r="W512" s="178"/>
      <c r="X512" s="178"/>
      <c r="Y512" s="178"/>
      <c r="Z512" s="228"/>
    </row>
    <row r="513" spans="4:26" ht="5.25" customHeight="1" thickBot="1">
      <c r="D513" s="229"/>
      <c r="E513" s="229"/>
      <c r="F513" s="230"/>
      <c r="G513" s="231"/>
      <c r="H513" s="232"/>
      <c r="I513" s="233"/>
      <c r="J513" s="233"/>
      <c r="K513"/>
      <c r="L513" s="233"/>
      <c r="M513" s="233"/>
      <c r="N513" s="233"/>
      <c r="O513" s="233"/>
      <c r="P513" s="233"/>
      <c r="Q513" s="233"/>
      <c r="R513" s="233"/>
      <c r="T513" s="233"/>
      <c r="U513" s="233"/>
      <c r="V513" s="233"/>
      <c r="W513" s="233"/>
      <c r="X513" s="233"/>
      <c r="Y513" s="233"/>
      <c r="Z513" s="233"/>
    </row>
    <row r="514" spans="3:26" ht="50.15" customHeight="1">
      <c r="C514" s="164" t="s">
        <v>284</v>
      </c>
      <c r="D514" s="275" t="s">
        <v>285</v>
      </c>
      <c r="E514" s="165"/>
      <c r="F514" s="321"/>
      <c r="G514" s="166"/>
      <c r="H514" s="167"/>
      <c r="I514" s="168"/>
      <c r="J514" s="169"/>
      <c r="K514"/>
      <c r="L514" s="274" t="s">
        <v>38</v>
      </c>
      <c r="M514" s="170"/>
      <c r="N514" s="274" t="s">
        <v>237</v>
      </c>
      <c r="O514" s="171"/>
      <c r="P514" s="171"/>
      <c r="Q514" s="171"/>
      <c r="R514" s="169"/>
      <c r="T514" s="274" t="s">
        <v>38</v>
      </c>
      <c r="U514" s="170"/>
      <c r="V514" s="274" t="s">
        <v>237</v>
      </c>
      <c r="W514" s="171"/>
      <c r="X514" s="171"/>
      <c r="Y514" s="171"/>
      <c r="Z514" s="169"/>
    </row>
    <row r="515" spans="4:26" ht="18.75" customHeight="1">
      <c r="D515" s="172" t="s">
        <v>238</v>
      </c>
      <c r="E515" s="407"/>
      <c r="F515" s="449"/>
      <c r="G515" s="470"/>
      <c r="H515" s="449"/>
      <c r="I515" s="450" t="str">
        <f>IFERROR(IF(E515="","",F515-H515),"")</f>
        <v/>
      </c>
      <c r="J515" s="410"/>
      <c r="K515" s="411"/>
      <c r="L515" s="408" t="str" cm="1">
        <f t="array" ca="1" aca="1" ref="L515">_xlfn.IFNA(VLOOKUP(INDIRECT("L"&amp;ROW()-1)&amp;"_"&amp;$D$12,BEGIN_RENEW_HEALTH:END_RENEW_HEALTH,RENEW_COL_EO,FALSE),"")</f>
        <v/>
      </c>
      <c r="M515" s="412" t="str">
        <f>IF(E515="","",E515)</f>
        <v/>
      </c>
      <c r="N515" s="413"/>
      <c r="O515" s="414"/>
      <c r="P515" s="415" t="str">
        <f>IFERROR(IF($N514="Keep Contribution Same",H515,IF($N514="Enter Percentages",IF(N515="","",N515*L515),IF($N514="Keep Percentage Same",IF(G515="","",G515*L515),IF($N514="Enter Dollar Amount",IF(O515="","",O515),"")))),"")</f>
        <v/>
      </c>
      <c r="Q515" s="408" t="str">
        <f ca="1">IFERROR(L515-P515,"")</f>
        <v/>
      </c>
      <c r="R515" s="410" t="str">
        <f>IFERROR(IF(P515="","",M515*P515),"")</f>
        <v/>
      </c>
      <c r="S515" s="411"/>
      <c r="T515" s="408" t="str" cm="1">
        <f t="array" ca="1" aca="1" ref="T515">_xlfn.IFNA(VLOOKUP(INDIRECT("T"&amp;ROW()-1)&amp;"_"&amp;$D$12,BEGIN_RENEW_HEALTH:END_RENEW_HEALTH,RENEW_COL_EO,FALSE),"")</f>
        <v/>
      </c>
      <c r="U515" s="412" t="str">
        <f>IF(E515="","",E515)</f>
        <v/>
      </c>
      <c r="V515" s="413"/>
      <c r="W515" s="414"/>
      <c r="X515" s="415" t="str">
        <f>IFERROR(IF($V514="Keep Contribution Same",H515,IF($V514="Enter Percentages",IF(V515="","",V515*T515),IF($V514="Keep Percentage Same",IF(G515="","",G515*T515),IF($V514="Enter Dollar Amount",IF(W515="","",W515),"")))),"")</f>
        <v/>
      </c>
      <c r="Y515" s="408" t="str">
        <f ca="1">IFERROR(T515-X515,"")</f>
        <v/>
      </c>
      <c r="Z515" s="410" t="str">
        <f>IFERROR(IF(X515="","",U515*X515),"")</f>
        <v/>
      </c>
    </row>
    <row r="516" spans="4:26" ht="18.75" customHeight="1">
      <c r="D516" s="172" t="s">
        <v>239</v>
      </c>
      <c r="E516" s="407"/>
      <c r="F516" s="449"/>
      <c r="G516" s="470"/>
      <c r="H516" s="449"/>
      <c r="I516" s="450" t="str">
        <f t="shared" si="52" ref="I516:I518">IFERROR(IF(E516="","",F516-H516),"")</f>
        <v/>
      </c>
      <c r="J516" s="410"/>
      <c r="K516" s="411"/>
      <c r="L516" s="408" t="str" cm="1">
        <f t="array" ca="1" aca="1" ref="L516">_xlfn.IFNA(VLOOKUP(INDIRECT("L"&amp;ROW()-2)&amp;"_"&amp;$D$12,BEGIN_RENEW_HEALTH:END_RENEW_HEALTH,RENEW_COL_ES,FALSE),"")</f>
        <v/>
      </c>
      <c r="M516" s="412" t="str">
        <f>IF(E516="","",E516)</f>
        <v/>
      </c>
      <c r="N516" s="413"/>
      <c r="O516" s="414"/>
      <c r="P516" s="415" t="str">
        <f>IFERROR(IF($N514="Keep Contribution Same",H516,IF($N514="Enter Percentages",IF(N516="","",N516*L516),IF($N514="Keep Percentage Same",IF(G516="","",G516*L516),IF($N514="Enter Dollar Amount",IF(O516="","",O516),"")))),"")</f>
        <v/>
      </c>
      <c r="Q516" s="408" t="str">
        <f ca="1" t="shared" si="53" ref="Q516:Q518">IFERROR(L516-P516,"")</f>
        <v/>
      </c>
      <c r="R516" s="410" t="str">
        <f>IFERROR(IF(P516="","",M516*P516),"")</f>
        <v/>
      </c>
      <c r="S516" s="411"/>
      <c r="T516" s="408" t="str" cm="1">
        <f t="array" ca="1" aca="1" ref="T516">_xlfn.IFNA(VLOOKUP(INDIRECT("T"&amp;ROW()-2)&amp;"_"&amp;$D$12,BEGIN_RENEW_HEALTH:END_RENEW_HEALTH,RENEW_COL_ES,FALSE),"")</f>
        <v/>
      </c>
      <c r="U516" s="412" t="str">
        <f t="shared" si="54" ref="U516:U518">IF(E516="","",E516)</f>
        <v/>
      </c>
      <c r="V516" s="413"/>
      <c r="W516" s="414"/>
      <c r="X516" s="415" t="str">
        <f>IFERROR(IF($V514="Keep Contribution Same",H516,IF($V514="Enter Percentages",IF(V516="","",V516*T516),IF($V514="Keep Percentage Same",IF(G516="","",G516*T516),IF($V514="Enter Dollar Amount",IF(W516="","",W516),"")))),"")</f>
        <v/>
      </c>
      <c r="Y516" s="408" t="str">
        <f ca="1" t="shared" si="55" ref="Y516:Y518">IFERROR(T516-X516,"")</f>
        <v/>
      </c>
      <c r="Z516" s="410" t="str">
        <f t="shared" si="56" ref="Z516:Z518">IFERROR(IF(X516="","",U516*X516),"")</f>
        <v/>
      </c>
    </row>
    <row r="517" spans="4:26" ht="18.75" customHeight="1">
      <c r="D517" s="172" t="s">
        <v>240</v>
      </c>
      <c r="E517" s="407"/>
      <c r="F517" s="449"/>
      <c r="G517" s="470"/>
      <c r="H517" s="449"/>
      <c r="I517" s="450" t="str">
        <f t="shared" si="52"/>
        <v/>
      </c>
      <c r="J517" s="410"/>
      <c r="K517" s="411"/>
      <c r="L517" s="408" t="str" cm="1">
        <f t="array" ca="1" aca="1" ref="L517">_xlfn.IFNA(VLOOKUP(INDIRECT("L"&amp;ROW()-3)&amp;"_"&amp;$D$12,BEGIN_RENEW_HEALTH:END_RENEW_HEALTH,RENEW_COL_EC,FALSE),"")</f>
        <v/>
      </c>
      <c r="M517" s="412" t="str">
        <f>IF(E517="","",E517)</f>
        <v/>
      </c>
      <c r="N517" s="413"/>
      <c r="O517" s="414"/>
      <c r="P517" s="415" t="str">
        <f>IFERROR(IF($N514="Keep Contribution Same",H517,IF($N514="Enter Percentages",IF(N517="","",N517*L517),IF($N514="Keep Percentage Same",IF(G517="","",G517*L517),IF($N514="Enter Dollar Amount",IF(O517="","",O517),"")))),"")</f>
        <v/>
      </c>
      <c r="Q517" s="408" t="str">
        <f t="shared" ca="1" si="53"/>
        <v/>
      </c>
      <c r="R517" s="410" t="str">
        <f>IFERROR(IF(P517="","",M517*P517),"")</f>
        <v/>
      </c>
      <c r="S517" s="411"/>
      <c r="T517" s="408" t="str" cm="1">
        <f t="array" ca="1" aca="1" ref="T517">_xlfn.IFNA(VLOOKUP(INDIRECT("T"&amp;ROW()-3)&amp;"_"&amp;$D$12,BEGIN_RENEW_HEALTH:END_RENEW_HEALTH,RENEW_COL_EC,FALSE),"")</f>
        <v/>
      </c>
      <c r="U517" s="412" t="str">
        <f t="shared" si="54"/>
        <v/>
      </c>
      <c r="V517" s="413"/>
      <c r="W517" s="414"/>
      <c r="X517" s="415" t="str">
        <f>IFERROR(IF($V514="Keep Contribution Same",H517,IF($V514="Enter Percentages",IF(V517="","",V517*T517),IF($V514="Keep Percentage Same",IF(G517="","",G517*T517),IF($V514="Enter Dollar Amount",IF(W517="","",W517),"")))),"")</f>
        <v/>
      </c>
      <c r="Y517" s="408" t="str">
        <f t="shared" ca="1" si="55"/>
        <v/>
      </c>
      <c r="Z517" s="410" t="str">
        <f t="shared" si="56"/>
        <v/>
      </c>
    </row>
    <row r="518" spans="4:26" ht="18.75" customHeight="1" thickBot="1">
      <c r="D518" s="174" t="s">
        <v>241</v>
      </c>
      <c r="E518" s="416"/>
      <c r="F518" s="451"/>
      <c r="G518" s="471"/>
      <c r="H518" s="451"/>
      <c r="I518" s="452" t="str">
        <f t="shared" si="52"/>
        <v/>
      </c>
      <c r="J518" s="419"/>
      <c r="K518" s="411"/>
      <c r="L518" s="417" t="str" cm="1">
        <f t="array" ca="1" aca="1" ref="L518">_xlfn.IFNA(VLOOKUP(INDIRECT("L"&amp;ROW()-4)&amp;"_"&amp;$D$12,BEGIN_RENEW_HEALTH:END_RENEW_HEALTH,RENEW_COL_FAM,FALSE),"")</f>
        <v/>
      </c>
      <c r="M518" s="423" t="str">
        <f>IF(E518="","",E518)</f>
        <v/>
      </c>
      <c r="N518" s="420"/>
      <c r="O518" s="421"/>
      <c r="P518" s="422" t="str">
        <f>IFERROR(IF($N514="Keep Contribution Same",H518,IF($N514="Enter Percentages",IF(N518="","",N518*L518),IF($N514="Keep Percentage Same",IF(G518="","",G518*L518),IF($N514="Enter Dollar Amount",IF(O518="","",O518),"")))),"")</f>
        <v/>
      </c>
      <c r="Q518" s="417" t="str">
        <f t="shared" ca="1" si="53"/>
        <v/>
      </c>
      <c r="R518" s="419" t="str">
        <f>IFERROR(IF(P518="","",M518*P518),"")</f>
        <v/>
      </c>
      <c r="S518" s="411"/>
      <c r="T518" s="417" t="str" cm="1">
        <f t="array" ca="1" aca="1" ref="T518">_xlfn.IFNA(VLOOKUP(INDIRECT("T"&amp;ROW()-4)&amp;"_"&amp;$D$12,BEGIN_RENEW_HEALTH:END_RENEW_HEALTH,RENEW_COL_FAM,FALSE),"")</f>
        <v/>
      </c>
      <c r="U518" s="423" t="str">
        <f t="shared" si="54"/>
        <v/>
      </c>
      <c r="V518" s="420"/>
      <c r="W518" s="421"/>
      <c r="X518" s="422" t="str">
        <f>IFERROR(IF($V514="Keep Contribution Same",H518,IF($V514="Enter Percentages",IF(V518="","",V518*T518),IF($V514="Keep Percentage Same",IF(G518="","",G518*T518),IF($V514="Enter Dollar Amount",IF(W518="","",W518),"")))),"")</f>
        <v/>
      </c>
      <c r="Y518" s="417" t="str">
        <f t="shared" ca="1" si="55"/>
        <v/>
      </c>
      <c r="Z518" s="419" t="str">
        <f t="shared" si="56"/>
        <v/>
      </c>
    </row>
    <row r="519" spans="4:26" ht="18.75" customHeight="1" thickTop="1">
      <c r="D519" s="175" t="s">
        <v>242</v>
      </c>
      <c r="E519" s="424"/>
      <c r="F519" s="425">
        <f>IFERROR((F515*E515)+(F516*E516)+(F517*E517)+(F518*E518),"")</f>
        <v>0</v>
      </c>
      <c r="G519" s="426"/>
      <c r="H519" s="427"/>
      <c r="I519" s="428"/>
      <c r="J519" s="429" t="str">
        <f>IFERROR(IF(J515="","",SUM(J515:J518)),0)</f>
        <v/>
      </c>
      <c r="K519" s="1"/>
      <c r="L519" s="430" t="str">
        <f ca="1">IFERROR((M515*L515)+(M516*L516)+(M517*L517)+(M518*L518),"")</f>
        <v/>
      </c>
      <c r="M519" s="427"/>
      <c r="N519" s="426"/>
      <c r="O519" s="427"/>
      <c r="P519" s="431"/>
      <c r="Q519" s="432"/>
      <c r="R519" s="429" t="str">
        <f>IFERROR(IF(R515="","",SUM(R515:R518)),0)</f>
        <v/>
      </c>
      <c r="T519" s="430" t="str">
        <f ca="1">IFERROR((U515*T515)+(U516*T516)+(U517*T517)+(U518*T518),"")</f>
        <v/>
      </c>
      <c r="U519" s="427"/>
      <c r="V519" s="426"/>
      <c r="W519" s="427"/>
      <c r="X519" s="431"/>
      <c r="Y519" s="432"/>
      <c r="Z519" s="429" t="str">
        <f>IFERROR(IF(Z515="","",SUM(Z515:Z518)),0)</f>
        <v/>
      </c>
    </row>
    <row r="520" spans="4:26" ht="18.75" customHeight="1">
      <c r="D520" s="177" t="s">
        <v>243</v>
      </c>
      <c r="E520" s="433"/>
      <c r="F520" s="434">
        <f>IFERROR(F519*12,"")</f>
        <v>0</v>
      </c>
      <c r="G520" s="435"/>
      <c r="H520" s="436"/>
      <c r="I520" s="432"/>
      <c r="J520" s="437" t="str">
        <f>IF(J519="","",J519*12)</f>
        <v/>
      </c>
      <c r="K520" s="1"/>
      <c r="L520" s="438" t="str">
        <f ca="1">IFERROR(L519*12,"")</f>
        <v/>
      </c>
      <c r="M520" s="436"/>
      <c r="N520" s="435"/>
      <c r="O520" s="436"/>
      <c r="P520" s="432"/>
      <c r="Q520" s="432"/>
      <c r="R520" s="437" t="str">
        <f>IF(R519="","",R519*12)</f>
        <v/>
      </c>
      <c r="T520" s="438" t="str">
        <f ca="1">IFERROR(T519*12,"")</f>
        <v/>
      </c>
      <c r="U520" s="436"/>
      <c r="V520" s="435"/>
      <c r="W520" s="436"/>
      <c r="X520" s="432"/>
      <c r="Y520" s="432"/>
      <c r="Z520" s="437" t="str">
        <f>IF(Z519="","",Z519*12)</f>
        <v/>
      </c>
    </row>
    <row r="521" spans="4:26" ht="18.75" customHeight="1">
      <c r="D521" s="177" t="s">
        <v>244</v>
      </c>
      <c r="E521" s="433"/>
      <c r="F521" s="436"/>
      <c r="G521" s="435"/>
      <c r="H521" s="436"/>
      <c r="I521" s="432"/>
      <c r="J521" s="437" t="str">
        <f>IFERROR(IF(J520="","",R520-J520),0)</f>
        <v/>
      </c>
      <c r="K521" s="1"/>
      <c r="L521" s="434" t="str">
        <f ca="1">IFERROR(L520-F520,"")</f>
        <v/>
      </c>
      <c r="M521" s="436"/>
      <c r="N521" s="435"/>
      <c r="O521" s="436"/>
      <c r="P521" s="432"/>
      <c r="Q521" s="432"/>
      <c r="R521" s="437" t="str">
        <f>IFERROR(IF(J520="","",R520-J520),0)</f>
        <v/>
      </c>
      <c r="T521" s="434" t="str">
        <f ca="1">IFERROR(T520-F520,"")</f>
        <v/>
      </c>
      <c r="U521" s="436"/>
      <c r="V521" s="435"/>
      <c r="W521" s="436"/>
      <c r="X521" s="432"/>
      <c r="Y521" s="432"/>
      <c r="Z521" s="437" t="str">
        <f>IFERROR(IF(R520="","",Z520-R520),0)</f>
        <v/>
      </c>
    </row>
    <row r="522" spans="4:26" ht="18.75" customHeight="1" thickBot="1">
      <c r="D522" s="180" t="s">
        <v>245</v>
      </c>
      <c r="E522" s="439"/>
      <c r="F522" s="440"/>
      <c r="G522" s="441"/>
      <c r="H522" s="440"/>
      <c r="I522" s="442"/>
      <c r="J522" s="437" t="str">
        <f>IFERROR(IF(J520="","",(R520/J520)-1),0)</f>
        <v/>
      </c>
      <c r="K522" s="1"/>
      <c r="L522" s="444" t="str">
        <f ca="1">IFERROR(L520/F520-1,"")</f>
        <v/>
      </c>
      <c r="M522" s="440"/>
      <c r="N522" s="441"/>
      <c r="O522" s="440"/>
      <c r="P522" s="445"/>
      <c r="Q522" s="445"/>
      <c r="R522" s="453" t="str">
        <f>IFERROR(IF(J520="","",(R520/J520)-1),0)</f>
        <v/>
      </c>
      <c r="T522" s="444" t="str">
        <f ca="1">IFERROR(T520/F520-1,"")</f>
        <v/>
      </c>
      <c r="U522" s="440"/>
      <c r="V522" s="441"/>
      <c r="W522" s="440"/>
      <c r="X522" s="445"/>
      <c r="Y522" s="445"/>
      <c r="Z522" s="446" t="str">
        <f>IFERROR(IF(R520="","",(Z520/R520)-1),0)</f>
        <v/>
      </c>
    </row>
    <row r="523" spans="4:26" ht="18.75" customHeight="1">
      <c r="D523" s="181" t="s">
        <v>246</v>
      </c>
      <c r="E523" s="182"/>
      <c r="F523" s="182"/>
      <c r="G523" s="182"/>
      <c r="H523" s="182"/>
      <c r="I523" s="182"/>
      <c r="J523" s="183"/>
      <c r="K523"/>
      <c r="L523" s="184"/>
      <c r="M523" s="182"/>
      <c r="N523" s="182"/>
      <c r="O523" s="182"/>
      <c r="P523" s="182"/>
      <c r="Q523" s="182"/>
      <c r="R523" s="183"/>
      <c r="T523" s="184"/>
      <c r="U523" s="182"/>
      <c r="V523" s="182"/>
      <c r="W523" s="182"/>
      <c r="X523" s="182"/>
      <c r="Y523" s="182"/>
      <c r="Z523" s="183"/>
    </row>
    <row r="524" spans="4:26" ht="18.75" customHeight="1" hidden="1">
      <c r="D524" s="185" t="s">
        <v>247</v>
      </c>
      <c r="E524" s="186"/>
      <c r="F524" s="186"/>
      <c r="G524" s="186"/>
      <c r="H524" s="186"/>
      <c r="I524" s="186"/>
      <c r="J524" s="187"/>
      <c r="K524"/>
      <c r="L524" s="188"/>
      <c r="M524" s="186"/>
      <c r="N524" s="186"/>
      <c r="O524" s="186"/>
      <c r="P524" s="186"/>
      <c r="Q524" s="186"/>
      <c r="R524" s="187"/>
      <c r="T524" s="188"/>
      <c r="U524" s="186"/>
      <c r="V524" s="186"/>
      <c r="W524" s="186"/>
      <c r="X524" s="186"/>
      <c r="Y524" s="186"/>
      <c r="Z524" s="187"/>
    </row>
    <row r="525" spans="4:26" ht="18.75" customHeight="1" hidden="1">
      <c r="D525" s="189" t="s">
        <v>248</v>
      </c>
      <c r="E525" s="190" t="str">
        <f>D514&amp;"_"&amp;D12</f>
        <v>NEW PLAN_MANAGERS</v>
      </c>
      <c r="F525" s="191"/>
      <c r="G525" s="191"/>
      <c r="H525" s="191"/>
      <c r="I525" s="190"/>
      <c r="J525" s="192"/>
      <c r="K525"/>
      <c r="L525" s="193" t="str">
        <f>L514&amp;"_"&amp;D12</f>
        <v>SELECT PLAN_MANAGERS</v>
      </c>
      <c r="M525" s="191"/>
      <c r="N525" s="191"/>
      <c r="O525" s="191"/>
      <c r="P525" s="190"/>
      <c r="Q525" s="191"/>
      <c r="R525" s="192"/>
      <c r="T525" s="193" t="str">
        <f>T514&amp;"_"&amp;D12</f>
        <v>SELECT PLAN_MANAGERS</v>
      </c>
      <c r="U525" s="191"/>
      <c r="V525" s="191"/>
      <c r="W525" s="191"/>
      <c r="X525" s="190"/>
      <c r="Y525" s="191"/>
      <c r="Z525" s="192"/>
    </row>
    <row r="526" spans="4:26" ht="18.75" customHeight="1" hidden="1">
      <c r="D526" s="189" t="s">
        <v>249</v>
      </c>
      <c r="E526" s="191"/>
      <c r="F526" s="191"/>
      <c r="G526" s="191"/>
      <c r="H526" s="191"/>
      <c r="I526" s="191"/>
      <c r="J526" s="192"/>
      <c r="K526"/>
      <c r="L526" s="189"/>
      <c r="M526" s="191"/>
      <c r="N526" s="191"/>
      <c r="O526" s="191"/>
      <c r="P526" s="191"/>
      <c r="Q526" s="191"/>
      <c r="R526" s="192"/>
      <c r="T526" s="189"/>
      <c r="U526" s="191"/>
      <c r="V526" s="191"/>
      <c r="W526" s="191"/>
      <c r="X526" s="191"/>
      <c r="Y526" s="191"/>
      <c r="Z526" s="192"/>
    </row>
    <row r="527" spans="4:26" ht="18.75" customHeight="1" hidden="1">
      <c r="D527" s="194" t="s">
        <v>250</v>
      </c>
      <c r="E527" s="195"/>
      <c r="F527" s="195"/>
      <c r="G527" s="195"/>
      <c r="H527" s="195"/>
      <c r="I527" s="195"/>
      <c r="J527" s="196"/>
      <c r="K527"/>
      <c r="L527" s="197"/>
      <c r="M527" s="195"/>
      <c r="N527" s="195"/>
      <c r="O527" s="195"/>
      <c r="P527" s="195"/>
      <c r="Q527" s="195"/>
      <c r="R527" s="196"/>
      <c r="T527" s="197"/>
      <c r="U527" s="195"/>
      <c r="V527" s="195"/>
      <c r="W527" s="195"/>
      <c r="X527" s="195"/>
      <c r="Y527" s="195"/>
      <c r="Z527" s="196"/>
    </row>
    <row r="528" spans="4:26" ht="18.75" customHeight="1" hidden="1">
      <c r="D528" s="198" t="s">
        <v>251</v>
      </c>
      <c r="E528" s="199" t="str">
        <f>_xlfn.XLOOKUP(E525,CurrentPlans!B:B,CurrentPlans!X:X,"NA",0,1)</f>
        <v>NA</v>
      </c>
      <c r="F528" s="200"/>
      <c r="G528" s="200"/>
      <c r="H528" s="200"/>
      <c r="I528" s="199"/>
      <c r="J528" s="201"/>
      <c r="K528"/>
      <c r="L528" s="202" t="str">
        <f>_xlfn.XLOOKUP(L525,RenewalPlans!B:B,RenewalPlans!AA:AA,"NA",0,1)</f>
        <v>NA</v>
      </c>
      <c r="M528" s="200"/>
      <c r="N528" s="200"/>
      <c r="O528" s="200"/>
      <c r="P528" s="199"/>
      <c r="Q528" s="200"/>
      <c r="R528" s="201"/>
      <c r="T528" s="202" t="str">
        <f>_xlfn.XLOOKUP(T525,RenewalPlans!B:B,RenewalPlans!AA:AA,"NA",0,1)</f>
        <v>NA</v>
      </c>
      <c r="U528" s="200"/>
      <c r="V528" s="200"/>
      <c r="W528" s="200"/>
      <c r="X528" s="199"/>
      <c r="Y528" s="200"/>
      <c r="Z528" s="201"/>
    </row>
    <row r="529" spans="4:26" ht="18.75" customHeight="1" hidden="1">
      <c r="D529" s="198" t="s">
        <v>252</v>
      </c>
      <c r="E529" s="199" t="str">
        <f>_xlfn.XLOOKUP(E525,CurrentPlans!B:B,CurrentPlans!Y:Y,"NA",0,1)</f>
        <v>NA</v>
      </c>
      <c r="F529" s="200"/>
      <c r="G529" s="200"/>
      <c r="H529" s="200"/>
      <c r="I529" s="199"/>
      <c r="J529" s="201"/>
      <c r="K529"/>
      <c r="L529" s="202" t="str">
        <f>_xlfn.XLOOKUP(L525,RenewalPlans!B:B,RenewalPlans!AB:AB,"NA",0,1)</f>
        <v>NA</v>
      </c>
      <c r="M529" s="200"/>
      <c r="N529" s="200"/>
      <c r="O529" s="200"/>
      <c r="P529" s="199"/>
      <c r="Q529" s="200"/>
      <c r="R529" s="201"/>
      <c r="T529" s="202" t="str">
        <f>_xlfn.XLOOKUP(T525,RenewalPlans!B:B,RenewalPlans!AB:AB,"NA",0,1)</f>
        <v>NA</v>
      </c>
      <c r="U529" s="200"/>
      <c r="V529" s="200"/>
      <c r="W529" s="200"/>
      <c r="X529" s="199"/>
      <c r="Y529" s="200"/>
      <c r="Z529" s="201"/>
    </row>
    <row r="530" spans="4:26" ht="18.75" customHeight="1" hidden="1">
      <c r="D530" s="120" t="s">
        <v>253</v>
      </c>
      <c r="E530" s="121" t="str">
        <f>_xlfn.XLOOKUP(E525,CurrentPlans!B:B,CurrentPlans!W:W,"NA",0,1)</f>
        <v>NA</v>
      </c>
      <c r="F530" s="122"/>
      <c r="G530" s="122"/>
      <c r="H530" s="122"/>
      <c r="I530" s="121"/>
      <c r="J530" s="123"/>
      <c r="K530"/>
      <c r="L530" s="124" t="str">
        <f>_xlfn.XLOOKUP(L525,RenewalPlans!B:B,RenewalPlans!Z:Z,"NA",0,1)</f>
        <v>NA</v>
      </c>
      <c r="M530" s="122"/>
      <c r="N530" s="122"/>
      <c r="O530" s="122"/>
      <c r="P530" s="121"/>
      <c r="Q530" s="122"/>
      <c r="R530" s="123"/>
      <c r="T530" s="124" t="str">
        <f>_xlfn.XLOOKUP(T525,RenewalPlans!B:B,RenewalPlans!Z:Z,"NA",0,1)</f>
        <v>NA</v>
      </c>
      <c r="U530" s="122"/>
      <c r="V530" s="122"/>
      <c r="W530" s="122"/>
      <c r="X530" s="121"/>
      <c r="Y530" s="122"/>
      <c r="Z530" s="123"/>
    </row>
    <row r="531" spans="4:26" ht="18.75" customHeight="1" hidden="1">
      <c r="D531" s="203" t="s">
        <v>254</v>
      </c>
      <c r="E531" s="204"/>
      <c r="F531" s="205"/>
      <c r="G531" s="205"/>
      <c r="H531" s="205"/>
      <c r="I531" s="204"/>
      <c r="J531" s="206"/>
      <c r="K531"/>
      <c r="L531" s="207"/>
      <c r="M531" s="205"/>
      <c r="N531" s="205"/>
      <c r="O531" s="205"/>
      <c r="P531" s="204"/>
      <c r="Q531" s="205"/>
      <c r="R531" s="206"/>
      <c r="T531" s="207"/>
      <c r="U531" s="205"/>
      <c r="V531" s="205"/>
      <c r="W531" s="205"/>
      <c r="X531" s="204"/>
      <c r="Y531" s="205"/>
      <c r="Z531" s="206"/>
    </row>
    <row r="532" spans="4:26" ht="18.75" customHeight="1" hidden="1">
      <c r="D532" s="125" t="s">
        <v>255</v>
      </c>
      <c r="E532" s="126" t="str">
        <f>_xlfn.XLOOKUP(E525,CurrentPlans!B:B,CurrentPlans!Z:Z,"NA",0,1)</f>
        <v>NA</v>
      </c>
      <c r="F532" s="127"/>
      <c r="G532" s="127"/>
      <c r="H532" s="127"/>
      <c r="I532" s="126"/>
      <c r="J532" s="128"/>
      <c r="K532"/>
      <c r="L532" s="129" t="str">
        <f>_xlfn.XLOOKUP(L525,RenewalPlans!B:B,RenewalPlans!AC:AC,"NA",0,1)</f>
        <v>NA</v>
      </c>
      <c r="M532" s="127"/>
      <c r="N532" s="127"/>
      <c r="O532" s="127"/>
      <c r="P532" s="126"/>
      <c r="Q532" s="127"/>
      <c r="R532" s="128"/>
      <c r="T532" s="129" t="str">
        <f>_xlfn.XLOOKUP(T525,RenewalPlans!B:B,RenewalPlans!AC:AC,"NA",0,1)</f>
        <v>NA</v>
      </c>
      <c r="U532" s="127"/>
      <c r="V532" s="127"/>
      <c r="W532" s="127"/>
      <c r="X532" s="126"/>
      <c r="Y532" s="127"/>
      <c r="Z532" s="128"/>
    </row>
    <row r="533" spans="4:26" ht="18.75" customHeight="1" hidden="1">
      <c r="D533" s="198" t="s">
        <v>256</v>
      </c>
      <c r="E533" s="208" t="str">
        <f>_xlfn.XLOOKUP(E525,CurrentPlans!B:B,CurrentPlans!AA:AA,"NA",0,1)</f>
        <v>NA</v>
      </c>
      <c r="F533" s="200"/>
      <c r="G533" s="200"/>
      <c r="H533" s="200"/>
      <c r="I533" s="208"/>
      <c r="J533" s="201"/>
      <c r="K533"/>
      <c r="L533" s="209" t="str">
        <f>_xlfn.XLOOKUP(L525,RenewalPlans!B:B,RenewalPlans!AD:AD,"NA",0,1)</f>
        <v>NA</v>
      </c>
      <c r="M533" s="200"/>
      <c r="N533" s="200"/>
      <c r="O533" s="200"/>
      <c r="P533" s="208"/>
      <c r="Q533" s="200"/>
      <c r="R533" s="201"/>
      <c r="T533" s="209" t="str">
        <f>_xlfn.XLOOKUP(T525,RenewalPlans!B:B,RenewalPlans!AD:AD,"NA",0,1)</f>
        <v>NA</v>
      </c>
      <c r="U533" s="200"/>
      <c r="V533" s="200"/>
      <c r="W533" s="200"/>
      <c r="X533" s="208"/>
      <c r="Y533" s="200"/>
      <c r="Z533" s="201"/>
    </row>
    <row r="534" spans="4:26" ht="18.75" customHeight="1" hidden="1">
      <c r="D534" s="203" t="s">
        <v>257</v>
      </c>
      <c r="E534" s="204"/>
      <c r="F534" s="205"/>
      <c r="G534" s="205"/>
      <c r="H534" s="205"/>
      <c r="I534" s="204"/>
      <c r="J534" s="206"/>
      <c r="K534"/>
      <c r="L534" s="207"/>
      <c r="M534" s="205"/>
      <c r="N534" s="205"/>
      <c r="O534" s="205"/>
      <c r="P534" s="204"/>
      <c r="Q534" s="205"/>
      <c r="R534" s="206"/>
      <c r="T534" s="207"/>
      <c r="U534" s="205"/>
      <c r="V534" s="205"/>
      <c r="W534" s="205"/>
      <c r="X534" s="204"/>
      <c r="Y534" s="205"/>
      <c r="Z534" s="206"/>
    </row>
    <row r="535" spans="4:26" ht="18.75" customHeight="1" hidden="1">
      <c r="D535" s="198" t="s">
        <v>258</v>
      </c>
      <c r="E535" s="208" t="str">
        <f>_xlfn.XLOOKUP(E525,CurrentPlans!B:B,CurrentPlans!AB:AB,"NA",0,1)</f>
        <v>NA</v>
      </c>
      <c r="F535" s="200"/>
      <c r="G535" s="200"/>
      <c r="H535" s="200"/>
      <c r="I535" s="208"/>
      <c r="J535" s="201"/>
      <c r="K535"/>
      <c r="L535" s="209" t="str">
        <f>_xlfn.XLOOKUP(L525,RenewalPlans!B:B,RenewalPlans!AE:AE,"NA",0,1)</f>
        <v>NA</v>
      </c>
      <c r="M535" s="200"/>
      <c r="N535" s="200"/>
      <c r="O535" s="200"/>
      <c r="P535" s="208"/>
      <c r="Q535" s="200"/>
      <c r="R535" s="201"/>
      <c r="T535" s="209" t="str">
        <f>_xlfn.XLOOKUP(T525,RenewalPlans!B:B,RenewalPlans!AE:AE,"NA",0,1)</f>
        <v>NA</v>
      </c>
      <c r="U535" s="200"/>
      <c r="V535" s="200"/>
      <c r="W535" s="200"/>
      <c r="X535" s="208"/>
      <c r="Y535" s="200"/>
      <c r="Z535" s="201"/>
    </row>
    <row r="536" spans="4:26" ht="18.75" customHeight="1" hidden="1">
      <c r="D536" s="198" t="s">
        <v>259</v>
      </c>
      <c r="E536" s="208" t="str">
        <f>_xlfn.XLOOKUP(E525,CurrentPlans!B:B,CurrentPlans!AC:AC,"NA",0,1)</f>
        <v>NA</v>
      </c>
      <c r="F536" s="200"/>
      <c r="G536" s="200"/>
      <c r="H536" s="200"/>
      <c r="I536" s="208"/>
      <c r="J536" s="201"/>
      <c r="K536"/>
      <c r="L536" s="209" t="str">
        <f>_xlfn.XLOOKUP(L525,RenewalPlans!B:B,RenewalPlans!AF:AF,"NA",0,1)</f>
        <v>NA</v>
      </c>
      <c r="M536" s="200"/>
      <c r="N536" s="200"/>
      <c r="O536" s="200"/>
      <c r="P536" s="208"/>
      <c r="Q536" s="200"/>
      <c r="R536" s="201"/>
      <c r="T536" s="209" t="str">
        <f>_xlfn.XLOOKUP(T525,RenewalPlans!B:B,RenewalPlans!AF:AF,"NA",0,1)</f>
        <v>NA</v>
      </c>
      <c r="U536" s="200"/>
      <c r="V536" s="200"/>
      <c r="W536" s="200"/>
      <c r="X536" s="208"/>
      <c r="Y536" s="200"/>
      <c r="Z536" s="201"/>
    </row>
    <row r="537" spans="4:26" ht="18.75" customHeight="1" hidden="1">
      <c r="D537" s="210"/>
      <c r="E537" s="211"/>
      <c r="F537" s="211"/>
      <c r="G537" s="211"/>
      <c r="H537" s="211"/>
      <c r="I537" s="211"/>
      <c r="J537" s="212"/>
      <c r="K537"/>
      <c r="L537" s="210"/>
      <c r="M537" s="211"/>
      <c r="N537" s="211"/>
      <c r="O537" s="211"/>
      <c r="P537" s="211"/>
      <c r="Q537" s="211"/>
      <c r="R537" s="212"/>
      <c r="T537" s="210"/>
      <c r="U537" s="211"/>
      <c r="V537" s="211"/>
      <c r="W537" s="211"/>
      <c r="X537" s="211"/>
      <c r="Y537" s="211"/>
      <c r="Z537" s="212"/>
    </row>
    <row r="538" spans="4:26" ht="18.75" customHeight="1" hidden="1">
      <c r="D538" s="185" t="s">
        <v>260</v>
      </c>
      <c r="E538" s="186"/>
      <c r="F538" s="186"/>
      <c r="G538" s="186"/>
      <c r="H538" s="186"/>
      <c r="I538" s="186"/>
      <c r="J538" s="187"/>
      <c r="K538"/>
      <c r="L538" s="188"/>
      <c r="M538" s="186"/>
      <c r="N538" s="186"/>
      <c r="O538" s="186"/>
      <c r="P538" s="186"/>
      <c r="Q538" s="186"/>
      <c r="R538" s="187"/>
      <c r="T538" s="188"/>
      <c r="U538" s="186"/>
      <c r="V538" s="186"/>
      <c r="W538" s="186"/>
      <c r="X538" s="186"/>
      <c r="Y538" s="186"/>
      <c r="Z538" s="187"/>
    </row>
    <row r="539" spans="4:26" ht="18.75" customHeight="1" hidden="1">
      <c r="D539" s="213" t="s">
        <v>261</v>
      </c>
      <c r="E539" s="130" t="str">
        <f>_xlfn.XLOOKUP(E525,CurrentPlans!B:B,CurrentPlans!AJ:AJ,"NA",0,1)</f>
        <v>NA</v>
      </c>
      <c r="F539" s="214"/>
      <c r="G539" s="214"/>
      <c r="H539" s="214"/>
      <c r="I539" s="130"/>
      <c r="J539" s="215"/>
      <c r="K539"/>
      <c r="L539" s="131" t="str">
        <f>_xlfn.XLOOKUP(L525,RenewalPlans!B:B,RenewalPlans!AM:AM,"NA",0,1)</f>
        <v>NA</v>
      </c>
      <c r="M539" s="214"/>
      <c r="N539" s="214"/>
      <c r="O539" s="214"/>
      <c r="P539" s="130"/>
      <c r="Q539" s="214"/>
      <c r="R539" s="215"/>
      <c r="T539" s="131" t="str">
        <f>_xlfn.XLOOKUP(T525,RenewalPlans!B:B,RenewalPlans!AM:AM,"NA",0,1)</f>
        <v>NA</v>
      </c>
      <c r="U539" s="214"/>
      <c r="V539" s="214"/>
      <c r="W539" s="214"/>
      <c r="X539" s="130"/>
      <c r="Y539" s="214"/>
      <c r="Z539" s="215"/>
    </row>
    <row r="540" spans="4:26" ht="18.75" customHeight="1" hidden="1">
      <c r="D540" s="198" t="s">
        <v>262</v>
      </c>
      <c r="E540" s="130" t="str">
        <f>_xlfn.XLOOKUP(E525,CurrentPlans!B:B,CurrentPlans!AM:AM,"NA",0,1)</f>
        <v>NA</v>
      </c>
      <c r="F540" s="200"/>
      <c r="G540" s="200"/>
      <c r="H540" s="200"/>
      <c r="I540" s="130"/>
      <c r="J540" s="201"/>
      <c r="K540"/>
      <c r="L540" s="131" t="str">
        <f>_xlfn.XLOOKUP(L525,RenewalPlans!B:B,RenewalPlans!AP:AP,"NA",0,1)</f>
        <v>NA</v>
      </c>
      <c r="M540" s="200"/>
      <c r="N540" s="200"/>
      <c r="O540" s="200"/>
      <c r="P540" s="130"/>
      <c r="Q540" s="200"/>
      <c r="R540" s="201"/>
      <c r="T540" s="131" t="str">
        <f>_xlfn.XLOOKUP(T525,RenewalPlans!B:B,RenewalPlans!AP:AP,"NA",0,1)</f>
        <v>NA</v>
      </c>
      <c r="U540" s="200"/>
      <c r="V540" s="200"/>
      <c r="W540" s="200"/>
      <c r="X540" s="130"/>
      <c r="Y540" s="200"/>
      <c r="Z540" s="201"/>
    </row>
    <row r="541" spans="4:26" ht="18.75" customHeight="1" hidden="1">
      <c r="D541" s="198" t="s">
        <v>263</v>
      </c>
      <c r="E541" s="130" t="str">
        <f>_xlfn.XLOOKUP(E525,CurrentPlans!B:B,CurrentPlans!AI:AI,"NA",0,1)</f>
        <v>NA</v>
      </c>
      <c r="F541" s="200"/>
      <c r="G541" s="200"/>
      <c r="H541" s="200"/>
      <c r="I541" s="130"/>
      <c r="J541" s="201"/>
      <c r="K541"/>
      <c r="L541" s="131" t="str">
        <f>_xlfn.XLOOKUP(L525,RenewalPlans!B:B,RenewalPlans!AL:AL,"NA",0,1)</f>
        <v>NA</v>
      </c>
      <c r="M541" s="200"/>
      <c r="N541" s="200"/>
      <c r="O541" s="200"/>
      <c r="P541" s="130"/>
      <c r="Q541" s="200"/>
      <c r="R541" s="201"/>
      <c r="T541" s="131" t="str">
        <f>_xlfn.XLOOKUP(T525,RenewalPlans!B:B,RenewalPlans!AL:AL,"NA",0,1)</f>
        <v>NA</v>
      </c>
      <c r="U541" s="200"/>
      <c r="V541" s="200"/>
      <c r="W541" s="200"/>
      <c r="X541" s="130"/>
      <c r="Y541" s="200"/>
      <c r="Z541" s="201"/>
    </row>
    <row r="542" spans="4:26" ht="18.75" customHeight="1" hidden="1">
      <c r="D542" s="198" t="s">
        <v>264</v>
      </c>
      <c r="E542" s="208" t="str">
        <f>_xlfn.XLOOKUP(E525,CurrentPlans!B:B,CurrentPlans!AN:AN,"NA",0,1)</f>
        <v>NA</v>
      </c>
      <c r="F542" s="200"/>
      <c r="G542" s="200"/>
      <c r="H542" s="200"/>
      <c r="I542" s="208"/>
      <c r="J542" s="201"/>
      <c r="K542"/>
      <c r="L542" s="209" t="str">
        <f>_xlfn.XLOOKUP(L525,RenewalPlans!B:B,RenewalPlans!AQ:AQ,"NA",0,1)</f>
        <v>NA</v>
      </c>
      <c r="M542" s="200"/>
      <c r="N542" s="200"/>
      <c r="O542" s="200"/>
      <c r="P542" s="208"/>
      <c r="Q542" s="200"/>
      <c r="R542" s="201"/>
      <c r="T542" s="209" t="str">
        <f>_xlfn.XLOOKUP(T525,RenewalPlans!B:B,RenewalPlans!AQ:AQ,"NA",0,1)</f>
        <v>NA</v>
      </c>
      <c r="U542" s="200"/>
      <c r="V542" s="200"/>
      <c r="W542" s="200"/>
      <c r="X542" s="208"/>
      <c r="Y542" s="200"/>
      <c r="Z542" s="201"/>
    </row>
    <row r="543" spans="4:26" ht="18.75" customHeight="1" hidden="1">
      <c r="D543" s="210"/>
      <c r="E543" s="211"/>
      <c r="F543" s="211"/>
      <c r="G543" s="211"/>
      <c r="H543" s="211"/>
      <c r="I543" s="211"/>
      <c r="J543" s="212"/>
      <c r="K543"/>
      <c r="L543" s="210"/>
      <c r="M543" s="211"/>
      <c r="N543" s="211"/>
      <c r="O543" s="211"/>
      <c r="P543" s="211"/>
      <c r="Q543" s="211"/>
      <c r="R543" s="212"/>
      <c r="T543" s="210"/>
      <c r="U543" s="211"/>
      <c r="V543" s="211"/>
      <c r="W543" s="211"/>
      <c r="X543" s="211"/>
      <c r="Y543" s="211"/>
      <c r="Z543" s="212"/>
    </row>
    <row r="544" spans="4:26" ht="18.75" customHeight="1" hidden="1">
      <c r="D544" s="185" t="s">
        <v>265</v>
      </c>
      <c r="E544" s="186"/>
      <c r="F544" s="186"/>
      <c r="G544" s="186"/>
      <c r="H544" s="186"/>
      <c r="I544" s="186"/>
      <c r="J544" s="187"/>
      <c r="K544"/>
      <c r="L544" s="188"/>
      <c r="M544" s="186"/>
      <c r="N544" s="186"/>
      <c r="O544" s="186"/>
      <c r="P544" s="186"/>
      <c r="Q544" s="186"/>
      <c r="R544" s="187"/>
      <c r="T544" s="188"/>
      <c r="U544" s="186"/>
      <c r="V544" s="186"/>
      <c r="W544" s="186"/>
      <c r="X544" s="186"/>
      <c r="Y544" s="186"/>
      <c r="Z544" s="187"/>
    </row>
    <row r="545" spans="4:26" ht="18.75" customHeight="1" hidden="1">
      <c r="D545" s="132" t="s">
        <v>266</v>
      </c>
      <c r="E545" s="133" t="str">
        <f>_xlfn.XLOOKUP(E525,CurrentPlans!B:B,CurrentPlans!AE:AE,"NA",0,1)</f>
        <v>NA</v>
      </c>
      <c r="F545" s="134"/>
      <c r="G545" s="134"/>
      <c r="H545" s="134"/>
      <c r="I545" s="133"/>
      <c r="J545" s="135"/>
      <c r="K545"/>
      <c r="L545" s="136" t="str">
        <f>_xlfn.XLOOKUP(L525,RenewalPlans!B:B,RenewalPlans!AH:AH,"NA",0,1)</f>
        <v>NA</v>
      </c>
      <c r="M545" s="134"/>
      <c r="N545" s="134"/>
      <c r="O545" s="134"/>
      <c r="P545" s="133"/>
      <c r="Q545" s="134"/>
      <c r="R545" s="135"/>
      <c r="T545" s="136" t="str">
        <f>_xlfn.XLOOKUP(T525,RenewalPlans!B:B,RenewalPlans!AH:AH,"NA",0,1)</f>
        <v>NA</v>
      </c>
      <c r="U545" s="134"/>
      <c r="V545" s="134"/>
      <c r="W545" s="134"/>
      <c r="X545" s="133"/>
      <c r="Y545" s="134"/>
      <c r="Z545" s="135"/>
    </row>
    <row r="546" spans="4:26" ht="18.75" customHeight="1" hidden="1">
      <c r="D546" s="120" t="s">
        <v>267</v>
      </c>
      <c r="E546" s="130" t="str">
        <f>_xlfn.XLOOKUP(E525,CurrentPlans!B:B,CurrentPlans!AF:AF,"NA",0,1)</f>
        <v>NA</v>
      </c>
      <c r="F546" s="122"/>
      <c r="G546" s="122"/>
      <c r="H546" s="122"/>
      <c r="I546" s="130"/>
      <c r="J546" s="123"/>
      <c r="K546"/>
      <c r="L546" s="131" t="str">
        <f>_xlfn.XLOOKUP(L525,RenewalPlans!B:B,RenewalPlans!AI:AI,"NA",0,1)</f>
        <v>NA</v>
      </c>
      <c r="M546" s="122"/>
      <c r="N546" s="122"/>
      <c r="O546" s="122"/>
      <c r="P546" s="130"/>
      <c r="Q546" s="122"/>
      <c r="R546" s="123"/>
      <c r="T546" s="131" t="str">
        <f>_xlfn.XLOOKUP(T525,RenewalPlans!B:B,RenewalPlans!AI:AI,"NA",0,1)</f>
        <v>NA</v>
      </c>
      <c r="U546" s="122"/>
      <c r="V546" s="122"/>
      <c r="W546" s="122"/>
      <c r="X546" s="130"/>
      <c r="Y546" s="122"/>
      <c r="Z546" s="123"/>
    </row>
    <row r="547" spans="4:26" ht="18.75" customHeight="1" hidden="1">
      <c r="D547" s="198" t="s">
        <v>268</v>
      </c>
      <c r="E547" s="130" t="str">
        <f>_xlfn.XLOOKUP(E525,CurrentPlans!B:B,CurrentPlans!AH:AH,"NA",0,1)</f>
        <v>NA</v>
      </c>
      <c r="F547" s="200"/>
      <c r="G547" s="200"/>
      <c r="H547" s="200"/>
      <c r="I547" s="130"/>
      <c r="J547" s="201"/>
      <c r="K547"/>
      <c r="L547" s="131" t="str">
        <f>_xlfn.XLOOKUP(L525,RenewalPlans!B:B,RenewalPlans!AK:AK,"NA",0,1)</f>
        <v>NA</v>
      </c>
      <c r="M547" s="200"/>
      <c r="N547" s="200"/>
      <c r="O547" s="200"/>
      <c r="P547" s="130"/>
      <c r="Q547" s="200"/>
      <c r="R547" s="201"/>
      <c r="T547" s="131" t="str">
        <f>_xlfn.XLOOKUP(T525,RenewalPlans!B:B,RenewalPlans!AK:AK,"NA",0,1)</f>
        <v>NA</v>
      </c>
      <c r="U547" s="200"/>
      <c r="V547" s="200"/>
      <c r="W547" s="200"/>
      <c r="X547" s="130"/>
      <c r="Y547" s="200"/>
      <c r="Z547" s="201"/>
    </row>
    <row r="548" spans="4:26" ht="18.75" customHeight="1" hidden="1">
      <c r="D548" s="198" t="s">
        <v>269</v>
      </c>
      <c r="E548" s="130" t="str">
        <f>_xlfn.XLOOKUP(E525,CurrentPlans!B:B,CurrentPlans!AG:AG,"NA",0,1)</f>
        <v>NA</v>
      </c>
      <c r="F548" s="200"/>
      <c r="G548" s="200"/>
      <c r="H548" s="200"/>
      <c r="I548" s="130"/>
      <c r="J548" s="201"/>
      <c r="K548"/>
      <c r="L548" s="131" t="str">
        <f>_xlfn.XLOOKUP(L525,RenewalPlans!B:B,RenewalPlans!AJ:AJ,"NA",0,1)</f>
        <v>NA</v>
      </c>
      <c r="M548" s="200"/>
      <c r="N548" s="200"/>
      <c r="O548" s="200"/>
      <c r="P548" s="130"/>
      <c r="Q548" s="200"/>
      <c r="R548" s="201"/>
      <c r="T548" s="131" t="str">
        <f>_xlfn.XLOOKUP(T525,RenewalPlans!B:B,RenewalPlans!AJ:AJ,"NA",0,1)</f>
        <v>NA</v>
      </c>
      <c r="U548" s="200"/>
      <c r="V548" s="200"/>
      <c r="W548" s="200"/>
      <c r="X548" s="130"/>
      <c r="Y548" s="200"/>
      <c r="Z548" s="201"/>
    </row>
    <row r="549" spans="4:26" ht="18.75" customHeight="1" hidden="1">
      <c r="D549" s="213" t="s">
        <v>270</v>
      </c>
      <c r="E549" s="216" t="str">
        <f>_xlfn.XLOOKUP(E525,CurrentPlans!B:B,CurrentPlans!AU:AU,"NA",0,1)</f>
        <v>NA</v>
      </c>
      <c r="F549" s="214"/>
      <c r="G549" s="214"/>
      <c r="H549" s="214"/>
      <c r="I549" s="217"/>
      <c r="J549" s="215"/>
      <c r="K549"/>
      <c r="L549" s="218" t="str">
        <f>_xlfn.XLOOKUP(L525,RenewalPlans!B:B,RenewalPlans!AX:AX,"NA",0,1)</f>
        <v>NA</v>
      </c>
      <c r="M549" s="214"/>
      <c r="N549" s="214"/>
      <c r="O549" s="214"/>
      <c r="P549" s="217"/>
      <c r="Q549" s="214"/>
      <c r="R549" s="215"/>
      <c r="T549" s="218" t="str">
        <f>_xlfn.XLOOKUP(T525,RenewalPlans!B:B,RenewalPlans!AX:AX,"NA",0,1)</f>
        <v>NA</v>
      </c>
      <c r="U549" s="214"/>
      <c r="V549" s="214"/>
      <c r="W549" s="214"/>
      <c r="X549" s="217"/>
      <c r="Y549" s="214"/>
      <c r="Z549" s="215"/>
    </row>
    <row r="550" spans="4:26" ht="18.75" customHeight="1" hidden="1">
      <c r="D550" s="213" t="s">
        <v>271</v>
      </c>
      <c r="E550" s="216" t="str">
        <f>_xlfn.XLOOKUP(E525,CurrentPlans!B:B,CurrentPlans!AT:AT,"NA",0,1)</f>
        <v>NA</v>
      </c>
      <c r="F550" s="214"/>
      <c r="G550" s="214"/>
      <c r="H550" s="214"/>
      <c r="I550" s="217"/>
      <c r="J550" s="215"/>
      <c r="K550"/>
      <c r="L550" s="218" t="str">
        <f>_xlfn.XLOOKUP(L525,RenewalPlans!B:B,RenewalPlans!AW:AW,"NA",0,1)</f>
        <v>NA</v>
      </c>
      <c r="M550" s="214"/>
      <c r="N550" s="214"/>
      <c r="O550" s="214"/>
      <c r="P550" s="217"/>
      <c r="Q550" s="214"/>
      <c r="R550" s="215"/>
      <c r="T550" s="218" t="str">
        <f>_xlfn.XLOOKUP(T525,RenewalPlans!B:B,RenewalPlans!AW:AW,"NA",0,1)</f>
        <v>NA</v>
      </c>
      <c r="U550" s="214"/>
      <c r="V550" s="214"/>
      <c r="W550" s="214"/>
      <c r="X550" s="217"/>
      <c r="Y550" s="214"/>
      <c r="Z550" s="215"/>
    </row>
    <row r="551" spans="4:26" ht="18.75" customHeight="1" hidden="1">
      <c r="D551" s="198" t="s">
        <v>272</v>
      </c>
      <c r="E551" s="130" t="str">
        <f>_xlfn.XLOOKUP(E525,CurrentPlans!B:B,CurrentPlans!AD:AD,"NA",0,1)</f>
        <v>NA</v>
      </c>
      <c r="F551" s="200"/>
      <c r="G551" s="200"/>
      <c r="H551" s="200"/>
      <c r="I551" s="130"/>
      <c r="J551" s="201"/>
      <c r="K551"/>
      <c r="L551" s="131" t="str">
        <f>_xlfn.XLOOKUP(L525,RenewalPlans!B:B,RenewalPlans!AG:AG,"NA",0,1)</f>
        <v>NA</v>
      </c>
      <c r="M551" s="200"/>
      <c r="N551" s="200"/>
      <c r="O551" s="200"/>
      <c r="P551" s="130"/>
      <c r="Q551" s="200"/>
      <c r="R551" s="201"/>
      <c r="T551" s="131" t="str">
        <f>_xlfn.XLOOKUP(T525,RenewalPlans!B:B,RenewalPlans!AG:AG,"NA",0,1)</f>
        <v>NA</v>
      </c>
      <c r="U551" s="200"/>
      <c r="V551" s="200"/>
      <c r="W551" s="200"/>
      <c r="X551" s="130"/>
      <c r="Y551" s="200"/>
      <c r="Z551" s="201"/>
    </row>
    <row r="552" spans="4:26" ht="18.75" customHeight="1" hidden="1">
      <c r="D552" s="198" t="s">
        <v>273</v>
      </c>
      <c r="E552" s="200"/>
      <c r="F552" s="200"/>
      <c r="G552" s="200"/>
      <c r="H552" s="200"/>
      <c r="I552" s="200"/>
      <c r="J552" s="201"/>
      <c r="K552"/>
      <c r="L552" s="198"/>
      <c r="M552" s="200"/>
      <c r="N552" s="200"/>
      <c r="O552" s="200"/>
      <c r="P552" s="200"/>
      <c r="Q552" s="200"/>
      <c r="R552" s="201"/>
      <c r="T552" s="198"/>
      <c r="U552" s="200"/>
      <c r="V552" s="200"/>
      <c r="W552" s="200"/>
      <c r="X552" s="200"/>
      <c r="Y552" s="200"/>
      <c r="Z552" s="201"/>
    </row>
    <row r="553" spans="4:26" ht="18.75" customHeight="1" hidden="1">
      <c r="D553" s="210"/>
      <c r="E553" s="211"/>
      <c r="F553" s="211"/>
      <c r="G553" s="211"/>
      <c r="H553" s="211"/>
      <c r="I553" s="211"/>
      <c r="J553" s="212"/>
      <c r="K553"/>
      <c r="L553" s="210"/>
      <c r="M553" s="211"/>
      <c r="N553" s="211"/>
      <c r="O553" s="211"/>
      <c r="P553" s="211"/>
      <c r="Q553" s="211"/>
      <c r="R553" s="212"/>
      <c r="T553" s="210"/>
      <c r="U553" s="211"/>
      <c r="V553" s="211"/>
      <c r="W553" s="211"/>
      <c r="X553" s="211"/>
      <c r="Y553" s="211"/>
      <c r="Z553" s="212"/>
    </row>
    <row r="554" spans="4:26" ht="18.75" customHeight="1" hidden="1">
      <c r="D554" s="219" t="s">
        <v>274</v>
      </c>
      <c r="E554" s="220"/>
      <c r="F554" s="220"/>
      <c r="G554" s="220"/>
      <c r="H554" s="220"/>
      <c r="I554" s="220"/>
      <c r="J554" s="221"/>
      <c r="K554"/>
      <c r="L554" s="222"/>
      <c r="M554" s="220"/>
      <c r="N554" s="220"/>
      <c r="O554" s="220"/>
      <c r="P554" s="220"/>
      <c r="Q554" s="220"/>
      <c r="R554" s="221"/>
      <c r="T554" s="222"/>
      <c r="U554" s="220"/>
      <c r="V554" s="220"/>
      <c r="W554" s="220"/>
      <c r="X554" s="220"/>
      <c r="Y554" s="220"/>
      <c r="Z554" s="221"/>
    </row>
    <row r="555" spans="4:26" ht="18.75" customHeight="1" hidden="1">
      <c r="D555" s="223" t="s">
        <v>250</v>
      </c>
      <c r="E555" s="205"/>
      <c r="F555" s="205"/>
      <c r="G555" s="205"/>
      <c r="H555" s="205"/>
      <c r="I555" s="205"/>
      <c r="J555" s="206"/>
      <c r="K555"/>
      <c r="L555" s="203"/>
      <c r="M555" s="205"/>
      <c r="N555" s="205"/>
      <c r="O555" s="205"/>
      <c r="P555" s="205"/>
      <c r="Q555" s="205"/>
      <c r="R555" s="206"/>
      <c r="T555" s="203"/>
      <c r="U555" s="205"/>
      <c r="V555" s="205"/>
      <c r="W555" s="205"/>
      <c r="X555" s="205"/>
      <c r="Y555" s="205"/>
      <c r="Z555" s="206"/>
    </row>
    <row r="556" spans="4:26" ht="18.75" customHeight="1" hidden="1">
      <c r="D556" s="198" t="s">
        <v>251</v>
      </c>
      <c r="E556" s="130" t="str">
        <f>_xlfn.XLOOKUP(E525,CurrentPlans!B:B,CurrentPlans!AP:AP,"NA",0,1)</f>
        <v>NA</v>
      </c>
      <c r="F556" s="200"/>
      <c r="G556" s="200"/>
      <c r="H556" s="200"/>
      <c r="I556" s="130"/>
      <c r="J556" s="201"/>
      <c r="K556"/>
      <c r="L556" s="131" t="str">
        <f>_xlfn.XLOOKUP(L525,RenewalPlans!B:B,RenewalPlans!AS:AS,"NA",0,1)</f>
        <v>NA</v>
      </c>
      <c r="M556" s="200"/>
      <c r="N556" s="200"/>
      <c r="O556" s="200"/>
      <c r="P556" s="130"/>
      <c r="Q556" s="200"/>
      <c r="R556" s="201"/>
      <c r="T556" s="131" t="str">
        <f>_xlfn.XLOOKUP(T525,RenewalPlans!B:B,RenewalPlans!AS:AS,"NA",0,1)</f>
        <v>NA</v>
      </c>
      <c r="U556" s="200"/>
      <c r="V556" s="200"/>
      <c r="W556" s="200"/>
      <c r="X556" s="130"/>
      <c r="Y556" s="200"/>
      <c r="Z556" s="201"/>
    </row>
    <row r="557" spans="4:26" ht="18.75" customHeight="1" hidden="1">
      <c r="D557" s="198" t="s">
        <v>252</v>
      </c>
      <c r="E557" s="130" t="str">
        <f>_xlfn.XLOOKUP(E525,CurrentPlans!B:B,CurrentPlans!AQ:AQ,"NA",0,1)</f>
        <v>NA</v>
      </c>
      <c r="F557" s="200"/>
      <c r="G557" s="200"/>
      <c r="H557" s="200"/>
      <c r="I557" s="130"/>
      <c r="J557" s="201"/>
      <c r="K557"/>
      <c r="L557" s="131" t="str">
        <f>_xlfn.XLOOKUP(L525,RenewalPlans!B:B,RenewalPlans!AT:AT,"NA",0,1)</f>
        <v>NA</v>
      </c>
      <c r="M557" s="200"/>
      <c r="N557" s="200"/>
      <c r="O557" s="200"/>
      <c r="P557" s="130"/>
      <c r="Q557" s="200"/>
      <c r="R557" s="201"/>
      <c r="T557" s="131" t="str">
        <f>_xlfn.XLOOKUP(T525,RenewalPlans!B:B,RenewalPlans!AT:AT,"NA",0,1)</f>
        <v>NA</v>
      </c>
      <c r="U557" s="200"/>
      <c r="V557" s="200"/>
      <c r="W557" s="200"/>
      <c r="X557" s="130"/>
      <c r="Y557" s="200"/>
      <c r="Z557" s="201"/>
    </row>
    <row r="558" spans="4:26" ht="18.75" customHeight="1" hidden="1">
      <c r="D558" s="120" t="s">
        <v>253</v>
      </c>
      <c r="E558" s="133" t="str">
        <f>_xlfn.XLOOKUP(E525,CurrentPlans!B:B,CurrentPlans!AO:AO,"NA",0,1)</f>
        <v>NA</v>
      </c>
      <c r="F558" s="122"/>
      <c r="G558" s="122"/>
      <c r="H558" s="122"/>
      <c r="I558" s="133"/>
      <c r="J558" s="123"/>
      <c r="K558"/>
      <c r="L558" s="136" t="str">
        <f>_xlfn.XLOOKUP(L525,RenewalPlans!B:B,RenewalPlans!AR:AR,"NA",0,1)</f>
        <v>NA</v>
      </c>
      <c r="M558" s="122"/>
      <c r="N558" s="122"/>
      <c r="O558" s="122"/>
      <c r="P558" s="133"/>
      <c r="Q558" s="122"/>
      <c r="R558" s="123"/>
      <c r="T558" s="136" t="str">
        <f>_xlfn.XLOOKUP(T525,RenewalPlans!B:B,RenewalPlans!AR:AR,"NA",0,1)</f>
        <v>NA</v>
      </c>
      <c r="U558" s="122"/>
      <c r="V558" s="122"/>
      <c r="W558" s="122"/>
      <c r="X558" s="133"/>
      <c r="Y558" s="122"/>
      <c r="Z558" s="123"/>
    </row>
    <row r="559" spans="4:26" ht="18.75" customHeight="1" hidden="1">
      <c r="D559" s="223" t="s">
        <v>254</v>
      </c>
      <c r="E559" s="205"/>
      <c r="F559" s="205"/>
      <c r="G559" s="205"/>
      <c r="H559" s="205"/>
      <c r="I559" s="205"/>
      <c r="J559" s="206"/>
      <c r="K559"/>
      <c r="L559" s="203"/>
      <c r="M559" s="205"/>
      <c r="N559" s="205"/>
      <c r="O559" s="205"/>
      <c r="P559" s="205"/>
      <c r="Q559" s="205"/>
      <c r="R559" s="206"/>
      <c r="T559" s="203"/>
      <c r="U559" s="205"/>
      <c r="V559" s="205"/>
      <c r="W559" s="205"/>
      <c r="X559" s="205"/>
      <c r="Y559" s="205"/>
      <c r="Z559" s="206"/>
    </row>
    <row r="560" spans="4:26" ht="18.75" customHeight="1" hidden="1">
      <c r="D560" s="198" t="s">
        <v>255</v>
      </c>
      <c r="E560" s="130" t="str">
        <f>_xlfn.XLOOKUP(E525,CurrentPlans!B:B,CurrentPlans!AR:AR,"NA",0,1)</f>
        <v>NA</v>
      </c>
      <c r="F560" s="200"/>
      <c r="G560" s="200"/>
      <c r="H560" s="200"/>
      <c r="I560" s="130"/>
      <c r="J560" s="201"/>
      <c r="K560"/>
      <c r="L560" s="131" t="str">
        <f>_xlfn.XLOOKUP(L525,RenewalPlans!B:B,RenewalPlans!AU:AU,"NA",0,1)</f>
        <v>NA</v>
      </c>
      <c r="M560" s="200"/>
      <c r="N560" s="200"/>
      <c r="O560" s="200"/>
      <c r="P560" s="130"/>
      <c r="Q560" s="200"/>
      <c r="R560" s="201"/>
      <c r="T560" s="131" t="str">
        <f>_xlfn.XLOOKUP(T525,RenewalPlans!B:B,RenewalPlans!AU:AU,"NA",0,1)</f>
        <v>NA</v>
      </c>
      <c r="U560" s="200"/>
      <c r="V560" s="200"/>
      <c r="W560" s="200"/>
      <c r="X560" s="130"/>
      <c r="Y560" s="200"/>
      <c r="Z560" s="201"/>
    </row>
    <row r="561" spans="4:26" ht="18.75" customHeight="1" hidden="1" thickBot="1">
      <c r="D561" s="224" t="s">
        <v>256</v>
      </c>
      <c r="E561" s="137" t="str">
        <f>_xlfn.XLOOKUP(E525,CurrentPlans!B:B,CurrentPlans!AS:AS,"NA",0,1)</f>
        <v>NA</v>
      </c>
      <c r="F561" s="225"/>
      <c r="G561" s="225"/>
      <c r="H561" s="225"/>
      <c r="I561" s="137"/>
      <c r="J561" s="226"/>
      <c r="K561"/>
      <c r="L561" s="138" t="str">
        <f>_xlfn.XLOOKUP(L525,RenewalPlans!B:B,RenewalPlans!AV:AV,"NA",0,1)</f>
        <v>NA</v>
      </c>
      <c r="M561" s="225"/>
      <c r="N561" s="225"/>
      <c r="O561" s="225"/>
      <c r="P561" s="137"/>
      <c r="Q561" s="225"/>
      <c r="R561" s="226"/>
      <c r="T561" s="138" t="str">
        <f>_xlfn.XLOOKUP(T525,RenewalPlans!B:B,RenewalPlans!AV:AV,"NA",0,1)</f>
        <v>NA</v>
      </c>
      <c r="U561" s="225"/>
      <c r="V561" s="225"/>
      <c r="W561" s="225"/>
      <c r="X561" s="137"/>
      <c r="Y561" s="225"/>
      <c r="Z561" s="226"/>
    </row>
    <row r="562" spans="4:26" ht="18.75" customHeight="1">
      <c r="D562" s="227"/>
      <c r="E562" s="176"/>
      <c r="F562" s="178"/>
      <c r="G562" s="179"/>
      <c r="H562" s="178"/>
      <c r="I562" s="176"/>
      <c r="J562" s="228"/>
      <c r="K562"/>
      <c r="L562" s="178"/>
      <c r="M562" s="176"/>
      <c r="N562" s="139"/>
      <c r="O562" s="178"/>
      <c r="P562" s="178"/>
      <c r="Q562" s="178"/>
      <c r="R562" s="228"/>
      <c r="T562" s="178"/>
      <c r="U562" s="176"/>
      <c r="V562" s="139"/>
      <c r="W562" s="178"/>
      <c r="X562" s="178"/>
      <c r="Y562" s="178"/>
      <c r="Z562" s="228"/>
    </row>
    <row r="563" spans="4:26" ht="5.25" customHeight="1" thickBot="1">
      <c r="D563" s="229"/>
      <c r="E563" s="229"/>
      <c r="F563" s="230"/>
      <c r="G563" s="231"/>
      <c r="H563" s="232"/>
      <c r="I563" s="233"/>
      <c r="J563" s="233"/>
      <c r="K563"/>
      <c r="L563" s="233"/>
      <c r="M563" s="233"/>
      <c r="N563" s="233"/>
      <c r="O563" s="233"/>
      <c r="P563" s="233"/>
      <c r="Q563" s="233"/>
      <c r="R563" s="233"/>
      <c r="T563" s="233"/>
      <c r="U563" s="233"/>
      <c r="V563" s="233"/>
      <c r="W563" s="233"/>
      <c r="X563" s="233"/>
      <c r="Y563" s="233"/>
      <c r="Z563" s="233"/>
    </row>
    <row r="564" spans="3:26" ht="50.15" customHeight="1">
      <c r="C564" s="164" t="s">
        <v>286</v>
      </c>
      <c r="D564" s="275" t="s">
        <v>285</v>
      </c>
      <c r="E564" s="165"/>
      <c r="F564" s="272"/>
      <c r="G564" s="166"/>
      <c r="H564" s="167"/>
      <c r="I564" s="168"/>
      <c r="J564" s="169"/>
      <c r="K564"/>
      <c r="L564" s="274" t="s">
        <v>38</v>
      </c>
      <c r="M564" s="170"/>
      <c r="N564" s="274" t="s">
        <v>237</v>
      </c>
      <c r="O564" s="171"/>
      <c r="P564" s="171"/>
      <c r="Q564" s="171"/>
      <c r="R564" s="169"/>
      <c r="T564" s="274" t="s">
        <v>38</v>
      </c>
      <c r="U564" s="170"/>
      <c r="V564" s="274" t="s">
        <v>237</v>
      </c>
      <c r="W564" s="171"/>
      <c r="X564" s="171"/>
      <c r="Y564" s="171"/>
      <c r="Z564" s="169"/>
    </row>
    <row r="565" spans="4:26" ht="18.75" customHeight="1">
      <c r="D565" s="172" t="s">
        <v>238</v>
      </c>
      <c r="E565" s="407"/>
      <c r="F565" s="449"/>
      <c r="G565" s="470"/>
      <c r="H565" s="449"/>
      <c r="I565" s="450" t="str">
        <f>IFERROR(IF(E565="","",F565-H565),"")</f>
        <v/>
      </c>
      <c r="J565" s="410"/>
      <c r="K565" s="411"/>
      <c r="L565" s="408" t="str" cm="1">
        <f t="array" ca="1" aca="1" ref="L565">_xlfn.IFNA(VLOOKUP(INDIRECT("L"&amp;ROW()-1)&amp;"_"&amp;$D$12,BEGIN_RENEW_HEALTH:END_RENEW_HEALTH,RENEW_COL_EO,FALSE),"")</f>
        <v/>
      </c>
      <c r="M565" s="412" t="str">
        <f>IF(E565="","",E565)</f>
        <v/>
      </c>
      <c r="N565" s="413"/>
      <c r="O565" s="414"/>
      <c r="P565" s="415" t="str">
        <f>IFERROR(IF($N564="Keep Contribution Same",H565,IF($N564="Enter Percentages",IF(N565="","",N565*L565),IF($N564="Keep Percentage Same",IF(G565="","",G565*L565),IF($N564="Enter Dollar Amount",IF(O565="","",O565),"")))),"")</f>
        <v/>
      </c>
      <c r="Q565" s="408" t="str">
        <f ca="1">IFERROR(L565-P565,"")</f>
        <v/>
      </c>
      <c r="R565" s="410" t="str">
        <f>IFERROR(IF(P565="","",M565*P565),"")</f>
        <v/>
      </c>
      <c r="S565" s="411"/>
      <c r="T565" s="408" t="str" cm="1">
        <f t="array" ca="1" aca="1" ref="T565">_xlfn.IFNA(VLOOKUP(INDIRECT("T"&amp;ROW()-1)&amp;"_"&amp;$D$12,BEGIN_RENEW_HEALTH:END_RENEW_HEALTH,RENEW_COL_EO,FALSE),"")</f>
        <v/>
      </c>
      <c r="U565" s="412" t="str">
        <f>IF(E565="","",E565)</f>
        <v/>
      </c>
      <c r="V565" s="413"/>
      <c r="W565" s="414"/>
      <c r="X565" s="415" t="str">
        <f>IFERROR(IF($V564="Keep Contribution Same",H565,IF($V564="Enter Percentages",IF(V565="","",V565*T565),IF($V564="Keep Percentage Same",IF(G565="","",G565*T565),IF($V564="Enter Dollar Amount",IF(W565="","",W565),"")))),"")</f>
        <v/>
      </c>
      <c r="Y565" s="408" t="str">
        <f ca="1">IFERROR(T565-X565,"")</f>
        <v/>
      </c>
      <c r="Z565" s="410" t="str">
        <f>IFERROR(IF(X565="","",U565*X565),"")</f>
        <v/>
      </c>
    </row>
    <row r="566" spans="4:26" ht="18.75" customHeight="1">
      <c r="D566" s="172" t="s">
        <v>239</v>
      </c>
      <c r="E566" s="407"/>
      <c r="F566" s="449"/>
      <c r="G566" s="470"/>
      <c r="H566" s="449"/>
      <c r="I566" s="450" t="str">
        <f t="shared" si="57" ref="I566:I568">IFERROR(IF(E566="","",F566-H566),"")</f>
        <v/>
      </c>
      <c r="J566" s="410"/>
      <c r="K566" s="411"/>
      <c r="L566" s="408" t="str" cm="1">
        <f t="array" ca="1" aca="1" ref="L566">_xlfn.IFNA(VLOOKUP(INDIRECT("L"&amp;ROW()-2)&amp;"_"&amp;$D$12,BEGIN_RENEW_HEALTH:END_RENEW_HEALTH,RENEW_COL_ES,FALSE),"")</f>
        <v/>
      </c>
      <c r="M566" s="412" t="str">
        <f>IF(E566="","",E566)</f>
        <v/>
      </c>
      <c r="N566" s="413"/>
      <c r="O566" s="414"/>
      <c r="P566" s="415" t="str">
        <f>IFERROR(IF($N564="Keep Contribution Same",H566,IF($N564="Enter Percentages",IF(N566="","",N566*L566),IF($N564="Keep Percentage Same",IF(G566="","",G566*L566),IF($N564="Enter Dollar Amount",IF(O566="","",O566),"")))),"")</f>
        <v/>
      </c>
      <c r="Q566" s="408" t="str">
        <f ca="1" t="shared" si="58" ref="Q566:Q568">IFERROR(L566-P566,"")</f>
        <v/>
      </c>
      <c r="R566" s="410" t="str">
        <f>IFERROR(IF(P566="","",M566*P566),"")</f>
        <v/>
      </c>
      <c r="S566" s="411"/>
      <c r="T566" s="408" t="str" cm="1">
        <f t="array" ca="1" aca="1" ref="T566">_xlfn.IFNA(VLOOKUP(INDIRECT("T"&amp;ROW()-2)&amp;"_"&amp;$D$12,BEGIN_RENEW_HEALTH:END_RENEW_HEALTH,RENEW_COL_ES,FALSE),"")</f>
        <v/>
      </c>
      <c r="U566" s="412" t="str">
        <f t="shared" si="59" ref="U566:U568">IF(E566="","",E566)</f>
        <v/>
      </c>
      <c r="V566" s="413"/>
      <c r="W566" s="414"/>
      <c r="X566" s="415" t="str">
        <f>IFERROR(IF($V564="Keep Contribution Same",H566,IF($V564="Enter Percentages",IF(V566="","",V566*T566),IF($V564="Keep Percentage Same",IF(G566="","",G566*T566),IF($V564="Enter Dollar Amount",IF(W566="","",W566),"")))),"")</f>
        <v/>
      </c>
      <c r="Y566" s="408" t="str">
        <f ca="1" t="shared" si="60" ref="Y566:Y568">IFERROR(T566-X566,"")</f>
        <v/>
      </c>
      <c r="Z566" s="410" t="str">
        <f t="shared" si="61" ref="Z566:Z568">IFERROR(IF(X566="","",U566*X566),"")</f>
        <v/>
      </c>
    </row>
    <row r="567" spans="4:26" ht="18.75" customHeight="1">
      <c r="D567" s="172" t="s">
        <v>240</v>
      </c>
      <c r="E567" s="407"/>
      <c r="F567" s="449"/>
      <c r="G567" s="470"/>
      <c r="H567" s="449"/>
      <c r="I567" s="450" t="str">
        <f t="shared" si="57"/>
        <v/>
      </c>
      <c r="J567" s="410"/>
      <c r="K567" s="411"/>
      <c r="L567" s="408" t="str" cm="1">
        <f t="array" ca="1" aca="1" ref="L567">_xlfn.IFNA(VLOOKUP(INDIRECT("L"&amp;ROW()-3)&amp;"_"&amp;$D$12,BEGIN_RENEW_HEALTH:END_RENEW_HEALTH,RENEW_COL_EC,FALSE),"")</f>
        <v/>
      </c>
      <c r="M567" s="412" t="str">
        <f>IF(E567="","",E567)</f>
        <v/>
      </c>
      <c r="N567" s="413"/>
      <c r="O567" s="414"/>
      <c r="P567" s="415" t="str">
        <f>IFERROR(IF($N564="Keep Contribution Same",H567,IF($N564="Enter Percentages",IF(N567="","",N567*L567),IF($N564="Keep Percentage Same",IF(G567="","",G567*L567),IF($N564="Enter Dollar Amount",IF(O567="","",O567),"")))),"")</f>
        <v/>
      </c>
      <c r="Q567" s="408" t="str">
        <f t="shared" ca="1" si="58"/>
        <v/>
      </c>
      <c r="R567" s="410" t="str">
        <f>IFERROR(IF(P567="","",M567*P567),"")</f>
        <v/>
      </c>
      <c r="S567" s="411"/>
      <c r="T567" s="408" t="str" cm="1">
        <f t="array" ca="1" aca="1" ref="T567">_xlfn.IFNA(VLOOKUP(INDIRECT("T"&amp;ROW()-3)&amp;"_"&amp;$D$12,BEGIN_RENEW_HEALTH:END_RENEW_HEALTH,RENEW_COL_EC,FALSE),"")</f>
        <v/>
      </c>
      <c r="U567" s="412" t="str">
        <f t="shared" si="59"/>
        <v/>
      </c>
      <c r="V567" s="413"/>
      <c r="W567" s="414"/>
      <c r="X567" s="415" t="str">
        <f>IFERROR(IF($V564="Keep Contribution Same",H567,IF($V564="Enter Percentages",IF(V567="","",V567*T567),IF($V564="Keep Percentage Same",IF(G567="","",G567*T567),IF($V564="Enter Dollar Amount",IF(W567="","",W567),"")))),"")</f>
        <v/>
      </c>
      <c r="Y567" s="408" t="str">
        <f t="shared" ca="1" si="60"/>
        <v/>
      </c>
      <c r="Z567" s="410" t="str">
        <f t="shared" si="61"/>
        <v/>
      </c>
    </row>
    <row r="568" spans="4:26" ht="18.75" customHeight="1" thickBot="1">
      <c r="D568" s="174" t="s">
        <v>241</v>
      </c>
      <c r="E568" s="416"/>
      <c r="F568" s="451"/>
      <c r="G568" s="471"/>
      <c r="H568" s="451"/>
      <c r="I568" s="452" t="str">
        <f t="shared" si="57"/>
        <v/>
      </c>
      <c r="J568" s="419"/>
      <c r="K568" s="411"/>
      <c r="L568" s="417" t="str" cm="1">
        <f t="array" ca="1" aca="1" ref="L568">_xlfn.IFNA(VLOOKUP(INDIRECT("L"&amp;ROW()-4)&amp;"_"&amp;$D$12,BEGIN_RENEW_HEALTH:END_RENEW_HEALTH,RENEW_COL_FAM,FALSE),"")</f>
        <v/>
      </c>
      <c r="M568" s="423" t="str">
        <f>IF(E568="","",E568)</f>
        <v/>
      </c>
      <c r="N568" s="420"/>
      <c r="O568" s="421"/>
      <c r="P568" s="422" t="str">
        <f>IFERROR(IF($N564="Keep Contribution Same",H568,IF($N564="Enter Percentages",IF(N568="","",N568*L568),IF($N564="Keep Percentage Same",IF(G568="","",G568*L568),IF($N564="Enter Dollar Amount",IF(O568="","",O568),"")))),"")</f>
        <v/>
      </c>
      <c r="Q568" s="417" t="str">
        <f t="shared" ca="1" si="58"/>
        <v/>
      </c>
      <c r="R568" s="419" t="str">
        <f>IFERROR(IF(P568="","",M568*P568),"")</f>
        <v/>
      </c>
      <c r="S568" s="411"/>
      <c r="T568" s="417" t="str" cm="1">
        <f t="array" ca="1" aca="1" ref="T568">_xlfn.IFNA(VLOOKUP(INDIRECT("T"&amp;ROW()-4)&amp;"_"&amp;$D$12,BEGIN_RENEW_HEALTH:END_RENEW_HEALTH,RENEW_COL_FAM,FALSE),"")</f>
        <v/>
      </c>
      <c r="U568" s="423" t="str">
        <f t="shared" si="59"/>
        <v/>
      </c>
      <c r="V568" s="420"/>
      <c r="W568" s="421"/>
      <c r="X568" s="422" t="str">
        <f>IFERROR(IF($V564="Keep Contribution Same",H568,IF($V564="Enter Percentages",IF(V568="","",V568*T568),IF($V564="Keep Percentage Same",IF(G568="","",G568*T568),IF($V564="Enter Dollar Amount",IF(W568="","",W568),"")))),"")</f>
        <v/>
      </c>
      <c r="Y568" s="417" t="str">
        <f t="shared" ca="1" si="60"/>
        <v/>
      </c>
      <c r="Z568" s="419" t="str">
        <f t="shared" si="61"/>
        <v/>
      </c>
    </row>
    <row r="569" spans="4:26" ht="18.75" customHeight="1" thickTop="1">
      <c r="D569" s="175" t="s">
        <v>242</v>
      </c>
      <c r="E569" s="424"/>
      <c r="F569" s="425">
        <f>IFERROR((F565*E565)+(F566*E566)+(F567*E567)+(F568*E568),"")</f>
        <v>0</v>
      </c>
      <c r="G569" s="426"/>
      <c r="H569" s="427"/>
      <c r="I569" s="428"/>
      <c r="J569" s="429" t="str">
        <f>IFERROR(IF(J565="","",SUM(J565:J568)),0)</f>
        <v/>
      </c>
      <c r="K569" s="1"/>
      <c r="L569" s="430" t="str">
        <f ca="1">IFERROR((M565*L565)+(M566*L566)+(M567*L567)+(M568*L568),"")</f>
        <v/>
      </c>
      <c r="M569" s="427"/>
      <c r="N569" s="426"/>
      <c r="O569" s="427"/>
      <c r="P569" s="431"/>
      <c r="Q569" s="432"/>
      <c r="R569" s="429" t="str">
        <f>IFERROR(IF(R565="","",SUM(R565:R568)),0)</f>
        <v/>
      </c>
      <c r="T569" s="430" t="str">
        <f ca="1">IFERROR((U565*T565)+(U566*T566)+(U567*T567)+(U568*T568),"")</f>
        <v/>
      </c>
      <c r="U569" s="427"/>
      <c r="V569" s="426"/>
      <c r="W569" s="427"/>
      <c r="X569" s="431"/>
      <c r="Y569" s="432"/>
      <c r="Z569" s="429" t="str">
        <f>IFERROR(IF(Z565="","",SUM(Z565:Z568)),0)</f>
        <v/>
      </c>
    </row>
    <row r="570" spans="4:26" ht="18.75" customHeight="1">
      <c r="D570" s="177" t="s">
        <v>243</v>
      </c>
      <c r="E570" s="433"/>
      <c r="F570" s="434">
        <f>IFERROR(F569*12,"")</f>
        <v>0</v>
      </c>
      <c r="G570" s="435"/>
      <c r="H570" s="436"/>
      <c r="I570" s="432"/>
      <c r="J570" s="437" t="str">
        <f>IF(J569="","",J569*12)</f>
        <v/>
      </c>
      <c r="K570" s="1"/>
      <c r="L570" s="438" t="str">
        <f ca="1">IFERROR(L569*12,"")</f>
        <v/>
      </c>
      <c r="M570" s="436"/>
      <c r="N570" s="435"/>
      <c r="O570" s="436"/>
      <c r="P570" s="432"/>
      <c r="Q570" s="432"/>
      <c r="R570" s="437" t="str">
        <f>IF(R569="","",R569*12)</f>
        <v/>
      </c>
      <c r="T570" s="438" t="str">
        <f ca="1">IFERROR(T569*12,"")</f>
        <v/>
      </c>
      <c r="U570" s="436"/>
      <c r="V570" s="435"/>
      <c r="W570" s="436"/>
      <c r="X570" s="432"/>
      <c r="Y570" s="432"/>
      <c r="Z570" s="437" t="str">
        <f>IF(Z569="","",Z569*12)</f>
        <v/>
      </c>
    </row>
    <row r="571" spans="4:26" ht="18.75" customHeight="1">
      <c r="D571" s="177" t="s">
        <v>244</v>
      </c>
      <c r="E571" s="433"/>
      <c r="F571" s="436"/>
      <c r="G571" s="435"/>
      <c r="H571" s="436"/>
      <c r="I571" s="432"/>
      <c r="J571" s="437" t="str">
        <f>IFERROR(IF(J570="","",R570-J570),0)</f>
        <v/>
      </c>
      <c r="K571" s="1"/>
      <c r="L571" s="434" t="str">
        <f ca="1">IFERROR(L570-F570,"")</f>
        <v/>
      </c>
      <c r="M571" s="436"/>
      <c r="N571" s="435"/>
      <c r="O571" s="436"/>
      <c r="P571" s="432"/>
      <c r="Q571" s="432"/>
      <c r="R571" s="437" t="str">
        <f>IFERROR(IF(J570="","",R570-J570),0)</f>
        <v/>
      </c>
      <c r="T571" s="434" t="str">
        <f ca="1">IFERROR(T570-F570,"")</f>
        <v/>
      </c>
      <c r="U571" s="436"/>
      <c r="V571" s="435"/>
      <c r="W571" s="436"/>
      <c r="X571" s="432"/>
      <c r="Y571" s="432"/>
      <c r="Z571" s="437" t="str">
        <f>IFERROR(IF(R570="","",Z570-R570),0)</f>
        <v/>
      </c>
    </row>
    <row r="572" spans="4:26" ht="18.75" customHeight="1" thickBot="1">
      <c r="D572" s="180" t="s">
        <v>245</v>
      </c>
      <c r="E572" s="439"/>
      <c r="F572" s="440"/>
      <c r="G572" s="441"/>
      <c r="H572" s="440"/>
      <c r="I572" s="442"/>
      <c r="J572" s="437" t="str">
        <f>IFERROR(IF(J570="","",(R570/J570)-1),0)</f>
        <v/>
      </c>
      <c r="K572" s="1"/>
      <c r="L572" s="444" t="str">
        <f ca="1">IFERROR(L570/F570-1,"")</f>
        <v/>
      </c>
      <c r="M572" s="440"/>
      <c r="N572" s="441"/>
      <c r="O572" s="440"/>
      <c r="P572" s="445"/>
      <c r="Q572" s="445"/>
      <c r="R572" s="453" t="str">
        <f>IFERROR(IF(J570="","",(R570/J570)-1),0)</f>
        <v/>
      </c>
      <c r="T572" s="444" t="str">
        <f ca="1">IFERROR(T570/F570-1,"")</f>
        <v/>
      </c>
      <c r="U572" s="440"/>
      <c r="V572" s="441"/>
      <c r="W572" s="440"/>
      <c r="X572" s="445"/>
      <c r="Y572" s="445"/>
      <c r="Z572" s="446" t="str">
        <f>IFERROR(IF(R570="","",(Z570/R570)-1),0)</f>
        <v/>
      </c>
    </row>
    <row r="573" spans="4:26" ht="18.75" customHeight="1">
      <c r="D573" s="181" t="s">
        <v>246</v>
      </c>
      <c r="E573" s="182"/>
      <c r="F573" s="182"/>
      <c r="G573" s="182"/>
      <c r="H573" s="182"/>
      <c r="I573" s="182"/>
      <c r="J573" s="183"/>
      <c r="K573"/>
      <c r="L573" s="184"/>
      <c r="M573" s="182"/>
      <c r="N573" s="182"/>
      <c r="O573" s="182"/>
      <c r="P573" s="182"/>
      <c r="Q573" s="182"/>
      <c r="R573" s="183"/>
      <c r="T573" s="184"/>
      <c r="U573" s="182"/>
      <c r="V573" s="182"/>
      <c r="W573" s="182"/>
      <c r="X573" s="182"/>
      <c r="Y573" s="182"/>
      <c r="Z573" s="183"/>
    </row>
    <row r="574" spans="4:26" ht="18.75" customHeight="1" hidden="1">
      <c r="D574" s="185" t="s">
        <v>247</v>
      </c>
      <c r="E574" s="186"/>
      <c r="F574" s="186"/>
      <c r="G574" s="186"/>
      <c r="H574" s="186"/>
      <c r="I574" s="186"/>
      <c r="J574" s="187"/>
      <c r="K574"/>
      <c r="L574" s="188"/>
      <c r="M574" s="186"/>
      <c r="N574" s="186"/>
      <c r="O574" s="186"/>
      <c r="P574" s="186"/>
      <c r="Q574" s="186"/>
      <c r="R574" s="187"/>
      <c r="T574" s="188"/>
      <c r="U574" s="186"/>
      <c r="V574" s="186"/>
      <c r="W574" s="186"/>
      <c r="X574" s="186"/>
      <c r="Y574" s="186"/>
      <c r="Z574" s="187"/>
    </row>
    <row r="575" spans="4:26" ht="18.75" customHeight="1" hidden="1">
      <c r="D575" s="189" t="s">
        <v>248</v>
      </c>
      <c r="E575" s="190" t="str">
        <f>D564&amp;"_"&amp;D12</f>
        <v>NEW PLAN_MANAGERS</v>
      </c>
      <c r="F575" s="191"/>
      <c r="G575" s="191"/>
      <c r="H575" s="191"/>
      <c r="I575" s="190"/>
      <c r="J575" s="192"/>
      <c r="K575"/>
      <c r="L575" s="193" t="str">
        <f>L564&amp;"_"&amp;D12</f>
        <v>SELECT PLAN_MANAGERS</v>
      </c>
      <c r="M575" s="191"/>
      <c r="N575" s="191"/>
      <c r="O575" s="191"/>
      <c r="P575" s="190"/>
      <c r="Q575" s="191"/>
      <c r="R575" s="192"/>
      <c r="T575" s="193" t="str">
        <f>T564&amp;"_"&amp;D12</f>
        <v>SELECT PLAN_MANAGERS</v>
      </c>
      <c r="U575" s="191"/>
      <c r="V575" s="191"/>
      <c r="W575" s="191"/>
      <c r="X575" s="190"/>
      <c r="Y575" s="191"/>
      <c r="Z575" s="192"/>
    </row>
    <row r="576" spans="4:26" ht="18.75" customHeight="1" hidden="1">
      <c r="D576" s="189" t="s">
        <v>249</v>
      </c>
      <c r="E576" s="191"/>
      <c r="F576" s="191"/>
      <c r="G576" s="191"/>
      <c r="H576" s="191"/>
      <c r="I576" s="191"/>
      <c r="J576" s="192"/>
      <c r="K576"/>
      <c r="L576" s="189"/>
      <c r="M576" s="191"/>
      <c r="N576" s="191"/>
      <c r="O576" s="191"/>
      <c r="P576" s="191"/>
      <c r="Q576" s="191"/>
      <c r="R576" s="192"/>
      <c r="T576" s="189"/>
      <c r="U576" s="191"/>
      <c r="V576" s="191"/>
      <c r="W576" s="191"/>
      <c r="X576" s="191"/>
      <c r="Y576" s="191"/>
      <c r="Z576" s="192"/>
    </row>
    <row r="577" spans="4:26" ht="18.75" customHeight="1" hidden="1">
      <c r="D577" s="194" t="s">
        <v>250</v>
      </c>
      <c r="E577" s="195"/>
      <c r="F577" s="195"/>
      <c r="G577" s="195"/>
      <c r="H577" s="195"/>
      <c r="I577" s="195"/>
      <c r="J577" s="196"/>
      <c r="K577"/>
      <c r="L577" s="197"/>
      <c r="M577" s="195"/>
      <c r="N577" s="195"/>
      <c r="O577" s="195"/>
      <c r="P577" s="195"/>
      <c r="Q577" s="195"/>
      <c r="R577" s="196"/>
      <c r="T577" s="197"/>
      <c r="U577" s="195"/>
      <c r="V577" s="195"/>
      <c r="W577" s="195"/>
      <c r="X577" s="195"/>
      <c r="Y577" s="195"/>
      <c r="Z577" s="196"/>
    </row>
    <row r="578" spans="4:26" ht="18.75" customHeight="1" hidden="1">
      <c r="D578" s="198" t="s">
        <v>251</v>
      </c>
      <c r="E578" s="199" t="str">
        <f>_xlfn.XLOOKUP(E575,CurrentPlans!B:B,CurrentPlans!X:X,"NA",0,1)</f>
        <v>NA</v>
      </c>
      <c r="F578" s="200"/>
      <c r="G578" s="200"/>
      <c r="H578" s="200"/>
      <c r="I578" s="199"/>
      <c r="J578" s="201"/>
      <c r="K578"/>
      <c r="L578" s="202" t="str">
        <f>_xlfn.XLOOKUP(L575,RenewalPlans!B:B,RenewalPlans!AA:AA,"NA",0,1)</f>
        <v>NA</v>
      </c>
      <c r="M578" s="200"/>
      <c r="N578" s="200"/>
      <c r="O578" s="200"/>
      <c r="P578" s="199"/>
      <c r="Q578" s="200"/>
      <c r="R578" s="201"/>
      <c r="T578" s="202" t="str">
        <f>_xlfn.XLOOKUP(T575,RenewalPlans!B:B,RenewalPlans!AA:AA,"NA",0,1)</f>
        <v>NA</v>
      </c>
      <c r="U578" s="200"/>
      <c r="V578" s="200"/>
      <c r="W578" s="200"/>
      <c r="X578" s="199"/>
      <c r="Y578" s="200"/>
      <c r="Z578" s="201"/>
    </row>
    <row r="579" spans="4:26" ht="18.75" customHeight="1" hidden="1">
      <c r="D579" s="198" t="s">
        <v>252</v>
      </c>
      <c r="E579" s="199" t="str">
        <f>_xlfn.XLOOKUP(E575,CurrentPlans!B:B,CurrentPlans!Y:Y,"NA",0,1)</f>
        <v>NA</v>
      </c>
      <c r="F579" s="200"/>
      <c r="G579" s="200"/>
      <c r="H579" s="200"/>
      <c r="I579" s="199"/>
      <c r="J579" s="201"/>
      <c r="K579"/>
      <c r="L579" s="202" t="str">
        <f>_xlfn.XLOOKUP(L575,RenewalPlans!B:B,RenewalPlans!AB:AB,"NA",0,1)</f>
        <v>NA</v>
      </c>
      <c r="M579" s="200"/>
      <c r="N579" s="200"/>
      <c r="O579" s="200"/>
      <c r="P579" s="199"/>
      <c r="Q579" s="200"/>
      <c r="R579" s="201"/>
      <c r="T579" s="202" t="str">
        <f>_xlfn.XLOOKUP(T575,RenewalPlans!B:B,RenewalPlans!AB:AB,"NA",0,1)</f>
        <v>NA</v>
      </c>
      <c r="U579" s="200"/>
      <c r="V579" s="200"/>
      <c r="W579" s="200"/>
      <c r="X579" s="199"/>
      <c r="Y579" s="200"/>
      <c r="Z579" s="201"/>
    </row>
    <row r="580" spans="4:26" ht="18.75" customHeight="1" hidden="1">
      <c r="D580" s="120" t="s">
        <v>253</v>
      </c>
      <c r="E580" s="121" t="str">
        <f>_xlfn.XLOOKUP(E575,CurrentPlans!B:B,CurrentPlans!W:W,"NA",0,1)</f>
        <v>NA</v>
      </c>
      <c r="F580" s="122"/>
      <c r="G580" s="122"/>
      <c r="H580" s="122"/>
      <c r="I580" s="121"/>
      <c r="J580" s="123"/>
      <c r="K580"/>
      <c r="L580" s="124" t="str">
        <f>_xlfn.XLOOKUP(L575,RenewalPlans!B:B,RenewalPlans!Z:Z,"NA",0,1)</f>
        <v>NA</v>
      </c>
      <c r="M580" s="122"/>
      <c r="N580" s="122"/>
      <c r="O580" s="122"/>
      <c r="P580" s="121"/>
      <c r="Q580" s="122"/>
      <c r="R580" s="123"/>
      <c r="T580" s="124" t="str">
        <f>_xlfn.XLOOKUP(T575,RenewalPlans!B:B,RenewalPlans!Z:Z,"NA",0,1)</f>
        <v>NA</v>
      </c>
      <c r="U580" s="122"/>
      <c r="V580" s="122"/>
      <c r="W580" s="122"/>
      <c r="X580" s="121"/>
      <c r="Y580" s="122"/>
      <c r="Z580" s="123"/>
    </row>
    <row r="581" spans="4:26" ht="18.75" customHeight="1" hidden="1">
      <c r="D581" s="203" t="s">
        <v>254</v>
      </c>
      <c r="E581" s="204"/>
      <c r="F581" s="205"/>
      <c r="G581" s="205"/>
      <c r="H581" s="205"/>
      <c r="I581" s="204"/>
      <c r="J581" s="206"/>
      <c r="K581"/>
      <c r="L581" s="207"/>
      <c r="M581" s="205"/>
      <c r="N581" s="205"/>
      <c r="O581" s="205"/>
      <c r="P581" s="204"/>
      <c r="Q581" s="205"/>
      <c r="R581" s="206"/>
      <c r="T581" s="207"/>
      <c r="U581" s="205"/>
      <c r="V581" s="205"/>
      <c r="W581" s="205"/>
      <c r="X581" s="204"/>
      <c r="Y581" s="205"/>
      <c r="Z581" s="206"/>
    </row>
    <row r="582" spans="4:26" ht="18.75" customHeight="1" hidden="1">
      <c r="D582" s="125" t="s">
        <v>255</v>
      </c>
      <c r="E582" s="126" t="str">
        <f>_xlfn.XLOOKUP(E575,CurrentPlans!B:B,CurrentPlans!Z:Z,"NA",0,1)</f>
        <v>NA</v>
      </c>
      <c r="F582" s="127"/>
      <c r="G582" s="127"/>
      <c r="H582" s="127"/>
      <c r="I582" s="126"/>
      <c r="J582" s="128"/>
      <c r="K582"/>
      <c r="L582" s="129" t="str">
        <f>_xlfn.XLOOKUP(L575,RenewalPlans!B:B,RenewalPlans!AC:AC,"NA",0,1)</f>
        <v>NA</v>
      </c>
      <c r="M582" s="127"/>
      <c r="N582" s="127"/>
      <c r="O582" s="127"/>
      <c r="P582" s="126"/>
      <c r="Q582" s="127"/>
      <c r="R582" s="128"/>
      <c r="T582" s="129" t="str">
        <f>_xlfn.XLOOKUP(T575,RenewalPlans!B:B,RenewalPlans!AC:AC,"NA",0,1)</f>
        <v>NA</v>
      </c>
      <c r="U582" s="127"/>
      <c r="V582" s="127"/>
      <c r="W582" s="127"/>
      <c r="X582" s="126"/>
      <c r="Y582" s="127"/>
      <c r="Z582" s="128"/>
    </row>
    <row r="583" spans="4:26" ht="18.75" customHeight="1" hidden="1">
      <c r="D583" s="198" t="s">
        <v>256</v>
      </c>
      <c r="E583" s="208" t="str">
        <f>_xlfn.XLOOKUP(E575,CurrentPlans!B:B,CurrentPlans!AA:AA,"NA",0,1)</f>
        <v>NA</v>
      </c>
      <c r="F583" s="200"/>
      <c r="G583" s="200"/>
      <c r="H583" s="200"/>
      <c r="I583" s="208"/>
      <c r="J583" s="201"/>
      <c r="K583"/>
      <c r="L583" s="209" t="str">
        <f>_xlfn.XLOOKUP(L575,RenewalPlans!B:B,RenewalPlans!AD:AD,"NA",0,1)</f>
        <v>NA</v>
      </c>
      <c r="M583" s="200"/>
      <c r="N583" s="200"/>
      <c r="O583" s="200"/>
      <c r="P583" s="208"/>
      <c r="Q583" s="200"/>
      <c r="R583" s="201"/>
      <c r="T583" s="209" t="str">
        <f>_xlfn.XLOOKUP(T575,RenewalPlans!B:B,RenewalPlans!AD:AD,"NA",0,1)</f>
        <v>NA</v>
      </c>
      <c r="U583" s="200"/>
      <c r="V583" s="200"/>
      <c r="W583" s="200"/>
      <c r="X583" s="208"/>
      <c r="Y583" s="200"/>
      <c r="Z583" s="201"/>
    </row>
    <row r="584" spans="4:26" ht="18.75" customHeight="1" hidden="1">
      <c r="D584" s="203" t="s">
        <v>257</v>
      </c>
      <c r="E584" s="204"/>
      <c r="F584" s="205"/>
      <c r="G584" s="205"/>
      <c r="H584" s="205"/>
      <c r="I584" s="204"/>
      <c r="J584" s="206"/>
      <c r="K584"/>
      <c r="L584" s="207"/>
      <c r="M584" s="205"/>
      <c r="N584" s="205"/>
      <c r="O584" s="205"/>
      <c r="P584" s="204"/>
      <c r="Q584" s="205"/>
      <c r="R584" s="206"/>
      <c r="T584" s="207"/>
      <c r="U584" s="205"/>
      <c r="V584" s="205"/>
      <c r="W584" s="205"/>
      <c r="X584" s="204"/>
      <c r="Y584" s="205"/>
      <c r="Z584" s="206"/>
    </row>
    <row r="585" spans="4:26" ht="18.75" customHeight="1" hidden="1">
      <c r="D585" s="198" t="s">
        <v>258</v>
      </c>
      <c r="E585" s="208" t="str">
        <f>_xlfn.XLOOKUP(E575,CurrentPlans!B:B,CurrentPlans!AB:AB,"NA",0,1)</f>
        <v>NA</v>
      </c>
      <c r="F585" s="200"/>
      <c r="G585" s="200"/>
      <c r="H585" s="200"/>
      <c r="I585" s="208"/>
      <c r="J585" s="201"/>
      <c r="K585"/>
      <c r="L585" s="209" t="str">
        <f>_xlfn.XLOOKUP(L575,RenewalPlans!B:B,RenewalPlans!AE:AE,"NA",0,1)</f>
        <v>NA</v>
      </c>
      <c r="M585" s="200"/>
      <c r="N585" s="200"/>
      <c r="O585" s="200"/>
      <c r="P585" s="208"/>
      <c r="Q585" s="200"/>
      <c r="R585" s="201"/>
      <c r="T585" s="209" t="str">
        <f>_xlfn.XLOOKUP(T575,RenewalPlans!B:B,RenewalPlans!AE:AE,"NA",0,1)</f>
        <v>NA</v>
      </c>
      <c r="U585" s="200"/>
      <c r="V585" s="200"/>
      <c r="W585" s="200"/>
      <c r="X585" s="208"/>
      <c r="Y585" s="200"/>
      <c r="Z585" s="201"/>
    </row>
    <row r="586" spans="4:26" ht="18.75" customHeight="1" hidden="1">
      <c r="D586" s="198" t="s">
        <v>259</v>
      </c>
      <c r="E586" s="208" t="str">
        <f>_xlfn.XLOOKUP(E575,CurrentPlans!B:B,CurrentPlans!AC:AC,"NA",0,1)</f>
        <v>NA</v>
      </c>
      <c r="F586" s="200"/>
      <c r="G586" s="200"/>
      <c r="H586" s="200"/>
      <c r="I586" s="208"/>
      <c r="J586" s="201"/>
      <c r="K586"/>
      <c r="L586" s="209" t="str">
        <f>_xlfn.XLOOKUP(L575,RenewalPlans!B:B,RenewalPlans!AF:AF,"NA",0,1)</f>
        <v>NA</v>
      </c>
      <c r="M586" s="200"/>
      <c r="N586" s="200"/>
      <c r="O586" s="200"/>
      <c r="P586" s="208"/>
      <c r="Q586" s="200"/>
      <c r="R586" s="201"/>
      <c r="T586" s="209" t="str">
        <f>_xlfn.XLOOKUP(T575,RenewalPlans!B:B,RenewalPlans!AF:AF,"NA",0,1)</f>
        <v>NA</v>
      </c>
      <c r="U586" s="200"/>
      <c r="V586" s="200"/>
      <c r="W586" s="200"/>
      <c r="X586" s="208"/>
      <c r="Y586" s="200"/>
      <c r="Z586" s="201"/>
    </row>
    <row r="587" spans="4:26" ht="18.75" customHeight="1" hidden="1">
      <c r="D587" s="210"/>
      <c r="E587" s="211"/>
      <c r="F587" s="211"/>
      <c r="G587" s="211"/>
      <c r="H587" s="211"/>
      <c r="I587" s="211"/>
      <c r="J587" s="212"/>
      <c r="K587"/>
      <c r="L587" s="210"/>
      <c r="M587" s="211"/>
      <c r="N587" s="211"/>
      <c r="O587" s="211"/>
      <c r="P587" s="211"/>
      <c r="Q587" s="211"/>
      <c r="R587" s="212"/>
      <c r="T587" s="210"/>
      <c r="U587" s="211"/>
      <c r="V587" s="211"/>
      <c r="W587" s="211"/>
      <c r="X587" s="211"/>
      <c r="Y587" s="211"/>
      <c r="Z587" s="212"/>
    </row>
    <row r="588" spans="4:26" ht="18.75" customHeight="1" hidden="1">
      <c r="D588" s="185" t="s">
        <v>260</v>
      </c>
      <c r="E588" s="186"/>
      <c r="F588" s="186"/>
      <c r="G588" s="186"/>
      <c r="H588" s="186"/>
      <c r="I588" s="186"/>
      <c r="J588" s="187"/>
      <c r="K588"/>
      <c r="L588" s="188"/>
      <c r="M588" s="186"/>
      <c r="N588" s="186"/>
      <c r="O588" s="186"/>
      <c r="P588" s="186"/>
      <c r="Q588" s="186"/>
      <c r="R588" s="187"/>
      <c r="T588" s="188"/>
      <c r="U588" s="186"/>
      <c r="V588" s="186"/>
      <c r="W588" s="186"/>
      <c r="X588" s="186"/>
      <c r="Y588" s="186"/>
      <c r="Z588" s="187"/>
    </row>
    <row r="589" spans="4:26" ht="18.75" customHeight="1" hidden="1">
      <c r="D589" s="213" t="s">
        <v>261</v>
      </c>
      <c r="E589" s="130" t="str">
        <f>_xlfn.XLOOKUP(E575,CurrentPlans!B:B,CurrentPlans!AJ:AJ,"NA",0,1)</f>
        <v>NA</v>
      </c>
      <c r="F589" s="214"/>
      <c r="G589" s="214"/>
      <c r="H589" s="214"/>
      <c r="I589" s="130"/>
      <c r="J589" s="215"/>
      <c r="K589"/>
      <c r="L589" s="131" t="str">
        <f>_xlfn.XLOOKUP(L575,RenewalPlans!B:B,RenewalPlans!AM:AM,"NA",0,1)</f>
        <v>NA</v>
      </c>
      <c r="M589" s="214"/>
      <c r="N589" s="214"/>
      <c r="O589" s="214"/>
      <c r="P589" s="130"/>
      <c r="Q589" s="214"/>
      <c r="R589" s="215"/>
      <c r="T589" s="131" t="str">
        <f>_xlfn.XLOOKUP(T575,RenewalPlans!B:B,RenewalPlans!AM:AM,"NA",0,1)</f>
        <v>NA</v>
      </c>
      <c r="U589" s="214"/>
      <c r="V589" s="214"/>
      <c r="W589" s="214"/>
      <c r="X589" s="130"/>
      <c r="Y589" s="214"/>
      <c r="Z589" s="215"/>
    </row>
    <row r="590" spans="4:26" ht="18.75" customHeight="1" hidden="1">
      <c r="D590" s="198" t="s">
        <v>262</v>
      </c>
      <c r="E590" s="130" t="str">
        <f>_xlfn.XLOOKUP(E575,CurrentPlans!B:B,CurrentPlans!AM:AM,"NA",0,1)</f>
        <v>NA</v>
      </c>
      <c r="F590" s="200"/>
      <c r="G590" s="200"/>
      <c r="H590" s="200"/>
      <c r="I590" s="130"/>
      <c r="J590" s="201"/>
      <c r="K590"/>
      <c r="L590" s="131" t="str">
        <f>_xlfn.XLOOKUP(L575,RenewalPlans!B:B,RenewalPlans!AP:AP,"NA",0,1)</f>
        <v>NA</v>
      </c>
      <c r="M590" s="200"/>
      <c r="N590" s="200"/>
      <c r="O590" s="200"/>
      <c r="P590" s="130"/>
      <c r="Q590" s="200"/>
      <c r="R590" s="201"/>
      <c r="T590" s="131" t="str">
        <f>_xlfn.XLOOKUP(T575,RenewalPlans!B:B,RenewalPlans!AP:AP,"NA",0,1)</f>
        <v>NA</v>
      </c>
      <c r="U590" s="200"/>
      <c r="V590" s="200"/>
      <c r="W590" s="200"/>
      <c r="X590" s="130"/>
      <c r="Y590" s="200"/>
      <c r="Z590" s="201"/>
    </row>
    <row r="591" spans="4:26" ht="18.75" customHeight="1" hidden="1">
      <c r="D591" s="198" t="s">
        <v>263</v>
      </c>
      <c r="E591" s="130" t="str">
        <f>_xlfn.XLOOKUP(E575,CurrentPlans!B:B,CurrentPlans!AI:AI,"NA",0,1)</f>
        <v>NA</v>
      </c>
      <c r="F591" s="200"/>
      <c r="G591" s="200"/>
      <c r="H591" s="200"/>
      <c r="I591" s="130"/>
      <c r="J591" s="201"/>
      <c r="K591"/>
      <c r="L591" s="131" t="str">
        <f>_xlfn.XLOOKUP(L575,RenewalPlans!B:B,RenewalPlans!AL:AL,"NA",0,1)</f>
        <v>NA</v>
      </c>
      <c r="M591" s="200"/>
      <c r="N591" s="200"/>
      <c r="O591" s="200"/>
      <c r="P591" s="130"/>
      <c r="Q591" s="200"/>
      <c r="R591" s="201"/>
      <c r="T591" s="131" t="str">
        <f>_xlfn.XLOOKUP(T575,RenewalPlans!B:B,RenewalPlans!AL:AL,"NA",0,1)</f>
        <v>NA</v>
      </c>
      <c r="U591" s="200"/>
      <c r="V591" s="200"/>
      <c r="W591" s="200"/>
      <c r="X591" s="130"/>
      <c r="Y591" s="200"/>
      <c r="Z591" s="201"/>
    </row>
    <row r="592" spans="4:26" ht="18.75" customHeight="1" hidden="1">
      <c r="D592" s="198" t="s">
        <v>264</v>
      </c>
      <c r="E592" s="208" t="str">
        <f>_xlfn.XLOOKUP(E575,CurrentPlans!B:B,CurrentPlans!AN:AN,"NA",0,1)</f>
        <v>NA</v>
      </c>
      <c r="F592" s="200"/>
      <c r="G592" s="200"/>
      <c r="H592" s="200"/>
      <c r="I592" s="208"/>
      <c r="J592" s="201"/>
      <c r="K592"/>
      <c r="L592" s="209" t="str">
        <f>_xlfn.XLOOKUP(L575,RenewalPlans!B:B,RenewalPlans!AQ:AQ,"NA",0,1)</f>
        <v>NA</v>
      </c>
      <c r="M592" s="200"/>
      <c r="N592" s="200"/>
      <c r="O592" s="200"/>
      <c r="P592" s="208"/>
      <c r="Q592" s="200"/>
      <c r="R592" s="201"/>
      <c r="T592" s="209" t="str">
        <f>_xlfn.XLOOKUP(T575,RenewalPlans!B:B,RenewalPlans!AQ:AQ,"NA",0,1)</f>
        <v>NA</v>
      </c>
      <c r="U592" s="200"/>
      <c r="V592" s="200"/>
      <c r="W592" s="200"/>
      <c r="X592" s="208"/>
      <c r="Y592" s="200"/>
      <c r="Z592" s="201"/>
    </row>
    <row r="593" spans="4:26" ht="18.75" customHeight="1" hidden="1">
      <c r="D593" s="210"/>
      <c r="E593" s="211"/>
      <c r="F593" s="211"/>
      <c r="G593" s="211"/>
      <c r="H593" s="211"/>
      <c r="I593" s="211"/>
      <c r="J593" s="212"/>
      <c r="K593"/>
      <c r="L593" s="210"/>
      <c r="M593" s="211"/>
      <c r="N593" s="211"/>
      <c r="O593" s="211"/>
      <c r="P593" s="211"/>
      <c r="Q593" s="211"/>
      <c r="R593" s="212"/>
      <c r="T593" s="210"/>
      <c r="U593" s="211"/>
      <c r="V593" s="211"/>
      <c r="W593" s="211"/>
      <c r="X593" s="211"/>
      <c r="Y593" s="211"/>
      <c r="Z593" s="212"/>
    </row>
    <row r="594" spans="4:26" ht="18.75" customHeight="1" hidden="1">
      <c r="D594" s="185" t="s">
        <v>265</v>
      </c>
      <c r="E594" s="186"/>
      <c r="F594" s="186"/>
      <c r="G594" s="186"/>
      <c r="H594" s="186"/>
      <c r="I594" s="186"/>
      <c r="J594" s="187"/>
      <c r="K594"/>
      <c r="L594" s="188"/>
      <c r="M594" s="186"/>
      <c r="N594" s="186"/>
      <c r="O594" s="186"/>
      <c r="P594" s="186"/>
      <c r="Q594" s="186"/>
      <c r="R594" s="187"/>
      <c r="T594" s="188"/>
      <c r="U594" s="186"/>
      <c r="V594" s="186"/>
      <c r="W594" s="186"/>
      <c r="X594" s="186"/>
      <c r="Y594" s="186"/>
      <c r="Z594" s="187"/>
    </row>
    <row r="595" spans="4:26" ht="18.75" customHeight="1" hidden="1">
      <c r="D595" s="132" t="s">
        <v>266</v>
      </c>
      <c r="E595" s="133" t="str">
        <f>_xlfn.XLOOKUP(E575,CurrentPlans!B:B,CurrentPlans!AE:AE,"NA",0,1)</f>
        <v>NA</v>
      </c>
      <c r="F595" s="134"/>
      <c r="G595" s="134"/>
      <c r="H595" s="134"/>
      <c r="I595" s="133"/>
      <c r="J595" s="135"/>
      <c r="K595"/>
      <c r="L595" s="136" t="str">
        <f>_xlfn.XLOOKUP(L575,RenewalPlans!B:B,RenewalPlans!AH:AH,"NA",0,1)</f>
        <v>NA</v>
      </c>
      <c r="M595" s="134"/>
      <c r="N595" s="134"/>
      <c r="O595" s="134"/>
      <c r="P595" s="133"/>
      <c r="Q595" s="134"/>
      <c r="R595" s="135"/>
      <c r="T595" s="136" t="str">
        <f>_xlfn.XLOOKUP(T575,RenewalPlans!B:B,RenewalPlans!AH:AH,"NA",0,1)</f>
        <v>NA</v>
      </c>
      <c r="U595" s="134"/>
      <c r="V595" s="134"/>
      <c r="W595" s="134"/>
      <c r="X595" s="133"/>
      <c r="Y595" s="134"/>
      <c r="Z595" s="135"/>
    </row>
    <row r="596" spans="4:26" ht="18.75" customHeight="1" hidden="1">
      <c r="D596" s="120" t="s">
        <v>267</v>
      </c>
      <c r="E596" s="130" t="str">
        <f>_xlfn.XLOOKUP(E575,CurrentPlans!B:B,CurrentPlans!AF:AF,"NA",0,1)</f>
        <v>NA</v>
      </c>
      <c r="F596" s="122"/>
      <c r="G596" s="122"/>
      <c r="H596" s="122"/>
      <c r="I596" s="130"/>
      <c r="J596" s="123"/>
      <c r="K596"/>
      <c r="L596" s="131" t="str">
        <f>_xlfn.XLOOKUP(L575,RenewalPlans!B:B,RenewalPlans!AI:AI,"NA",0,1)</f>
        <v>NA</v>
      </c>
      <c r="M596" s="122"/>
      <c r="N596" s="122"/>
      <c r="O596" s="122"/>
      <c r="P596" s="130"/>
      <c r="Q596" s="122"/>
      <c r="R596" s="123"/>
      <c r="T596" s="131" t="str">
        <f>_xlfn.XLOOKUP(T575,RenewalPlans!B:B,RenewalPlans!AI:AI,"NA",0,1)</f>
        <v>NA</v>
      </c>
      <c r="U596" s="122"/>
      <c r="V596" s="122"/>
      <c r="W596" s="122"/>
      <c r="X596" s="130"/>
      <c r="Y596" s="122"/>
      <c r="Z596" s="123"/>
    </row>
    <row r="597" spans="4:26" ht="18.75" customHeight="1" hidden="1">
      <c r="D597" s="198" t="s">
        <v>268</v>
      </c>
      <c r="E597" s="130" t="str">
        <f>_xlfn.XLOOKUP(E575,CurrentPlans!B:B,CurrentPlans!AH:AH,"NA",0,1)</f>
        <v>NA</v>
      </c>
      <c r="F597" s="200"/>
      <c r="G597" s="200"/>
      <c r="H597" s="200"/>
      <c r="I597" s="130"/>
      <c r="J597" s="201"/>
      <c r="K597"/>
      <c r="L597" s="131" t="str">
        <f>_xlfn.XLOOKUP(L575,RenewalPlans!B:B,RenewalPlans!AK:AK,"NA",0,1)</f>
        <v>NA</v>
      </c>
      <c r="M597" s="200"/>
      <c r="N597" s="200"/>
      <c r="O597" s="200"/>
      <c r="P597" s="130"/>
      <c r="Q597" s="200"/>
      <c r="R597" s="201"/>
      <c r="T597" s="131" t="str">
        <f>_xlfn.XLOOKUP(T575,RenewalPlans!B:B,RenewalPlans!AK:AK,"NA",0,1)</f>
        <v>NA</v>
      </c>
      <c r="U597" s="200"/>
      <c r="V597" s="200"/>
      <c r="W597" s="200"/>
      <c r="X597" s="130"/>
      <c r="Y597" s="200"/>
      <c r="Z597" s="201"/>
    </row>
    <row r="598" spans="4:26" ht="18.75" customHeight="1" hidden="1">
      <c r="D598" s="198" t="s">
        <v>269</v>
      </c>
      <c r="E598" s="130" t="str">
        <f>_xlfn.XLOOKUP(E575,CurrentPlans!B:B,CurrentPlans!AG:AG,"NA",0,1)</f>
        <v>NA</v>
      </c>
      <c r="F598" s="200"/>
      <c r="G598" s="200"/>
      <c r="H598" s="200"/>
      <c r="I598" s="130"/>
      <c r="J598" s="201"/>
      <c r="K598"/>
      <c r="L598" s="131" t="str">
        <f>_xlfn.XLOOKUP(L575,RenewalPlans!B:B,RenewalPlans!AJ:AJ,"NA",0,1)</f>
        <v>NA</v>
      </c>
      <c r="M598" s="200"/>
      <c r="N598" s="200"/>
      <c r="O598" s="200"/>
      <c r="P598" s="130"/>
      <c r="Q598" s="200"/>
      <c r="R598" s="201"/>
      <c r="T598" s="131" t="str">
        <f>_xlfn.XLOOKUP(T575,RenewalPlans!B:B,RenewalPlans!AJ:AJ,"NA",0,1)</f>
        <v>NA</v>
      </c>
      <c r="U598" s="200"/>
      <c r="V598" s="200"/>
      <c r="W598" s="200"/>
      <c r="X598" s="130"/>
      <c r="Y598" s="200"/>
      <c r="Z598" s="201"/>
    </row>
    <row r="599" spans="4:26" ht="18.75" customHeight="1" hidden="1">
      <c r="D599" s="213" t="s">
        <v>270</v>
      </c>
      <c r="E599" s="216" t="str">
        <f>_xlfn.XLOOKUP(E575,CurrentPlans!B:B,CurrentPlans!AU:AU,"NA",0,1)</f>
        <v>NA</v>
      </c>
      <c r="F599" s="214"/>
      <c r="G599" s="214"/>
      <c r="H599" s="214"/>
      <c r="I599" s="217"/>
      <c r="J599" s="215"/>
      <c r="K599"/>
      <c r="L599" s="218" t="str">
        <f>_xlfn.XLOOKUP(L575,RenewalPlans!B:B,RenewalPlans!AX:AX,"NA",0,1)</f>
        <v>NA</v>
      </c>
      <c r="M599" s="214"/>
      <c r="N599" s="214"/>
      <c r="O599" s="214"/>
      <c r="P599" s="217"/>
      <c r="Q599" s="214"/>
      <c r="R599" s="215"/>
      <c r="T599" s="218" t="str">
        <f>_xlfn.XLOOKUP(T575,RenewalPlans!B:B,RenewalPlans!AX:AX,"NA",0,1)</f>
        <v>NA</v>
      </c>
      <c r="U599" s="214"/>
      <c r="V599" s="214"/>
      <c r="W599" s="214"/>
      <c r="X599" s="217"/>
      <c r="Y599" s="214"/>
      <c r="Z599" s="215"/>
    </row>
    <row r="600" spans="4:26" ht="18.75" customHeight="1" hidden="1">
      <c r="D600" s="213" t="s">
        <v>271</v>
      </c>
      <c r="E600" s="216" t="str">
        <f>_xlfn.XLOOKUP(E575,CurrentPlans!B:B,CurrentPlans!AT:AT,"NA",0,1)</f>
        <v>NA</v>
      </c>
      <c r="F600" s="214"/>
      <c r="G600" s="214"/>
      <c r="H600" s="214"/>
      <c r="I600" s="217"/>
      <c r="J600" s="215"/>
      <c r="K600"/>
      <c r="L600" s="218" t="str">
        <f>_xlfn.XLOOKUP(L575,RenewalPlans!B:B,RenewalPlans!AW:AW,"NA",0,1)</f>
        <v>NA</v>
      </c>
      <c r="M600" s="214"/>
      <c r="N600" s="214"/>
      <c r="O600" s="214"/>
      <c r="P600" s="217"/>
      <c r="Q600" s="214"/>
      <c r="R600" s="215"/>
      <c r="T600" s="218" t="str">
        <f>_xlfn.XLOOKUP(T575,RenewalPlans!B:B,RenewalPlans!AW:AW,"NA",0,1)</f>
        <v>NA</v>
      </c>
      <c r="U600" s="214"/>
      <c r="V600" s="214"/>
      <c r="W600" s="214"/>
      <c r="X600" s="217"/>
      <c r="Y600" s="214"/>
      <c r="Z600" s="215"/>
    </row>
    <row r="601" spans="4:26" ht="18.75" customHeight="1" hidden="1">
      <c r="D601" s="198" t="s">
        <v>272</v>
      </c>
      <c r="E601" s="130" t="str">
        <f>_xlfn.XLOOKUP(E575,CurrentPlans!B:B,CurrentPlans!AD:AD,"NA",0,1)</f>
        <v>NA</v>
      </c>
      <c r="F601" s="200"/>
      <c r="G601" s="200"/>
      <c r="H601" s="200"/>
      <c r="I601" s="130"/>
      <c r="J601" s="201"/>
      <c r="K601"/>
      <c r="L601" s="131" t="str">
        <f>_xlfn.XLOOKUP(L575,RenewalPlans!B:B,RenewalPlans!AG:AG,"NA",0,1)</f>
        <v>NA</v>
      </c>
      <c r="M601" s="200"/>
      <c r="N601" s="200"/>
      <c r="O601" s="200"/>
      <c r="P601" s="130"/>
      <c r="Q601" s="200"/>
      <c r="R601" s="201"/>
      <c r="T601" s="131" t="str">
        <f>_xlfn.XLOOKUP(T575,RenewalPlans!B:B,RenewalPlans!AG:AG,"NA",0,1)</f>
        <v>NA</v>
      </c>
      <c r="U601" s="200"/>
      <c r="V601" s="200"/>
      <c r="W601" s="200"/>
      <c r="X601" s="130"/>
      <c r="Y601" s="200"/>
      <c r="Z601" s="201"/>
    </row>
    <row r="602" spans="4:26" ht="18.75" customHeight="1" hidden="1">
      <c r="D602" s="198" t="s">
        <v>273</v>
      </c>
      <c r="E602" s="200"/>
      <c r="F602" s="200"/>
      <c r="G602" s="200"/>
      <c r="H602" s="200"/>
      <c r="I602" s="200"/>
      <c r="J602" s="201"/>
      <c r="K602"/>
      <c r="L602" s="198"/>
      <c r="M602" s="200"/>
      <c r="N602" s="200"/>
      <c r="O602" s="200"/>
      <c r="P602" s="200"/>
      <c r="Q602" s="200"/>
      <c r="R602" s="201"/>
      <c r="T602" s="198"/>
      <c r="U602" s="200"/>
      <c r="V602" s="200"/>
      <c r="W602" s="200"/>
      <c r="X602" s="200"/>
      <c r="Y602" s="200"/>
      <c r="Z602" s="201"/>
    </row>
    <row r="603" spans="4:26" ht="18.75" customHeight="1" hidden="1">
      <c r="D603" s="210"/>
      <c r="E603" s="211"/>
      <c r="F603" s="211"/>
      <c r="G603" s="211"/>
      <c r="H603" s="211"/>
      <c r="I603" s="211"/>
      <c r="J603" s="212"/>
      <c r="K603"/>
      <c r="L603" s="210"/>
      <c r="M603" s="211"/>
      <c r="N603" s="211"/>
      <c r="O603" s="211"/>
      <c r="P603" s="211"/>
      <c r="Q603" s="211"/>
      <c r="R603" s="212"/>
      <c r="T603" s="210"/>
      <c r="U603" s="211"/>
      <c r="V603" s="211"/>
      <c r="W603" s="211"/>
      <c r="X603" s="211"/>
      <c r="Y603" s="211"/>
      <c r="Z603" s="212"/>
    </row>
    <row r="604" spans="4:26" ht="18.75" customHeight="1" hidden="1">
      <c r="D604" s="219" t="s">
        <v>274</v>
      </c>
      <c r="E604" s="220"/>
      <c r="F604" s="220"/>
      <c r="G604" s="220"/>
      <c r="H604" s="220"/>
      <c r="I604" s="220"/>
      <c r="J604" s="221"/>
      <c r="K604"/>
      <c r="L604" s="222"/>
      <c r="M604" s="220"/>
      <c r="N604" s="220"/>
      <c r="O604" s="220"/>
      <c r="P604" s="220"/>
      <c r="Q604" s="220"/>
      <c r="R604" s="221"/>
      <c r="T604" s="222"/>
      <c r="U604" s="220"/>
      <c r="V604" s="220"/>
      <c r="W604" s="220"/>
      <c r="X604" s="220"/>
      <c r="Y604" s="220"/>
      <c r="Z604" s="221"/>
    </row>
    <row r="605" spans="4:26" ht="18.75" customHeight="1" hidden="1">
      <c r="D605" s="223" t="s">
        <v>250</v>
      </c>
      <c r="E605" s="205"/>
      <c r="F605" s="205"/>
      <c r="G605" s="205"/>
      <c r="H605" s="205"/>
      <c r="I605" s="205"/>
      <c r="J605" s="206"/>
      <c r="K605"/>
      <c r="L605" s="203"/>
      <c r="M605" s="205"/>
      <c r="N605" s="205"/>
      <c r="O605" s="205"/>
      <c r="P605" s="205"/>
      <c r="Q605" s="205"/>
      <c r="R605" s="206"/>
      <c r="T605" s="203"/>
      <c r="U605" s="205"/>
      <c r="V605" s="205"/>
      <c r="W605" s="205"/>
      <c r="X605" s="205"/>
      <c r="Y605" s="205"/>
      <c r="Z605" s="206"/>
    </row>
    <row r="606" spans="4:26" ht="18.75" customHeight="1" hidden="1">
      <c r="D606" s="198" t="s">
        <v>251</v>
      </c>
      <c r="E606" s="130" t="str">
        <f>_xlfn.XLOOKUP(E575,CurrentPlans!B:B,CurrentPlans!AP:AP,"NA",0,1)</f>
        <v>NA</v>
      </c>
      <c r="F606" s="200"/>
      <c r="G606" s="200"/>
      <c r="H606" s="200"/>
      <c r="I606" s="130"/>
      <c r="J606" s="201"/>
      <c r="K606"/>
      <c r="L606" s="131" t="str">
        <f>_xlfn.XLOOKUP(L575,RenewalPlans!B:B,RenewalPlans!AS:AS,"NA",0,1)</f>
        <v>NA</v>
      </c>
      <c r="M606" s="200"/>
      <c r="N606" s="200"/>
      <c r="O606" s="200"/>
      <c r="P606" s="130"/>
      <c r="Q606" s="200"/>
      <c r="R606" s="201"/>
      <c r="T606" s="131" t="str">
        <f>_xlfn.XLOOKUP(T575,RenewalPlans!B:B,RenewalPlans!AS:AS,"NA",0,1)</f>
        <v>NA</v>
      </c>
      <c r="U606" s="200"/>
      <c r="V606" s="200"/>
      <c r="W606" s="200"/>
      <c r="X606" s="130"/>
      <c r="Y606" s="200"/>
      <c r="Z606" s="201"/>
    </row>
    <row r="607" spans="4:26" ht="18.75" customHeight="1" hidden="1">
      <c r="D607" s="198" t="s">
        <v>252</v>
      </c>
      <c r="E607" s="130" t="str">
        <f>_xlfn.XLOOKUP(E575,CurrentPlans!B:B,CurrentPlans!AQ:AQ,"NA",0,1)</f>
        <v>NA</v>
      </c>
      <c r="F607" s="200"/>
      <c r="G607" s="200"/>
      <c r="H607" s="200"/>
      <c r="I607" s="130"/>
      <c r="J607" s="201"/>
      <c r="K607"/>
      <c r="L607" s="131" t="str">
        <f>_xlfn.XLOOKUP(L575,RenewalPlans!B:B,RenewalPlans!AT:AT,"NA",0,1)</f>
        <v>NA</v>
      </c>
      <c r="M607" s="200"/>
      <c r="N607" s="200"/>
      <c r="O607" s="200"/>
      <c r="P607" s="130"/>
      <c r="Q607" s="200"/>
      <c r="R607" s="201"/>
      <c r="T607" s="131" t="str">
        <f>_xlfn.XLOOKUP(T575,RenewalPlans!B:B,RenewalPlans!AT:AT,"NA",0,1)</f>
        <v>NA</v>
      </c>
      <c r="U607" s="200"/>
      <c r="V607" s="200"/>
      <c r="W607" s="200"/>
      <c r="X607" s="130"/>
      <c r="Y607" s="200"/>
      <c r="Z607" s="201"/>
    </row>
    <row r="608" spans="4:26" ht="18.75" customHeight="1" hidden="1">
      <c r="D608" s="120" t="s">
        <v>253</v>
      </c>
      <c r="E608" s="133" t="str">
        <f>_xlfn.XLOOKUP(E575,CurrentPlans!B:B,CurrentPlans!AO:AO,"NA",0,1)</f>
        <v>NA</v>
      </c>
      <c r="F608" s="122"/>
      <c r="G608" s="122"/>
      <c r="H608" s="122"/>
      <c r="I608" s="133"/>
      <c r="J608" s="123"/>
      <c r="K608"/>
      <c r="L608" s="136" t="str">
        <f>_xlfn.XLOOKUP(L575,RenewalPlans!B:B,RenewalPlans!AR:AR,"NA",0,1)</f>
        <v>NA</v>
      </c>
      <c r="M608" s="122"/>
      <c r="N608" s="122"/>
      <c r="O608" s="122"/>
      <c r="P608" s="133"/>
      <c r="Q608" s="122"/>
      <c r="R608" s="123"/>
      <c r="T608" s="136" t="str">
        <f>_xlfn.XLOOKUP(T575,RenewalPlans!B:B,RenewalPlans!AR:AR,"NA",0,1)</f>
        <v>NA</v>
      </c>
      <c r="U608" s="122"/>
      <c r="V608" s="122"/>
      <c r="W608" s="122"/>
      <c r="X608" s="133"/>
      <c r="Y608" s="122"/>
      <c r="Z608" s="123"/>
    </row>
    <row r="609" spans="4:26" ht="18.75" customHeight="1" hidden="1">
      <c r="D609" s="223" t="s">
        <v>254</v>
      </c>
      <c r="E609" s="205"/>
      <c r="F609" s="205"/>
      <c r="G609" s="205"/>
      <c r="H609" s="205"/>
      <c r="I609" s="205"/>
      <c r="J609" s="206"/>
      <c r="K609"/>
      <c r="L609" s="203"/>
      <c r="M609" s="205"/>
      <c r="N609" s="205"/>
      <c r="O609" s="205"/>
      <c r="P609" s="205"/>
      <c r="Q609" s="205"/>
      <c r="R609" s="206"/>
      <c r="T609" s="203"/>
      <c r="U609" s="205"/>
      <c r="V609" s="205"/>
      <c r="W609" s="205"/>
      <c r="X609" s="205"/>
      <c r="Y609" s="205"/>
      <c r="Z609" s="206"/>
    </row>
    <row r="610" spans="4:26" ht="18.75" customHeight="1" hidden="1">
      <c r="D610" s="198" t="s">
        <v>255</v>
      </c>
      <c r="E610" s="130" t="str">
        <f>_xlfn.XLOOKUP(E575,CurrentPlans!B:B,CurrentPlans!AR:AR,"NA",0,1)</f>
        <v>NA</v>
      </c>
      <c r="F610" s="200"/>
      <c r="G610" s="200"/>
      <c r="H610" s="200"/>
      <c r="I610" s="130"/>
      <c r="J610" s="201"/>
      <c r="K610"/>
      <c r="L610" s="131" t="str">
        <f>_xlfn.XLOOKUP(L575,RenewalPlans!B:B,RenewalPlans!AU:AU,"NA",0,1)</f>
        <v>NA</v>
      </c>
      <c r="M610" s="200"/>
      <c r="N610" s="200"/>
      <c r="O610" s="200"/>
      <c r="P610" s="130"/>
      <c r="Q610" s="200"/>
      <c r="R610" s="201"/>
      <c r="T610" s="131" t="str">
        <f>_xlfn.XLOOKUP(T575,RenewalPlans!B:B,RenewalPlans!AU:AU,"NA",0,1)</f>
        <v>NA</v>
      </c>
      <c r="U610" s="200"/>
      <c r="V610" s="200"/>
      <c r="W610" s="200"/>
      <c r="X610" s="130"/>
      <c r="Y610" s="200"/>
      <c r="Z610" s="201"/>
    </row>
    <row r="611" spans="4:26" ht="18.75" customHeight="1" hidden="1" thickBot="1">
      <c r="D611" s="224" t="s">
        <v>256</v>
      </c>
      <c r="E611" s="137" t="str">
        <f>_xlfn.XLOOKUP(E575,CurrentPlans!B:B,CurrentPlans!AS:AS,"NA",0,1)</f>
        <v>NA</v>
      </c>
      <c r="F611" s="225"/>
      <c r="G611" s="225"/>
      <c r="H611" s="225"/>
      <c r="I611" s="137"/>
      <c r="J611" s="226"/>
      <c r="K611"/>
      <c r="L611" s="138" t="str">
        <f>_xlfn.XLOOKUP(L575,RenewalPlans!B:B,RenewalPlans!AV:AV,"NA",0,1)</f>
        <v>NA</v>
      </c>
      <c r="M611" s="225"/>
      <c r="N611" s="225"/>
      <c r="O611" s="225"/>
      <c r="P611" s="137"/>
      <c r="Q611" s="225"/>
      <c r="R611" s="226"/>
      <c r="T611" s="138" t="str">
        <f>_xlfn.XLOOKUP(T575,RenewalPlans!B:B,RenewalPlans!AV:AV,"NA",0,1)</f>
        <v>NA</v>
      </c>
      <c r="U611" s="225"/>
      <c r="V611" s="225"/>
      <c r="W611" s="225"/>
      <c r="X611" s="137"/>
      <c r="Y611" s="225"/>
      <c r="Z611" s="226"/>
    </row>
    <row r="612" spans="4:26" ht="18.75" customHeight="1">
      <c r="D612" s="227"/>
      <c r="E612" s="176"/>
      <c r="F612" s="178"/>
      <c r="G612" s="179"/>
      <c r="H612" s="178"/>
      <c r="I612" s="176"/>
      <c r="J612" s="228"/>
      <c r="K612"/>
      <c r="L612" s="178"/>
      <c r="M612" s="176"/>
      <c r="N612" s="139"/>
      <c r="O612" s="178"/>
      <c r="P612" s="178"/>
      <c r="Q612" s="178"/>
      <c r="R612" s="228"/>
      <c r="T612" s="178"/>
      <c r="U612" s="176"/>
      <c r="V612" s="139"/>
      <c r="W612" s="178"/>
      <c r="X612" s="178"/>
      <c r="Y612" s="178"/>
      <c r="Z612" s="228"/>
    </row>
    <row r="613" spans="4:26" ht="5.25" customHeight="1" thickBot="1">
      <c r="D613" s="229"/>
      <c r="E613" s="229"/>
      <c r="F613" s="230"/>
      <c r="G613" s="231"/>
      <c r="H613" s="232"/>
      <c r="I613" s="233"/>
      <c r="J613" s="233"/>
      <c r="K613"/>
      <c r="L613" s="233"/>
      <c r="M613" s="233"/>
      <c r="N613" s="233"/>
      <c r="O613" s="233"/>
      <c r="P613" s="233"/>
      <c r="Q613" s="233"/>
      <c r="R613" s="233"/>
      <c r="T613" s="233"/>
      <c r="U613" s="233"/>
      <c r="V613" s="233"/>
      <c r="W613" s="233"/>
      <c r="X613" s="233"/>
      <c r="Y613" s="233"/>
      <c r="Z613" s="233"/>
    </row>
    <row r="614" spans="3:26" ht="50.15" customHeight="1">
      <c r="C614" s="164" t="s">
        <v>287</v>
      </c>
      <c r="D614" s="275" t="s">
        <v>285</v>
      </c>
      <c r="E614" s="165"/>
      <c r="F614" s="272"/>
      <c r="G614" s="166"/>
      <c r="H614" s="167"/>
      <c r="I614" s="168"/>
      <c r="J614" s="169"/>
      <c r="K614"/>
      <c r="L614" s="274" t="s">
        <v>38</v>
      </c>
      <c r="M614" s="170"/>
      <c r="N614" s="274" t="s">
        <v>237</v>
      </c>
      <c r="O614" s="171"/>
      <c r="P614" s="171"/>
      <c r="Q614" s="171"/>
      <c r="R614" s="169"/>
      <c r="T614" s="274" t="s">
        <v>38</v>
      </c>
      <c r="U614" s="170"/>
      <c r="V614" s="274" t="s">
        <v>237</v>
      </c>
      <c r="W614" s="171"/>
      <c r="X614" s="171"/>
      <c r="Y614" s="171"/>
      <c r="Z614" s="169"/>
    </row>
    <row r="615" spans="4:26" ht="18.75" customHeight="1">
      <c r="D615" s="172" t="s">
        <v>238</v>
      </c>
      <c r="E615" s="407"/>
      <c r="F615" s="449"/>
      <c r="G615" s="470"/>
      <c r="H615" s="449"/>
      <c r="I615" s="450" t="str">
        <f>IFERROR(IF(E615="","",F615-H615),"")</f>
        <v/>
      </c>
      <c r="J615" s="410"/>
      <c r="K615" s="411"/>
      <c r="L615" s="408" t="str" cm="1">
        <f t="array" ca="1" aca="1" ref="L615">_xlfn.IFNA(VLOOKUP(INDIRECT("L"&amp;ROW()-1)&amp;"_"&amp;$D$12,BEGIN_RENEW_HEALTH:END_RENEW_HEALTH,RENEW_COL_EO,FALSE),"")</f>
        <v/>
      </c>
      <c r="M615" s="412" t="str">
        <f>IF(E615="","",E615)</f>
        <v/>
      </c>
      <c r="N615" s="413"/>
      <c r="O615" s="414"/>
      <c r="P615" s="415" t="str">
        <f>IFERROR(IF($N614="Keep Contribution Same",H615,IF($N614="Enter Percentages",IF(N615="","",N615*L615),IF($N614="Keep Percentage Same",IF(G615="","",G615*L615),IF($N614="Enter Dollar Amount",IF(O615="","",O615),"")))),"")</f>
        <v/>
      </c>
      <c r="Q615" s="408" t="str">
        <f ca="1">IFERROR(L615-P615,"")</f>
        <v/>
      </c>
      <c r="R615" s="410" t="str">
        <f>IFERROR(IF(P615="","",M615*P615),"")</f>
        <v/>
      </c>
      <c r="S615" s="411"/>
      <c r="T615" s="408" t="str" cm="1">
        <f t="array" ca="1" aca="1" ref="T615">_xlfn.IFNA(VLOOKUP(INDIRECT("T"&amp;ROW()-1)&amp;"_"&amp;$D$12,BEGIN_RENEW_HEALTH:END_RENEW_HEALTH,RENEW_COL_EO,FALSE),"")</f>
        <v/>
      </c>
      <c r="U615" s="412" t="str">
        <f>IF(E615="","",E615)</f>
        <v/>
      </c>
      <c r="V615" s="413"/>
      <c r="W615" s="414"/>
      <c r="X615" s="415" t="str">
        <f>IFERROR(IF($V614="Keep Contribution Same",H615,IF($V614="Enter Percentages",IF(V615="","",V615*T615),IF($V614="Keep Percentage Same",IF(G615="","",G615*T615),IF($V614="Enter Dollar Amount",IF(W615="","",W615),"")))),"")</f>
        <v/>
      </c>
      <c r="Y615" s="408" t="str">
        <f ca="1">IFERROR(T615-X615,"")</f>
        <v/>
      </c>
      <c r="Z615" s="410" t="str">
        <f>IFERROR(IF(X615="","",U615*X615),"")</f>
        <v/>
      </c>
    </row>
    <row r="616" spans="4:26" ht="18.75" customHeight="1">
      <c r="D616" s="172" t="s">
        <v>239</v>
      </c>
      <c r="E616" s="407"/>
      <c r="F616" s="449"/>
      <c r="G616" s="470"/>
      <c r="H616" s="449"/>
      <c r="I616" s="450" t="str">
        <f t="shared" si="62" ref="I616:I618">IFERROR(IF(E616="","",F616-H616),"")</f>
        <v/>
      </c>
      <c r="J616" s="410"/>
      <c r="K616" s="411"/>
      <c r="L616" s="408" t="str" cm="1">
        <f t="array" ca="1" aca="1" ref="L616">_xlfn.IFNA(VLOOKUP(INDIRECT("L"&amp;ROW()-2)&amp;"_"&amp;$D$12,BEGIN_RENEW_HEALTH:END_RENEW_HEALTH,RENEW_COL_ES,FALSE),"")</f>
        <v/>
      </c>
      <c r="M616" s="412" t="str">
        <f>IF(E616="","",E616)</f>
        <v/>
      </c>
      <c r="N616" s="413"/>
      <c r="O616" s="414"/>
      <c r="P616" s="415" t="str">
        <f>IFERROR(IF($N614="Keep Contribution Same",H616,IF($N614="Enter Percentages",IF(N616="","",N616*L616),IF($N614="Keep Percentage Same",IF(G616="","",G616*L616),IF($N614="Enter Dollar Amount",IF(O616="","",O616),"")))),"")</f>
        <v/>
      </c>
      <c r="Q616" s="408" t="str">
        <f ca="1" t="shared" si="63" ref="Q616:Q618">IFERROR(L616-P616,"")</f>
        <v/>
      </c>
      <c r="R616" s="410" t="str">
        <f>IFERROR(IF(P616="","",M616*P616),"")</f>
        <v/>
      </c>
      <c r="S616" s="411"/>
      <c r="T616" s="408" t="str" cm="1">
        <f t="array" ca="1" aca="1" ref="T616">_xlfn.IFNA(VLOOKUP(INDIRECT("T"&amp;ROW()-2)&amp;"_"&amp;$D$12,BEGIN_RENEW_HEALTH:END_RENEW_HEALTH,RENEW_COL_ES,FALSE),"")</f>
        <v/>
      </c>
      <c r="U616" s="412" t="str">
        <f t="shared" si="64" ref="U616:U618">IF(E616="","",E616)</f>
        <v/>
      </c>
      <c r="V616" s="413"/>
      <c r="W616" s="414"/>
      <c r="X616" s="415" t="str">
        <f>IFERROR(IF($V614="Keep Contribution Same",H616,IF($V614="Enter Percentages",IF(V616="","",V616*T616),IF($V614="Keep Percentage Same",IF(G616="","",G616*T616),IF($V614="Enter Dollar Amount",IF(W616="","",W616),"")))),"")</f>
        <v/>
      </c>
      <c r="Y616" s="408" t="str">
        <f ca="1" t="shared" si="65" ref="Y616:Y618">IFERROR(T616-X616,"")</f>
        <v/>
      </c>
      <c r="Z616" s="410" t="str">
        <f t="shared" si="66" ref="Z616:Z618">IFERROR(IF(X616="","",U616*X616),"")</f>
        <v/>
      </c>
    </row>
    <row r="617" spans="4:26" ht="18.75" customHeight="1">
      <c r="D617" s="172" t="s">
        <v>240</v>
      </c>
      <c r="E617" s="407"/>
      <c r="F617" s="449"/>
      <c r="G617" s="470"/>
      <c r="H617" s="449"/>
      <c r="I617" s="450" t="str">
        <f t="shared" si="62"/>
        <v/>
      </c>
      <c r="J617" s="410"/>
      <c r="K617" s="411"/>
      <c r="L617" s="408" t="str" cm="1">
        <f t="array" ca="1" aca="1" ref="L617">_xlfn.IFNA(VLOOKUP(INDIRECT("L"&amp;ROW()-3)&amp;"_"&amp;$D$12,BEGIN_RENEW_HEALTH:END_RENEW_HEALTH,RENEW_COL_EC,FALSE),"")</f>
        <v/>
      </c>
      <c r="M617" s="412" t="str">
        <f>IF(E617="","",E617)</f>
        <v/>
      </c>
      <c r="N617" s="413"/>
      <c r="O617" s="414"/>
      <c r="P617" s="415" t="str">
        <f>IFERROR(IF($N614="Keep Contribution Same",H617,IF($N614="Enter Percentages",IF(N617="","",N617*L617),IF($N614="Keep Percentage Same",IF(G617="","",G617*L617),IF($N614="Enter Dollar Amount",IF(O617="","",O617),"")))),"")</f>
        <v/>
      </c>
      <c r="Q617" s="408" t="str">
        <f t="shared" ca="1" si="63"/>
        <v/>
      </c>
      <c r="R617" s="410" t="str">
        <f>IFERROR(IF(P617="","",M617*P617),"")</f>
        <v/>
      </c>
      <c r="S617" s="411"/>
      <c r="T617" s="408" t="str" cm="1">
        <f t="array" ca="1" aca="1" ref="T617">_xlfn.IFNA(VLOOKUP(INDIRECT("T"&amp;ROW()-3)&amp;"_"&amp;$D$12,BEGIN_RENEW_HEALTH:END_RENEW_HEALTH,RENEW_COL_EC,FALSE),"")</f>
        <v/>
      </c>
      <c r="U617" s="412" t="str">
        <f t="shared" si="64"/>
        <v/>
      </c>
      <c r="V617" s="413"/>
      <c r="W617" s="414"/>
      <c r="X617" s="415" t="str">
        <f>IFERROR(IF($V614="Keep Contribution Same",H617,IF($V614="Enter Percentages",IF(V617="","",V617*T617),IF($V614="Keep Percentage Same",IF(G617="","",G617*T617),IF($V614="Enter Dollar Amount",IF(W617="","",W617),"")))),"")</f>
        <v/>
      </c>
      <c r="Y617" s="408" t="str">
        <f t="shared" ca="1" si="65"/>
        <v/>
      </c>
      <c r="Z617" s="410" t="str">
        <f t="shared" si="66"/>
        <v/>
      </c>
    </row>
    <row r="618" spans="4:26" ht="18.75" customHeight="1" thickBot="1">
      <c r="D618" s="174" t="s">
        <v>241</v>
      </c>
      <c r="E618" s="416"/>
      <c r="F618" s="451"/>
      <c r="G618" s="471"/>
      <c r="H618" s="451"/>
      <c r="I618" s="452" t="str">
        <f t="shared" si="62"/>
        <v/>
      </c>
      <c r="J618" s="419"/>
      <c r="K618" s="411"/>
      <c r="L618" s="417" t="str" cm="1">
        <f t="array" ca="1" aca="1" ref="L618">_xlfn.IFNA(VLOOKUP(INDIRECT("L"&amp;ROW()-4)&amp;"_"&amp;$D$12,BEGIN_RENEW_HEALTH:END_RENEW_HEALTH,RENEW_COL_FAM,FALSE),"")</f>
        <v/>
      </c>
      <c r="M618" s="423" t="str">
        <f>IF(E618="","",E618)</f>
        <v/>
      </c>
      <c r="N618" s="420"/>
      <c r="O618" s="421"/>
      <c r="P618" s="422" t="str">
        <f>IFERROR(IF($N614="Keep Contribution Same",H618,IF($N614="Enter Percentages",IF(N618="","",N618*L618),IF($N614="Keep Percentage Same",IF(G618="","",G618*L618),IF($N614="Enter Dollar Amount",IF(O618="","",O618),"")))),"")</f>
        <v/>
      </c>
      <c r="Q618" s="417" t="str">
        <f t="shared" ca="1" si="63"/>
        <v/>
      </c>
      <c r="R618" s="419" t="str">
        <f>IFERROR(IF(P618="","",M618*P618),"")</f>
        <v/>
      </c>
      <c r="S618" s="411"/>
      <c r="T618" s="417" t="str" cm="1">
        <f t="array" ca="1" aca="1" ref="T618">_xlfn.IFNA(VLOOKUP(INDIRECT("T"&amp;ROW()-4)&amp;"_"&amp;$D$12,BEGIN_RENEW_HEALTH:END_RENEW_HEALTH,RENEW_COL_FAM,FALSE),"")</f>
        <v/>
      </c>
      <c r="U618" s="423" t="str">
        <f t="shared" si="64"/>
        <v/>
      </c>
      <c r="V618" s="420"/>
      <c r="W618" s="421"/>
      <c r="X618" s="422" t="str">
        <f>IFERROR(IF($V614="Keep Contribution Same",H618,IF($V614="Enter Percentages",IF(V618="","",V618*T618),IF($V614="Keep Percentage Same",IF(G618="","",G618*T618),IF($V614="Enter Dollar Amount",IF(W618="","",W618),"")))),"")</f>
        <v/>
      </c>
      <c r="Y618" s="417" t="str">
        <f t="shared" ca="1" si="65"/>
        <v/>
      </c>
      <c r="Z618" s="419" t="str">
        <f t="shared" si="66"/>
        <v/>
      </c>
    </row>
    <row r="619" spans="4:26" ht="18.75" customHeight="1" thickTop="1">
      <c r="D619" s="175" t="s">
        <v>242</v>
      </c>
      <c r="E619" s="424"/>
      <c r="F619" s="425">
        <f>IFERROR((F615*E615)+(F616*E616)+(F617*E617)+(F618*E618),"")</f>
        <v>0</v>
      </c>
      <c r="G619" s="426"/>
      <c r="H619" s="427"/>
      <c r="I619" s="428"/>
      <c r="J619" s="429" t="str">
        <f>IFERROR(IF(J615="","",SUM(J615:J618)),0)</f>
        <v/>
      </c>
      <c r="K619" s="1"/>
      <c r="L619" s="430" t="str">
        <f ca="1">IFERROR((M615*L615)+(M616*L616)+(M617*L617)+(M618*L618),"")</f>
        <v/>
      </c>
      <c r="M619" s="427"/>
      <c r="N619" s="426"/>
      <c r="O619" s="427"/>
      <c r="P619" s="431"/>
      <c r="Q619" s="432"/>
      <c r="R619" s="429" t="str">
        <f>IFERROR(IF(R615="","",SUM(R615:R618)),0)</f>
        <v/>
      </c>
      <c r="T619" s="430" t="str">
        <f ca="1">IFERROR((U615*T615)+(U616*T616)+(U617*T617)+(U618*T618),"")</f>
        <v/>
      </c>
      <c r="U619" s="427"/>
      <c r="V619" s="426"/>
      <c r="W619" s="427"/>
      <c r="X619" s="431"/>
      <c r="Y619" s="432"/>
      <c r="Z619" s="429" t="str">
        <f>IFERROR(IF(Z615="","",SUM(Z615:Z618)),0)</f>
        <v/>
      </c>
    </row>
    <row r="620" spans="4:26" ht="18.75" customHeight="1">
      <c r="D620" s="177" t="s">
        <v>243</v>
      </c>
      <c r="E620" s="433"/>
      <c r="F620" s="434">
        <f>IFERROR(F619*12,"")</f>
        <v>0</v>
      </c>
      <c r="G620" s="435"/>
      <c r="H620" s="436"/>
      <c r="I620" s="432"/>
      <c r="J620" s="437" t="str">
        <f>IF(J619="","",J619*12)</f>
        <v/>
      </c>
      <c r="K620" s="1"/>
      <c r="L620" s="438" t="str">
        <f ca="1">IFERROR(L619*12,"")</f>
        <v/>
      </c>
      <c r="M620" s="436"/>
      <c r="N620" s="435"/>
      <c r="O620" s="436"/>
      <c r="P620" s="432"/>
      <c r="Q620" s="432"/>
      <c r="R620" s="437" t="str">
        <f>IF(R619="","",R619*12)</f>
        <v/>
      </c>
      <c r="T620" s="438" t="str">
        <f ca="1">IFERROR(T619*12,"")</f>
        <v/>
      </c>
      <c r="U620" s="436"/>
      <c r="V620" s="435"/>
      <c r="W620" s="436"/>
      <c r="X620" s="432"/>
      <c r="Y620" s="432"/>
      <c r="Z620" s="437" t="str">
        <f>IF(Z619="","",Z619*12)</f>
        <v/>
      </c>
    </row>
    <row r="621" spans="4:26" ht="18.75" customHeight="1">
      <c r="D621" s="177" t="s">
        <v>244</v>
      </c>
      <c r="E621" s="433"/>
      <c r="F621" s="436"/>
      <c r="G621" s="435"/>
      <c r="H621" s="436"/>
      <c r="I621" s="432"/>
      <c r="J621" s="437" t="str">
        <f>IFERROR(IF(J620="","",R620-J620),0)</f>
        <v/>
      </c>
      <c r="K621" s="1"/>
      <c r="L621" s="434" t="str">
        <f ca="1">IFERROR(L620-F620,"")</f>
        <v/>
      </c>
      <c r="M621" s="436"/>
      <c r="N621" s="435"/>
      <c r="O621" s="436"/>
      <c r="P621" s="432"/>
      <c r="Q621" s="432"/>
      <c r="R621" s="437" t="str">
        <f>IFERROR(IF(J620="","",R620-J620),0)</f>
        <v/>
      </c>
      <c r="T621" s="434" t="str">
        <f ca="1">IFERROR(T620-F620,"")</f>
        <v/>
      </c>
      <c r="U621" s="436"/>
      <c r="V621" s="435"/>
      <c r="W621" s="436"/>
      <c r="X621" s="432"/>
      <c r="Y621" s="432"/>
      <c r="Z621" s="437" t="str">
        <f>IFERROR(IF(R620="","",Z620-R620),0)</f>
        <v/>
      </c>
    </row>
    <row r="622" spans="4:26" ht="18" customHeight="1" thickBot="1">
      <c r="D622" s="180" t="s">
        <v>245</v>
      </c>
      <c r="E622" s="439"/>
      <c r="F622" s="440"/>
      <c r="G622" s="441"/>
      <c r="H622" s="440"/>
      <c r="I622" s="442"/>
      <c r="J622" s="437" t="str">
        <f>IFERROR(IF(J620="","",(R620/J620)-1),0)</f>
        <v/>
      </c>
      <c r="K622" s="1"/>
      <c r="L622" s="444" t="str">
        <f ca="1">IFERROR(L620/F620-1,"")</f>
        <v/>
      </c>
      <c r="M622" s="440"/>
      <c r="N622" s="441"/>
      <c r="O622" s="440"/>
      <c r="P622" s="445"/>
      <c r="Q622" s="445"/>
      <c r="R622" s="453" t="str">
        <f>IFERROR(IF(J620="","",(R620/J620)-1),0)</f>
        <v/>
      </c>
      <c r="T622" s="444" t="str">
        <f ca="1">IFERROR(T620/F620-1,"")</f>
        <v/>
      </c>
      <c r="U622" s="440"/>
      <c r="V622" s="441"/>
      <c r="W622" s="440"/>
      <c r="X622" s="445"/>
      <c r="Y622" s="445"/>
      <c r="Z622" s="446" t="str">
        <f>IFERROR(IF(R620="","",(Z620/R620)-1),0)</f>
        <v/>
      </c>
    </row>
    <row r="623" spans="4:26" ht="18" customHeight="1">
      <c r="D623" s="181" t="s">
        <v>246</v>
      </c>
      <c r="E623" s="182"/>
      <c r="F623" s="182"/>
      <c r="G623" s="182"/>
      <c r="H623" s="182"/>
      <c r="I623" s="182"/>
      <c r="J623" s="183"/>
      <c r="K623"/>
      <c r="L623" s="184"/>
      <c r="M623" s="182"/>
      <c r="N623" s="182"/>
      <c r="O623" s="182"/>
      <c r="P623" s="182"/>
      <c r="Q623" s="182"/>
      <c r="R623" s="183"/>
      <c r="T623" s="184"/>
      <c r="U623" s="182"/>
      <c r="V623" s="182"/>
      <c r="W623" s="182"/>
      <c r="X623" s="182"/>
      <c r="Y623" s="182"/>
      <c r="Z623" s="183"/>
    </row>
    <row r="624" spans="4:26" ht="18" customHeight="1" hidden="1">
      <c r="D624" s="185" t="s">
        <v>247</v>
      </c>
      <c r="E624" s="186"/>
      <c r="F624" s="186"/>
      <c r="G624" s="186"/>
      <c r="H624" s="186"/>
      <c r="I624" s="186"/>
      <c r="J624" s="187"/>
      <c r="K624"/>
      <c r="L624" s="188"/>
      <c r="M624" s="186"/>
      <c r="N624" s="186"/>
      <c r="O624" s="186"/>
      <c r="P624" s="186"/>
      <c r="Q624" s="186"/>
      <c r="R624" s="187"/>
      <c r="T624" s="188"/>
      <c r="U624" s="186"/>
      <c r="V624" s="186"/>
      <c r="W624" s="186"/>
      <c r="X624" s="186"/>
      <c r="Y624" s="186"/>
      <c r="Z624" s="187"/>
    </row>
    <row r="625" spans="4:26" ht="18" customHeight="1" hidden="1">
      <c r="D625" s="189" t="s">
        <v>248</v>
      </c>
      <c r="E625" s="190" t="str">
        <f>D614&amp;"_"&amp;D12</f>
        <v>NEW PLAN_MANAGERS</v>
      </c>
      <c r="F625" s="191"/>
      <c r="G625" s="191"/>
      <c r="H625" s="191"/>
      <c r="I625" s="190"/>
      <c r="J625" s="192"/>
      <c r="K625"/>
      <c r="L625" s="193" t="str">
        <f>L614&amp;"_"&amp;D12</f>
        <v>SELECT PLAN_MANAGERS</v>
      </c>
      <c r="M625" s="191"/>
      <c r="N625" s="191"/>
      <c r="O625" s="191"/>
      <c r="P625" s="190"/>
      <c r="Q625" s="191"/>
      <c r="R625" s="192"/>
      <c r="T625" s="193" t="str">
        <f>T614&amp;"_"&amp;D12</f>
        <v>SELECT PLAN_MANAGERS</v>
      </c>
      <c r="U625" s="191"/>
      <c r="V625" s="191"/>
      <c r="W625" s="191"/>
      <c r="X625" s="190"/>
      <c r="Y625" s="191"/>
      <c r="Z625" s="192"/>
    </row>
    <row r="626" spans="4:26" ht="18" customHeight="1" hidden="1">
      <c r="D626" s="189" t="s">
        <v>249</v>
      </c>
      <c r="E626" s="191"/>
      <c r="F626" s="191"/>
      <c r="G626" s="191"/>
      <c r="H626" s="191"/>
      <c r="I626" s="191"/>
      <c r="J626" s="192"/>
      <c r="K626"/>
      <c r="L626" s="189"/>
      <c r="M626" s="191"/>
      <c r="N626" s="191"/>
      <c r="O626" s="191"/>
      <c r="P626" s="191"/>
      <c r="Q626" s="191"/>
      <c r="R626" s="192"/>
      <c r="T626" s="189"/>
      <c r="U626" s="191"/>
      <c r="V626" s="191"/>
      <c r="W626" s="191"/>
      <c r="X626" s="191"/>
      <c r="Y626" s="191"/>
      <c r="Z626" s="192"/>
    </row>
    <row r="627" spans="4:26" ht="32.25" customHeight="1" hidden="1">
      <c r="D627" s="194" t="s">
        <v>250</v>
      </c>
      <c r="E627" s="195"/>
      <c r="F627" s="195"/>
      <c r="G627" s="195"/>
      <c r="H627" s="195"/>
      <c r="I627" s="195"/>
      <c r="J627" s="196"/>
      <c r="K627"/>
      <c r="L627" s="197"/>
      <c r="M627" s="195"/>
      <c r="N627" s="195"/>
      <c r="O627" s="195"/>
      <c r="P627" s="195"/>
      <c r="Q627" s="195"/>
      <c r="R627" s="196"/>
      <c r="T627" s="197"/>
      <c r="U627" s="195"/>
      <c r="V627" s="195"/>
      <c r="W627" s="195"/>
      <c r="X627" s="195"/>
      <c r="Y627" s="195"/>
      <c r="Z627" s="196"/>
    </row>
    <row r="628" spans="4:26" ht="18" customHeight="1" hidden="1">
      <c r="D628" s="198" t="s">
        <v>251</v>
      </c>
      <c r="E628" s="199" t="str">
        <f>_xlfn.XLOOKUP(E625,CurrentPlans!B:B,CurrentPlans!X:X,"NA",0,1)</f>
        <v>NA</v>
      </c>
      <c r="F628" s="200"/>
      <c r="G628" s="200"/>
      <c r="H628" s="200"/>
      <c r="I628" s="199"/>
      <c r="J628" s="201"/>
      <c r="K628"/>
      <c r="L628" s="202" t="str">
        <f>_xlfn.XLOOKUP(L625,RenewalPlans!B:B,RenewalPlans!AA:AA,"NA",0,1)</f>
        <v>NA</v>
      </c>
      <c r="M628" s="200"/>
      <c r="N628" s="200"/>
      <c r="O628" s="200"/>
      <c r="P628" s="199"/>
      <c r="Q628" s="200"/>
      <c r="R628" s="201"/>
      <c r="T628" s="202" t="str">
        <f>_xlfn.XLOOKUP(T625,RenewalPlans!B:B,RenewalPlans!AA:AA,"NA",0,1)</f>
        <v>NA</v>
      </c>
      <c r="U628" s="200"/>
      <c r="V628" s="200"/>
      <c r="W628" s="200"/>
      <c r="X628" s="199"/>
      <c r="Y628" s="200"/>
      <c r="Z628" s="201"/>
    </row>
    <row r="629" spans="4:26" ht="18" customHeight="1" hidden="1">
      <c r="D629" s="198" t="s">
        <v>252</v>
      </c>
      <c r="E629" s="199" t="str">
        <f>_xlfn.XLOOKUP(E625,CurrentPlans!B:B,CurrentPlans!Y:Y,"NA",0,1)</f>
        <v>NA</v>
      </c>
      <c r="F629" s="200"/>
      <c r="G629" s="200"/>
      <c r="H629" s="200"/>
      <c r="I629" s="199"/>
      <c r="J629" s="201"/>
      <c r="K629"/>
      <c r="L629" s="202" t="str">
        <f>_xlfn.XLOOKUP(L625,RenewalPlans!B:B,RenewalPlans!AB:AB,"NA",0,1)</f>
        <v>NA</v>
      </c>
      <c r="M629" s="200"/>
      <c r="N629" s="200"/>
      <c r="O629" s="200"/>
      <c r="P629" s="199"/>
      <c r="Q629" s="200"/>
      <c r="R629" s="201"/>
      <c r="T629" s="202" t="str">
        <f>_xlfn.XLOOKUP(T625,RenewalPlans!B:B,RenewalPlans!AB:AB,"NA",0,1)</f>
        <v>NA</v>
      </c>
      <c r="U629" s="200"/>
      <c r="V629" s="200"/>
      <c r="W629" s="200"/>
      <c r="X629" s="199"/>
      <c r="Y629" s="200"/>
      <c r="Z629" s="201"/>
    </row>
    <row r="630" spans="4:26" ht="18" customHeight="1" hidden="1">
      <c r="D630" s="120" t="s">
        <v>253</v>
      </c>
      <c r="E630" s="121" t="str">
        <f>_xlfn.XLOOKUP(E625,CurrentPlans!B:B,CurrentPlans!W:W,"NA",0,1)</f>
        <v>NA</v>
      </c>
      <c r="F630" s="122"/>
      <c r="G630" s="122"/>
      <c r="H630" s="122"/>
      <c r="I630" s="121"/>
      <c r="J630" s="123"/>
      <c r="K630"/>
      <c r="L630" s="124" t="str">
        <f>_xlfn.XLOOKUP(L625,RenewalPlans!B:B,RenewalPlans!Z:Z,"NA",0,1)</f>
        <v>NA</v>
      </c>
      <c r="M630" s="122"/>
      <c r="N630" s="122"/>
      <c r="O630" s="122"/>
      <c r="P630" s="121"/>
      <c r="Q630" s="122"/>
      <c r="R630" s="123"/>
      <c r="T630" s="124" t="str">
        <f>_xlfn.XLOOKUP(T625,RenewalPlans!B:B,RenewalPlans!Z:Z,"NA",0,1)</f>
        <v>NA</v>
      </c>
      <c r="U630" s="122"/>
      <c r="V630" s="122"/>
      <c r="W630" s="122"/>
      <c r="X630" s="121"/>
      <c r="Y630" s="122"/>
      <c r="Z630" s="123"/>
    </row>
    <row r="631" spans="4:26" ht="18" customHeight="1" hidden="1">
      <c r="D631" s="203" t="s">
        <v>254</v>
      </c>
      <c r="E631" s="204"/>
      <c r="F631" s="205"/>
      <c r="G631" s="205"/>
      <c r="H631" s="205"/>
      <c r="I631" s="204"/>
      <c r="J631" s="206"/>
      <c r="K631"/>
      <c r="L631" s="207"/>
      <c r="M631" s="205"/>
      <c r="N631" s="205"/>
      <c r="O631" s="205"/>
      <c r="P631" s="204"/>
      <c r="Q631" s="205"/>
      <c r="R631" s="206"/>
      <c r="T631" s="207"/>
      <c r="U631" s="205"/>
      <c r="V631" s="205"/>
      <c r="W631" s="205"/>
      <c r="X631" s="204"/>
      <c r="Y631" s="205"/>
      <c r="Z631" s="206"/>
    </row>
    <row r="632" spans="4:26" ht="18" customHeight="1" hidden="1">
      <c r="D632" s="125" t="s">
        <v>255</v>
      </c>
      <c r="E632" s="126" t="str">
        <f>_xlfn.XLOOKUP(E625,CurrentPlans!B:B,CurrentPlans!Z:Z,"NA",0,1)</f>
        <v>NA</v>
      </c>
      <c r="F632" s="127"/>
      <c r="G632" s="127"/>
      <c r="H632" s="127"/>
      <c r="I632" s="126"/>
      <c r="J632" s="128"/>
      <c r="K632"/>
      <c r="L632" s="129" t="str">
        <f>_xlfn.XLOOKUP(L625,RenewalPlans!B:B,RenewalPlans!AC:AC,"NA",0,1)</f>
        <v>NA</v>
      </c>
      <c r="M632" s="127"/>
      <c r="N632" s="127"/>
      <c r="O632" s="127"/>
      <c r="P632" s="126"/>
      <c r="Q632" s="127"/>
      <c r="R632" s="128"/>
      <c r="T632" s="129" t="str">
        <f>_xlfn.XLOOKUP(T625,RenewalPlans!B:B,RenewalPlans!AC:AC,"NA",0,1)</f>
        <v>NA</v>
      </c>
      <c r="U632" s="127"/>
      <c r="V632" s="127"/>
      <c r="W632" s="127"/>
      <c r="X632" s="126"/>
      <c r="Y632" s="127"/>
      <c r="Z632" s="128"/>
    </row>
    <row r="633" spans="4:26" ht="18" customHeight="1" hidden="1">
      <c r="D633" s="198" t="s">
        <v>256</v>
      </c>
      <c r="E633" s="208" t="str">
        <f>_xlfn.XLOOKUP(E625,CurrentPlans!B:B,CurrentPlans!AA:AA,"NA",0,1)</f>
        <v>NA</v>
      </c>
      <c r="F633" s="200"/>
      <c r="G633" s="200"/>
      <c r="H633" s="200"/>
      <c r="I633" s="208"/>
      <c r="J633" s="201"/>
      <c r="K633"/>
      <c r="L633" s="209" t="str">
        <f>_xlfn.XLOOKUP(L625,RenewalPlans!B:B,RenewalPlans!AD:AD,"NA",0,1)</f>
        <v>NA</v>
      </c>
      <c r="M633" s="200"/>
      <c r="N633" s="200"/>
      <c r="O633" s="200"/>
      <c r="P633" s="208"/>
      <c r="Q633" s="200"/>
      <c r="R633" s="201"/>
      <c r="T633" s="209" t="str">
        <f>_xlfn.XLOOKUP(T625,RenewalPlans!B:B,RenewalPlans!AD:AD,"NA",0,1)</f>
        <v>NA</v>
      </c>
      <c r="U633" s="200"/>
      <c r="V633" s="200"/>
      <c r="W633" s="200"/>
      <c r="X633" s="208"/>
      <c r="Y633" s="200"/>
      <c r="Z633" s="201"/>
    </row>
    <row r="634" spans="4:26" ht="18" customHeight="1" hidden="1">
      <c r="D634" s="203" t="s">
        <v>257</v>
      </c>
      <c r="E634" s="204"/>
      <c r="F634" s="205"/>
      <c r="G634" s="205"/>
      <c r="H634" s="205"/>
      <c r="I634" s="204"/>
      <c r="J634" s="206"/>
      <c r="K634"/>
      <c r="L634" s="207"/>
      <c r="M634" s="205"/>
      <c r="N634" s="205"/>
      <c r="O634" s="205"/>
      <c r="P634" s="204"/>
      <c r="Q634" s="205"/>
      <c r="R634" s="206"/>
      <c r="T634" s="207"/>
      <c r="U634" s="205"/>
      <c r="V634" s="205"/>
      <c r="W634" s="205"/>
      <c r="X634" s="204"/>
      <c r="Y634" s="205"/>
      <c r="Z634" s="206"/>
    </row>
    <row r="635" spans="4:26" ht="18" customHeight="1" hidden="1">
      <c r="D635" s="198" t="s">
        <v>258</v>
      </c>
      <c r="E635" s="208" t="str">
        <f>_xlfn.XLOOKUP(E625,CurrentPlans!B:B,CurrentPlans!AB:AB,"NA",0,1)</f>
        <v>NA</v>
      </c>
      <c r="F635" s="200"/>
      <c r="G635" s="200"/>
      <c r="H635" s="200"/>
      <c r="I635" s="208"/>
      <c r="J635" s="201"/>
      <c r="K635"/>
      <c r="L635" s="209" t="str">
        <f>_xlfn.XLOOKUP(L625,RenewalPlans!B:B,RenewalPlans!AE:AE,"NA",0,1)</f>
        <v>NA</v>
      </c>
      <c r="M635" s="200"/>
      <c r="N635" s="200"/>
      <c r="O635" s="200"/>
      <c r="P635" s="208"/>
      <c r="Q635" s="200"/>
      <c r="R635" s="201"/>
      <c r="T635" s="209" t="str">
        <f>_xlfn.XLOOKUP(T625,RenewalPlans!B:B,RenewalPlans!AE:AE,"NA",0,1)</f>
        <v>NA</v>
      </c>
      <c r="U635" s="200"/>
      <c r="V635" s="200"/>
      <c r="W635" s="200"/>
      <c r="X635" s="208"/>
      <c r="Y635" s="200"/>
      <c r="Z635" s="201"/>
    </row>
    <row r="636" spans="4:26" ht="18" customHeight="1" hidden="1">
      <c r="D636" s="198" t="s">
        <v>259</v>
      </c>
      <c r="E636" s="208" t="str">
        <f>_xlfn.XLOOKUP(E625,CurrentPlans!B:B,CurrentPlans!AC:AC,"NA",0,1)</f>
        <v>NA</v>
      </c>
      <c r="F636" s="200"/>
      <c r="G636" s="200"/>
      <c r="H636" s="200"/>
      <c r="I636" s="208"/>
      <c r="J636" s="201"/>
      <c r="K636"/>
      <c r="L636" s="209" t="str">
        <f>_xlfn.XLOOKUP(L625,RenewalPlans!B:B,RenewalPlans!AF:AF,"NA",0,1)</f>
        <v>NA</v>
      </c>
      <c r="M636" s="200"/>
      <c r="N636" s="200"/>
      <c r="O636" s="200"/>
      <c r="P636" s="208"/>
      <c r="Q636" s="200"/>
      <c r="R636" s="201"/>
      <c r="T636" s="209" t="str">
        <f>_xlfn.XLOOKUP(T625,RenewalPlans!B:B,RenewalPlans!AF:AF,"NA",0,1)</f>
        <v>NA</v>
      </c>
      <c r="U636" s="200"/>
      <c r="V636" s="200"/>
      <c r="W636" s="200"/>
      <c r="X636" s="208"/>
      <c r="Y636" s="200"/>
      <c r="Z636" s="201"/>
    </row>
    <row r="637" spans="4:26" ht="18" customHeight="1" hidden="1">
      <c r="D637" s="210"/>
      <c r="E637" s="211"/>
      <c r="F637" s="211"/>
      <c r="G637" s="211"/>
      <c r="H637" s="211"/>
      <c r="I637" s="211"/>
      <c r="J637" s="212"/>
      <c r="K637"/>
      <c r="L637" s="210"/>
      <c r="M637" s="211"/>
      <c r="N637" s="211"/>
      <c r="O637" s="211"/>
      <c r="P637" s="211"/>
      <c r="Q637" s="211"/>
      <c r="R637" s="212"/>
      <c r="T637" s="210"/>
      <c r="U637" s="211"/>
      <c r="V637" s="211"/>
      <c r="W637" s="211"/>
      <c r="X637" s="211"/>
      <c r="Y637" s="211"/>
      <c r="Z637" s="212"/>
    </row>
    <row r="638" spans="4:26" ht="18" customHeight="1" hidden="1">
      <c r="D638" s="185" t="s">
        <v>260</v>
      </c>
      <c r="E638" s="186"/>
      <c r="F638" s="186"/>
      <c r="G638" s="186"/>
      <c r="H638" s="186"/>
      <c r="I638" s="186"/>
      <c r="J638" s="187"/>
      <c r="K638"/>
      <c r="L638" s="188"/>
      <c r="M638" s="186"/>
      <c r="N638" s="186"/>
      <c r="O638" s="186"/>
      <c r="P638" s="186"/>
      <c r="Q638" s="186"/>
      <c r="R638" s="187"/>
      <c r="T638" s="188"/>
      <c r="U638" s="186"/>
      <c r="V638" s="186"/>
      <c r="W638" s="186"/>
      <c r="X638" s="186"/>
      <c r="Y638" s="186"/>
      <c r="Z638" s="187"/>
    </row>
    <row r="639" spans="4:26" ht="18" customHeight="1" hidden="1">
      <c r="D639" s="213" t="s">
        <v>261</v>
      </c>
      <c r="E639" s="130" t="str">
        <f>_xlfn.XLOOKUP(E625,CurrentPlans!B:B,CurrentPlans!AJ:AJ,"NA",0,1)</f>
        <v>NA</v>
      </c>
      <c r="F639" s="214"/>
      <c r="G639" s="214"/>
      <c r="H639" s="214"/>
      <c r="I639" s="130"/>
      <c r="J639" s="215"/>
      <c r="K639"/>
      <c r="L639" s="131" t="str">
        <f>_xlfn.XLOOKUP(L625,RenewalPlans!B:B,RenewalPlans!AM:AM,"NA",0,1)</f>
        <v>NA</v>
      </c>
      <c r="M639" s="214"/>
      <c r="N639" s="214"/>
      <c r="O639" s="214"/>
      <c r="P639" s="130"/>
      <c r="Q639" s="214"/>
      <c r="R639" s="215"/>
      <c r="T639" s="131" t="str">
        <f>_xlfn.XLOOKUP(T625,RenewalPlans!B:B,RenewalPlans!AM:AM,"NA",0,1)</f>
        <v>NA</v>
      </c>
      <c r="U639" s="214"/>
      <c r="V639" s="214"/>
      <c r="W639" s="214"/>
      <c r="X639" s="130"/>
      <c r="Y639" s="214"/>
      <c r="Z639" s="215"/>
    </row>
    <row r="640" spans="4:26" ht="18" customHeight="1" hidden="1">
      <c r="D640" s="198" t="s">
        <v>262</v>
      </c>
      <c r="E640" s="130" t="str">
        <f>_xlfn.XLOOKUP(E625,CurrentPlans!B:B,CurrentPlans!AM:AM,"NA",0,1)</f>
        <v>NA</v>
      </c>
      <c r="F640" s="200"/>
      <c r="G640" s="200"/>
      <c r="H640" s="200"/>
      <c r="I640" s="130"/>
      <c r="J640" s="201"/>
      <c r="K640"/>
      <c r="L640" s="131" t="str">
        <f>_xlfn.XLOOKUP(L625,RenewalPlans!B:B,RenewalPlans!AP:AP,"NA",0,1)</f>
        <v>NA</v>
      </c>
      <c r="M640" s="200"/>
      <c r="N640" s="200"/>
      <c r="O640" s="200"/>
      <c r="P640" s="130"/>
      <c r="Q640" s="200"/>
      <c r="R640" s="201"/>
      <c r="T640" s="131" t="str">
        <f>_xlfn.XLOOKUP(T625,RenewalPlans!B:B,RenewalPlans!AP:AP,"NA",0,1)</f>
        <v>NA</v>
      </c>
      <c r="U640" s="200"/>
      <c r="V640" s="200"/>
      <c r="W640" s="200"/>
      <c r="X640" s="130"/>
      <c r="Y640" s="200"/>
      <c r="Z640" s="201"/>
    </row>
    <row r="641" spans="4:26" ht="18" customHeight="1" hidden="1">
      <c r="D641" s="198" t="s">
        <v>263</v>
      </c>
      <c r="E641" s="130" t="str">
        <f>_xlfn.XLOOKUP(E625,CurrentPlans!B:B,CurrentPlans!AI:AI,"NA",0,1)</f>
        <v>NA</v>
      </c>
      <c r="F641" s="200"/>
      <c r="G641" s="200"/>
      <c r="H641" s="200"/>
      <c r="I641" s="130"/>
      <c r="J641" s="201"/>
      <c r="K641"/>
      <c r="L641" s="131" t="str">
        <f>_xlfn.XLOOKUP(L625,RenewalPlans!B:B,RenewalPlans!AL:AL,"NA",0,1)</f>
        <v>NA</v>
      </c>
      <c r="M641" s="200"/>
      <c r="N641" s="200"/>
      <c r="O641" s="200"/>
      <c r="P641" s="130"/>
      <c r="Q641" s="200"/>
      <c r="R641" s="201"/>
      <c r="T641" s="131" t="str">
        <f>_xlfn.XLOOKUP(T625,RenewalPlans!B:B,RenewalPlans!AL:AL,"NA",0,1)</f>
        <v>NA</v>
      </c>
      <c r="U641" s="200"/>
      <c r="V641" s="200"/>
      <c r="W641" s="200"/>
      <c r="X641" s="130"/>
      <c r="Y641" s="200"/>
      <c r="Z641" s="201"/>
    </row>
    <row r="642" spans="4:26" ht="18" customHeight="1" hidden="1">
      <c r="D642" s="198" t="s">
        <v>264</v>
      </c>
      <c r="E642" s="208" t="str">
        <f>_xlfn.XLOOKUP(E625,CurrentPlans!B:B,CurrentPlans!AN:AN,"NA",0,1)</f>
        <v>NA</v>
      </c>
      <c r="F642" s="200"/>
      <c r="G642" s="200"/>
      <c r="H642" s="200"/>
      <c r="I642" s="208"/>
      <c r="J642" s="201"/>
      <c r="K642"/>
      <c r="L642" s="209" t="str">
        <f>_xlfn.XLOOKUP(L625,RenewalPlans!B:B,RenewalPlans!AQ:AQ,"NA",0,1)</f>
        <v>NA</v>
      </c>
      <c r="M642" s="200"/>
      <c r="N642" s="200"/>
      <c r="O642" s="200"/>
      <c r="P642" s="208"/>
      <c r="Q642" s="200"/>
      <c r="R642" s="201"/>
      <c r="T642" s="209" t="str">
        <f>_xlfn.XLOOKUP(T625,RenewalPlans!B:B,RenewalPlans!AQ:AQ,"NA",0,1)</f>
        <v>NA</v>
      </c>
      <c r="U642" s="200"/>
      <c r="V642" s="200"/>
      <c r="W642" s="200"/>
      <c r="X642" s="208"/>
      <c r="Y642" s="200"/>
      <c r="Z642" s="201"/>
    </row>
    <row r="643" spans="4:26" ht="18" customHeight="1" hidden="1">
      <c r="D643" s="210"/>
      <c r="E643" s="211"/>
      <c r="F643" s="211"/>
      <c r="G643" s="211"/>
      <c r="H643" s="211"/>
      <c r="I643" s="211"/>
      <c r="J643" s="212"/>
      <c r="K643"/>
      <c r="L643" s="210"/>
      <c r="M643" s="211"/>
      <c r="N643" s="211"/>
      <c r="O643" s="211"/>
      <c r="P643" s="211"/>
      <c r="Q643" s="211"/>
      <c r="R643" s="212"/>
      <c r="T643" s="210"/>
      <c r="U643" s="211"/>
      <c r="V643" s="211"/>
      <c r="W643" s="211"/>
      <c r="X643" s="211"/>
      <c r="Y643" s="211"/>
      <c r="Z643" s="212"/>
    </row>
    <row r="644" spans="4:26" ht="18" customHeight="1" hidden="1">
      <c r="D644" s="185" t="s">
        <v>265</v>
      </c>
      <c r="E644" s="186"/>
      <c r="F644" s="186"/>
      <c r="G644" s="186"/>
      <c r="H644" s="186"/>
      <c r="I644" s="186"/>
      <c r="J644" s="187"/>
      <c r="K644"/>
      <c r="L644" s="188"/>
      <c r="M644" s="186"/>
      <c r="N644" s="186"/>
      <c r="O644" s="186"/>
      <c r="P644" s="186"/>
      <c r="Q644" s="186"/>
      <c r="R644" s="187"/>
      <c r="T644" s="188"/>
      <c r="U644" s="186"/>
      <c r="V644" s="186"/>
      <c r="W644" s="186"/>
      <c r="X644" s="186"/>
      <c r="Y644" s="186"/>
      <c r="Z644" s="187"/>
    </row>
    <row r="645" spans="4:26" ht="18" customHeight="1" hidden="1">
      <c r="D645" s="132" t="s">
        <v>266</v>
      </c>
      <c r="E645" s="133" t="str">
        <f>_xlfn.XLOOKUP(E625,CurrentPlans!B:B,CurrentPlans!AE:AE,"NA",0,1)</f>
        <v>NA</v>
      </c>
      <c r="F645" s="134"/>
      <c r="G645" s="134"/>
      <c r="H645" s="134"/>
      <c r="I645" s="133"/>
      <c r="J645" s="135"/>
      <c r="K645"/>
      <c r="L645" s="136" t="str">
        <f>_xlfn.XLOOKUP(L625,RenewalPlans!B:B,RenewalPlans!AH:AH,"NA",0,1)</f>
        <v>NA</v>
      </c>
      <c r="M645" s="134"/>
      <c r="N645" s="134"/>
      <c r="O645" s="134"/>
      <c r="P645" s="133"/>
      <c r="Q645" s="134"/>
      <c r="R645" s="135"/>
      <c r="T645" s="136" t="str">
        <f>_xlfn.XLOOKUP(T625,RenewalPlans!B:B,RenewalPlans!AH:AH,"NA",0,1)</f>
        <v>NA</v>
      </c>
      <c r="U645" s="134"/>
      <c r="V645" s="134"/>
      <c r="W645" s="134"/>
      <c r="X645" s="133"/>
      <c r="Y645" s="134"/>
      <c r="Z645" s="135"/>
    </row>
    <row r="646" spans="4:26" ht="18" customHeight="1" hidden="1">
      <c r="D646" s="120" t="s">
        <v>267</v>
      </c>
      <c r="E646" s="130" t="str">
        <f>_xlfn.XLOOKUP(E625,CurrentPlans!B:B,CurrentPlans!AF:AF,"NA",0,1)</f>
        <v>NA</v>
      </c>
      <c r="F646" s="122"/>
      <c r="G646" s="122"/>
      <c r="H646" s="122"/>
      <c r="I646" s="130"/>
      <c r="J646" s="123"/>
      <c r="K646"/>
      <c r="L646" s="131" t="str">
        <f>_xlfn.XLOOKUP(L625,RenewalPlans!B:B,RenewalPlans!AI:AI,"NA",0,1)</f>
        <v>NA</v>
      </c>
      <c r="M646" s="122"/>
      <c r="N646" s="122"/>
      <c r="O646" s="122"/>
      <c r="P646" s="130"/>
      <c r="Q646" s="122"/>
      <c r="R646" s="123"/>
      <c r="T646" s="131" t="str">
        <f>_xlfn.XLOOKUP(T625,RenewalPlans!B:B,RenewalPlans!AI:AI,"NA",0,1)</f>
        <v>NA</v>
      </c>
      <c r="U646" s="122"/>
      <c r="V646" s="122"/>
      <c r="W646" s="122"/>
      <c r="X646" s="130"/>
      <c r="Y646" s="122"/>
      <c r="Z646" s="123"/>
    </row>
    <row r="647" spans="4:26" ht="18" customHeight="1" hidden="1">
      <c r="D647" s="198" t="s">
        <v>268</v>
      </c>
      <c r="E647" s="130" t="str">
        <f>_xlfn.XLOOKUP(E625,CurrentPlans!B:B,CurrentPlans!AH:AH,"NA",0,1)</f>
        <v>NA</v>
      </c>
      <c r="F647" s="200"/>
      <c r="G647" s="200"/>
      <c r="H647" s="200"/>
      <c r="I647" s="130"/>
      <c r="J647" s="201"/>
      <c r="K647"/>
      <c r="L647" s="131" t="str">
        <f>_xlfn.XLOOKUP(L625,RenewalPlans!B:B,RenewalPlans!AK:AK,"NA",0,1)</f>
        <v>NA</v>
      </c>
      <c r="M647" s="200"/>
      <c r="N647" s="200"/>
      <c r="O647" s="200"/>
      <c r="P647" s="130"/>
      <c r="Q647" s="200"/>
      <c r="R647" s="201"/>
      <c r="T647" s="131" t="str">
        <f>_xlfn.XLOOKUP(T625,RenewalPlans!B:B,RenewalPlans!AK:AK,"NA",0,1)</f>
        <v>NA</v>
      </c>
      <c r="U647" s="200"/>
      <c r="V647" s="200"/>
      <c r="W647" s="200"/>
      <c r="X647" s="130"/>
      <c r="Y647" s="200"/>
      <c r="Z647" s="201"/>
    </row>
    <row r="648" spans="4:26" ht="18" customHeight="1" hidden="1">
      <c r="D648" s="198" t="s">
        <v>269</v>
      </c>
      <c r="E648" s="130" t="str">
        <f>_xlfn.XLOOKUP(E625,CurrentPlans!B:B,CurrentPlans!AG:AG,"NA",0,1)</f>
        <v>NA</v>
      </c>
      <c r="F648" s="200"/>
      <c r="G648" s="200"/>
      <c r="H648" s="200"/>
      <c r="I648" s="130"/>
      <c r="J648" s="201"/>
      <c r="K648"/>
      <c r="L648" s="131" t="str">
        <f>_xlfn.XLOOKUP(L625,RenewalPlans!B:B,RenewalPlans!AJ:AJ,"NA",0,1)</f>
        <v>NA</v>
      </c>
      <c r="M648" s="200"/>
      <c r="N648" s="200"/>
      <c r="O648" s="200"/>
      <c r="P648" s="130"/>
      <c r="Q648" s="200"/>
      <c r="R648" s="201"/>
      <c r="T648" s="131" t="str">
        <f>_xlfn.XLOOKUP(T625,RenewalPlans!B:B,RenewalPlans!AJ:AJ,"NA",0,1)</f>
        <v>NA</v>
      </c>
      <c r="U648" s="200"/>
      <c r="V648" s="200"/>
      <c r="W648" s="200"/>
      <c r="X648" s="130"/>
      <c r="Y648" s="200"/>
      <c r="Z648" s="201"/>
    </row>
    <row r="649" spans="4:26" ht="18" customHeight="1" hidden="1">
      <c r="D649" s="213" t="s">
        <v>270</v>
      </c>
      <c r="E649" s="216" t="str">
        <f>_xlfn.XLOOKUP(E625,CurrentPlans!B:B,CurrentPlans!AU:AU,"NA",0,1)</f>
        <v>NA</v>
      </c>
      <c r="F649" s="214"/>
      <c r="G649" s="214"/>
      <c r="H649" s="214"/>
      <c r="I649" s="217"/>
      <c r="J649" s="215"/>
      <c r="K649"/>
      <c r="L649" s="218" t="str">
        <f>_xlfn.XLOOKUP(L625,RenewalPlans!B:B,RenewalPlans!AX:AX,"NA",0,1)</f>
        <v>NA</v>
      </c>
      <c r="M649" s="214"/>
      <c r="N649" s="214"/>
      <c r="O649" s="214"/>
      <c r="P649" s="217"/>
      <c r="Q649" s="214"/>
      <c r="R649" s="215"/>
      <c r="T649" s="218" t="str">
        <f>_xlfn.XLOOKUP(T625,RenewalPlans!B:B,RenewalPlans!AX:AX,"NA",0,1)</f>
        <v>NA</v>
      </c>
      <c r="U649" s="214"/>
      <c r="V649" s="214"/>
      <c r="W649" s="214"/>
      <c r="X649" s="217"/>
      <c r="Y649" s="214"/>
      <c r="Z649" s="215"/>
    </row>
    <row r="650" spans="4:26" ht="18" customHeight="1" hidden="1">
      <c r="D650" s="213" t="s">
        <v>271</v>
      </c>
      <c r="E650" s="216" t="str">
        <f>_xlfn.XLOOKUP(E625,CurrentPlans!B:B,CurrentPlans!AT:AT,"NA",0,1)</f>
        <v>NA</v>
      </c>
      <c r="F650" s="214"/>
      <c r="G650" s="214"/>
      <c r="H650" s="214"/>
      <c r="I650" s="217"/>
      <c r="J650" s="215"/>
      <c r="K650"/>
      <c r="L650" s="218" t="str">
        <f>_xlfn.XLOOKUP(L625,RenewalPlans!B:B,RenewalPlans!AW:AW,"NA",0,1)</f>
        <v>NA</v>
      </c>
      <c r="M650" s="214"/>
      <c r="N650" s="214"/>
      <c r="O650" s="214"/>
      <c r="P650" s="217"/>
      <c r="Q650" s="214"/>
      <c r="R650" s="215"/>
      <c r="T650" s="218" t="str">
        <f>_xlfn.XLOOKUP(T625,RenewalPlans!B:B,RenewalPlans!AW:AW,"NA",0,1)</f>
        <v>NA</v>
      </c>
      <c r="U650" s="214"/>
      <c r="V650" s="214"/>
      <c r="W650" s="214"/>
      <c r="X650" s="217"/>
      <c r="Y650" s="214"/>
      <c r="Z650" s="215"/>
    </row>
    <row r="651" spans="4:26" ht="18" customHeight="1" hidden="1">
      <c r="D651" s="198" t="s">
        <v>272</v>
      </c>
      <c r="E651" s="130" t="str">
        <f>_xlfn.XLOOKUP(E625,CurrentPlans!B:B,CurrentPlans!AD:AD,"NA",0,1)</f>
        <v>NA</v>
      </c>
      <c r="F651" s="200"/>
      <c r="G651" s="200"/>
      <c r="H651" s="200"/>
      <c r="I651" s="130"/>
      <c r="J651" s="201"/>
      <c r="K651"/>
      <c r="L651" s="131" t="str">
        <f>_xlfn.XLOOKUP(L625,RenewalPlans!B:B,RenewalPlans!AG:AG,"NA",0,1)</f>
        <v>NA</v>
      </c>
      <c r="M651" s="200"/>
      <c r="N651" s="200"/>
      <c r="O651" s="200"/>
      <c r="P651" s="130"/>
      <c r="Q651" s="200"/>
      <c r="R651" s="201"/>
      <c r="T651" s="131" t="str">
        <f>_xlfn.XLOOKUP(T625,RenewalPlans!B:B,RenewalPlans!AG:AG,"NA",0,1)</f>
        <v>NA</v>
      </c>
      <c r="U651" s="200"/>
      <c r="V651" s="200"/>
      <c r="W651" s="200"/>
      <c r="X651" s="130"/>
      <c r="Y651" s="200"/>
      <c r="Z651" s="201"/>
    </row>
    <row r="652" spans="4:26" ht="18" customHeight="1" hidden="1">
      <c r="D652" s="198" t="s">
        <v>273</v>
      </c>
      <c r="E652" s="200"/>
      <c r="F652" s="200"/>
      <c r="G652" s="200"/>
      <c r="H652" s="200"/>
      <c r="I652" s="200"/>
      <c r="J652" s="201"/>
      <c r="K652"/>
      <c r="L652" s="198"/>
      <c r="M652" s="200"/>
      <c r="N652" s="200"/>
      <c r="O652" s="200"/>
      <c r="P652" s="200"/>
      <c r="Q652" s="200"/>
      <c r="R652" s="201"/>
      <c r="T652" s="198"/>
      <c r="U652" s="200"/>
      <c r="V652" s="200"/>
      <c r="W652" s="200"/>
      <c r="X652" s="200"/>
      <c r="Y652" s="200"/>
      <c r="Z652" s="201"/>
    </row>
    <row r="653" spans="4:26" ht="18" customHeight="1" hidden="1">
      <c r="D653" s="210"/>
      <c r="E653" s="211"/>
      <c r="F653" s="211"/>
      <c r="G653" s="211"/>
      <c r="H653" s="211"/>
      <c r="I653" s="211"/>
      <c r="J653" s="212"/>
      <c r="K653"/>
      <c r="L653" s="210"/>
      <c r="M653" s="211"/>
      <c r="N653" s="211"/>
      <c r="O653" s="211"/>
      <c r="P653" s="211"/>
      <c r="Q653" s="211"/>
      <c r="R653" s="212"/>
      <c r="T653" s="210"/>
      <c r="U653" s="211"/>
      <c r="V653" s="211"/>
      <c r="W653" s="211"/>
      <c r="X653" s="211"/>
      <c r="Y653" s="211"/>
      <c r="Z653" s="212"/>
    </row>
    <row r="654" spans="4:26" ht="18" customHeight="1" hidden="1">
      <c r="D654" s="219" t="s">
        <v>274</v>
      </c>
      <c r="E654" s="220"/>
      <c r="F654" s="220"/>
      <c r="G654" s="220"/>
      <c r="H654" s="220"/>
      <c r="I654" s="220"/>
      <c r="J654" s="221"/>
      <c r="K654"/>
      <c r="L654" s="222"/>
      <c r="M654" s="220"/>
      <c r="N654" s="220"/>
      <c r="O654" s="220"/>
      <c r="P654" s="220"/>
      <c r="Q654" s="220"/>
      <c r="R654" s="221"/>
      <c r="T654" s="222"/>
      <c r="U654" s="220"/>
      <c r="V654" s="220"/>
      <c r="W654" s="220"/>
      <c r="X654" s="220"/>
      <c r="Y654" s="220"/>
      <c r="Z654" s="221"/>
    </row>
    <row r="655" spans="4:26" ht="18" customHeight="1" hidden="1">
      <c r="D655" s="223" t="s">
        <v>250</v>
      </c>
      <c r="E655" s="205"/>
      <c r="F655" s="205"/>
      <c r="G655" s="205"/>
      <c r="H655" s="205"/>
      <c r="I655" s="205"/>
      <c r="J655" s="206"/>
      <c r="K655"/>
      <c r="L655" s="203"/>
      <c r="M655" s="205"/>
      <c r="N655" s="205"/>
      <c r="O655" s="205"/>
      <c r="P655" s="205"/>
      <c r="Q655" s="205"/>
      <c r="R655" s="206"/>
      <c r="T655" s="203"/>
      <c r="U655" s="205"/>
      <c r="V655" s="205"/>
      <c r="W655" s="205"/>
      <c r="X655" s="205"/>
      <c r="Y655" s="205"/>
      <c r="Z655" s="206"/>
    </row>
    <row r="656" spans="4:26" ht="18" customHeight="1" hidden="1">
      <c r="D656" s="198" t="s">
        <v>251</v>
      </c>
      <c r="E656" s="130" t="str">
        <f>_xlfn.XLOOKUP(E625,CurrentPlans!B:B,CurrentPlans!AP:AP,"NA",0,1)</f>
        <v>NA</v>
      </c>
      <c r="F656" s="200"/>
      <c r="G656" s="200"/>
      <c r="H656" s="200"/>
      <c r="I656" s="130"/>
      <c r="J656" s="201"/>
      <c r="K656"/>
      <c r="L656" s="131" t="str">
        <f>_xlfn.XLOOKUP(L625,RenewalPlans!B:B,RenewalPlans!AS:AS,"NA",0,1)</f>
        <v>NA</v>
      </c>
      <c r="M656" s="200"/>
      <c r="N656" s="200"/>
      <c r="O656" s="200"/>
      <c r="P656" s="130"/>
      <c r="Q656" s="200"/>
      <c r="R656" s="201"/>
      <c r="T656" s="131" t="str">
        <f>_xlfn.XLOOKUP(T625,RenewalPlans!B:B,RenewalPlans!AS:AS,"NA",0,1)</f>
        <v>NA</v>
      </c>
      <c r="U656" s="200"/>
      <c r="V656" s="200"/>
      <c r="W656" s="200"/>
      <c r="X656" s="130"/>
      <c r="Y656" s="200"/>
      <c r="Z656" s="201"/>
    </row>
    <row r="657" spans="4:26" ht="18" customHeight="1" hidden="1">
      <c r="D657" s="198" t="s">
        <v>252</v>
      </c>
      <c r="E657" s="130" t="str">
        <f>_xlfn.XLOOKUP(E625,CurrentPlans!B:B,CurrentPlans!AQ:AQ,"NA",0,1)</f>
        <v>NA</v>
      </c>
      <c r="F657" s="200"/>
      <c r="G657" s="200"/>
      <c r="H657" s="200"/>
      <c r="I657" s="130"/>
      <c r="J657" s="201"/>
      <c r="K657"/>
      <c r="L657" s="131" t="str">
        <f>_xlfn.XLOOKUP(L625,RenewalPlans!B:B,RenewalPlans!AT:AT,"NA",0,1)</f>
        <v>NA</v>
      </c>
      <c r="M657" s="200"/>
      <c r="N657" s="200"/>
      <c r="O657" s="200"/>
      <c r="P657" s="130"/>
      <c r="Q657" s="200"/>
      <c r="R657" s="201"/>
      <c r="T657" s="131" t="str">
        <f>_xlfn.XLOOKUP(T625,RenewalPlans!B:B,RenewalPlans!AT:AT,"NA",0,1)</f>
        <v>NA</v>
      </c>
      <c r="U657" s="200"/>
      <c r="V657" s="200"/>
      <c r="W657" s="200"/>
      <c r="X657" s="130"/>
      <c r="Y657" s="200"/>
      <c r="Z657" s="201"/>
    </row>
    <row r="658" spans="4:26" ht="18" customHeight="1" hidden="1">
      <c r="D658" s="120" t="s">
        <v>253</v>
      </c>
      <c r="E658" s="133" t="str">
        <f>_xlfn.XLOOKUP(E625,CurrentPlans!B:B,CurrentPlans!AO:AO,"NA",0,1)</f>
        <v>NA</v>
      </c>
      <c r="F658" s="122"/>
      <c r="G658" s="122"/>
      <c r="H658" s="122"/>
      <c r="I658" s="133"/>
      <c r="J658" s="123"/>
      <c r="K658"/>
      <c r="L658" s="136" t="str">
        <f>_xlfn.XLOOKUP(L625,RenewalPlans!B:B,RenewalPlans!AR:AR,"NA",0,1)</f>
        <v>NA</v>
      </c>
      <c r="M658" s="122"/>
      <c r="N658" s="122"/>
      <c r="O658" s="122"/>
      <c r="P658" s="133"/>
      <c r="Q658" s="122"/>
      <c r="R658" s="123"/>
      <c r="T658" s="136" t="str">
        <f>_xlfn.XLOOKUP(T625,RenewalPlans!B:B,RenewalPlans!AR:AR,"NA",0,1)</f>
        <v>NA</v>
      </c>
      <c r="U658" s="122"/>
      <c r="V658" s="122"/>
      <c r="W658" s="122"/>
      <c r="X658" s="133"/>
      <c r="Y658" s="122"/>
      <c r="Z658" s="123"/>
    </row>
    <row r="659" spans="4:26" ht="18" customHeight="1" hidden="1">
      <c r="D659" s="223" t="s">
        <v>254</v>
      </c>
      <c r="E659" s="205"/>
      <c r="F659" s="205"/>
      <c r="G659" s="205"/>
      <c r="H659" s="205"/>
      <c r="I659" s="205"/>
      <c r="J659" s="206"/>
      <c r="K659"/>
      <c r="L659" s="203"/>
      <c r="M659" s="205"/>
      <c r="N659" s="205"/>
      <c r="O659" s="205"/>
      <c r="P659" s="205"/>
      <c r="Q659" s="205"/>
      <c r="R659" s="206"/>
      <c r="T659" s="203"/>
      <c r="U659" s="205"/>
      <c r="V659" s="205"/>
      <c r="W659" s="205"/>
      <c r="X659" s="205"/>
      <c r="Y659" s="205"/>
      <c r="Z659" s="206"/>
    </row>
    <row r="660" spans="4:26" ht="18" customHeight="1" hidden="1">
      <c r="D660" s="198" t="s">
        <v>255</v>
      </c>
      <c r="E660" s="130" t="str">
        <f>_xlfn.XLOOKUP(E625,CurrentPlans!B:B,CurrentPlans!AR:AR,"NA",0,1)</f>
        <v>NA</v>
      </c>
      <c r="F660" s="200"/>
      <c r="G660" s="200"/>
      <c r="H660" s="200"/>
      <c r="I660" s="130"/>
      <c r="J660" s="201"/>
      <c r="K660"/>
      <c r="L660" s="131" t="str">
        <f>_xlfn.XLOOKUP(L625,RenewalPlans!B:B,RenewalPlans!AU:AU,"NA",0,1)</f>
        <v>NA</v>
      </c>
      <c r="M660" s="200"/>
      <c r="N660" s="200"/>
      <c r="O660" s="200"/>
      <c r="P660" s="130"/>
      <c r="Q660" s="200"/>
      <c r="R660" s="201"/>
      <c r="T660" s="131" t="str">
        <f>_xlfn.XLOOKUP(T625,RenewalPlans!B:B,RenewalPlans!AU:AU,"NA",0,1)</f>
        <v>NA</v>
      </c>
      <c r="U660" s="200"/>
      <c r="V660" s="200"/>
      <c r="W660" s="200"/>
      <c r="X660" s="130"/>
      <c r="Y660" s="200"/>
      <c r="Z660" s="201"/>
    </row>
    <row r="661" spans="4:26" ht="18" customHeight="1" hidden="1" thickBot="1">
      <c r="D661" s="224" t="s">
        <v>256</v>
      </c>
      <c r="E661" s="137" t="str">
        <f>_xlfn.XLOOKUP(E625,CurrentPlans!B:B,CurrentPlans!AS:AS,"NA",0,1)</f>
        <v>NA</v>
      </c>
      <c r="F661" s="225"/>
      <c r="G661" s="225"/>
      <c r="H661" s="225"/>
      <c r="I661" s="137"/>
      <c r="J661" s="226"/>
      <c r="K661"/>
      <c r="L661" s="138" t="str">
        <f>_xlfn.XLOOKUP(L625,RenewalPlans!B:B,RenewalPlans!AV:AV,"NA",0,1)</f>
        <v>NA</v>
      </c>
      <c r="M661" s="225"/>
      <c r="N661" s="225"/>
      <c r="O661" s="225"/>
      <c r="P661" s="137"/>
      <c r="Q661" s="225"/>
      <c r="R661" s="226"/>
      <c r="T661" s="138" t="str">
        <f>_xlfn.XLOOKUP(T625,RenewalPlans!B:B,RenewalPlans!AV:AV,"NA",0,1)</f>
        <v>NA</v>
      </c>
      <c r="U661" s="225"/>
      <c r="V661" s="225"/>
      <c r="W661" s="225"/>
      <c r="X661" s="137"/>
      <c r="Y661" s="225"/>
      <c r="Z661" s="226"/>
    </row>
    <row r="662" spans="4:27" ht="18" customHeight="1">
      <c r="D662" s="227"/>
      <c r="E662" s="176"/>
      <c r="F662" s="178"/>
      <c r="G662" s="179"/>
      <c r="H662" s="178"/>
      <c r="I662" s="176"/>
      <c r="J662" s="228"/>
      <c r="K662"/>
      <c r="L662" s="178"/>
      <c r="M662" s="176"/>
      <c r="N662" s="139"/>
      <c r="O662" s="178"/>
      <c r="P662" s="178"/>
      <c r="Q662" s="178"/>
      <c r="R662" s="228"/>
      <c r="T662" s="178"/>
      <c r="U662" s="176"/>
      <c r="V662" s="139"/>
      <c r="W662" s="178"/>
      <c r="X662" s="178"/>
      <c r="Y662" s="178"/>
      <c r="Z662" s="228"/>
      <c r="AA662"/>
    </row>
    <row r="663" spans="4:27" ht="6" customHeight="1" thickBot="1">
      <c r="D663" s="229"/>
      <c r="E663" s="229"/>
      <c r="F663" s="230"/>
      <c r="G663" s="231"/>
      <c r="H663" s="232"/>
      <c r="I663" s="233"/>
      <c r="J663" s="233"/>
      <c r="K663"/>
      <c r="L663" s="233"/>
      <c r="M663" s="233"/>
      <c r="N663" s="233"/>
      <c r="O663" s="233"/>
      <c r="P663" s="233"/>
      <c r="Q663" s="233"/>
      <c r="R663" s="233"/>
      <c r="T663" s="233"/>
      <c r="U663" s="233"/>
      <c r="V663" s="233"/>
      <c r="W663" s="233"/>
      <c r="X663" s="233"/>
      <c r="Y663" s="233"/>
      <c r="Z663" s="233"/>
      <c r="AA663"/>
    </row>
    <row r="664" spans="1:140" s="162" customFormat="1" ht="31.15" customHeight="1" thickTop="1" thickBot="1">
      <c r="A664" s="153"/>
      <c r="B664" s="153"/>
      <c r="C664" s="234"/>
      <c r="D664" s="484" t="s">
        <v>288</v>
      </c>
      <c r="E664" s="485"/>
      <c r="F664" s="485"/>
      <c r="G664" s="485"/>
      <c r="H664" s="485"/>
      <c r="I664" s="485"/>
      <c r="J664" s="485"/>
      <c r="K664" s="485"/>
      <c r="L664" s="485"/>
      <c r="M664" s="485"/>
      <c r="N664" s="485"/>
      <c r="O664" s="485"/>
      <c r="P664" s="485"/>
      <c r="Q664" s="485"/>
      <c r="R664" s="486"/>
      <c r="T664" s="235"/>
      <c r="U664" s="236"/>
      <c r="V664" s="236"/>
      <c r="W664" s="236"/>
      <c r="X664" s="236"/>
      <c r="Y664" s="236"/>
      <c r="Z664" s="236"/>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row>
    <row r="665" spans="1:27" ht="50.15" customHeight="1">
      <c r="A665" s="140">
        <v>1</v>
      </c>
      <c r="B665" s="140">
        <f>IF(A665&gt;Class1_CurrentDentalCount,"DELETE",Class1_CurrentDentalStart+A665)</f>
        <v>10</v>
      </c>
      <c r="C665" s="164" t="s">
        <v>289</v>
      </c>
      <c r="D665" s="273" t="e">
        <f ca="1">IF(B665="Delete","",VLOOKUP(F665,BEGIN_CURRENT_DENTAL:END_CURRENT_DENTAL,3,FALSE))</f>
        <v>#N/A</v>
      </c>
      <c r="E665" s="165"/>
      <c r="F665" s="272" cm="1">
        <f t="array" ca="1" aca="1" ref="F665">IF(B665="Delete","",INDIRECT("CurrentPlans!A"&amp;B665,TRUE))</f>
        <v>0</v>
      </c>
      <c r="G665" s="166"/>
      <c r="H665" s="167"/>
      <c r="I665" s="168"/>
      <c r="J665" s="169"/>
      <c r="K665"/>
      <c r="L665" s="274" t="str">
        <f ca="1">_xlfn.IFNA(VLOOKUP(F665,BEGIN_RENEWEDFROM_DENTAL:ROW_RenewDental_PlanID,3,FALSE),"SELECT PLAN")</f>
        <v>SELECT PLAN</v>
      </c>
      <c r="M665" s="170"/>
      <c r="N665" s="274" t="s">
        <v>237</v>
      </c>
      <c r="O665" s="171"/>
      <c r="P665" s="171"/>
      <c r="Q665" s="171"/>
      <c r="R665" s="169"/>
      <c r="T665" s="274" t="s">
        <v>38</v>
      </c>
      <c r="U665" s="170"/>
      <c r="V665" s="274" t="s">
        <v>237</v>
      </c>
      <c r="W665" s="171"/>
      <c r="X665" s="171"/>
      <c r="Y665" s="171"/>
      <c r="Z665" s="169"/>
      <c r="AA665"/>
    </row>
    <row r="666" spans="4:26" ht="18.75" customHeight="1">
      <c r="D666" s="172" t="s">
        <v>238</v>
      </c>
      <c r="E666" s="407" t="str">
        <f ca="1">_xlfn.IFNA(VLOOKUP(F665,BEGIN_CURRENT_DENTAL:END_CURRENT_DENTAL,CURRENT_COL_EO_count,FALSE),"")</f>
        <v/>
      </c>
      <c r="F666" s="408" t="str">
        <f ca="1">_xlfn.IFNA(VLOOKUP(F665,BEGIN_CURRENT_DENTAL:END_CURRENT_DENTAL,CURRENT_COL_EO,FALSE),"")</f>
        <v/>
      </c>
      <c r="G666" s="468" t="str">
        <f ca="1" t="shared" si="67" ref="G666:G669">IF(F666="","",H666/F666)</f>
        <v/>
      </c>
      <c r="H666" s="408" t="str">
        <f ca="1">_xlfn.IFNA(VLOOKUP(F665,BEGIN_CURRENT_DENTAL:END_CURRENT_DENTAL,CURRENT_COL_EOContrib,FALSE),"")</f>
        <v/>
      </c>
      <c r="I666" s="409" t="str">
        <f ca="1">IFERROR(F666-H666,"")</f>
        <v/>
      </c>
      <c r="J666" s="410" t="str">
        <f ca="1">IF(F666="","",H666*E666)</f>
        <v/>
      </c>
      <c r="K666" s="411"/>
      <c r="L666" s="408" t="str" cm="1">
        <f t="array" ca="1" aca="1" ref="L666">_xlfn.IFNA(VLOOKUP(INDIRECT("L"&amp;ROW()-1)&amp;"_"&amp;$D$12,BEGIN_Renew_Dental:END_RENEW_DENTAL,RENEW_COL_EO,FALSE),"")</f>
        <v/>
      </c>
      <c r="M666" s="412" t="str">
        <f ca="1">IF(E666="","",E666)</f>
        <v/>
      </c>
      <c r="N666" s="413"/>
      <c r="O666" s="414"/>
      <c r="P666" s="415" t="str">
        <f>IFERROR(IF($N665="Keep Contribution Same",H666,IF($N665="Enter Percentages",IF(N666="","",N666*L666),IF($N665="Keep Percentage Same",IF(G666="","",G666*L666),IF($N665="Enter Dollar Amount",IF(O666="","",O666),"")))),"")</f>
        <v/>
      </c>
      <c r="Q666" s="408" t="str">
        <f ca="1">IFERROR(L666-P666,"")</f>
        <v/>
      </c>
      <c r="R666" s="410" t="str">
        <f>IFERROR(IF(P666="","",M666*P666),"")</f>
        <v/>
      </c>
      <c r="S666" s="411"/>
      <c r="T666" s="408" t="str" cm="1">
        <f t="array" ca="1" aca="1" ref="T666">_xlfn.IFNA(VLOOKUP(INDIRECT("T"&amp;ROW()-1)&amp;"_"&amp;$D$12,BEGIN_Renew_Dental:END_RENEW_DENTAL,RENEW_COL_EO,FALSE),"")</f>
        <v/>
      </c>
      <c r="U666" s="412" t="str">
        <f ca="1">IF(E666="","",E666)</f>
        <v/>
      </c>
      <c r="V666" s="413"/>
      <c r="W666" s="414"/>
      <c r="X666" s="415" t="str">
        <f>IFERROR(IF($V665="Keep Contribution Same",H666,IF($V665="Enter Percentages",IF(V666="","",V666*T666),IF($V665="Keep Percentage Same",IF(G666="","",G666*T666),IF($V665="Enter Dollar Amount",IF(W666="","",W666),"")))),"")</f>
        <v/>
      </c>
      <c r="Y666" s="408" t="str">
        <f ca="1">IFERROR(T666-X666,"")</f>
        <v/>
      </c>
      <c r="Z666" s="410" t="str">
        <f>IFERROR(IF(X666="","",U666*X666),"")</f>
        <v/>
      </c>
    </row>
    <row r="667" spans="4:26" ht="18.75" customHeight="1">
      <c r="D667" s="172" t="s">
        <v>239</v>
      </c>
      <c r="E667" s="407" t="str">
        <f ca="1">_xlfn.IFNA(VLOOKUP(F665,BEGIN_CURRENT_DENTAL:END_CURRENT_DENTAL,CURRENT_COL_ES_count,FALSE),"")</f>
        <v/>
      </c>
      <c r="F667" s="408" t="str">
        <f ca="1">_xlfn.IFNA(VLOOKUP(F665,BEGIN_CURRENT_DENTAL:END_CURRENT_DENTAL,CURRENT_COL_ES,FALSE),"")</f>
        <v/>
      </c>
      <c r="G667" s="468" t="str">
        <f t="shared" ca="1" si="67"/>
        <v/>
      </c>
      <c r="H667" s="408" t="str">
        <f ca="1">_xlfn.IFNA(VLOOKUP(F665,BEGIN_CURRENT_DENTAL:END_CURRENT_DENTAL,CURRENT_COL_ESContrib,FALSE),"")</f>
        <v/>
      </c>
      <c r="I667" s="409" t="str">
        <f ca="1" t="shared" si="68" ref="I667:I669">IFERROR(F667-H667,"")</f>
        <v/>
      </c>
      <c r="J667" s="410" t="str">
        <f ca="1">IF(F667="","",H667*E667)</f>
        <v/>
      </c>
      <c r="K667" s="411"/>
      <c r="L667" s="408" t="str" cm="1">
        <f t="array" ca="1" aca="1" ref="L667">_xlfn.IFNA(VLOOKUP(INDIRECT("L"&amp;ROW()-2)&amp;"_"&amp;$D$12,BEGIN_Renew_Dental:END_RENEW_DENTAL,RENEW_COL_ES,FALSE),"")</f>
        <v/>
      </c>
      <c r="M667" s="412" t="str">
        <f ca="1">IF(E667="","",E667)</f>
        <v/>
      </c>
      <c r="N667" s="413"/>
      <c r="O667" s="414"/>
      <c r="P667" s="415" t="str">
        <f>IFERROR(IF($N665="Keep Contribution Same",H667,IF($N665="Enter Percentages",IF(N667="","",N667*L667),IF($N665="Keep Percentage Same",IF(G667="","",G667*L667),IF($N665="Enter Dollar Amount",IF(O667="","",O667),"")))),"")</f>
        <v/>
      </c>
      <c r="Q667" s="408" t="str">
        <f ca="1">IFERROR(L667-P667,"")</f>
        <v/>
      </c>
      <c r="R667" s="410" t="str">
        <f>IFERROR(IF(P667="","",M667*P667),"")</f>
        <v/>
      </c>
      <c r="S667" s="411"/>
      <c r="T667" s="408" t="str" cm="1">
        <f t="array" ca="1" aca="1" ref="T667">_xlfn.IFNA(VLOOKUP(INDIRECT("T"&amp;ROW()-2)&amp;"_"&amp;$D$12,BEGIN_Renew_Dental:END_RENEW_DENTAL,RENEW_COL_ES,FALSE),"")</f>
        <v/>
      </c>
      <c r="U667" s="412" t="str">
        <f ca="1" t="shared" si="69" ref="U667:U669">IF(E667="","",E667)</f>
        <v/>
      </c>
      <c r="V667" s="413"/>
      <c r="W667" s="414"/>
      <c r="X667" s="415" t="str">
        <f>IFERROR(IF($V665="Keep Contribution Same",H667,IF($V665="Enter Percentages",IF(V667="","",V667*T667),IF($V665="Keep Percentage Same",IF(G667="","",G667*T667),IF($V665="Enter Dollar Amount",IF(W667="","",W667),"")))),"")</f>
        <v/>
      </c>
      <c r="Y667" s="408" t="str">
        <f ca="1" t="shared" si="70" ref="Y667:Y669">IFERROR(T667-X667,"")</f>
        <v/>
      </c>
      <c r="Z667" s="410" t="str">
        <f t="shared" si="71" ref="Z667:Z669">IFERROR(IF(X667="","",U667*X667),"")</f>
        <v/>
      </c>
    </row>
    <row r="668" spans="4:26" ht="18.75" customHeight="1">
      <c r="D668" s="172" t="s">
        <v>240</v>
      </c>
      <c r="E668" s="407" t="str">
        <f ca="1">_xlfn.IFNA(VLOOKUP(F665,BEGIN_CURRENT_DENTAL:END_CURRENT_DENTAL,CURRENT_COL_EC_count,FALSE),"")</f>
        <v/>
      </c>
      <c r="F668" s="408" t="str">
        <f ca="1">_xlfn.IFNA(VLOOKUP(F665,BEGIN_CURRENT_DENTAL:END_CURRENT_DENTAL,CURRENT_COL_EC,FALSE),"")</f>
        <v/>
      </c>
      <c r="G668" s="468" t="str">
        <f t="shared" ca="1" si="67"/>
        <v/>
      </c>
      <c r="H668" s="408" t="str">
        <f ca="1">_xlfn.IFNA(VLOOKUP(F665,BEGIN_CURRENT_DENTAL:END_CURRENT_DENTAL,CURRENT_COL_ECContrib,FALSE),"")</f>
        <v/>
      </c>
      <c r="I668" s="409" t="str">
        <f t="shared" ca="1" si="68"/>
        <v/>
      </c>
      <c r="J668" s="410" t="str">
        <f ca="1">IF(F668="","",H668*E668)</f>
        <v/>
      </c>
      <c r="K668" s="411"/>
      <c r="L668" s="408" t="str" cm="1">
        <f t="array" ca="1" aca="1" ref="L668">_xlfn.IFNA(VLOOKUP(INDIRECT("L"&amp;ROW()-3)&amp;"_"&amp;$D$12,BEGIN_Renew_Dental:END_RENEW_DENTAL,RENEW_COL_EC,FALSE),"")</f>
        <v/>
      </c>
      <c r="M668" s="412" t="str">
        <f ca="1">IF(E668="","",E668)</f>
        <v/>
      </c>
      <c r="N668" s="413"/>
      <c r="O668" s="414"/>
      <c r="P668" s="415" t="str">
        <f>IFERROR(IF($N665="Keep Contribution Same",H668,IF($N665="Enter Percentages",IF(N668="","",N668*L668),IF($N665="Keep Percentage Same",IF(G668="","",G668*L668),IF($N665="Enter Dollar Amount",IF(O668="","",O668),"")))),"")</f>
        <v/>
      </c>
      <c r="Q668" s="408" t="str">
        <f ca="1">IFERROR(L668-P668,"")</f>
        <v/>
      </c>
      <c r="R668" s="410" t="str">
        <f>IFERROR(IF(P668="","",M668*P668),"")</f>
        <v/>
      </c>
      <c r="S668" s="411"/>
      <c r="T668" s="408" t="str" cm="1">
        <f t="array" ca="1" aca="1" ref="T668">_xlfn.IFNA(VLOOKUP(INDIRECT("T"&amp;ROW()-3)&amp;"_"&amp;$D$12,BEGIN_Renew_Dental:END_RENEW_DENTAL,RENEW_COL_EC,FALSE),"")</f>
        <v/>
      </c>
      <c r="U668" s="412" t="str">
        <f t="shared" ca="1" si="69"/>
        <v/>
      </c>
      <c r="V668" s="413"/>
      <c r="W668" s="414"/>
      <c r="X668" s="415" t="str">
        <f>IFERROR(IF($V665="Keep Contribution Same",H668,IF($V665="Enter Percentages",IF(V668="","",V668*T668),IF($V665="Keep Percentage Same",IF(G668="","",G668*T668),IF($V665="Enter Dollar Amount",IF(W668="","",W668),"")))),"")</f>
        <v/>
      </c>
      <c r="Y668" s="408" t="str">
        <f t="shared" ca="1" si="70"/>
        <v/>
      </c>
      <c r="Z668" s="410" t="str">
        <f t="shared" si="71"/>
        <v/>
      </c>
    </row>
    <row r="669" spans="4:26" ht="18.75" customHeight="1" thickBot="1">
      <c r="D669" s="174" t="s">
        <v>241</v>
      </c>
      <c r="E669" s="416" t="str">
        <f ca="1">_xlfn.IFNA(VLOOKUP(F665,BEGIN_CURRENT_DENTAL:END_CURRENT_DENTAL,CURRENT_COL_FAM_count,FALSE),"")</f>
        <v/>
      </c>
      <c r="F669" s="417" t="str">
        <f ca="1">_xlfn.IFNA(VLOOKUP(F665,BEGIN_CURRENT_DENTAL:END_CURRENT_DENTAL,CURRENT_COL_FAM,FALSE),"")</f>
        <v/>
      </c>
      <c r="G669" s="469" t="str">
        <f t="shared" ca="1" si="67"/>
        <v/>
      </c>
      <c r="H669" s="417" t="str">
        <f ca="1">_xlfn.IFNA(VLOOKUP(F665,BEGIN_CURRENT_DENTAL:END_CURRENT_DENTAL,CURRENT_COL_FAMContrib,FALSE),"")</f>
        <v/>
      </c>
      <c r="I669" s="418" t="str">
        <f t="shared" ca="1" si="68"/>
        <v/>
      </c>
      <c r="J669" s="419" t="str">
        <f ca="1">IF(F669="","",H669*E669)</f>
        <v/>
      </c>
      <c r="K669" s="411"/>
      <c r="L669" s="417" t="str" cm="1">
        <f t="array" ca="1" aca="1" ref="L669">_xlfn.IFNA(VLOOKUP(INDIRECT("L"&amp;ROW()-4)&amp;"_"&amp;$D$12,BEGIN_Renew_Dental:END_RENEW_DENTAL,RENEW_COL_FAM,FALSE),"")</f>
        <v/>
      </c>
      <c r="M669" s="423" t="str">
        <f ca="1">IF(E669="","",E669)</f>
        <v/>
      </c>
      <c r="N669" s="420"/>
      <c r="O669" s="421"/>
      <c r="P669" s="422" t="str">
        <f>IFERROR(IF($N665="Keep Contribution Same",H669,IF($N665="Enter Percentages",IF(N669="","",N669*L669),IF($N665="Keep Percentage Same",IF(G669="","",G669*L669),IF($N665="Enter Dollar Amount",IF(O669="","",O669),"")))),"")</f>
        <v/>
      </c>
      <c r="Q669" s="417" t="str">
        <f ca="1">IFERROR(L669-P669,"")</f>
        <v/>
      </c>
      <c r="R669" s="419" t="str">
        <f>IFERROR(IF(P669="","",M669*P669),"")</f>
        <v/>
      </c>
      <c r="S669" s="411"/>
      <c r="T669" s="417" t="str" cm="1">
        <f t="array" ca="1" aca="1" ref="T669">_xlfn.IFNA(VLOOKUP(INDIRECT("T"&amp;ROW()-4)&amp;"_"&amp;$D$12,BEGIN_Renew_Dental:END_RENEW_DENTAL,RENEW_COL_FAM,FALSE),"")</f>
        <v/>
      </c>
      <c r="U669" s="423" t="str">
        <f t="shared" ca="1" si="69"/>
        <v/>
      </c>
      <c r="V669" s="420"/>
      <c r="W669" s="421"/>
      <c r="X669" s="422" t="str">
        <f>IFERROR(IF($V665="Keep Contribution Same",H669,IF($V665="Enter Percentages",IF(V669="","",V669*T669),IF($V665="Keep Percentage Same",IF(G669="","",G669*T669),IF($V665="Enter Dollar Amount",IF(W669="","",W669),"")))),"")</f>
        <v/>
      </c>
      <c r="Y669" s="417" t="str">
        <f t="shared" ca="1" si="70"/>
        <v/>
      </c>
      <c r="Z669" s="419" t="str">
        <f t="shared" si="71"/>
        <v/>
      </c>
    </row>
    <row r="670" spans="4:26" ht="18.75" customHeight="1" thickTop="1">
      <c r="D670" s="175" t="s">
        <v>242</v>
      </c>
      <c r="E670" s="424"/>
      <c r="F670" s="427"/>
      <c r="G670" s="426"/>
      <c r="H670" s="427"/>
      <c r="I670" s="428"/>
      <c r="J670" s="429" t="str">
        <f ca="1">IFERROR(IF(J666="","",SUM(J666:J669)),0)</f>
        <v/>
      </c>
      <c r="K670" s="1"/>
      <c r="L670" s="424"/>
      <c r="M670" s="427"/>
      <c r="N670" s="426"/>
      <c r="O670" s="427"/>
      <c r="P670" s="431"/>
      <c r="Q670" s="432"/>
      <c r="R670" s="429" t="str">
        <f>IFERROR(IF(R666="","",SUM(R666:R669)),0)</f>
        <v/>
      </c>
      <c r="T670" s="424"/>
      <c r="U670" s="427"/>
      <c r="V670" s="426"/>
      <c r="W670" s="427"/>
      <c r="X670" s="431"/>
      <c r="Y670" s="432"/>
      <c r="Z670" s="429" t="str">
        <f>IFERROR(IF(Z666="","",SUM(Z666:Z669)),0)</f>
        <v/>
      </c>
    </row>
    <row r="671" spans="4:26" ht="18.75" customHeight="1">
      <c r="D671" s="177" t="s">
        <v>243</v>
      </c>
      <c r="E671" s="433"/>
      <c r="F671" s="436"/>
      <c r="G671" s="435"/>
      <c r="H671" s="436"/>
      <c r="I671" s="432"/>
      <c r="J671" s="437" t="str">
        <f ca="1">IF(J670="","",J670*12)</f>
        <v/>
      </c>
      <c r="K671" s="1"/>
      <c r="L671" s="433"/>
      <c r="M671" s="436"/>
      <c r="N671" s="435"/>
      <c r="O671" s="436"/>
      <c r="P671" s="432"/>
      <c r="Q671" s="432"/>
      <c r="R671" s="437" t="str">
        <f>IF(R670="","",R670*12)</f>
        <v/>
      </c>
      <c r="T671" s="433"/>
      <c r="U671" s="436"/>
      <c r="V671" s="435"/>
      <c r="W671" s="436"/>
      <c r="X671" s="432"/>
      <c r="Y671" s="432"/>
      <c r="Z671" s="437" t="str">
        <f>IF(Z670="","",Z670*12)</f>
        <v/>
      </c>
    </row>
    <row r="672" spans="4:26" ht="18.75" customHeight="1">
      <c r="D672" s="177" t="s">
        <v>244</v>
      </c>
      <c r="E672" s="433"/>
      <c r="F672" s="436"/>
      <c r="G672" s="435"/>
      <c r="H672" s="436"/>
      <c r="I672" s="432"/>
      <c r="J672" s="437"/>
      <c r="K672" s="1"/>
      <c r="L672" s="433"/>
      <c r="M672" s="436"/>
      <c r="N672" s="435"/>
      <c r="O672" s="436"/>
      <c r="P672" s="432"/>
      <c r="Q672" s="432"/>
      <c r="R672" s="437" t="str">
        <f ca="1">IFERROR(IF(J671="","",R671-J671),0)</f>
        <v/>
      </c>
      <c r="T672" s="433"/>
      <c r="U672" s="436"/>
      <c r="V672" s="435"/>
      <c r="W672" s="436"/>
      <c r="X672" s="432"/>
      <c r="Y672" s="432"/>
      <c r="Z672" s="437" t="str">
        <f>IFERROR(IF(R671="","",Z671-R671),0)</f>
        <v/>
      </c>
    </row>
    <row r="673" spans="4:26" ht="18.75" customHeight="1" thickBot="1">
      <c r="D673" s="180" t="s">
        <v>245</v>
      </c>
      <c r="E673" s="439"/>
      <c r="F673" s="440"/>
      <c r="G673" s="441"/>
      <c r="H673" s="440"/>
      <c r="I673" s="442"/>
      <c r="J673" s="437"/>
      <c r="K673" s="1"/>
      <c r="L673" s="439"/>
      <c r="M673" s="440"/>
      <c r="N673" s="441"/>
      <c r="O673" s="440"/>
      <c r="P673" s="445"/>
      <c r="Q673" s="445"/>
      <c r="R673" s="453" t="str">
        <f ca="1">IFERROR(IF(J671="","",(R671/J671)-1),0)</f>
        <v/>
      </c>
      <c r="T673" s="439"/>
      <c r="U673" s="440"/>
      <c r="V673" s="441"/>
      <c r="W673" s="440"/>
      <c r="X673" s="445"/>
      <c r="Y673" s="445"/>
      <c r="Z673" s="446" t="str">
        <f>IFERROR(IF(R671="","",(Z671/R671)-1),0)</f>
        <v/>
      </c>
    </row>
    <row r="674" spans="4:26" ht="5.25" customHeight="1" thickBot="1">
      <c r="D674" s="229"/>
      <c r="E674" s="454"/>
      <c r="F674" s="455"/>
      <c r="G674" s="456"/>
      <c r="H674" s="457"/>
      <c r="I674" s="458"/>
      <c r="J674" s="458"/>
      <c r="K674" s="1"/>
      <c r="L674" s="458"/>
      <c r="M674" s="458"/>
      <c r="N674" s="458"/>
      <c r="O674" s="458"/>
      <c r="P674" s="458"/>
      <c r="Q674" s="458"/>
      <c r="R674" s="458"/>
      <c r="T674" s="458"/>
      <c r="U674" s="458"/>
      <c r="V674" s="458"/>
      <c r="W674" s="458"/>
      <c r="X674" s="458"/>
      <c r="Y674" s="458"/>
      <c r="Z674" s="458"/>
    </row>
    <row r="675" spans="1:26" ht="50.15" customHeight="1">
      <c r="A675" s="140">
        <v>2</v>
      </c>
      <c r="B675" s="140">
        <f>IF(A675&gt;Class1_CurrentDentalCount,"DELETE",Class1_CurrentDentalStart+A675)</f>
        <v>11</v>
      </c>
      <c r="C675" s="164" t="s">
        <v>290</v>
      </c>
      <c r="D675" s="273" t="e">
        <f ca="1">IF(B675="Delete","",VLOOKUP(F675,BEGIN_CURRENT_DENTAL:END_CURRENT_DENTAL,3,FALSE))</f>
        <v>#N/A</v>
      </c>
      <c r="E675" s="165"/>
      <c r="F675" s="272" cm="1">
        <f t="array" ca="1" aca="1" ref="F675">IF(B675="Delete","",INDIRECT("CurrentPlans!A"&amp;B675,TRUE))</f>
        <v>0</v>
      </c>
      <c r="G675" s="166"/>
      <c r="H675" s="167"/>
      <c r="I675" s="168"/>
      <c r="J675" s="169"/>
      <c r="K675"/>
      <c r="L675" s="274" t="str">
        <f ca="1">_xlfn.IFNA(VLOOKUP(F675,BEGIN_RENEWEDFROM_DENTAL:ROW_RenewDental_PlanID,3,FALSE),"SELECT PLAN")</f>
        <v>SELECT PLAN</v>
      </c>
      <c r="M675" s="170"/>
      <c r="N675" s="274" t="s">
        <v>237</v>
      </c>
      <c r="O675" s="171"/>
      <c r="P675" s="171"/>
      <c r="Q675" s="171"/>
      <c r="R675" s="169"/>
      <c r="T675" s="274" t="s">
        <v>38</v>
      </c>
      <c r="U675" s="170"/>
      <c r="V675" s="274" t="s">
        <v>237</v>
      </c>
      <c r="W675" s="171"/>
      <c r="X675" s="171"/>
      <c r="Y675" s="171"/>
      <c r="Z675" s="169"/>
    </row>
    <row r="676" spans="4:26" ht="18.75" customHeight="1">
      <c r="D676" s="172" t="s">
        <v>238</v>
      </c>
      <c r="E676" s="407" t="str">
        <f ca="1">_xlfn.IFNA(VLOOKUP(F675,BEGIN_CURRENT_DENTAL:END_CURRENT_DENTAL,CURRENT_COL_EO_count,FALSE),"")</f>
        <v/>
      </c>
      <c r="F676" s="408" t="str">
        <f ca="1">_xlfn.IFNA(VLOOKUP(F675,BEGIN_CURRENT_DENTAL:END_CURRENT_DENTAL,CURRENT_COL_EO,FALSE),"")</f>
        <v/>
      </c>
      <c r="G676" s="468" t="str">
        <f ca="1" t="shared" si="72" ref="G676:G679">IF(F676="","",H676/F676)</f>
        <v/>
      </c>
      <c r="H676" s="408" t="str">
        <f ca="1">_xlfn.IFNA(VLOOKUP(F675,BEGIN_CURRENT_DENTAL:END_CURRENT_DENTAL,CURRENT_COL_EOContrib,FALSE),"")</f>
        <v/>
      </c>
      <c r="I676" s="409" t="str">
        <f ca="1">IFERROR(F676-H676,"")</f>
        <v/>
      </c>
      <c r="J676" s="410" t="str">
        <f ca="1">IF(F676="","",H676*E676)</f>
        <v/>
      </c>
      <c r="K676" s="411"/>
      <c r="L676" s="408" t="str" cm="1">
        <f t="array" ca="1" aca="1" ref="L676">_xlfn.IFNA(VLOOKUP(INDIRECT("L"&amp;ROW()-1)&amp;"_"&amp;$D$12,BEGIN_Renew_Dental:END_RENEW_DENTAL,RENEW_COL_EO,FALSE),"")</f>
        <v/>
      </c>
      <c r="M676" s="412" t="str">
        <f ca="1">IF(E676="","",E676)</f>
        <v/>
      </c>
      <c r="N676" s="413"/>
      <c r="O676" s="414"/>
      <c r="P676" s="415" t="str">
        <f>IFERROR(IF($N675="Keep Contribution Same",H676,IF($N675="Enter Percentages",IF(N676="","",N676*L676),IF($N675="Keep Percentage Same",IF(G676="","",G676*L676),IF($N675="Enter Dollar Amount",IF(O676="","",O676),"")))),"")</f>
        <v/>
      </c>
      <c r="Q676" s="408" t="str">
        <f ca="1">IFERROR(L676-P676,"")</f>
        <v/>
      </c>
      <c r="R676" s="410" t="str">
        <f>IFERROR(IF(P676="","",M676*P676),"")</f>
        <v/>
      </c>
      <c r="S676" s="411"/>
      <c r="T676" s="408" t="str" cm="1">
        <f t="array" ca="1" aca="1" ref="T676">_xlfn.IFNA(VLOOKUP(INDIRECT("T"&amp;ROW()-1)&amp;"_"&amp;$D$12,BEGIN_Renew_Dental:END_RENEW_DENTAL,RENEW_COL_EO,FALSE),"")</f>
        <v/>
      </c>
      <c r="U676" s="412" t="str">
        <f ca="1">IF(E676="","",E676)</f>
        <v/>
      </c>
      <c r="V676" s="413"/>
      <c r="W676" s="414"/>
      <c r="X676" s="415" t="str">
        <f>IFERROR(IF($V675="Keep Contribution Same",H676,IF($V675="Enter Percentages",IF(V676="","",V676*T676),IF($V675="Keep Percentage Same",IF(G676="","",G676*T676),IF($V675="Enter Dollar Amount",IF(W676="","",W676),"")))),"")</f>
        <v/>
      </c>
      <c r="Y676" s="408" t="str">
        <f ca="1">IFERROR(T676-X676,"")</f>
        <v/>
      </c>
      <c r="Z676" s="410" t="str">
        <f>IFERROR(IF(X676="","",U676*X676),"")</f>
        <v/>
      </c>
    </row>
    <row r="677" spans="4:26" ht="18.75" customHeight="1">
      <c r="D677" s="172" t="s">
        <v>239</v>
      </c>
      <c r="E677" s="407" t="str">
        <f ca="1">_xlfn.IFNA(VLOOKUP(F675,BEGIN_CURRENT_DENTAL:END_CURRENT_DENTAL,CURRENT_COL_ES_count,FALSE),"")</f>
        <v/>
      </c>
      <c r="F677" s="408" t="str">
        <f ca="1">_xlfn.IFNA(VLOOKUP(F675,BEGIN_CURRENT_DENTAL:END_CURRENT_DENTAL,CURRENT_COL_ES,FALSE),"")</f>
        <v/>
      </c>
      <c r="G677" s="468" t="str">
        <f t="shared" ca="1" si="72"/>
        <v/>
      </c>
      <c r="H677" s="408" t="str">
        <f ca="1">_xlfn.IFNA(VLOOKUP(F675,BEGIN_CURRENT_DENTAL:END_CURRENT_DENTAL,CURRENT_COL_ESContrib,FALSE),"")</f>
        <v/>
      </c>
      <c r="I677" s="409" t="str">
        <f ca="1" t="shared" si="73" ref="I677:I679">IFERROR(F677-H677,"")</f>
        <v/>
      </c>
      <c r="J677" s="410" t="str">
        <f ca="1">IF(F677="","",H677*E677)</f>
        <v/>
      </c>
      <c r="K677" s="411"/>
      <c r="L677" s="408" t="str" cm="1">
        <f t="array" ca="1" aca="1" ref="L677">_xlfn.IFNA(VLOOKUP(INDIRECT("L"&amp;ROW()-2)&amp;"_"&amp;$D$12,BEGIN_Renew_Dental:END_RENEW_DENTAL,RENEW_COL_ES,FALSE),"")</f>
        <v/>
      </c>
      <c r="M677" s="412" t="str">
        <f ca="1">IF(E677="","",E677)</f>
        <v/>
      </c>
      <c r="N677" s="413"/>
      <c r="O677" s="414"/>
      <c r="P677" s="415" t="str">
        <f>IFERROR(IF($N675="Keep Contribution Same",H677,IF($N675="Enter Percentages",IF(N677="","",N677*L677),IF($N675="Keep Percentage Same",IF(G677="","",G677*L677),IF($N675="Enter Dollar Amount",IF(O677="","",O677),"")))),"")</f>
        <v/>
      </c>
      <c r="Q677" s="408" t="str">
        <f ca="1">IFERROR(L677-P677,"")</f>
        <v/>
      </c>
      <c r="R677" s="410" t="str">
        <f>IFERROR(IF(P677="","",M677*P677),"")</f>
        <v/>
      </c>
      <c r="S677" s="411"/>
      <c r="T677" s="408" t="str" cm="1">
        <f t="array" ca="1" aca="1" ref="T677">_xlfn.IFNA(VLOOKUP(INDIRECT("T"&amp;ROW()-2)&amp;"_"&amp;$D$12,BEGIN_Renew_Dental:END_RENEW_DENTAL,RENEW_COL_ES,FALSE),"")</f>
        <v/>
      </c>
      <c r="U677" s="412" t="str">
        <f ca="1" t="shared" si="74" ref="U677:U679">IF(E677="","",E677)</f>
        <v/>
      </c>
      <c r="V677" s="413"/>
      <c r="W677" s="414"/>
      <c r="X677" s="415" t="str">
        <f>IFERROR(IF($V675="Keep Contribution Same",H677,IF($V675="Enter Percentages",IF(V677="","",V677*T677),IF($V675="Keep Percentage Same",IF(G677="","",G677*T677),IF($V675="Enter Dollar Amount",IF(W677="","",W677),"")))),"")</f>
        <v/>
      </c>
      <c r="Y677" s="408" t="str">
        <f ca="1" t="shared" si="75" ref="Y677:Y679">IFERROR(T677-X677,"")</f>
        <v/>
      </c>
      <c r="Z677" s="410" t="str">
        <f t="shared" si="76" ref="Z677:Z679">IFERROR(IF(X677="","",U677*X677),"")</f>
        <v/>
      </c>
    </row>
    <row r="678" spans="4:26" ht="18.75" customHeight="1">
      <c r="D678" s="172" t="s">
        <v>240</v>
      </c>
      <c r="E678" s="407" t="str">
        <f ca="1">_xlfn.IFNA(VLOOKUP(F675,BEGIN_CURRENT_DENTAL:END_CURRENT_DENTAL,CURRENT_COL_EC_count,FALSE),"")</f>
        <v/>
      </c>
      <c r="F678" s="408" t="str">
        <f ca="1">_xlfn.IFNA(VLOOKUP(F675,BEGIN_CURRENT_DENTAL:END_CURRENT_DENTAL,CURRENT_COL_EC,FALSE),"")</f>
        <v/>
      </c>
      <c r="G678" s="468" t="str">
        <f t="shared" ca="1" si="72"/>
        <v/>
      </c>
      <c r="H678" s="408" t="str">
        <f ca="1">_xlfn.IFNA(VLOOKUP(F675,BEGIN_CURRENT_DENTAL:END_CURRENT_DENTAL,CURRENT_COL_ECContrib,FALSE),"")</f>
        <v/>
      </c>
      <c r="I678" s="409" t="str">
        <f t="shared" ca="1" si="73"/>
        <v/>
      </c>
      <c r="J678" s="410" t="str">
        <f ca="1">IF(F678="","",H678*E678)</f>
        <v/>
      </c>
      <c r="K678" s="411"/>
      <c r="L678" s="408" t="str" cm="1">
        <f t="array" ca="1" aca="1" ref="L678">_xlfn.IFNA(VLOOKUP(INDIRECT("L"&amp;ROW()-3)&amp;"_"&amp;$D$12,BEGIN_Renew_Dental:END_RENEW_DENTAL,RENEW_COL_EC,FALSE),"")</f>
        <v/>
      </c>
      <c r="M678" s="412" t="str">
        <f ca="1">IF(E678="","",E678)</f>
        <v/>
      </c>
      <c r="N678" s="413"/>
      <c r="O678" s="414"/>
      <c r="P678" s="415" t="str">
        <f>IFERROR(IF($N675="Keep Contribution Same",H678,IF($N675="Enter Percentages",IF(N678="","",N678*L678),IF($N675="Keep Percentage Same",IF(G678="","",G678*L678),IF($N675="Enter Dollar Amount",IF(O678="","",O678),"")))),"")</f>
        <v/>
      </c>
      <c r="Q678" s="408" t="str">
        <f ca="1">IFERROR(L678-P678,"")</f>
        <v/>
      </c>
      <c r="R678" s="410" t="str">
        <f>IFERROR(IF(P678="","",M678*P678),"")</f>
        <v/>
      </c>
      <c r="S678" s="411"/>
      <c r="T678" s="408" t="str" cm="1">
        <f t="array" ca="1" aca="1" ref="T678">_xlfn.IFNA(VLOOKUP(INDIRECT("T"&amp;ROW()-3)&amp;"_"&amp;$D$12,BEGIN_Renew_Dental:END_RENEW_DENTAL,RENEW_COL_EC,FALSE),"")</f>
        <v/>
      </c>
      <c r="U678" s="412" t="str">
        <f t="shared" ca="1" si="74"/>
        <v/>
      </c>
      <c r="V678" s="413"/>
      <c r="W678" s="414"/>
      <c r="X678" s="415" t="str">
        <f>IFERROR(IF($V675="Keep Contribution Same",H678,IF($V675="Enter Percentages",IF(V678="","",V678*T678),IF($V675="Keep Percentage Same",IF(G678="","",G678*T678),IF($V675="Enter Dollar Amount",IF(W678="","",W678),"")))),"")</f>
        <v/>
      </c>
      <c r="Y678" s="408" t="str">
        <f t="shared" ca="1" si="75"/>
        <v/>
      </c>
      <c r="Z678" s="410" t="str">
        <f t="shared" si="76"/>
        <v/>
      </c>
    </row>
    <row r="679" spans="4:26" ht="18.75" customHeight="1" thickBot="1">
      <c r="D679" s="174" t="s">
        <v>241</v>
      </c>
      <c r="E679" s="416" t="str">
        <f ca="1">_xlfn.IFNA(VLOOKUP(F675,BEGIN_CURRENT_DENTAL:END_CURRENT_DENTAL,CURRENT_COL_FAM_count,FALSE),"")</f>
        <v/>
      </c>
      <c r="F679" s="417" t="str">
        <f ca="1">_xlfn.IFNA(VLOOKUP(F675,BEGIN_CURRENT_DENTAL:END_CURRENT_DENTAL,CURRENT_COL_FAM,FALSE),"")</f>
        <v/>
      </c>
      <c r="G679" s="469" t="str">
        <f t="shared" ca="1" si="72"/>
        <v/>
      </c>
      <c r="H679" s="417" t="str">
        <f ca="1">_xlfn.IFNA(VLOOKUP(F675,BEGIN_CURRENT_DENTAL:END_CURRENT_DENTAL,CURRENT_COL_FAMContrib,FALSE),"")</f>
        <v/>
      </c>
      <c r="I679" s="418" t="str">
        <f t="shared" ca="1" si="73"/>
        <v/>
      </c>
      <c r="J679" s="419" t="str">
        <f ca="1">IF(F679="","",H679*E679)</f>
        <v/>
      </c>
      <c r="K679" s="411"/>
      <c r="L679" s="417" t="str" cm="1">
        <f t="array" ca="1" aca="1" ref="L679">_xlfn.IFNA(VLOOKUP(INDIRECT("L"&amp;ROW()-4)&amp;"_"&amp;$D$12,BEGIN_Renew_Dental:END_RENEW_DENTAL,RENEW_COL_FAM,FALSE),"")</f>
        <v/>
      </c>
      <c r="M679" s="423" t="str">
        <f ca="1">IF(E679="","",E679)</f>
        <v/>
      </c>
      <c r="N679" s="420"/>
      <c r="O679" s="421"/>
      <c r="P679" s="422" t="str">
        <f>IFERROR(IF($N675="Keep Contribution Same",H679,IF($N675="Enter Percentages",IF(N679="","",N679*L679),IF($N675="Keep Percentage Same",IF(G679="","",G679*L679),IF($N675="Enter Dollar Amount",IF(O679="","",O679),"")))),"")</f>
        <v/>
      </c>
      <c r="Q679" s="417" t="str">
        <f ca="1">IFERROR(L679-P679,"")</f>
        <v/>
      </c>
      <c r="R679" s="419" t="str">
        <f>IFERROR(IF(P679="","",M679*P679),"")</f>
        <v/>
      </c>
      <c r="S679" s="411"/>
      <c r="T679" s="417" t="str" cm="1">
        <f t="array" ca="1" aca="1" ref="T679">_xlfn.IFNA(VLOOKUP(INDIRECT("T"&amp;ROW()-4)&amp;"_"&amp;$D$12,BEGIN_Renew_Dental:END_RENEW_DENTAL,RENEW_COL_FAM,FALSE),"")</f>
        <v/>
      </c>
      <c r="U679" s="423" t="str">
        <f t="shared" ca="1" si="74"/>
        <v/>
      </c>
      <c r="V679" s="420"/>
      <c r="W679" s="421"/>
      <c r="X679" s="422" t="str">
        <f>IFERROR(IF($V675="Keep Contribution Same",H679,IF($V675="Enter Percentages",IF(V679="","",V679*T679),IF($V675="Keep Percentage Same",IF(G679="","",G679*T679),IF($V675="Enter Dollar Amount",IF(W679="","",W679),"")))),"")</f>
        <v/>
      </c>
      <c r="Y679" s="417" t="str">
        <f t="shared" ca="1" si="75"/>
        <v/>
      </c>
      <c r="Z679" s="419" t="str">
        <f t="shared" si="76"/>
        <v/>
      </c>
    </row>
    <row r="680" spans="4:26" ht="18.75" customHeight="1" thickTop="1">
      <c r="D680" s="175" t="s">
        <v>242</v>
      </c>
      <c r="E680" s="424"/>
      <c r="F680" s="427"/>
      <c r="G680" s="426"/>
      <c r="H680" s="427"/>
      <c r="I680" s="428"/>
      <c r="J680" s="429" t="str">
        <f ca="1">IFERROR(IF(J676="","",SUM(J676:J679)),0)</f>
        <v/>
      </c>
      <c r="K680" s="1"/>
      <c r="L680" s="424"/>
      <c r="M680" s="427"/>
      <c r="N680" s="426"/>
      <c r="O680" s="427"/>
      <c r="P680" s="431"/>
      <c r="Q680" s="432"/>
      <c r="R680" s="429" t="str">
        <f>IFERROR(IF(R676="","",SUM(R676:R679)),0)</f>
        <v/>
      </c>
      <c r="T680" s="424"/>
      <c r="U680" s="427"/>
      <c r="V680" s="426"/>
      <c r="W680" s="427"/>
      <c r="X680" s="431"/>
      <c r="Y680" s="432"/>
      <c r="Z680" s="429" t="str">
        <f>IFERROR(IF(Z676="","",SUM(Z676:Z679)),0)</f>
        <v/>
      </c>
    </row>
    <row r="681" spans="4:26" ht="18.75" customHeight="1">
      <c r="D681" s="177" t="s">
        <v>243</v>
      </c>
      <c r="E681" s="433"/>
      <c r="F681" s="436"/>
      <c r="G681" s="435"/>
      <c r="H681" s="436"/>
      <c r="I681" s="432"/>
      <c r="J681" s="437" t="str">
        <f ca="1">IF(J680="","",J680*12)</f>
        <v/>
      </c>
      <c r="K681" s="1"/>
      <c r="L681" s="433"/>
      <c r="M681" s="436"/>
      <c r="N681" s="435"/>
      <c r="O681" s="436"/>
      <c r="P681" s="432"/>
      <c r="Q681" s="432"/>
      <c r="R681" s="437" t="str">
        <f>IF(R680="","",R680*12)</f>
        <v/>
      </c>
      <c r="T681" s="433"/>
      <c r="U681" s="436"/>
      <c r="V681" s="435"/>
      <c r="W681" s="436"/>
      <c r="X681" s="432"/>
      <c r="Y681" s="432"/>
      <c r="Z681" s="437" t="str">
        <f>IF(Z680="","",Z680*12)</f>
        <v/>
      </c>
    </row>
    <row r="682" spans="4:26" ht="18.75" customHeight="1">
      <c r="D682" s="177" t="s">
        <v>244</v>
      </c>
      <c r="E682" s="433"/>
      <c r="F682" s="436"/>
      <c r="G682" s="435"/>
      <c r="H682" s="436"/>
      <c r="I682" s="432"/>
      <c r="J682" s="437"/>
      <c r="K682" s="1"/>
      <c r="L682" s="433"/>
      <c r="M682" s="436"/>
      <c r="N682" s="435"/>
      <c r="O682" s="436"/>
      <c r="P682" s="432"/>
      <c r="Q682" s="432"/>
      <c r="R682" s="437" t="str">
        <f ca="1">IFERROR(IF(J681="","",R681-J681),0)</f>
        <v/>
      </c>
      <c r="T682" s="433"/>
      <c r="U682" s="436"/>
      <c r="V682" s="435"/>
      <c r="W682" s="436"/>
      <c r="X682" s="432"/>
      <c r="Y682" s="432"/>
      <c r="Z682" s="437" t="str">
        <f>IFERROR(IF(R681="","",Z681-R681),0)</f>
        <v/>
      </c>
    </row>
    <row r="683" spans="4:26" ht="18.75" customHeight="1" thickBot="1">
      <c r="D683" s="180" t="s">
        <v>245</v>
      </c>
      <c r="E683" s="439"/>
      <c r="F683" s="440"/>
      <c r="G683" s="441"/>
      <c r="H683" s="440"/>
      <c r="I683" s="442"/>
      <c r="J683" s="437"/>
      <c r="K683" s="1"/>
      <c r="L683" s="439"/>
      <c r="M683" s="440"/>
      <c r="N683" s="441"/>
      <c r="O683" s="440"/>
      <c r="P683" s="445"/>
      <c r="Q683" s="445"/>
      <c r="R683" s="453" t="str">
        <f ca="1">IFERROR(IF(J681="","",(R681/J681)-1),0)</f>
        <v/>
      </c>
      <c r="T683" s="439"/>
      <c r="U683" s="440"/>
      <c r="V683" s="441"/>
      <c r="W683" s="440"/>
      <c r="X683" s="445"/>
      <c r="Y683" s="445"/>
      <c r="Z683" s="446" t="str">
        <f>IFERROR(IF(R681="","",(Z681/R681)-1),0)</f>
        <v/>
      </c>
    </row>
    <row r="684" spans="4:26" ht="5.25" customHeight="1" thickBot="1">
      <c r="D684" s="229"/>
      <c r="E684" s="229"/>
      <c r="F684" s="230"/>
      <c r="G684" s="231"/>
      <c r="H684" s="232"/>
      <c r="I684" s="233"/>
      <c r="J684" s="233"/>
      <c r="K684"/>
      <c r="L684" s="233"/>
      <c r="M684" s="233"/>
      <c r="N684" s="233"/>
      <c r="O684" s="233"/>
      <c r="P684" s="233"/>
      <c r="Q684" s="233"/>
      <c r="R684" s="233"/>
      <c r="T684" s="233"/>
      <c r="U684" s="233"/>
      <c r="V684" s="233"/>
      <c r="W684" s="233"/>
      <c r="X684" s="233"/>
      <c r="Y684" s="233"/>
      <c r="Z684" s="233"/>
    </row>
    <row r="685" spans="1:26" ht="50.15" customHeight="1">
      <c r="A685" s="140">
        <v>3</v>
      </c>
      <c r="B685" s="140">
        <f>IF(A685&gt;Class1_CurrentDentalCount,"DELETE",Class1_CurrentDentalStart+A685)</f>
        <v>12</v>
      </c>
      <c r="C685" s="164" t="s">
        <v>291</v>
      </c>
      <c r="D685" s="273" t="e">
        <f ca="1">IF(B685="Delete","",VLOOKUP(F685,BEGIN_CURRENT_DENTAL:END_CURRENT_DENTAL,3,FALSE))</f>
        <v>#N/A</v>
      </c>
      <c r="E685" s="165"/>
      <c r="F685" s="272" t="str" cm="1">
        <f t="array" ca="1" aca="1" ref="F685">IF(B685="Delete","",INDIRECT("CurrentPlans!A"&amp;B685,TRUE))</f>
        <v>Vision</v>
      </c>
      <c r="G685" s="166"/>
      <c r="H685" s="167"/>
      <c r="I685" s="168"/>
      <c r="J685" s="169"/>
      <c r="K685"/>
      <c r="L685" s="274" t="str">
        <f ca="1">_xlfn.IFNA(VLOOKUP(F685,BEGIN_RENEWEDFROM_DENTAL:ROW_RenewDental_PlanID,3,FALSE),"SELECT PLAN")</f>
        <v>SELECT PLAN</v>
      </c>
      <c r="M685" s="170"/>
      <c r="N685" s="274" t="s">
        <v>237</v>
      </c>
      <c r="O685" s="171"/>
      <c r="P685" s="171"/>
      <c r="Q685" s="171"/>
      <c r="R685" s="169"/>
      <c r="T685" s="274" t="s">
        <v>38</v>
      </c>
      <c r="U685" s="170"/>
      <c r="V685" s="274" t="s">
        <v>237</v>
      </c>
      <c r="W685" s="171"/>
      <c r="X685" s="171"/>
      <c r="Y685" s="171"/>
      <c r="Z685" s="169"/>
    </row>
    <row r="686" spans="4:26" ht="18.75" customHeight="1">
      <c r="D686" s="172" t="s">
        <v>238</v>
      </c>
      <c r="E686" s="407" t="str">
        <f ca="1">_xlfn.IFNA(VLOOKUP(F685,BEGIN_CURRENT_DENTAL:END_CURRENT_DENTAL,CURRENT_COL_EO_count,FALSE),"")</f>
        <v/>
      </c>
      <c r="F686" s="408" t="str">
        <f ca="1">_xlfn.IFNA(VLOOKUP(F685,BEGIN_CURRENT_DENTAL:END_CURRENT_DENTAL,CURRENT_COL_EO,FALSE),"")</f>
        <v/>
      </c>
      <c r="G686" s="468" t="str">
        <f ca="1" t="shared" si="77" ref="G686:G689">IF(F686="","",H686/F686)</f>
        <v/>
      </c>
      <c r="H686" s="408" t="str">
        <f ca="1">_xlfn.IFNA(VLOOKUP(F685,BEGIN_CURRENT_DENTAL:END_CURRENT_DENTAL,CURRENT_COL_EOContrib,FALSE),"")</f>
        <v/>
      </c>
      <c r="I686" s="409" t="str">
        <f ca="1">IFERROR(F686-H686,"")</f>
        <v/>
      </c>
      <c r="J686" s="410" t="str">
        <f ca="1">IF(F686="","",H686*E686)</f>
        <v/>
      </c>
      <c r="K686" s="411"/>
      <c r="L686" s="408" t="str" cm="1">
        <f t="array" ca="1" aca="1" ref="L686">_xlfn.IFNA(VLOOKUP(INDIRECT("L"&amp;ROW()-1)&amp;"_"&amp;$D$12,BEGIN_Renew_Dental:END_RENEW_DENTAL,RENEW_COL_EO,FALSE),"")</f>
        <v/>
      </c>
      <c r="M686" s="412" t="str">
        <f ca="1">IF(E686="","",E686)</f>
        <v/>
      </c>
      <c r="N686" s="413"/>
      <c r="O686" s="414"/>
      <c r="P686" s="415" t="str">
        <f>IFERROR(IF($N685="Keep Contribution Same",H686,IF($N685="Enter Percentages",IF(N686="","",N686*L686),IF($N685="Keep Percentage Same",IF(G686="","",G686*L686),IF($N685="Enter Dollar Amount",IF(O686="","",O686),"")))),"")</f>
        <v/>
      </c>
      <c r="Q686" s="408" t="str">
        <f ca="1">IFERROR(L686-P686,"")</f>
        <v/>
      </c>
      <c r="R686" s="410" t="str">
        <f>IFERROR(IF(P686="","",M686*P686),"")</f>
        <v/>
      </c>
      <c r="S686" s="411"/>
      <c r="T686" s="408" t="str" cm="1">
        <f t="array" ca="1" aca="1" ref="T686">_xlfn.IFNA(VLOOKUP(INDIRECT("T"&amp;ROW()-1)&amp;"_"&amp;$D$12,BEGIN_Renew_Dental:END_RENEW_DENTAL,RENEW_COL_EO,FALSE),"")</f>
        <v/>
      </c>
      <c r="U686" s="412" t="str">
        <f ca="1">IF(E686="","",E686)</f>
        <v/>
      </c>
      <c r="V686" s="413"/>
      <c r="W686" s="414"/>
      <c r="X686" s="415" t="str">
        <f>IFERROR(IF($V685="Keep Contribution Same",H686,IF($V685="Enter Percentages",IF(V686="","",V686*T686),IF($V685="Keep Percentage Same",IF(G686="","",G686*T686),IF($V685="Enter Dollar Amount",IF(W686="","",W686),"")))),"")</f>
        <v/>
      </c>
      <c r="Y686" s="408" t="str">
        <f ca="1">IFERROR(T686-X686,"")</f>
        <v/>
      </c>
      <c r="Z686" s="410" t="str">
        <f>IFERROR(IF(X686="","",U686*X686),"")</f>
        <v/>
      </c>
    </row>
    <row r="687" spans="4:26" ht="18.75" customHeight="1">
      <c r="D687" s="172" t="s">
        <v>239</v>
      </c>
      <c r="E687" s="407" t="str">
        <f ca="1">_xlfn.IFNA(VLOOKUP(F685,BEGIN_CURRENT_DENTAL:END_CURRENT_DENTAL,CURRENT_COL_ES_count,FALSE),"")</f>
        <v/>
      </c>
      <c r="F687" s="408" t="str">
        <f ca="1">_xlfn.IFNA(VLOOKUP(F685,BEGIN_CURRENT_DENTAL:END_CURRENT_DENTAL,CURRENT_COL_ES,FALSE),"")</f>
        <v/>
      </c>
      <c r="G687" s="468" t="str">
        <f t="shared" ca="1" si="77"/>
        <v/>
      </c>
      <c r="H687" s="408" t="str">
        <f ca="1">_xlfn.IFNA(VLOOKUP(F685,BEGIN_CURRENT_DENTAL:END_CURRENT_DENTAL,CURRENT_COL_ESContrib,FALSE),"")</f>
        <v/>
      </c>
      <c r="I687" s="409" t="str">
        <f ca="1" t="shared" si="78" ref="I687:I689">IFERROR(F687-H687,"")</f>
        <v/>
      </c>
      <c r="J687" s="410" t="str">
        <f ca="1">IF(F687="","",H687*E687)</f>
        <v/>
      </c>
      <c r="K687" s="411"/>
      <c r="L687" s="408" t="str" cm="1">
        <f t="array" ca="1" aca="1" ref="L687">_xlfn.IFNA(VLOOKUP(INDIRECT("L"&amp;ROW()-2)&amp;"_"&amp;$D$12,BEGIN_Renew_Dental:END_RENEW_DENTAL,RENEW_COL_ES,FALSE),"")</f>
        <v/>
      </c>
      <c r="M687" s="412" t="str">
        <f ca="1">IF(E687="","",E687)</f>
        <v/>
      </c>
      <c r="N687" s="413"/>
      <c r="O687" s="414"/>
      <c r="P687" s="415" t="str">
        <f>IFERROR(IF($N685="Keep Contribution Same",H687,IF($N685="Enter Percentages",IF(N687="","",N687*L687),IF($N685="Keep Percentage Same",IF(G687="","",G687*L687),IF($N685="Enter Dollar Amount",IF(O687="","",O687),"")))),"")</f>
        <v/>
      </c>
      <c r="Q687" s="408" t="str">
        <f ca="1">IFERROR(L687-P687,"")</f>
        <v/>
      </c>
      <c r="R687" s="410" t="str">
        <f>IFERROR(IF(P687="","",M687*P687),"")</f>
        <v/>
      </c>
      <c r="S687" s="411"/>
      <c r="T687" s="408" t="str" cm="1">
        <f t="array" ca="1" aca="1" ref="T687">_xlfn.IFNA(VLOOKUP(INDIRECT("T"&amp;ROW()-2)&amp;"_"&amp;$D$12,BEGIN_Renew_Dental:END_RENEW_DENTAL,RENEW_COL_ES,FALSE),"")</f>
        <v/>
      </c>
      <c r="U687" s="412" t="str">
        <f ca="1" t="shared" si="79" ref="U687:U689">IF(E687="","",E687)</f>
        <v/>
      </c>
      <c r="V687" s="413"/>
      <c r="W687" s="414"/>
      <c r="X687" s="415" t="str">
        <f>IFERROR(IF($V685="Keep Contribution Same",H687,IF($V685="Enter Percentages",IF(V687="","",V687*T687),IF($V685="Keep Percentage Same",IF(G687="","",G687*T687),IF($V685="Enter Dollar Amount",IF(W687="","",W687),"")))),"")</f>
        <v/>
      </c>
      <c r="Y687" s="408" t="str">
        <f ca="1" t="shared" si="80" ref="Y687:Y689">IFERROR(T687-X687,"")</f>
        <v/>
      </c>
      <c r="Z687" s="410" t="str">
        <f t="shared" si="81" ref="Z687:Z689">IFERROR(IF(X687="","",U687*X687),"")</f>
        <v/>
      </c>
    </row>
    <row r="688" spans="4:26" ht="18.75" customHeight="1">
      <c r="D688" s="172" t="s">
        <v>240</v>
      </c>
      <c r="E688" s="407" t="str">
        <f ca="1">_xlfn.IFNA(VLOOKUP(F685,BEGIN_CURRENT_DENTAL:END_CURRENT_DENTAL,CURRENT_COL_EC_count,FALSE),"")</f>
        <v/>
      </c>
      <c r="F688" s="408" t="str">
        <f ca="1">_xlfn.IFNA(VLOOKUP(F685,BEGIN_CURRENT_DENTAL:END_CURRENT_DENTAL,CURRENT_COL_EC,FALSE),"")</f>
        <v/>
      </c>
      <c r="G688" s="468" t="str">
        <f t="shared" ca="1" si="77"/>
        <v/>
      </c>
      <c r="H688" s="408" t="str">
        <f ca="1">_xlfn.IFNA(VLOOKUP(F685,BEGIN_CURRENT_DENTAL:END_CURRENT_DENTAL,CURRENT_COL_ECContrib,FALSE),"")</f>
        <v/>
      </c>
      <c r="I688" s="409" t="str">
        <f t="shared" ca="1" si="78"/>
        <v/>
      </c>
      <c r="J688" s="410" t="str">
        <f ca="1">IF(F688="","",H688*E688)</f>
        <v/>
      </c>
      <c r="K688" s="411"/>
      <c r="L688" s="408" t="str" cm="1">
        <f t="array" ca="1" aca="1" ref="L688">_xlfn.IFNA(VLOOKUP(INDIRECT("L"&amp;ROW()-3)&amp;"_"&amp;$D$12,BEGIN_Renew_Dental:END_RENEW_DENTAL,RENEW_COL_EC,FALSE),"")</f>
        <v/>
      </c>
      <c r="M688" s="412" t="str">
        <f ca="1">IF(E688="","",E688)</f>
        <v/>
      </c>
      <c r="N688" s="413"/>
      <c r="O688" s="414"/>
      <c r="P688" s="415" t="str">
        <f>IFERROR(IF($N685="Keep Contribution Same",H688,IF($N685="Enter Percentages",IF(N688="","",N688*L688),IF($N685="Keep Percentage Same",IF(G688="","",G688*L688),IF($N685="Enter Dollar Amount",IF(O688="","",O688),"")))),"")</f>
        <v/>
      </c>
      <c r="Q688" s="408" t="str">
        <f ca="1">IFERROR(L688-P688,"")</f>
        <v/>
      </c>
      <c r="R688" s="410" t="str">
        <f>IFERROR(IF(P688="","",M688*P688),"")</f>
        <v/>
      </c>
      <c r="S688" s="411"/>
      <c r="T688" s="408" t="str" cm="1">
        <f t="array" ca="1" aca="1" ref="T688">_xlfn.IFNA(VLOOKUP(INDIRECT("T"&amp;ROW()-3)&amp;"_"&amp;$D$12,BEGIN_Renew_Dental:END_RENEW_DENTAL,RENEW_COL_EC,FALSE),"")</f>
        <v/>
      </c>
      <c r="U688" s="412" t="str">
        <f t="shared" ca="1" si="79"/>
        <v/>
      </c>
      <c r="V688" s="413"/>
      <c r="W688" s="414"/>
      <c r="X688" s="415" t="str">
        <f>IFERROR(IF($V685="Keep Contribution Same",H688,IF($V685="Enter Percentages",IF(V688="","",V688*T688),IF($V685="Keep Percentage Same",IF(G688="","",G688*T688),IF($V685="Enter Dollar Amount",IF(W688="","",W688),"")))),"")</f>
        <v/>
      </c>
      <c r="Y688" s="408" t="str">
        <f t="shared" ca="1" si="80"/>
        <v/>
      </c>
      <c r="Z688" s="410" t="str">
        <f t="shared" si="81"/>
        <v/>
      </c>
    </row>
    <row r="689" spans="4:26" ht="18.75" customHeight="1" thickBot="1">
      <c r="D689" s="174" t="s">
        <v>241</v>
      </c>
      <c r="E689" s="416" t="str">
        <f ca="1">_xlfn.IFNA(VLOOKUP(F685,BEGIN_CURRENT_DENTAL:END_CURRENT_DENTAL,CURRENT_COL_FAM_count,FALSE),"")</f>
        <v/>
      </c>
      <c r="F689" s="417" t="str">
        <f ca="1">_xlfn.IFNA(VLOOKUP(F685,BEGIN_CURRENT_DENTAL:END_CURRENT_DENTAL,CURRENT_COL_FAM,FALSE),"")</f>
        <v/>
      </c>
      <c r="G689" s="469" t="str">
        <f t="shared" ca="1" si="77"/>
        <v/>
      </c>
      <c r="H689" s="417" t="str">
        <f ca="1">_xlfn.IFNA(VLOOKUP(F685,BEGIN_CURRENT_DENTAL:END_CURRENT_DENTAL,CURRENT_COL_FAMContrib,FALSE),"")</f>
        <v/>
      </c>
      <c r="I689" s="418" t="str">
        <f t="shared" ca="1" si="78"/>
        <v/>
      </c>
      <c r="J689" s="419" t="str">
        <f ca="1">IF(F689="","",H689*E689)</f>
        <v/>
      </c>
      <c r="K689" s="411"/>
      <c r="L689" s="417" t="str" cm="1">
        <f t="array" ca="1" aca="1" ref="L689">_xlfn.IFNA(VLOOKUP(INDIRECT("L"&amp;ROW()-4)&amp;"_"&amp;$D$12,BEGIN_Renew_Dental:END_RENEW_DENTAL,RENEW_COL_FAM,FALSE),"")</f>
        <v/>
      </c>
      <c r="M689" s="423" t="str">
        <f ca="1">IF(E689="","",E689)</f>
        <v/>
      </c>
      <c r="N689" s="420"/>
      <c r="O689" s="421"/>
      <c r="P689" s="422" t="str">
        <f>IFERROR(IF($N685="Keep Contribution Same",H689,IF($N685="Enter Percentages",IF(N689="","",N689*L689),IF($N685="Keep Percentage Same",IF(G689="","",G689*L689),IF($N685="Enter Dollar Amount",IF(O689="","",O689),"")))),"")</f>
        <v/>
      </c>
      <c r="Q689" s="417" t="str">
        <f ca="1">IFERROR(L689-P689,"")</f>
        <v/>
      </c>
      <c r="R689" s="419" t="str">
        <f>IFERROR(IF(P689="","",M689*P689),"")</f>
        <v/>
      </c>
      <c r="S689" s="411"/>
      <c r="T689" s="417" t="str" cm="1">
        <f t="array" ca="1" aca="1" ref="T689">_xlfn.IFNA(VLOOKUP(INDIRECT("T"&amp;ROW()-4)&amp;"_"&amp;$D$12,BEGIN_Renew_Dental:END_RENEW_DENTAL,RENEW_COL_FAM,FALSE),"")</f>
        <v/>
      </c>
      <c r="U689" s="423" t="str">
        <f t="shared" ca="1" si="79"/>
        <v/>
      </c>
      <c r="V689" s="420"/>
      <c r="W689" s="421"/>
      <c r="X689" s="422" t="str">
        <f>IFERROR(IF($V685="Keep Contribution Same",H689,IF($V685="Enter Percentages",IF(V689="","",V689*T689),IF($V685="Keep Percentage Same",IF(G689="","",G689*T689),IF($V685="Enter Dollar Amount",IF(W689="","",W689),"")))),"")</f>
        <v/>
      </c>
      <c r="Y689" s="417" t="str">
        <f t="shared" ca="1" si="80"/>
        <v/>
      </c>
      <c r="Z689" s="419" t="str">
        <f t="shared" si="81"/>
        <v/>
      </c>
    </row>
    <row r="690" spans="4:26" ht="18.75" customHeight="1" thickTop="1">
      <c r="D690" s="175" t="s">
        <v>242</v>
      </c>
      <c r="E690" s="424"/>
      <c r="F690" s="427"/>
      <c r="G690" s="426"/>
      <c r="H690" s="427"/>
      <c r="I690" s="428"/>
      <c r="J690" s="429" t="str">
        <f ca="1">IFERROR(IF(J686="","",SUM(J686:J689)),0)</f>
        <v/>
      </c>
      <c r="K690" s="1"/>
      <c r="L690" s="424"/>
      <c r="M690" s="427"/>
      <c r="N690" s="426"/>
      <c r="O690" s="427"/>
      <c r="P690" s="431"/>
      <c r="Q690" s="432"/>
      <c r="R690" s="429" t="str">
        <f>IFERROR(IF(R686="","",SUM(R686:R689)),0)</f>
        <v/>
      </c>
      <c r="T690" s="424"/>
      <c r="U690" s="427"/>
      <c r="V690" s="426"/>
      <c r="W690" s="427"/>
      <c r="X690" s="431"/>
      <c r="Y690" s="432"/>
      <c r="Z690" s="429" t="str">
        <f>IFERROR(IF(Z686="","",SUM(Z686:Z689)),0)</f>
        <v/>
      </c>
    </row>
    <row r="691" spans="4:26" ht="18.75" customHeight="1">
      <c r="D691" s="177" t="s">
        <v>243</v>
      </c>
      <c r="E691" s="433"/>
      <c r="F691" s="436"/>
      <c r="G691" s="435"/>
      <c r="H691" s="436"/>
      <c r="I691" s="432"/>
      <c r="J691" s="437" t="str">
        <f ca="1">IF(J690="","",J690*12)</f>
        <v/>
      </c>
      <c r="K691" s="1"/>
      <c r="L691" s="433"/>
      <c r="M691" s="436"/>
      <c r="N691" s="435"/>
      <c r="O691" s="436"/>
      <c r="P691" s="432"/>
      <c r="Q691" s="432"/>
      <c r="R691" s="437" t="str">
        <f>IF(R690="","",R690*12)</f>
        <v/>
      </c>
      <c r="T691" s="433"/>
      <c r="U691" s="436"/>
      <c r="V691" s="435"/>
      <c r="W691" s="436"/>
      <c r="X691" s="432"/>
      <c r="Y691" s="432"/>
      <c r="Z691" s="437" t="str">
        <f>IF(Z690="","",Z690*12)</f>
        <v/>
      </c>
    </row>
    <row r="692" spans="4:26" ht="18.75" customHeight="1">
      <c r="D692" s="177" t="s">
        <v>244</v>
      </c>
      <c r="E692" s="433"/>
      <c r="F692" s="436"/>
      <c r="G692" s="435"/>
      <c r="H692" s="436"/>
      <c r="I692" s="432"/>
      <c r="J692" s="437"/>
      <c r="K692" s="1"/>
      <c r="L692" s="433"/>
      <c r="M692" s="436"/>
      <c r="N692" s="435"/>
      <c r="O692" s="436"/>
      <c r="P692" s="432"/>
      <c r="Q692" s="432"/>
      <c r="R692" s="437" t="str">
        <f ca="1">IFERROR(IF(J691="","",R691-J691),0)</f>
        <v/>
      </c>
      <c r="T692" s="433"/>
      <c r="U692" s="436"/>
      <c r="V692" s="435"/>
      <c r="W692" s="436"/>
      <c r="X692" s="432"/>
      <c r="Y692" s="432"/>
      <c r="Z692" s="437" t="str">
        <f>IFERROR(IF(R691="","",Z691-R691),0)</f>
        <v/>
      </c>
    </row>
    <row r="693" spans="4:26" ht="18.75" customHeight="1" thickBot="1">
      <c r="D693" s="180" t="s">
        <v>245</v>
      </c>
      <c r="E693" s="439"/>
      <c r="F693" s="440"/>
      <c r="G693" s="441"/>
      <c r="H693" s="440"/>
      <c r="I693" s="442"/>
      <c r="J693" s="437"/>
      <c r="K693" s="1"/>
      <c r="L693" s="439"/>
      <c r="M693" s="440"/>
      <c r="N693" s="441"/>
      <c r="O693" s="440"/>
      <c r="P693" s="445"/>
      <c r="Q693" s="445"/>
      <c r="R693" s="453" t="str">
        <f ca="1">IFERROR(IF(J691="","",(R691/J691)-1),0)</f>
        <v/>
      </c>
      <c r="T693" s="439"/>
      <c r="U693" s="440"/>
      <c r="V693" s="441"/>
      <c r="W693" s="440"/>
      <c r="X693" s="445"/>
      <c r="Y693" s="445"/>
      <c r="Z693" s="446" t="str">
        <f>IFERROR(IF(R691="","",(Z691/R691)-1),0)</f>
        <v/>
      </c>
    </row>
    <row r="694" spans="4:26" ht="5.25" customHeight="1" thickBot="1">
      <c r="D694" s="229"/>
      <c r="E694" s="229"/>
      <c r="F694" s="230"/>
      <c r="G694" s="231"/>
      <c r="H694" s="232"/>
      <c r="I694" s="233"/>
      <c r="J694" s="233"/>
      <c r="K694"/>
      <c r="L694" s="233"/>
      <c r="M694" s="233"/>
      <c r="N694" s="233"/>
      <c r="O694" s="233"/>
      <c r="P694" s="233"/>
      <c r="Q694" s="233"/>
      <c r="R694" s="233"/>
      <c r="T694" s="233"/>
      <c r="U694" s="233"/>
      <c r="V694" s="233"/>
      <c r="W694" s="233"/>
      <c r="X694" s="233"/>
      <c r="Y694" s="233"/>
      <c r="Z694" s="233"/>
    </row>
    <row r="695" spans="1:26" ht="50.15" customHeight="1">
      <c r="A695" s="140">
        <v>4</v>
      </c>
      <c r="B695" s="140">
        <f>IF(A695&gt;Class1_CurrentDentalCount,"DELETE",Class1_CurrentDentalStart+A695)</f>
        <v>13</v>
      </c>
      <c r="C695" s="164" t="s">
        <v>292</v>
      </c>
      <c r="D695" s="273" t="e">
        <f ca="1">IF(B695="Delete","",VLOOKUP(F695,BEGIN_CURRENT_DENTAL:END_CURRENT_DENTAL,3,FALSE))</f>
        <v>#N/A</v>
      </c>
      <c r="E695" s="165"/>
      <c r="F695" s="272" t="str" cm="1">
        <f t="array" ca="1" aca="1" ref="F695">IF(B695="Delete","",INDIRECT("CurrentPlans!A"&amp;B695,TRUE))</f>
        <v>PrimaryKey</v>
      </c>
      <c r="G695" s="166"/>
      <c r="H695" s="167"/>
      <c r="I695" s="168"/>
      <c r="J695" s="169"/>
      <c r="K695"/>
      <c r="L695" s="274" t="str">
        <f ca="1">_xlfn.IFNA(VLOOKUP(F695,BEGIN_RENEWEDFROM_DENTAL:ROW_RenewDental_PlanID,3,FALSE),"SELECT PLAN")</f>
        <v>SELECT PLAN</v>
      </c>
      <c r="M695" s="170"/>
      <c r="N695" s="274" t="s">
        <v>237</v>
      </c>
      <c r="O695" s="171"/>
      <c r="P695" s="171"/>
      <c r="Q695" s="171"/>
      <c r="R695" s="169"/>
      <c r="T695" s="274" t="s">
        <v>38</v>
      </c>
      <c r="U695" s="170"/>
      <c r="V695" s="274" t="s">
        <v>237</v>
      </c>
      <c r="W695" s="171"/>
      <c r="X695" s="171"/>
      <c r="Y695" s="171"/>
      <c r="Z695" s="169"/>
    </row>
    <row r="696" spans="4:26" ht="18.75" customHeight="1">
      <c r="D696" s="172" t="s">
        <v>238</v>
      </c>
      <c r="E696" s="407" t="str">
        <f ca="1">_xlfn.IFNA(VLOOKUP(F695,BEGIN_CURRENT_DENTAL:END_CURRENT_DENTAL,CURRENT_COL_EO_count,FALSE),"")</f>
        <v/>
      </c>
      <c r="F696" s="408" t="str">
        <f ca="1">_xlfn.IFNA(VLOOKUP(F695,BEGIN_CURRENT_DENTAL:END_CURRENT_DENTAL,CURRENT_COL_EO,FALSE),"")</f>
        <v/>
      </c>
      <c r="G696" s="468" t="str">
        <f ca="1" t="shared" si="82" ref="G696:G699">IF(F696="","",H696/F696)</f>
        <v/>
      </c>
      <c r="H696" s="408" t="str">
        <f ca="1">_xlfn.IFNA(VLOOKUP(F695,BEGIN_CURRENT_DENTAL:END_CURRENT_DENTAL,CURRENT_COL_EOContrib,FALSE),"")</f>
        <v/>
      </c>
      <c r="I696" s="409" t="str">
        <f ca="1">IFERROR(F696-H696,"")</f>
        <v/>
      </c>
      <c r="J696" s="410" t="str">
        <f ca="1">IF(F696="","",H696*E696)</f>
        <v/>
      </c>
      <c r="K696" s="411"/>
      <c r="L696" s="408" t="str" cm="1">
        <f t="array" ca="1" aca="1" ref="L696">_xlfn.IFNA(VLOOKUP(INDIRECT("L"&amp;ROW()-1)&amp;"_"&amp;$D$12,BEGIN_Renew_Dental:END_RENEW_DENTAL,RENEW_COL_EO,FALSE),"")</f>
        <v/>
      </c>
      <c r="M696" s="412" t="str">
        <f ca="1">IF(E696="","",E696)</f>
        <v/>
      </c>
      <c r="N696" s="413"/>
      <c r="O696" s="414"/>
      <c r="P696" s="415" t="str">
        <f>IFERROR(IF($N695="Keep Contribution Same",H696,IF($N695="Enter Percentages",IF(N696="","",N696*L696),IF($N695="Keep Percentage Same",IF(G696="","",G696*L696),IF($N695="Enter Dollar Amount",IF(O696="","",O696),"")))),"")</f>
        <v/>
      </c>
      <c r="Q696" s="408" t="str">
        <f ca="1">IFERROR(L696-P696,"")</f>
        <v/>
      </c>
      <c r="R696" s="410" t="str">
        <f>IFERROR(IF(P696="","",M696*P696),"")</f>
        <v/>
      </c>
      <c r="S696" s="411"/>
      <c r="T696" s="408" t="str" cm="1">
        <f t="array" ca="1" aca="1" ref="T696">_xlfn.IFNA(VLOOKUP(INDIRECT("T"&amp;ROW()-1)&amp;"_"&amp;$D$12,BEGIN_Renew_Dental:END_RENEW_DENTAL,RENEW_COL_EO,FALSE),"")</f>
        <v/>
      </c>
      <c r="U696" s="412" t="str">
        <f ca="1">IF(E696="","",E696)</f>
        <v/>
      </c>
      <c r="V696" s="413"/>
      <c r="W696" s="414"/>
      <c r="X696" s="415" t="str">
        <f>IFERROR(IF($V695="Keep Contribution Same",H696,IF($V695="Enter Percentages",IF(V696="","",V696*T696),IF($V695="Keep Percentage Same",IF(G696="","",G696*T696),IF($V695="Enter Dollar Amount",IF(W696="","",W696),"")))),"")</f>
        <v/>
      </c>
      <c r="Y696" s="408" t="str">
        <f ca="1">IFERROR(T696-X696,"")</f>
        <v/>
      </c>
      <c r="Z696" s="410" t="str">
        <f>IFERROR(IF(X696="","",U696*X696),"")</f>
        <v/>
      </c>
    </row>
    <row r="697" spans="4:26" ht="18.75" customHeight="1">
      <c r="D697" s="172" t="s">
        <v>239</v>
      </c>
      <c r="E697" s="407" t="str">
        <f ca="1">_xlfn.IFNA(VLOOKUP(F695,BEGIN_CURRENT_DENTAL:END_CURRENT_DENTAL,CURRENT_COL_ES_count,FALSE),"")</f>
        <v/>
      </c>
      <c r="F697" s="408" t="str">
        <f ca="1">_xlfn.IFNA(VLOOKUP(F695,BEGIN_CURRENT_DENTAL:END_CURRENT_DENTAL,CURRENT_COL_ES,FALSE),"")</f>
        <v/>
      </c>
      <c r="G697" s="468" t="str">
        <f t="shared" ca="1" si="82"/>
        <v/>
      </c>
      <c r="H697" s="408" t="str">
        <f ca="1">_xlfn.IFNA(VLOOKUP(F695,BEGIN_CURRENT_DENTAL:END_CURRENT_DENTAL,CURRENT_COL_ESContrib,FALSE),"")</f>
        <v/>
      </c>
      <c r="I697" s="409" t="str">
        <f ca="1" t="shared" si="83" ref="I697:I699">IFERROR(F697-H697,"")</f>
        <v/>
      </c>
      <c r="J697" s="410" t="str">
        <f ca="1">IF(F697="","",H697*E697)</f>
        <v/>
      </c>
      <c r="K697" s="411"/>
      <c r="L697" s="408" t="str" cm="1">
        <f t="array" ca="1" aca="1" ref="L697">_xlfn.IFNA(VLOOKUP(INDIRECT("L"&amp;ROW()-2)&amp;"_"&amp;$D$12,BEGIN_Renew_Dental:END_RENEW_DENTAL,RENEW_COL_ES,FALSE),"")</f>
        <v/>
      </c>
      <c r="M697" s="412" t="str">
        <f ca="1">IF(E697="","",E697)</f>
        <v/>
      </c>
      <c r="N697" s="413"/>
      <c r="O697" s="414"/>
      <c r="P697" s="415" t="str">
        <f>IFERROR(IF($N695="Keep Contribution Same",H697,IF($N695="Enter Percentages",IF(N697="","",N697*L697),IF($N695="Keep Percentage Same",IF(G697="","",G697*L697),IF($N695="Enter Dollar Amount",IF(O697="","",O697),"")))),"")</f>
        <v/>
      </c>
      <c r="Q697" s="408" t="str">
        <f ca="1">IFERROR(L697-P697,"")</f>
        <v/>
      </c>
      <c r="R697" s="410" t="str">
        <f>IFERROR(IF(P697="","",M697*P697),"")</f>
        <v/>
      </c>
      <c r="S697" s="411"/>
      <c r="T697" s="408" t="str" cm="1">
        <f t="array" ca="1" aca="1" ref="T697">_xlfn.IFNA(VLOOKUP(INDIRECT("T"&amp;ROW()-2)&amp;"_"&amp;$D$12,BEGIN_Renew_Dental:END_RENEW_DENTAL,RENEW_COL_ES,FALSE),"")</f>
        <v/>
      </c>
      <c r="U697" s="412" t="str">
        <f ca="1" t="shared" si="84" ref="U697:U699">IF(E697="","",E697)</f>
        <v/>
      </c>
      <c r="V697" s="413"/>
      <c r="W697" s="414"/>
      <c r="X697" s="415" t="str">
        <f>IFERROR(IF($V695="Keep Contribution Same",H697,IF($V695="Enter Percentages",IF(V697="","",V697*T697),IF($V695="Keep Percentage Same",IF(G697="","",G697*T697),IF($V695="Enter Dollar Amount",IF(W697="","",W697),"")))),"")</f>
        <v/>
      </c>
      <c r="Y697" s="408" t="str">
        <f ca="1" t="shared" si="85" ref="Y697:Y699">IFERROR(T697-X697,"")</f>
        <v/>
      </c>
      <c r="Z697" s="410" t="str">
        <f t="shared" si="86" ref="Z697:Z699">IFERROR(IF(X697="","",U697*X697),"")</f>
        <v/>
      </c>
    </row>
    <row r="698" spans="4:26" ht="18.75" customHeight="1">
      <c r="D698" s="172" t="s">
        <v>240</v>
      </c>
      <c r="E698" s="407" t="str">
        <f ca="1">_xlfn.IFNA(VLOOKUP(F695,BEGIN_CURRENT_DENTAL:END_CURRENT_DENTAL,CURRENT_COL_EC_count,FALSE),"")</f>
        <v/>
      </c>
      <c r="F698" s="408" t="str">
        <f ca="1">_xlfn.IFNA(VLOOKUP(F695,BEGIN_CURRENT_DENTAL:END_CURRENT_DENTAL,CURRENT_COL_EC,FALSE),"")</f>
        <v/>
      </c>
      <c r="G698" s="468" t="str">
        <f t="shared" ca="1" si="82"/>
        <v/>
      </c>
      <c r="H698" s="408" t="str">
        <f ca="1">_xlfn.IFNA(VLOOKUP(F695,BEGIN_CURRENT_DENTAL:END_CURRENT_DENTAL,CURRENT_COL_ECContrib,FALSE),"")</f>
        <v/>
      </c>
      <c r="I698" s="409" t="str">
        <f t="shared" ca="1" si="83"/>
        <v/>
      </c>
      <c r="J698" s="410" t="str">
        <f ca="1">IF(F698="","",H698*E698)</f>
        <v/>
      </c>
      <c r="K698" s="411"/>
      <c r="L698" s="408" t="str" cm="1">
        <f t="array" ca="1" aca="1" ref="L698">_xlfn.IFNA(VLOOKUP(INDIRECT("L"&amp;ROW()-3)&amp;"_"&amp;$D$12,BEGIN_Renew_Dental:END_RENEW_DENTAL,RENEW_COL_EC,FALSE),"")</f>
        <v/>
      </c>
      <c r="M698" s="412" t="str">
        <f ca="1">IF(E698="","",E698)</f>
        <v/>
      </c>
      <c r="N698" s="413"/>
      <c r="O698" s="414"/>
      <c r="P698" s="415" t="str">
        <f>IFERROR(IF($N695="Keep Contribution Same",H698,IF($N695="Enter Percentages",IF(N698="","",N698*L698),IF($N695="Keep Percentage Same",IF(G698="","",G698*L698),IF($N695="Enter Dollar Amount",IF(O698="","",O698),"")))),"")</f>
        <v/>
      </c>
      <c r="Q698" s="408" t="str">
        <f ca="1">IFERROR(L698-P698,"")</f>
        <v/>
      </c>
      <c r="R698" s="410" t="str">
        <f>IFERROR(IF(P698="","",M698*P698),"")</f>
        <v/>
      </c>
      <c r="S698" s="411"/>
      <c r="T698" s="408" t="str" cm="1">
        <f t="array" ca="1" aca="1" ref="T698">_xlfn.IFNA(VLOOKUP(INDIRECT("T"&amp;ROW()-3)&amp;"_"&amp;$D$12,BEGIN_Renew_Dental:END_RENEW_DENTAL,RENEW_COL_EC,FALSE),"")</f>
        <v/>
      </c>
      <c r="U698" s="412" t="str">
        <f t="shared" ca="1" si="84"/>
        <v/>
      </c>
      <c r="V698" s="413"/>
      <c r="W698" s="414"/>
      <c r="X698" s="415" t="str">
        <f>IFERROR(IF($V695="Keep Contribution Same",H698,IF($V695="Enter Percentages",IF(V698="","",V698*T698),IF($V695="Keep Percentage Same",IF(G698="","",G698*T698),IF($V695="Enter Dollar Amount",IF(W698="","",W698),"")))),"")</f>
        <v/>
      </c>
      <c r="Y698" s="408" t="str">
        <f t="shared" ca="1" si="85"/>
        <v/>
      </c>
      <c r="Z698" s="410" t="str">
        <f t="shared" si="86"/>
        <v/>
      </c>
    </row>
    <row r="699" spans="4:26" ht="18.75" customHeight="1" thickBot="1">
      <c r="D699" s="174" t="s">
        <v>241</v>
      </c>
      <c r="E699" s="416" t="str">
        <f ca="1">_xlfn.IFNA(VLOOKUP(F695,BEGIN_CURRENT_DENTAL:END_CURRENT_DENTAL,CURRENT_COL_FAM_count,FALSE),"")</f>
        <v/>
      </c>
      <c r="F699" s="417" t="str">
        <f ca="1">_xlfn.IFNA(VLOOKUP(F695,BEGIN_CURRENT_DENTAL:END_CURRENT_DENTAL,CURRENT_COL_FAM,FALSE),"")</f>
        <v/>
      </c>
      <c r="G699" s="469" t="str">
        <f t="shared" ca="1" si="82"/>
        <v/>
      </c>
      <c r="H699" s="417" t="str">
        <f ca="1">_xlfn.IFNA(VLOOKUP(F695,BEGIN_CURRENT_DENTAL:END_CURRENT_DENTAL,CURRENT_COL_FAMContrib,FALSE),"")</f>
        <v/>
      </c>
      <c r="I699" s="418" t="str">
        <f t="shared" ca="1" si="83"/>
        <v/>
      </c>
      <c r="J699" s="419" t="str">
        <f ca="1">IF(F699="","",H699*E699)</f>
        <v/>
      </c>
      <c r="K699" s="411"/>
      <c r="L699" s="417" t="str" cm="1">
        <f t="array" ca="1" aca="1" ref="L699">_xlfn.IFNA(VLOOKUP(INDIRECT("L"&amp;ROW()-4)&amp;"_"&amp;$D$12,BEGIN_Renew_Dental:END_RENEW_DENTAL,RENEW_COL_FAM,FALSE),"")</f>
        <v/>
      </c>
      <c r="M699" s="423" t="str">
        <f ca="1">IF(E699="","",E699)</f>
        <v/>
      </c>
      <c r="N699" s="420"/>
      <c r="O699" s="421"/>
      <c r="P699" s="422" t="str">
        <f>IFERROR(IF($N695="Keep Contribution Same",H699,IF($N695="Enter Percentages",IF(N699="","",N699*L699),IF($N695="Keep Percentage Same",IF(G699="","",G699*L699),IF($N695="Enter Dollar Amount",IF(O699="","",O699),"")))),"")</f>
        <v/>
      </c>
      <c r="Q699" s="417" t="str">
        <f ca="1">IFERROR(L699-P699,"")</f>
        <v/>
      </c>
      <c r="R699" s="419" t="str">
        <f>IFERROR(IF(P699="","",M699*P699),"")</f>
        <v/>
      </c>
      <c r="S699" s="411"/>
      <c r="T699" s="417" t="str" cm="1">
        <f t="array" ca="1" aca="1" ref="T699">_xlfn.IFNA(VLOOKUP(INDIRECT("T"&amp;ROW()-4)&amp;"_"&amp;$D$12,BEGIN_Renew_Dental:END_RENEW_DENTAL,RENEW_COL_FAM,FALSE),"")</f>
        <v/>
      </c>
      <c r="U699" s="423" t="str">
        <f t="shared" ca="1" si="84"/>
        <v/>
      </c>
      <c r="V699" s="420"/>
      <c r="W699" s="421"/>
      <c r="X699" s="422" t="str">
        <f>IFERROR(IF($V695="Keep Contribution Same",H699,IF($V695="Enter Percentages",IF(V699="","",V699*T699),IF($V695="Keep Percentage Same",IF(G699="","",G699*T699),IF($V695="Enter Dollar Amount",IF(W699="","",W699),"")))),"")</f>
        <v/>
      </c>
      <c r="Y699" s="417" t="str">
        <f t="shared" ca="1" si="85"/>
        <v/>
      </c>
      <c r="Z699" s="419" t="str">
        <f t="shared" si="86"/>
        <v/>
      </c>
    </row>
    <row r="700" spans="4:26" ht="18.75" customHeight="1" thickTop="1">
      <c r="D700" s="175" t="s">
        <v>242</v>
      </c>
      <c r="E700" s="424"/>
      <c r="F700" s="427"/>
      <c r="G700" s="426"/>
      <c r="H700" s="427"/>
      <c r="I700" s="428"/>
      <c r="J700" s="429" t="str">
        <f ca="1">IFERROR(IF(J696="","",SUM(J696:J699)),0)</f>
        <v/>
      </c>
      <c r="K700" s="1"/>
      <c r="L700" s="424"/>
      <c r="M700" s="427"/>
      <c r="N700" s="426"/>
      <c r="O700" s="427"/>
      <c r="P700" s="431"/>
      <c r="Q700" s="432"/>
      <c r="R700" s="429" t="str">
        <f>IFERROR(IF(R696="","",SUM(R696:R699)),0)</f>
        <v/>
      </c>
      <c r="T700" s="424"/>
      <c r="U700" s="427"/>
      <c r="V700" s="426"/>
      <c r="W700" s="427"/>
      <c r="X700" s="431"/>
      <c r="Y700" s="432"/>
      <c r="Z700" s="429" t="str">
        <f>IFERROR(IF(Z696="","",SUM(Z696:Z699)),0)</f>
        <v/>
      </c>
    </row>
    <row r="701" spans="4:26" ht="18.75" customHeight="1">
      <c r="D701" s="177" t="s">
        <v>243</v>
      </c>
      <c r="E701" s="433"/>
      <c r="F701" s="436"/>
      <c r="G701" s="435"/>
      <c r="H701" s="436"/>
      <c r="I701" s="432"/>
      <c r="J701" s="437" t="str">
        <f ca="1">IF(J700="","",J700*12)</f>
        <v/>
      </c>
      <c r="K701" s="1"/>
      <c r="L701" s="433"/>
      <c r="M701" s="436"/>
      <c r="N701" s="435"/>
      <c r="O701" s="436"/>
      <c r="P701" s="432"/>
      <c r="Q701" s="432"/>
      <c r="R701" s="437" t="str">
        <f>IF(R700="","",R700*12)</f>
        <v/>
      </c>
      <c r="T701" s="433"/>
      <c r="U701" s="436"/>
      <c r="V701" s="435"/>
      <c r="W701" s="436"/>
      <c r="X701" s="432"/>
      <c r="Y701" s="432"/>
      <c r="Z701" s="437" t="str">
        <f>IF(Z700="","",Z700*12)</f>
        <v/>
      </c>
    </row>
    <row r="702" spans="4:26" ht="18.75" customHeight="1">
      <c r="D702" s="177" t="s">
        <v>244</v>
      </c>
      <c r="E702" s="433"/>
      <c r="F702" s="436"/>
      <c r="G702" s="435"/>
      <c r="H702" s="436"/>
      <c r="I702" s="432"/>
      <c r="J702" s="437"/>
      <c r="K702" s="1"/>
      <c r="L702" s="433"/>
      <c r="M702" s="436"/>
      <c r="N702" s="435"/>
      <c r="O702" s="436"/>
      <c r="P702" s="432"/>
      <c r="Q702" s="432"/>
      <c r="R702" s="437" t="str">
        <f ca="1">IFERROR(IF(J701="","",R701-J701),0)</f>
        <v/>
      </c>
      <c r="T702" s="433"/>
      <c r="U702" s="436"/>
      <c r="V702" s="435"/>
      <c r="W702" s="436"/>
      <c r="X702" s="432"/>
      <c r="Y702" s="432"/>
      <c r="Z702" s="437" t="str">
        <f>IFERROR(IF(R701="","",Z701-R701),0)</f>
        <v/>
      </c>
    </row>
    <row r="703" spans="4:26" ht="18.75" customHeight="1" thickBot="1">
      <c r="D703" s="180" t="s">
        <v>245</v>
      </c>
      <c r="E703" s="439"/>
      <c r="F703" s="440"/>
      <c r="G703" s="441"/>
      <c r="H703" s="440"/>
      <c r="I703" s="442"/>
      <c r="J703" s="437"/>
      <c r="K703" s="1"/>
      <c r="L703" s="439"/>
      <c r="M703" s="440"/>
      <c r="N703" s="441"/>
      <c r="O703" s="440"/>
      <c r="P703" s="445"/>
      <c r="Q703" s="445"/>
      <c r="R703" s="453" t="str">
        <f ca="1">IFERROR(IF(J701="","",(R701/J701)-1),0)</f>
        <v/>
      </c>
      <c r="T703" s="439"/>
      <c r="U703" s="440"/>
      <c r="V703" s="441"/>
      <c r="W703" s="440"/>
      <c r="X703" s="445"/>
      <c r="Y703" s="445"/>
      <c r="Z703" s="446" t="str">
        <f>IFERROR(IF(R701="","",(Z701/R701)-1),0)</f>
        <v/>
      </c>
    </row>
    <row r="704" spans="4:26" ht="5.25" customHeight="1" thickBot="1">
      <c r="D704" s="229"/>
      <c r="E704" s="229"/>
      <c r="F704" s="230"/>
      <c r="G704" s="231"/>
      <c r="H704" s="232"/>
      <c r="I704" s="233"/>
      <c r="J704" s="233"/>
      <c r="K704"/>
      <c r="L704" s="233"/>
      <c r="M704" s="233"/>
      <c r="N704" s="233"/>
      <c r="O704" s="233"/>
      <c r="P704" s="233"/>
      <c r="Q704" s="233"/>
      <c r="R704" s="233"/>
      <c r="T704" s="233"/>
      <c r="U704" s="233"/>
      <c r="V704" s="233"/>
      <c r="W704" s="233"/>
      <c r="X704" s="233"/>
      <c r="Y704" s="233"/>
      <c r="Z704" s="233"/>
    </row>
    <row r="705" spans="1:26" ht="50.15" customHeight="1">
      <c r="A705" s="140">
        <v>5</v>
      </c>
      <c r="B705" s="140">
        <f>IF(A705&gt;Class1_CurrentDentalCount,"DELETE",Class1_CurrentDentalStart+A705)</f>
        <v>14</v>
      </c>
      <c r="C705" s="164" t="s">
        <v>293</v>
      </c>
      <c r="D705" s="273" t="e">
        <f ca="1">IF(B705="Delete","",VLOOKUP(F705,BEGIN_CURRENT_DENTAL:END_CURRENT_DENTAL,3,FALSE))</f>
        <v>#N/A</v>
      </c>
      <c r="E705" s="165"/>
      <c r="F705" s="272" cm="1">
        <f t="array" ca="1" aca="1" ref="F705">IF(B705="Delete","",INDIRECT("CurrentPlans!A"&amp;B705,TRUE))</f>
        <v>0</v>
      </c>
      <c r="G705" s="166"/>
      <c r="H705" s="167"/>
      <c r="I705" s="168"/>
      <c r="J705" s="169"/>
      <c r="K705"/>
      <c r="L705" s="274" t="str">
        <f ca="1">_xlfn.IFNA(VLOOKUP(F705,BEGIN_RENEWEDFROM_DENTAL:ROW_RenewDental_PlanID,3,FALSE),"SELECT PLAN")</f>
        <v>SELECT PLAN</v>
      </c>
      <c r="M705" s="170"/>
      <c r="N705" s="274" t="s">
        <v>237</v>
      </c>
      <c r="O705" s="171"/>
      <c r="P705" s="171"/>
      <c r="Q705" s="171"/>
      <c r="R705" s="169"/>
      <c r="T705" s="274" t="s">
        <v>38</v>
      </c>
      <c r="U705" s="170"/>
      <c r="V705" s="274" t="s">
        <v>237</v>
      </c>
      <c r="W705" s="171"/>
      <c r="X705" s="171"/>
      <c r="Y705" s="171"/>
      <c r="Z705" s="169"/>
    </row>
    <row r="706" spans="4:26" ht="18.75" customHeight="1">
      <c r="D706" s="172" t="s">
        <v>238</v>
      </c>
      <c r="E706" s="407" t="str">
        <f ca="1">_xlfn.IFNA(VLOOKUP(F705,BEGIN_CURRENT_DENTAL:END_CURRENT_DENTAL,CURRENT_COL_EO_count,FALSE),"")</f>
        <v/>
      </c>
      <c r="F706" s="408" t="str">
        <f ca="1">_xlfn.IFNA(VLOOKUP(F705,BEGIN_CURRENT_DENTAL:END_CURRENT_DENTAL,CURRENT_COL_EO,FALSE),"")</f>
        <v/>
      </c>
      <c r="G706" s="468" t="str">
        <f ca="1" t="shared" si="87" ref="G706:G709">IF(F706="","",H706/F706)</f>
        <v/>
      </c>
      <c r="H706" s="408" t="str">
        <f ca="1">_xlfn.IFNA(VLOOKUP(F705,BEGIN_CURRENT_DENTAL:END_CURRENT_DENTAL,CURRENT_COL_EOContrib,FALSE),"")</f>
        <v/>
      </c>
      <c r="I706" s="409" t="str">
        <f ca="1">IFERROR(F706-H706,"")</f>
        <v/>
      </c>
      <c r="J706" s="410" t="str">
        <f ca="1">IF(F706="","",H706*E706)</f>
        <v/>
      </c>
      <c r="K706" s="411"/>
      <c r="L706" s="408" t="str" cm="1">
        <f t="array" ca="1" aca="1" ref="L706">_xlfn.IFNA(VLOOKUP(INDIRECT("L"&amp;ROW()-1)&amp;"_"&amp;$D$12,BEGIN_Renew_Dental:END_RENEW_DENTAL,RENEW_COL_EO,FALSE),"")</f>
        <v/>
      </c>
      <c r="M706" s="412" t="str">
        <f ca="1">IF(E706="","",E706)</f>
        <v/>
      </c>
      <c r="N706" s="413"/>
      <c r="O706" s="414"/>
      <c r="P706" s="415" t="str">
        <f>IFERROR(IF($N705="Keep Contribution Same",H706,IF($N705="Enter Percentages",IF(N706="","",N706*L706),IF($N705="Keep Percentage Same",IF(G706="","",G706*L706),IF($N705="Enter Dollar Amount",IF(O706="","",O706),"")))),"")</f>
        <v/>
      </c>
      <c r="Q706" s="408" t="str">
        <f ca="1">IFERROR(L706-P706,"")</f>
        <v/>
      </c>
      <c r="R706" s="410" t="str">
        <f>IFERROR(IF(P706="","",M706*P706),"")</f>
        <v/>
      </c>
      <c r="S706" s="411"/>
      <c r="T706" s="408" t="str" cm="1">
        <f t="array" ca="1" aca="1" ref="T706">_xlfn.IFNA(VLOOKUP(INDIRECT("T"&amp;ROW()-1)&amp;"_"&amp;$D$12,BEGIN_Renew_Dental:END_RENEW_DENTAL,RENEW_COL_EO,FALSE),"")</f>
        <v/>
      </c>
      <c r="U706" s="412" t="str">
        <f ca="1">IF(E706="","",E706)</f>
        <v/>
      </c>
      <c r="V706" s="413"/>
      <c r="W706" s="414"/>
      <c r="X706" s="415" t="str">
        <f>IFERROR(IF($V705="Keep Contribution Same",H706,IF($V705="Enter Percentages",IF(V706="","",V706*T706),IF($V705="Keep Percentage Same",IF(G706="","",G706*T706),IF($V705="Enter Dollar Amount",IF(W706="","",W706),"")))),"")</f>
        <v/>
      </c>
      <c r="Y706" s="408" t="str">
        <f ca="1">IFERROR(T706-X706,"")</f>
        <v/>
      </c>
      <c r="Z706" s="410" t="str">
        <f>IFERROR(IF(X706="","",U706*X706),"")</f>
        <v/>
      </c>
    </row>
    <row r="707" spans="4:26" ht="18.75" customHeight="1">
      <c r="D707" s="172" t="s">
        <v>239</v>
      </c>
      <c r="E707" s="407" t="str">
        <f ca="1">_xlfn.IFNA(VLOOKUP(F705,BEGIN_CURRENT_DENTAL:END_CURRENT_DENTAL,CURRENT_COL_ES_count,FALSE),"")</f>
        <v/>
      </c>
      <c r="F707" s="408" t="str">
        <f ca="1">_xlfn.IFNA(VLOOKUP(F705,BEGIN_CURRENT_DENTAL:END_CURRENT_DENTAL,CURRENT_COL_ES,FALSE),"")</f>
        <v/>
      </c>
      <c r="G707" s="468" t="str">
        <f t="shared" ca="1" si="87"/>
        <v/>
      </c>
      <c r="H707" s="408" t="str">
        <f ca="1">_xlfn.IFNA(VLOOKUP(F705,BEGIN_CURRENT_DENTAL:END_CURRENT_DENTAL,CURRENT_COL_ESContrib,FALSE),"")</f>
        <v/>
      </c>
      <c r="I707" s="409" t="str">
        <f ca="1" t="shared" si="88" ref="I707:I709">IFERROR(F707-H707,"")</f>
        <v/>
      </c>
      <c r="J707" s="410" t="str">
        <f ca="1">IF(F707="","",H707*E707)</f>
        <v/>
      </c>
      <c r="K707" s="411"/>
      <c r="L707" s="408" t="str" cm="1">
        <f t="array" ca="1" aca="1" ref="L707">_xlfn.IFNA(VLOOKUP(INDIRECT("L"&amp;ROW()-2)&amp;"_"&amp;$D$12,BEGIN_Renew_Dental:END_RENEW_DENTAL,RENEW_COL_ES,FALSE),"")</f>
        <v/>
      </c>
      <c r="M707" s="412" t="str">
        <f ca="1">IF(E707="","",E707)</f>
        <v/>
      </c>
      <c r="N707" s="413"/>
      <c r="O707" s="414"/>
      <c r="P707" s="415" t="str">
        <f>IFERROR(IF($N705="Keep Contribution Same",H707,IF($N705="Enter Percentages",IF(N707="","",N707*L707),IF($N705="Keep Percentage Same",IF(G707="","",G707*L707),IF($N705="Enter Dollar Amount",IF(O707="","",O707),"")))),"")</f>
        <v/>
      </c>
      <c r="Q707" s="408" t="str">
        <f ca="1">IFERROR(L707-P707,"")</f>
        <v/>
      </c>
      <c r="R707" s="410" t="str">
        <f>IFERROR(IF(P707="","",M707*P707),"")</f>
        <v/>
      </c>
      <c r="S707" s="411"/>
      <c r="T707" s="408" t="str" cm="1">
        <f t="array" ca="1" aca="1" ref="T707">_xlfn.IFNA(VLOOKUP(INDIRECT("T"&amp;ROW()-2)&amp;"_"&amp;$D$12,BEGIN_Renew_Dental:END_RENEW_DENTAL,RENEW_COL_ES,FALSE),"")</f>
        <v/>
      </c>
      <c r="U707" s="412" t="str">
        <f ca="1" t="shared" si="89" ref="U707:U709">IF(E707="","",E707)</f>
        <v/>
      </c>
      <c r="V707" s="413"/>
      <c r="W707" s="414"/>
      <c r="X707" s="415" t="str">
        <f>IFERROR(IF($V705="Keep Contribution Same",H707,IF($V705="Enter Percentages",IF(V707="","",V707*T707),IF($V705="Keep Percentage Same",IF(G707="","",G707*T707),IF($V705="Enter Dollar Amount",IF(W707="","",W707),"")))),"")</f>
        <v/>
      </c>
      <c r="Y707" s="408" t="str">
        <f ca="1" t="shared" si="90" ref="Y707:Y709">IFERROR(T707-X707,"")</f>
        <v/>
      </c>
      <c r="Z707" s="410" t="str">
        <f t="shared" si="91" ref="Z707:Z709">IFERROR(IF(X707="","",U707*X707),"")</f>
        <v/>
      </c>
    </row>
    <row r="708" spans="4:26" ht="18.75" customHeight="1">
      <c r="D708" s="172" t="s">
        <v>240</v>
      </c>
      <c r="E708" s="407" t="str">
        <f ca="1">_xlfn.IFNA(VLOOKUP(F705,BEGIN_CURRENT_DENTAL:END_CURRENT_DENTAL,CURRENT_COL_EC_count,FALSE),"")</f>
        <v/>
      </c>
      <c r="F708" s="408" t="str">
        <f ca="1">_xlfn.IFNA(VLOOKUP(F705,BEGIN_CURRENT_DENTAL:END_CURRENT_DENTAL,CURRENT_COL_EC,FALSE),"")</f>
        <v/>
      </c>
      <c r="G708" s="468" t="str">
        <f t="shared" ca="1" si="87"/>
        <v/>
      </c>
      <c r="H708" s="408" t="str">
        <f ca="1">_xlfn.IFNA(VLOOKUP(F705,BEGIN_CURRENT_DENTAL:END_CURRENT_DENTAL,CURRENT_COL_ECContrib,FALSE),"")</f>
        <v/>
      </c>
      <c r="I708" s="409" t="str">
        <f t="shared" ca="1" si="88"/>
        <v/>
      </c>
      <c r="J708" s="410" t="str">
        <f ca="1">IF(F708="","",H708*E708)</f>
        <v/>
      </c>
      <c r="K708" s="411"/>
      <c r="L708" s="408" t="str" cm="1">
        <f t="array" ca="1" aca="1" ref="L708">_xlfn.IFNA(VLOOKUP(INDIRECT("L"&amp;ROW()-3)&amp;"_"&amp;$D$12,BEGIN_Renew_Dental:END_RENEW_DENTAL,RENEW_COL_EC,FALSE),"")</f>
        <v/>
      </c>
      <c r="M708" s="412" t="str">
        <f ca="1">IF(E708="","",E708)</f>
        <v/>
      </c>
      <c r="N708" s="413"/>
      <c r="O708" s="414"/>
      <c r="P708" s="415" t="str">
        <f>IFERROR(IF($N705="Keep Contribution Same",H708,IF($N705="Enter Percentages",IF(N708="","",N708*L708),IF($N705="Keep Percentage Same",IF(G708="","",G708*L708),IF($N705="Enter Dollar Amount",IF(O708="","",O708),"")))),"")</f>
        <v/>
      </c>
      <c r="Q708" s="408" t="str">
        <f ca="1">IFERROR(L708-P708,"")</f>
        <v/>
      </c>
      <c r="R708" s="410" t="str">
        <f>IFERROR(IF(P708="","",M708*P708),"")</f>
        <v/>
      </c>
      <c r="S708" s="411"/>
      <c r="T708" s="408" t="str" cm="1">
        <f t="array" ca="1" aca="1" ref="T708">_xlfn.IFNA(VLOOKUP(INDIRECT("T"&amp;ROW()-3)&amp;"_"&amp;$D$12,BEGIN_Renew_Dental:END_RENEW_DENTAL,RENEW_COL_EC,FALSE),"")</f>
        <v/>
      </c>
      <c r="U708" s="412" t="str">
        <f t="shared" ca="1" si="89"/>
        <v/>
      </c>
      <c r="V708" s="413"/>
      <c r="W708" s="414"/>
      <c r="X708" s="415" t="str">
        <f>IFERROR(IF($V705="Keep Contribution Same",H708,IF($V705="Enter Percentages",IF(V708="","",V708*T708),IF($V705="Keep Percentage Same",IF(G708="","",G708*T708),IF($V705="Enter Dollar Amount",IF(W708="","",W708),"")))),"")</f>
        <v/>
      </c>
      <c r="Y708" s="408" t="str">
        <f t="shared" ca="1" si="90"/>
        <v/>
      </c>
      <c r="Z708" s="410" t="str">
        <f t="shared" si="91"/>
        <v/>
      </c>
    </row>
    <row r="709" spans="4:26" ht="18.75" customHeight="1" thickBot="1">
      <c r="D709" s="174" t="s">
        <v>241</v>
      </c>
      <c r="E709" s="416" t="str">
        <f ca="1">_xlfn.IFNA(VLOOKUP(F705,BEGIN_CURRENT_DENTAL:END_CURRENT_DENTAL,CURRENT_COL_FAM_count,FALSE),"")</f>
        <v/>
      </c>
      <c r="F709" s="417" t="str">
        <f ca="1">_xlfn.IFNA(VLOOKUP(F705,BEGIN_CURRENT_DENTAL:END_CURRENT_DENTAL,CURRENT_COL_FAM,FALSE),"")</f>
        <v/>
      </c>
      <c r="G709" s="469" t="str">
        <f t="shared" ca="1" si="87"/>
        <v/>
      </c>
      <c r="H709" s="417" t="str">
        <f ca="1">_xlfn.IFNA(VLOOKUP(F705,BEGIN_CURRENT_DENTAL:END_CURRENT_DENTAL,CURRENT_COL_FAMContrib,FALSE),"")</f>
        <v/>
      </c>
      <c r="I709" s="418" t="str">
        <f t="shared" ca="1" si="88"/>
        <v/>
      </c>
      <c r="J709" s="419" t="str">
        <f ca="1">IF(F709="","",H709*E709)</f>
        <v/>
      </c>
      <c r="K709" s="411"/>
      <c r="L709" s="417" t="str" cm="1">
        <f t="array" ca="1" aca="1" ref="L709">_xlfn.IFNA(VLOOKUP(INDIRECT("L"&amp;ROW()-4)&amp;"_"&amp;$D$12,BEGIN_Renew_Dental:END_RENEW_DENTAL,RENEW_COL_FAM,FALSE),"")</f>
        <v/>
      </c>
      <c r="M709" s="423" t="str">
        <f ca="1">IF(E709="","",E709)</f>
        <v/>
      </c>
      <c r="N709" s="420"/>
      <c r="O709" s="421"/>
      <c r="P709" s="422" t="str">
        <f>IFERROR(IF($N705="Keep Contribution Same",H709,IF($N705="Enter Percentages",IF(N709="","",N709*L709),IF($N705="Keep Percentage Same",IF(G709="","",G709*L709),IF($N705="Enter Dollar Amount",IF(O709="","",O709),"")))),"")</f>
        <v/>
      </c>
      <c r="Q709" s="417" t="str">
        <f ca="1">IFERROR(L709-P709,"")</f>
        <v/>
      </c>
      <c r="R709" s="419" t="str">
        <f>IFERROR(IF(P709="","",M709*P709),"")</f>
        <v/>
      </c>
      <c r="S709" s="411"/>
      <c r="T709" s="417" t="str" cm="1">
        <f t="array" ca="1" aca="1" ref="T709">_xlfn.IFNA(VLOOKUP(INDIRECT("T"&amp;ROW()-4)&amp;"_"&amp;$D$12,BEGIN_Renew_Dental:END_RENEW_DENTAL,RENEW_COL_FAM,FALSE),"")</f>
        <v/>
      </c>
      <c r="U709" s="423" t="str">
        <f t="shared" ca="1" si="89"/>
        <v/>
      </c>
      <c r="V709" s="420"/>
      <c r="W709" s="421"/>
      <c r="X709" s="422" t="str">
        <f>IFERROR(IF($V705="Keep Contribution Same",H709,IF($V705="Enter Percentages",IF(V709="","",V709*T709),IF($V705="Keep Percentage Same",IF(G709="","",G709*T709),IF($V705="Enter Dollar Amount",IF(W709="","",W709),"")))),"")</f>
        <v/>
      </c>
      <c r="Y709" s="417" t="str">
        <f t="shared" ca="1" si="90"/>
        <v/>
      </c>
      <c r="Z709" s="419" t="str">
        <f t="shared" si="91"/>
        <v/>
      </c>
    </row>
    <row r="710" spans="4:26" ht="18.75" customHeight="1" thickTop="1">
      <c r="D710" s="175" t="s">
        <v>242</v>
      </c>
      <c r="E710" s="424"/>
      <c r="F710" s="427"/>
      <c r="G710" s="426"/>
      <c r="H710" s="427"/>
      <c r="I710" s="428"/>
      <c r="J710" s="429" t="str">
        <f ca="1">IFERROR(IF(J706="","",SUM(J706:J709)),0)</f>
        <v/>
      </c>
      <c r="K710" s="1"/>
      <c r="L710" s="424"/>
      <c r="M710" s="427"/>
      <c r="N710" s="426"/>
      <c r="O710" s="427"/>
      <c r="P710" s="431"/>
      <c r="Q710" s="432"/>
      <c r="R710" s="429" t="str">
        <f>IFERROR(IF(R706="","",SUM(R706:R709)),0)</f>
        <v/>
      </c>
      <c r="T710" s="424"/>
      <c r="U710" s="427"/>
      <c r="V710" s="426"/>
      <c r="W710" s="427"/>
      <c r="X710" s="431"/>
      <c r="Y710" s="432"/>
      <c r="Z710" s="429" t="str">
        <f>IFERROR(IF(Z706="","",SUM(Z706:Z709)),0)</f>
        <v/>
      </c>
    </row>
    <row r="711" spans="4:26" ht="18.75" customHeight="1">
      <c r="D711" s="177" t="s">
        <v>243</v>
      </c>
      <c r="E711" s="433"/>
      <c r="F711" s="436"/>
      <c r="G711" s="435"/>
      <c r="H711" s="436"/>
      <c r="I711" s="432"/>
      <c r="J711" s="437" t="str">
        <f ca="1">IF(J710="","",J710*12)</f>
        <v/>
      </c>
      <c r="K711" s="1"/>
      <c r="L711" s="433"/>
      <c r="M711" s="436"/>
      <c r="N711" s="435"/>
      <c r="O711" s="436"/>
      <c r="P711" s="432"/>
      <c r="Q711" s="432"/>
      <c r="R711" s="437" t="str">
        <f>IF(R710="","",R710*12)</f>
        <v/>
      </c>
      <c r="T711" s="433"/>
      <c r="U711" s="436"/>
      <c r="V711" s="435"/>
      <c r="W711" s="436"/>
      <c r="X711" s="432"/>
      <c r="Y711" s="432"/>
      <c r="Z711" s="437" t="str">
        <f>IF(Z710="","",Z710*12)</f>
        <v/>
      </c>
    </row>
    <row r="712" spans="4:26" ht="18.75" customHeight="1">
      <c r="D712" s="177" t="s">
        <v>244</v>
      </c>
      <c r="E712" s="433"/>
      <c r="F712" s="436"/>
      <c r="G712" s="435"/>
      <c r="H712" s="436"/>
      <c r="I712" s="432"/>
      <c r="J712" s="437"/>
      <c r="K712" s="1"/>
      <c r="L712" s="433"/>
      <c r="M712" s="436"/>
      <c r="N712" s="435"/>
      <c r="O712" s="436"/>
      <c r="P712" s="432"/>
      <c r="Q712" s="432"/>
      <c r="R712" s="437" t="str">
        <f ca="1">IFERROR(IF(J711="","",R711-J711),0)</f>
        <v/>
      </c>
      <c r="T712" s="433"/>
      <c r="U712" s="436"/>
      <c r="V712" s="435"/>
      <c r="W712" s="436"/>
      <c r="X712" s="432"/>
      <c r="Y712" s="432"/>
      <c r="Z712" s="437" t="str">
        <f>IFERROR(IF(R711="","",Z711-R711),0)</f>
        <v/>
      </c>
    </row>
    <row r="713" spans="4:26" ht="18.75" customHeight="1" thickBot="1">
      <c r="D713" s="180" t="s">
        <v>245</v>
      </c>
      <c r="E713" s="439"/>
      <c r="F713" s="440"/>
      <c r="G713" s="441"/>
      <c r="H713" s="440"/>
      <c r="I713" s="442"/>
      <c r="J713" s="437"/>
      <c r="K713" s="1"/>
      <c r="L713" s="439"/>
      <c r="M713" s="440"/>
      <c r="N713" s="441"/>
      <c r="O713" s="440"/>
      <c r="P713" s="445"/>
      <c r="Q713" s="445"/>
      <c r="R713" s="453" t="str">
        <f ca="1">IFERROR(IF(J711="","",(R711/J711)-1),0)</f>
        <v/>
      </c>
      <c r="T713" s="439"/>
      <c r="U713" s="440"/>
      <c r="V713" s="441"/>
      <c r="W713" s="440"/>
      <c r="X713" s="445"/>
      <c r="Y713" s="445"/>
      <c r="Z713" s="446" t="str">
        <f>IFERROR(IF(R711="","",(Z711/R711)-1),0)</f>
        <v/>
      </c>
    </row>
    <row r="714" spans="4:26" ht="5.25" customHeight="1" thickBot="1">
      <c r="D714" s="229"/>
      <c r="E714" s="229"/>
      <c r="F714" s="230"/>
      <c r="G714" s="231"/>
      <c r="H714" s="232"/>
      <c r="I714" s="233"/>
      <c r="J714" s="233"/>
      <c r="K714"/>
      <c r="L714" s="233"/>
      <c r="M714" s="233"/>
      <c r="N714" s="233"/>
      <c r="O714" s="233"/>
      <c r="P714" s="233"/>
      <c r="Q714" s="233"/>
      <c r="R714" s="233"/>
      <c r="T714" s="233"/>
      <c r="U714" s="233"/>
      <c r="V714" s="233"/>
      <c r="W714" s="233"/>
      <c r="X714" s="233"/>
      <c r="Y714" s="233"/>
      <c r="Z714" s="233"/>
    </row>
    <row r="715" spans="3:26" ht="50.15" customHeight="1">
      <c r="C715" s="164" t="s">
        <v>294</v>
      </c>
      <c r="D715" s="275" t="s">
        <v>285</v>
      </c>
      <c r="E715" s="165"/>
      <c r="F715" s="272"/>
      <c r="G715" s="166"/>
      <c r="H715" s="167"/>
      <c r="I715" s="168"/>
      <c r="J715" s="169"/>
      <c r="K715"/>
      <c r="L715" s="274" t="s">
        <v>38</v>
      </c>
      <c r="M715" s="170"/>
      <c r="N715" s="274" t="s">
        <v>237</v>
      </c>
      <c r="O715" s="171"/>
      <c r="P715" s="171"/>
      <c r="Q715" s="171"/>
      <c r="R715" s="169"/>
      <c r="T715" s="274" t="s">
        <v>38</v>
      </c>
      <c r="U715" s="170"/>
      <c r="V715" s="274" t="s">
        <v>237</v>
      </c>
      <c r="W715" s="171"/>
      <c r="X715" s="171"/>
      <c r="Y715" s="171"/>
      <c r="Z715" s="169"/>
    </row>
    <row r="716" spans="4:26" ht="18.75" customHeight="1">
      <c r="D716" s="172" t="s">
        <v>238</v>
      </c>
      <c r="E716" s="407"/>
      <c r="F716" s="449"/>
      <c r="G716" s="470"/>
      <c r="H716" s="449"/>
      <c r="I716" s="450"/>
      <c r="J716" s="410"/>
      <c r="K716" s="411"/>
      <c r="L716" s="408" t="str" cm="1">
        <f t="array" ca="1" aca="1" ref="L716">_xlfn.IFNA(VLOOKUP(INDIRECT("L"&amp;ROW()-1)&amp;"_"&amp;$D$12,BEGIN_Renew_Dental:END_RENEW_DENTAL,RENEW_COL_EO,FALSE),"")</f>
        <v/>
      </c>
      <c r="M716" s="412" t="str">
        <f>IF(E716="","",E716)</f>
        <v/>
      </c>
      <c r="N716" s="413"/>
      <c r="O716" s="414"/>
      <c r="P716" s="415" t="str">
        <f>IFERROR(IF($N715="Keep Contribution Same",H716,IF($N715="Enter Percentages",IF(N716="","",N716*L716),IF($N715="Keep Percentage Same",IF(G716="","",G716*L716),IF($N715="Enter Dollar Amount",IF(O716="","",O716),"")))),"")</f>
        <v/>
      </c>
      <c r="Q716" s="408" t="str">
        <f>IFERROR(R716-P716,"")</f>
        <v/>
      </c>
      <c r="R716" s="410" t="str">
        <f>IFERROR(IF(P716="","",M716*P716),"")</f>
        <v/>
      </c>
      <c r="S716" s="411"/>
      <c r="T716" s="408" t="str" cm="1">
        <f t="array" ca="1" aca="1" ref="T716">_xlfn.IFNA(VLOOKUP(INDIRECT("T"&amp;ROW()-1)&amp;"_"&amp;$D$12,BEGIN_Renew_Dental:END_RENEW_DENTAL,RENEW_COL_EO,FALSE),"")</f>
        <v/>
      </c>
      <c r="U716" s="412" t="str">
        <f>IF(E716="","",E716)</f>
        <v/>
      </c>
      <c r="V716" s="413"/>
      <c r="W716" s="414"/>
      <c r="X716" s="415" t="str">
        <f>IFERROR(IF($V715="Keep Contribution Same",H716,IF($V715="Enter Percentages",IF(V716="","",V716*T716),IF($V715="Keep Percentage Same",IF(G716="","",G716*T716),IF($V715="Enter Dollar Amount",IF(W716="","",W716),"")))),"")</f>
        <v/>
      </c>
      <c r="Y716" s="408" t="str">
        <f ca="1">IFERROR(T716-X716,"")</f>
        <v/>
      </c>
      <c r="Z716" s="410" t="str">
        <f>IFERROR(IF(X716="","",U716*X716),"")</f>
        <v/>
      </c>
    </row>
    <row r="717" spans="4:26" ht="18.75" customHeight="1">
      <c r="D717" s="172" t="s">
        <v>239</v>
      </c>
      <c r="E717" s="407"/>
      <c r="F717" s="449"/>
      <c r="G717" s="470"/>
      <c r="H717" s="449"/>
      <c r="I717" s="450"/>
      <c r="J717" s="410"/>
      <c r="K717" s="411"/>
      <c r="L717" s="408" t="str" cm="1">
        <f t="array" ca="1" aca="1" ref="L717">_xlfn.IFNA(VLOOKUP(INDIRECT("L"&amp;ROW()-2)&amp;"_"&amp;$D$12,BEGIN_Renew_Dental:END_RENEW_DENTAL,RENEW_COL_ES,FALSE),"")</f>
        <v/>
      </c>
      <c r="M717" s="412" t="str">
        <f>IF(E717="","",E717)</f>
        <v/>
      </c>
      <c r="N717" s="413"/>
      <c r="O717" s="414"/>
      <c r="P717" s="415" t="str">
        <f>IFERROR(IF($N715="Keep Contribution Same",H717,IF($N715="Enter Percentages",IF(N717="","",N717*L717),IF($N715="Keep Percentage Same",IF(G717="","",G717*L717),IF($N715="Enter Dollar Amount",IF(O717="","",O717),"")))),"")</f>
        <v/>
      </c>
      <c r="Q717" s="408" t="str">
        <f t="shared" si="92" ref="Q717">IFERROR(R717-P717,"")</f>
        <v/>
      </c>
      <c r="R717" s="410" t="str">
        <f>IFERROR(IF(P717="","",M717*P717),"")</f>
        <v/>
      </c>
      <c r="S717" s="411"/>
      <c r="T717" s="408" t="str" cm="1">
        <f t="array" ca="1" aca="1" ref="T717">_xlfn.IFNA(VLOOKUP(INDIRECT("T"&amp;ROW()-2)&amp;"_"&amp;$D$12,BEGIN_Renew_Dental:END_RENEW_DENTAL,RENEW_COL_ES,FALSE),"")</f>
        <v/>
      </c>
      <c r="U717" s="412" t="str">
        <f t="shared" si="93" ref="U717:U719">IF(E717="","",E717)</f>
        <v/>
      </c>
      <c r="V717" s="413"/>
      <c r="W717" s="414"/>
      <c r="X717" s="415" t="str">
        <f>IFERROR(IF($V715="Keep Contribution Same",H717,IF($V715="Enter Percentages",IF(V717="","",V717*T717),IF($V715="Keep Percentage Same",IF(G717="","",G717*T717),IF($V715="Enter Dollar Amount",IF(W717="","",W717),"")))),"")</f>
        <v/>
      </c>
      <c r="Y717" s="408" t="str">
        <f ca="1" t="shared" si="94" ref="Y717:Y719">IFERROR(T717-X717,"")</f>
        <v/>
      </c>
      <c r="Z717" s="410" t="str">
        <f t="shared" si="95" ref="Z717:Z719">IFERROR(IF(X717="","",U717*X717),"")</f>
        <v/>
      </c>
    </row>
    <row r="718" spans="4:26" ht="18.75" customHeight="1">
      <c r="D718" s="172" t="s">
        <v>240</v>
      </c>
      <c r="E718" s="407"/>
      <c r="F718" s="449"/>
      <c r="G718" s="470"/>
      <c r="H718" s="449"/>
      <c r="I718" s="450"/>
      <c r="J718" s="410"/>
      <c r="K718" s="411"/>
      <c r="L718" s="408" t="str" cm="1">
        <f t="array" ca="1" aca="1" ref="L718">_xlfn.IFNA(VLOOKUP(INDIRECT("L"&amp;ROW()-3)&amp;"_"&amp;$D$12,BEGIN_Renew_Dental:END_RENEW_DENTAL,RENEW_COL_EC,FALSE),"")</f>
        <v/>
      </c>
      <c r="M718" s="412" t="str">
        <f>IF(E718="","",E718)</f>
        <v/>
      </c>
      <c r="N718" s="413"/>
      <c r="O718" s="414"/>
      <c r="P718" s="415" t="str">
        <f>IFERROR(IF($N715="Keep Contribution Same",H718,IF($N715="Enter Percentages",IF(N718="","",N718*L718),IF($N715="Keep Percentage Same",IF(G718="","",G718*L718),IF($N715="Enter Dollar Amount",IF(O718="","",O718),"")))),"")</f>
        <v/>
      </c>
      <c r="Q718" s="408" t="str">
        <f>IFERROR(R718-P718,"")</f>
        <v/>
      </c>
      <c r="R718" s="410" t="str">
        <f>IFERROR(IF(P718="","",M718*P718),"")</f>
        <v/>
      </c>
      <c r="S718" s="411"/>
      <c r="T718" s="408" t="str" cm="1">
        <f t="array" ca="1" aca="1" ref="T718">_xlfn.IFNA(VLOOKUP(INDIRECT("T"&amp;ROW()-3)&amp;"_"&amp;$D$12,BEGIN_Renew_Dental:END_RENEW_DENTAL,RENEW_COL_EC,FALSE),"")</f>
        <v/>
      </c>
      <c r="U718" s="412" t="str">
        <f t="shared" si="93"/>
        <v/>
      </c>
      <c r="V718" s="413"/>
      <c r="W718" s="414"/>
      <c r="X718" s="415" t="str">
        <f>IFERROR(IF($V715="Keep Contribution Same",H718,IF($V715="Enter Percentages",IF(V718="","",V718*T718),IF($V715="Keep Percentage Same",IF(G718="","",G718*T718),IF($V715="Enter Dollar Amount",IF(W718="","",W718),"")))),"")</f>
        <v/>
      </c>
      <c r="Y718" s="408" t="str">
        <f t="shared" ca="1" si="94"/>
        <v/>
      </c>
      <c r="Z718" s="410" t="str">
        <f t="shared" si="95"/>
        <v/>
      </c>
    </row>
    <row r="719" spans="4:26" ht="18.75" customHeight="1" thickBot="1">
      <c r="D719" s="174" t="s">
        <v>241</v>
      </c>
      <c r="E719" s="416"/>
      <c r="F719" s="451"/>
      <c r="G719" s="471"/>
      <c r="H719" s="451"/>
      <c r="I719" s="452"/>
      <c r="J719" s="419"/>
      <c r="K719" s="411"/>
      <c r="L719" s="417" t="str" cm="1">
        <f t="array" ca="1" aca="1" ref="L719">_xlfn.IFNA(VLOOKUP(INDIRECT("L"&amp;ROW()-4)&amp;"_"&amp;$D$12,BEGIN_Renew_Dental:END_RENEW_DENTAL,RENEW_COL_FAM,FALSE),"")</f>
        <v/>
      </c>
      <c r="M719" s="423" t="str">
        <f>IF(E719="","",E719)</f>
        <v/>
      </c>
      <c r="N719" s="420"/>
      <c r="O719" s="421"/>
      <c r="P719" s="422" t="str">
        <f>IFERROR(IF($N715="Keep Contribution Same",H719,IF($N715="Enter Percentages",IF(N719="","",N719*L719),IF($N715="Keep Percentage Same",IF(G719="","",G719*L719),IF($N715="Enter Dollar Amount",IF(O719="","",O719),"")))),"")</f>
        <v/>
      </c>
      <c r="Q719" s="417" t="str">
        <f>IFERROR(R719-P719,"")</f>
        <v/>
      </c>
      <c r="R719" s="419" t="str">
        <f>IFERROR(IF(P719="","",M719*P719),"")</f>
        <v/>
      </c>
      <c r="S719" s="411"/>
      <c r="T719" s="417" t="str" cm="1">
        <f t="array" ca="1" aca="1" ref="T719">_xlfn.IFNA(VLOOKUP(INDIRECT("T"&amp;ROW()-4)&amp;"_"&amp;$D$12,BEGIN_Renew_Dental:END_RENEW_DENTAL,RENEW_COL_FAM,FALSE),"")</f>
        <v/>
      </c>
      <c r="U719" s="423" t="str">
        <f t="shared" si="93"/>
        <v/>
      </c>
      <c r="V719" s="420"/>
      <c r="W719" s="421"/>
      <c r="X719" s="422" t="str">
        <f>IFERROR(IF($V715="Keep Contribution Same",H719,IF($V715="Enter Percentages",IF(V719="","",V719*T719),IF($V715="Keep Percentage Same",IF(G719="","",G719*T719),IF($V715="Enter Dollar Amount",IF(W719="","",W719),"")))),"")</f>
        <v/>
      </c>
      <c r="Y719" s="417" t="str">
        <f t="shared" ca="1" si="94"/>
        <v/>
      </c>
      <c r="Z719" s="419" t="str">
        <f t="shared" si="95"/>
        <v/>
      </c>
    </row>
    <row r="720" spans="4:26" ht="18.75" customHeight="1" thickTop="1">
      <c r="D720" s="175" t="s">
        <v>242</v>
      </c>
      <c r="E720" s="424"/>
      <c r="F720" s="427"/>
      <c r="G720" s="426"/>
      <c r="H720" s="427"/>
      <c r="I720" s="428"/>
      <c r="J720" s="429" t="str">
        <f>IFERROR(IF(J716="","",SUM(J716:J719)),0)</f>
        <v/>
      </c>
      <c r="K720" s="1"/>
      <c r="L720" s="424"/>
      <c r="M720" s="427"/>
      <c r="N720" s="426"/>
      <c r="O720" s="427"/>
      <c r="P720" s="431"/>
      <c r="Q720" s="432"/>
      <c r="R720" s="429" t="str">
        <f>IFERROR(IF(R716="","",SUM(R716:R719)),0)</f>
        <v/>
      </c>
      <c r="T720" s="424"/>
      <c r="U720" s="427"/>
      <c r="V720" s="426"/>
      <c r="W720" s="427"/>
      <c r="X720" s="431"/>
      <c r="Y720" s="432"/>
      <c r="Z720" s="429" t="str">
        <f>IFERROR(IF(Z716="","",SUM(Z716:Z719)),0)</f>
        <v/>
      </c>
    </row>
    <row r="721" spans="4:26" ht="18.75" customHeight="1">
      <c r="D721" s="177" t="s">
        <v>243</v>
      </c>
      <c r="E721" s="433"/>
      <c r="F721" s="436"/>
      <c r="G721" s="435"/>
      <c r="H721" s="436"/>
      <c r="I721" s="432"/>
      <c r="J721" s="437" t="str">
        <f>IF(J720="","",J720*12)</f>
        <v/>
      </c>
      <c r="K721" s="1"/>
      <c r="L721" s="433"/>
      <c r="M721" s="436"/>
      <c r="N721" s="435"/>
      <c r="O721" s="436"/>
      <c r="P721" s="432"/>
      <c r="Q721" s="432"/>
      <c r="R721" s="437" t="str">
        <f>IF(R720="","",R720*12)</f>
        <v/>
      </c>
      <c r="T721" s="433"/>
      <c r="U721" s="436"/>
      <c r="V721" s="435"/>
      <c r="W721" s="436"/>
      <c r="X721" s="432"/>
      <c r="Y721" s="432"/>
      <c r="Z721" s="437" t="str">
        <f>IF(Z720="","",Z720*12)</f>
        <v/>
      </c>
    </row>
    <row r="722" spans="4:26" ht="18.75" customHeight="1">
      <c r="D722" s="177" t="s">
        <v>244</v>
      </c>
      <c r="E722" s="433"/>
      <c r="F722" s="436"/>
      <c r="G722" s="435"/>
      <c r="H722" s="436"/>
      <c r="I722" s="432"/>
      <c r="J722" s="437" t="str">
        <f>IFERROR(IF(J721="","",R721-J721),0)</f>
        <v/>
      </c>
      <c r="K722" s="1"/>
      <c r="L722" s="433"/>
      <c r="M722" s="436"/>
      <c r="N722" s="435"/>
      <c r="O722" s="436"/>
      <c r="P722" s="432"/>
      <c r="Q722" s="432"/>
      <c r="R722" s="437" t="str">
        <f>IFERROR(IF(J721="","",R721-J721),0)</f>
        <v/>
      </c>
      <c r="T722" s="433"/>
      <c r="U722" s="436"/>
      <c r="V722" s="435"/>
      <c r="W722" s="436"/>
      <c r="X722" s="432"/>
      <c r="Y722" s="432"/>
      <c r="Z722" s="437" t="str">
        <f>IFERROR(IF(R721="","",Z721-R721),0)</f>
        <v/>
      </c>
    </row>
    <row r="723" spans="4:26" ht="18.75" customHeight="1" thickBot="1">
      <c r="D723" s="180" t="s">
        <v>245</v>
      </c>
      <c r="E723" s="439"/>
      <c r="F723" s="440"/>
      <c r="G723" s="441"/>
      <c r="H723" s="440"/>
      <c r="I723" s="442"/>
      <c r="J723" s="437" t="str">
        <f>IFERROR(IF(J721="","",(R721/J721)-1),0)</f>
        <v/>
      </c>
      <c r="K723" s="1"/>
      <c r="L723" s="439"/>
      <c r="M723" s="440"/>
      <c r="N723" s="441"/>
      <c r="O723" s="440"/>
      <c r="P723" s="445"/>
      <c r="Q723" s="445"/>
      <c r="R723" s="453" t="str">
        <f>IFERROR(IF(J721="","",(R721/J721)-1),0)</f>
        <v/>
      </c>
      <c r="T723" s="439"/>
      <c r="U723" s="440"/>
      <c r="V723" s="441"/>
      <c r="W723" s="440"/>
      <c r="X723" s="445"/>
      <c r="Y723" s="445"/>
      <c r="Z723" s="446" t="str">
        <f>IFERROR(IF(R721="","",(Z721/R721)-1),0)</f>
        <v/>
      </c>
    </row>
    <row r="724" spans="4:26" ht="5.25" customHeight="1" thickBot="1">
      <c r="D724" s="229"/>
      <c r="E724" s="229"/>
      <c r="F724" s="230"/>
      <c r="G724" s="231"/>
      <c r="H724" s="232"/>
      <c r="I724" s="233"/>
      <c r="J724" s="233"/>
      <c r="K724"/>
      <c r="L724" s="233"/>
      <c r="M724" s="233"/>
      <c r="N724" s="233"/>
      <c r="O724" s="233"/>
      <c r="P724" s="233"/>
      <c r="Q724" s="233"/>
      <c r="R724" s="233"/>
      <c r="T724" s="233"/>
      <c r="U724" s="233"/>
      <c r="V724" s="233"/>
      <c r="W724" s="233"/>
      <c r="X724" s="233"/>
      <c r="Y724" s="233"/>
      <c r="Z724" s="233"/>
    </row>
    <row r="725" spans="3:26" ht="50.15" customHeight="1">
      <c r="C725" s="164" t="s">
        <v>295</v>
      </c>
      <c r="D725" s="275" t="s">
        <v>285</v>
      </c>
      <c r="E725" s="165"/>
      <c r="F725" s="272"/>
      <c r="G725" s="166"/>
      <c r="H725" s="167"/>
      <c r="I725" s="168"/>
      <c r="J725" s="169"/>
      <c r="K725"/>
      <c r="L725" s="274" t="s">
        <v>38</v>
      </c>
      <c r="M725" s="170"/>
      <c r="N725" s="274" t="s">
        <v>237</v>
      </c>
      <c r="O725" s="171"/>
      <c r="P725" s="171"/>
      <c r="Q725" s="171"/>
      <c r="R725" s="169"/>
      <c r="T725" s="274" t="s">
        <v>38</v>
      </c>
      <c r="U725" s="170"/>
      <c r="V725" s="274" t="s">
        <v>237</v>
      </c>
      <c r="W725" s="171"/>
      <c r="X725" s="171"/>
      <c r="Y725" s="171"/>
      <c r="Z725" s="169"/>
    </row>
    <row r="726" spans="4:26" ht="18.75" customHeight="1">
      <c r="D726" s="172" t="s">
        <v>238</v>
      </c>
      <c r="E726" s="407"/>
      <c r="F726" s="449"/>
      <c r="G726" s="470"/>
      <c r="H726" s="449"/>
      <c r="I726" s="450"/>
      <c r="J726" s="410"/>
      <c r="K726" s="411"/>
      <c r="L726" s="408" t="str" cm="1">
        <f t="array" ca="1" aca="1" ref="L726">_xlfn.IFNA(VLOOKUP(INDIRECT("L"&amp;ROW()-1)&amp;"_"&amp;$D$12,BEGIN_Renew_Dental:END_RENEW_DENTAL,RENEW_COL_EO,FALSE),"")</f>
        <v/>
      </c>
      <c r="M726" s="412" t="str">
        <f>IF(E726="","",E726)</f>
        <v/>
      </c>
      <c r="N726" s="413"/>
      <c r="O726" s="414"/>
      <c r="P726" s="415" t="str">
        <f>IFERROR(IF($N725="Keep Contribution Same",H726,IF($N725="Enter Percentages",IF(N726="","",N726*L726),IF($N725="Keep Percentage Same",IF(G726="","",G726*L726),IF($N725="Enter Dollar Amount",IF(O726="","",O726),"")))),"")</f>
        <v/>
      </c>
      <c r="Q726" s="408" t="str">
        <f>IFERROR(R726-P726,"")</f>
        <v/>
      </c>
      <c r="R726" s="410" t="str">
        <f>IFERROR(IF(P726="","",M726*P726),"")</f>
        <v/>
      </c>
      <c r="S726" s="411"/>
      <c r="T726" s="408" t="str" cm="1">
        <f t="array" ca="1" aca="1" ref="T726">_xlfn.IFNA(VLOOKUP(INDIRECT("T"&amp;ROW()-1)&amp;"_"&amp;$D$12,BEGIN_Renew_Dental:END_RENEW_DENTAL,RENEW_COL_EO,FALSE),"")</f>
        <v/>
      </c>
      <c r="U726" s="412" t="str">
        <f>IF(E726="","",E726)</f>
        <v/>
      </c>
      <c r="V726" s="413"/>
      <c r="W726" s="414"/>
      <c r="X726" s="415" t="str">
        <f>IFERROR(IF($V725="Keep Contribution Same",H726,IF($V725="Enter Percentages",IF(V726="","",V726*T726),IF($V725="Keep Percentage Same",IF(G726="","",G726*T726),IF($V725="Enter Dollar Amount",IF(W726="","",W726),"")))),"")</f>
        <v/>
      </c>
      <c r="Y726" s="408" t="str">
        <f ca="1">IFERROR(T726-X726,"")</f>
        <v/>
      </c>
      <c r="Z726" s="410" t="str">
        <f>IFERROR(IF(X726="","",U726*X726),"")</f>
        <v/>
      </c>
    </row>
    <row r="727" spans="4:26" ht="18.75" customHeight="1">
      <c r="D727" s="172" t="s">
        <v>239</v>
      </c>
      <c r="E727" s="407"/>
      <c r="F727" s="449"/>
      <c r="G727" s="470"/>
      <c r="H727" s="449"/>
      <c r="I727" s="450"/>
      <c r="J727" s="410"/>
      <c r="K727" s="411"/>
      <c r="L727" s="408" t="str" cm="1">
        <f t="array" ca="1" aca="1" ref="L727">_xlfn.IFNA(VLOOKUP(INDIRECT("L"&amp;ROW()-2)&amp;"_"&amp;$D$12,BEGIN_Renew_Dental:END_RENEW_DENTAL,RENEW_COL_ES,FALSE),"")</f>
        <v/>
      </c>
      <c r="M727" s="412" t="str">
        <f>IF(E727="","",E727)</f>
        <v/>
      </c>
      <c r="N727" s="413"/>
      <c r="O727" s="414"/>
      <c r="P727" s="415" t="str">
        <f>IFERROR(IF($N725="Keep Contribution Same",H727,IF($N725="Enter Percentages",IF(N727="","",N727*L727),IF($N725="Keep Percentage Same",IF(G727="","",G727*L727),IF($N725="Enter Dollar Amount",IF(O727="","",O727),"")))),"")</f>
        <v/>
      </c>
      <c r="Q727" s="408" t="str">
        <f t="shared" si="96" ref="Q727">IFERROR(R727-P727,"")</f>
        <v/>
      </c>
      <c r="R727" s="410" t="str">
        <f>IFERROR(IF(P727="","",M727*P727),"")</f>
        <v/>
      </c>
      <c r="S727" s="411"/>
      <c r="T727" s="408" t="str" cm="1">
        <f t="array" ca="1" aca="1" ref="T727">_xlfn.IFNA(VLOOKUP(INDIRECT("T"&amp;ROW()-2)&amp;"_"&amp;$D$12,BEGIN_Renew_Dental:END_RENEW_DENTAL,RENEW_COL_ES,FALSE),"")</f>
        <v/>
      </c>
      <c r="U727" s="412" t="str">
        <f t="shared" si="97" ref="U727:U729">IF(E727="","",E727)</f>
        <v/>
      </c>
      <c r="V727" s="413"/>
      <c r="W727" s="414"/>
      <c r="X727" s="415" t="str">
        <f>IFERROR(IF($V725="Keep Contribution Same",H727,IF($V725="Enter Percentages",IF(V727="","",V727*T727),IF($V725="Keep Percentage Same",IF(G727="","",G727*T727),IF($V725="Enter Dollar Amount",IF(W727="","",W727),"")))),"")</f>
        <v/>
      </c>
      <c r="Y727" s="408" t="str">
        <f ca="1" t="shared" si="98" ref="Y727:Y729">IFERROR(T727-X727,"")</f>
        <v/>
      </c>
      <c r="Z727" s="410" t="str">
        <f t="shared" si="99" ref="Z727:Z729">IFERROR(IF(X727="","",U727*X727),"")</f>
        <v/>
      </c>
    </row>
    <row r="728" spans="4:26" ht="18.75" customHeight="1">
      <c r="D728" s="172" t="s">
        <v>240</v>
      </c>
      <c r="E728" s="407"/>
      <c r="F728" s="449"/>
      <c r="G728" s="470"/>
      <c r="H728" s="449"/>
      <c r="I728" s="450"/>
      <c r="J728" s="410"/>
      <c r="K728" s="411"/>
      <c r="L728" s="408" t="str" cm="1">
        <f t="array" ca="1" aca="1" ref="L728">_xlfn.IFNA(VLOOKUP(INDIRECT("L"&amp;ROW()-3)&amp;"_"&amp;$D$12,BEGIN_Renew_Dental:END_RENEW_DENTAL,RENEW_COL_EC,FALSE),"")</f>
        <v/>
      </c>
      <c r="M728" s="412" t="str">
        <f>IF(E728="","",E728)</f>
        <v/>
      </c>
      <c r="N728" s="413"/>
      <c r="O728" s="414"/>
      <c r="P728" s="415" t="str">
        <f>IFERROR(IF($N725="Keep Contribution Same",H728,IF($N725="Enter Percentages",IF(N728="","",N728*L728),IF($N725="Keep Percentage Same",IF(G728="","",G728*L728),IF($N725="Enter Dollar Amount",IF(O728="","",O728),"")))),"")</f>
        <v/>
      </c>
      <c r="Q728" s="408" t="str">
        <f>IFERROR(R728-P728,"")</f>
        <v/>
      </c>
      <c r="R728" s="410" t="str">
        <f>IFERROR(IF(P728="","",M728*P728),"")</f>
        <v/>
      </c>
      <c r="S728" s="411"/>
      <c r="T728" s="408" t="str" cm="1">
        <f t="array" ca="1" aca="1" ref="T728">_xlfn.IFNA(VLOOKUP(INDIRECT("T"&amp;ROW()-3)&amp;"_"&amp;$D$12,BEGIN_Renew_Dental:END_RENEW_DENTAL,RENEW_COL_EC,FALSE),"")</f>
        <v/>
      </c>
      <c r="U728" s="412" t="str">
        <f t="shared" si="97"/>
        <v/>
      </c>
      <c r="V728" s="413"/>
      <c r="W728" s="414"/>
      <c r="X728" s="415" t="str">
        <f>IFERROR(IF($V725="Keep Contribution Same",H728,IF($V725="Enter Percentages",IF(V728="","",V728*T728),IF($V725="Keep Percentage Same",IF(G728="","",G728*T728),IF($V725="Enter Dollar Amount",IF(W728="","",W728),"")))),"")</f>
        <v/>
      </c>
      <c r="Y728" s="408" t="str">
        <f t="shared" ca="1" si="98"/>
        <v/>
      </c>
      <c r="Z728" s="410" t="str">
        <f t="shared" si="99"/>
        <v/>
      </c>
    </row>
    <row r="729" spans="4:26" ht="18.75" customHeight="1" thickBot="1">
      <c r="D729" s="174" t="s">
        <v>241</v>
      </c>
      <c r="E729" s="416"/>
      <c r="F729" s="451"/>
      <c r="G729" s="471"/>
      <c r="H729" s="451"/>
      <c r="I729" s="452"/>
      <c r="J729" s="419"/>
      <c r="K729" s="411"/>
      <c r="L729" s="417" t="str" cm="1">
        <f t="array" ca="1" aca="1" ref="L729">_xlfn.IFNA(VLOOKUP(INDIRECT("L"&amp;ROW()-4)&amp;"_"&amp;$D$12,BEGIN_Renew_Dental:END_RENEW_DENTAL,RENEW_COL_FAM,FALSE),"")</f>
        <v/>
      </c>
      <c r="M729" s="423" t="str">
        <f>IF(E729="","",E729)</f>
        <v/>
      </c>
      <c r="N729" s="420"/>
      <c r="O729" s="421"/>
      <c r="P729" s="422" t="str">
        <f>IFERROR(IF($N725="Keep Contribution Same",H729,IF($N725="Enter Percentages",IF(N729="","",N729*L729),IF($N725="Keep Percentage Same",IF(G729="","",G729*L729),IF($N725="Enter Dollar Amount",IF(O729="","",O729),"")))),"")</f>
        <v/>
      </c>
      <c r="Q729" s="417" t="str">
        <f>IFERROR(R729-P729,"")</f>
        <v/>
      </c>
      <c r="R729" s="419" t="str">
        <f>IFERROR(IF(P729="","",M729*P729),"")</f>
        <v/>
      </c>
      <c r="S729" s="411"/>
      <c r="T729" s="417" t="str" cm="1">
        <f t="array" ca="1" aca="1" ref="T729">_xlfn.IFNA(VLOOKUP(INDIRECT("T"&amp;ROW()-4)&amp;"_"&amp;$D$12,BEGIN_Renew_Dental:END_RENEW_DENTAL,RENEW_COL_FAM,FALSE),"")</f>
        <v/>
      </c>
      <c r="U729" s="423" t="str">
        <f t="shared" si="97"/>
        <v/>
      </c>
      <c r="V729" s="420"/>
      <c r="W729" s="421"/>
      <c r="X729" s="422" t="str">
        <f>IFERROR(IF($V725="Keep Contribution Same",H729,IF($V725="Enter Percentages",IF(V729="","",V729*T729),IF($V725="Keep Percentage Same",IF(G729="","",G729*T729),IF($V725="Enter Dollar Amount",IF(W729="","",W729),"")))),"")</f>
        <v/>
      </c>
      <c r="Y729" s="417" t="str">
        <f t="shared" ca="1" si="98"/>
        <v/>
      </c>
      <c r="Z729" s="419" t="str">
        <f t="shared" si="99"/>
        <v/>
      </c>
    </row>
    <row r="730" spans="4:26" ht="18.75" customHeight="1" thickTop="1">
      <c r="D730" s="175" t="s">
        <v>242</v>
      </c>
      <c r="E730" s="424"/>
      <c r="F730" s="427"/>
      <c r="G730" s="426"/>
      <c r="H730" s="427"/>
      <c r="I730" s="428"/>
      <c r="J730" s="429" t="str">
        <f>IFERROR(IF(J726="","",SUM(J726:J729)),0)</f>
        <v/>
      </c>
      <c r="K730" s="1"/>
      <c r="L730" s="424"/>
      <c r="M730" s="427"/>
      <c r="N730" s="426"/>
      <c r="O730" s="427"/>
      <c r="P730" s="431"/>
      <c r="Q730" s="432"/>
      <c r="R730" s="429" t="str">
        <f>IFERROR(IF(R726="","",SUM(R726:R729)),0)</f>
        <v/>
      </c>
      <c r="T730" s="424"/>
      <c r="U730" s="427"/>
      <c r="V730" s="426"/>
      <c r="W730" s="427"/>
      <c r="X730" s="431"/>
      <c r="Y730" s="432"/>
      <c r="Z730" s="429" t="str">
        <f>IFERROR(IF(Z726="","",SUM(Z726:Z729)),0)</f>
        <v/>
      </c>
    </row>
    <row r="731" spans="4:26" ht="18.75" customHeight="1">
      <c r="D731" s="177" t="s">
        <v>243</v>
      </c>
      <c r="E731" s="433"/>
      <c r="F731" s="436"/>
      <c r="G731" s="435"/>
      <c r="H731" s="436"/>
      <c r="I731" s="432"/>
      <c r="J731" s="437" t="str">
        <f>IF(J730="","",J730*12)</f>
        <v/>
      </c>
      <c r="K731" s="1"/>
      <c r="L731" s="433"/>
      <c r="M731" s="436"/>
      <c r="N731" s="435"/>
      <c r="O731" s="436"/>
      <c r="P731" s="432"/>
      <c r="Q731" s="432"/>
      <c r="R731" s="437" t="str">
        <f>IF(R730="","",R730*12)</f>
        <v/>
      </c>
      <c r="T731" s="433"/>
      <c r="U731" s="436"/>
      <c r="V731" s="435"/>
      <c r="W731" s="436"/>
      <c r="X731" s="432"/>
      <c r="Y731" s="432"/>
      <c r="Z731" s="437" t="str">
        <f>IF(Z730="","",Z730*12)</f>
        <v/>
      </c>
    </row>
    <row r="732" spans="4:26" ht="18.75" customHeight="1">
      <c r="D732" s="177" t="s">
        <v>244</v>
      </c>
      <c r="E732" s="433"/>
      <c r="F732" s="436"/>
      <c r="G732" s="435"/>
      <c r="H732" s="436"/>
      <c r="I732" s="432"/>
      <c r="J732" s="437" t="str">
        <f>IFERROR(IF(J731="","",R731-J731),0)</f>
        <v/>
      </c>
      <c r="K732" s="1"/>
      <c r="L732" s="433"/>
      <c r="M732" s="436"/>
      <c r="N732" s="435"/>
      <c r="O732" s="436"/>
      <c r="P732" s="432"/>
      <c r="Q732" s="432"/>
      <c r="R732" s="437" t="str">
        <f>IFERROR(IF(J731="","",R731-J731),0)</f>
        <v/>
      </c>
      <c r="T732" s="433"/>
      <c r="U732" s="436"/>
      <c r="V732" s="435"/>
      <c r="W732" s="436"/>
      <c r="X732" s="432"/>
      <c r="Y732" s="432"/>
      <c r="Z732" s="437" t="str">
        <f>IFERROR(IF(R731="","",Z731-R731),0)</f>
        <v/>
      </c>
    </row>
    <row r="733" spans="4:26" ht="18.75" customHeight="1" thickBot="1">
      <c r="D733" s="180" t="s">
        <v>245</v>
      </c>
      <c r="E733" s="439"/>
      <c r="F733" s="440"/>
      <c r="G733" s="441"/>
      <c r="H733" s="440"/>
      <c r="I733" s="442"/>
      <c r="J733" s="437" t="str">
        <f>IFERROR(IF(J731="","",(R731/J731)-1),0)</f>
        <v/>
      </c>
      <c r="K733" s="1"/>
      <c r="L733" s="439"/>
      <c r="M733" s="440"/>
      <c r="N733" s="441"/>
      <c r="O733" s="440"/>
      <c r="P733" s="445"/>
      <c r="Q733" s="445"/>
      <c r="R733" s="453" t="str">
        <f>IFERROR(IF(J731="","",(R731/J731)-1),0)</f>
        <v/>
      </c>
      <c r="T733" s="439"/>
      <c r="U733" s="440"/>
      <c r="V733" s="441"/>
      <c r="W733" s="440"/>
      <c r="X733" s="445"/>
      <c r="Y733" s="445"/>
      <c r="Z733" s="446" t="str">
        <f>IFERROR(IF(R731="","",(Z731/R731)-1),0)</f>
        <v/>
      </c>
    </row>
    <row r="734" spans="4:26" ht="5.25" customHeight="1" thickBot="1">
      <c r="D734" s="229"/>
      <c r="E734" s="229"/>
      <c r="F734" s="230"/>
      <c r="G734" s="231"/>
      <c r="H734" s="232"/>
      <c r="I734" s="233"/>
      <c r="J734" s="233"/>
      <c r="K734"/>
      <c r="L734" s="233"/>
      <c r="M734" s="233"/>
      <c r="N734" s="233"/>
      <c r="O734" s="233"/>
      <c r="P734" s="233"/>
      <c r="Q734" s="233"/>
      <c r="R734" s="233"/>
      <c r="T734" s="233"/>
      <c r="U734" s="233"/>
      <c r="V734" s="233"/>
      <c r="W734" s="233"/>
      <c r="X734" s="233"/>
      <c r="Y734" s="233"/>
      <c r="Z734" s="233"/>
    </row>
    <row r="735" spans="3:26" ht="50.15" customHeight="1">
      <c r="C735" s="164" t="s">
        <v>296</v>
      </c>
      <c r="D735" s="275" t="s">
        <v>285</v>
      </c>
      <c r="E735" s="165"/>
      <c r="F735" s="272"/>
      <c r="G735" s="166"/>
      <c r="H735" s="167"/>
      <c r="I735" s="168"/>
      <c r="J735" s="169"/>
      <c r="K735"/>
      <c r="L735" s="274" t="s">
        <v>38</v>
      </c>
      <c r="M735" s="170"/>
      <c r="N735" s="274" t="s">
        <v>237</v>
      </c>
      <c r="O735" s="171"/>
      <c r="P735" s="171"/>
      <c r="Q735" s="171"/>
      <c r="R735" s="169"/>
      <c r="T735" s="274" t="s">
        <v>38</v>
      </c>
      <c r="U735" s="170"/>
      <c r="V735" s="274" t="s">
        <v>237</v>
      </c>
      <c r="W735" s="171"/>
      <c r="X735" s="171"/>
      <c r="Y735" s="171"/>
      <c r="Z735" s="169"/>
    </row>
    <row r="736" spans="4:26" ht="18.75" customHeight="1">
      <c r="D736" s="172" t="s">
        <v>238</v>
      </c>
      <c r="E736" s="407"/>
      <c r="F736" s="449"/>
      <c r="G736" s="470"/>
      <c r="H736" s="449"/>
      <c r="I736" s="450"/>
      <c r="J736" s="410"/>
      <c r="K736" s="411"/>
      <c r="L736" s="408" t="str" cm="1">
        <f t="array" ca="1" aca="1" ref="L736">_xlfn.IFNA(VLOOKUP(INDIRECT("L"&amp;ROW()-1)&amp;"_"&amp;$D$12,BEGIN_Renew_Dental:END_RENEW_DENTAL,RENEW_COL_EO,FALSE),"")</f>
        <v/>
      </c>
      <c r="M736" s="412" t="str">
        <f>IF(E736="","",E736)</f>
        <v/>
      </c>
      <c r="N736" s="413"/>
      <c r="O736" s="414"/>
      <c r="P736" s="415" t="str">
        <f>IFERROR(IF($N735="Keep Contribution Same",H736,IF($N735="Enter Percentages",IF(N736="","",N736*L736),IF($N735="Keep Percentage Same",IF(G736="","",G736*L736),IF($N735="Enter Dollar Amount",IF(O736="","",O736),"")))),"")</f>
        <v/>
      </c>
      <c r="Q736" s="408" t="str">
        <f>IFERROR(R736-P736,"")</f>
        <v/>
      </c>
      <c r="R736" s="410" t="str">
        <f>IFERROR(IF(P736="","",M736*P736),"")</f>
        <v/>
      </c>
      <c r="S736" s="411"/>
      <c r="T736" s="408" t="str" cm="1">
        <f t="array" ca="1" aca="1" ref="T736">_xlfn.IFNA(VLOOKUP(INDIRECT("T"&amp;ROW()-1)&amp;"_"&amp;$D$12,BEGIN_Renew_Dental:END_RENEW_DENTAL,RENEW_COL_EO,FALSE),"")</f>
        <v/>
      </c>
      <c r="U736" s="412" t="str">
        <f>IF(E736="","",E736)</f>
        <v/>
      </c>
      <c r="V736" s="413"/>
      <c r="W736" s="414"/>
      <c r="X736" s="415" t="str">
        <f>IFERROR(IF($V735="Keep Contribution Same",H736,IF($V735="Enter Percentages",IF(V736="","",V736*T736),IF($V735="Keep Percentage Same",IF(G736="","",G736*T736),IF($V735="Enter Dollar Amount",IF(W736="","",W736),"")))),"")</f>
        <v/>
      </c>
      <c r="Y736" s="408" t="str">
        <f ca="1">IFERROR(T736-X736,"")</f>
        <v/>
      </c>
      <c r="Z736" s="410" t="str">
        <f>IFERROR(IF(X736="","",U736*X736),"")</f>
        <v/>
      </c>
    </row>
    <row r="737" spans="4:26" ht="18.75" customHeight="1">
      <c r="D737" s="172" t="s">
        <v>239</v>
      </c>
      <c r="E737" s="407"/>
      <c r="F737" s="449"/>
      <c r="G737" s="470"/>
      <c r="H737" s="449"/>
      <c r="I737" s="450"/>
      <c r="J737" s="410"/>
      <c r="K737" s="411"/>
      <c r="L737" s="408" t="str" cm="1">
        <f t="array" ca="1" aca="1" ref="L737">_xlfn.IFNA(VLOOKUP(INDIRECT("L"&amp;ROW()-2)&amp;"_"&amp;$D$12,BEGIN_Renew_Dental:END_RENEW_DENTAL,RENEW_COL_ES,FALSE),"")</f>
        <v/>
      </c>
      <c r="M737" s="412" t="str">
        <f>IF(E737="","",E737)</f>
        <v/>
      </c>
      <c r="N737" s="413"/>
      <c r="O737" s="414"/>
      <c r="P737" s="415" t="str">
        <f>IFERROR(IF($N735="Keep Contribution Same",H737,IF($N735="Enter Percentages",IF(N737="","",N737*L737),IF($N735="Keep Percentage Same",IF(G737="","",G737*L737),IF($N735="Enter Dollar Amount",IF(O737="","",O737),"")))),"")</f>
        <v/>
      </c>
      <c r="Q737" s="408" t="str">
        <f t="shared" si="100" ref="Q737">IFERROR(R737-P737,"")</f>
        <v/>
      </c>
      <c r="R737" s="410" t="str">
        <f>IFERROR(IF(P737="","",M737*P737),"")</f>
        <v/>
      </c>
      <c r="S737" s="411"/>
      <c r="T737" s="408" t="str" cm="1">
        <f t="array" ca="1" aca="1" ref="T737">_xlfn.IFNA(VLOOKUP(INDIRECT("T"&amp;ROW()-2)&amp;"_"&amp;$D$12,BEGIN_Renew_Dental:END_RENEW_DENTAL,RENEW_COL_ES,FALSE),"")</f>
        <v/>
      </c>
      <c r="U737" s="412" t="str">
        <f t="shared" si="101" ref="U737:U739">IF(E737="","",E737)</f>
        <v/>
      </c>
      <c r="V737" s="413"/>
      <c r="W737" s="414"/>
      <c r="X737" s="415" t="str">
        <f>IFERROR(IF($V735="Keep Contribution Same",H737,IF($V735="Enter Percentages",IF(V737="","",V737*T737),IF($V735="Keep Percentage Same",IF(G737="","",G737*T737),IF($V735="Enter Dollar Amount",IF(W737="","",W737),"")))),"")</f>
        <v/>
      </c>
      <c r="Y737" s="408" t="str">
        <f ca="1" t="shared" si="102" ref="Y737:Y739">IFERROR(T737-X737,"")</f>
        <v/>
      </c>
      <c r="Z737" s="410" t="str">
        <f t="shared" si="103" ref="Z737:Z739">IFERROR(IF(X737="","",U737*X737),"")</f>
        <v/>
      </c>
    </row>
    <row r="738" spans="4:26" ht="18.75" customHeight="1">
      <c r="D738" s="172" t="s">
        <v>240</v>
      </c>
      <c r="E738" s="407"/>
      <c r="F738" s="449"/>
      <c r="G738" s="470"/>
      <c r="H738" s="449"/>
      <c r="I738" s="450"/>
      <c r="J738" s="410"/>
      <c r="K738" s="411"/>
      <c r="L738" s="408" t="str" cm="1">
        <f t="array" ca="1" aca="1" ref="L738">_xlfn.IFNA(VLOOKUP(INDIRECT("L"&amp;ROW()-3)&amp;"_"&amp;$D$12,BEGIN_Renew_Dental:END_RENEW_DENTAL,RENEW_COL_EC,FALSE),"")</f>
        <v/>
      </c>
      <c r="M738" s="412" t="str">
        <f>IF(E738="","",E738)</f>
        <v/>
      </c>
      <c r="N738" s="413"/>
      <c r="O738" s="414"/>
      <c r="P738" s="415" t="str">
        <f>IFERROR(IF($N735="Keep Contribution Same",H738,IF($N735="Enter Percentages",IF(N738="","",N738*L738),IF($N735="Keep Percentage Same",IF(G738="","",G738*L738),IF($N735="Enter Dollar Amount",IF(O738="","",O738),"")))),"")</f>
        <v/>
      </c>
      <c r="Q738" s="408" t="str">
        <f>IFERROR(R738-P738,"")</f>
        <v/>
      </c>
      <c r="R738" s="410" t="str">
        <f>IFERROR(IF(P738="","",M738*P738),"")</f>
        <v/>
      </c>
      <c r="S738" s="411"/>
      <c r="T738" s="408" t="str" cm="1">
        <f t="array" ca="1" aca="1" ref="T738">_xlfn.IFNA(VLOOKUP(INDIRECT("T"&amp;ROW()-3)&amp;"_"&amp;$D$12,BEGIN_Renew_Dental:END_RENEW_DENTAL,RENEW_COL_EC,FALSE),"")</f>
        <v/>
      </c>
      <c r="U738" s="412" t="str">
        <f t="shared" si="101"/>
        <v/>
      </c>
      <c r="V738" s="413"/>
      <c r="W738" s="414"/>
      <c r="X738" s="415" t="str">
        <f>IFERROR(IF($V735="Keep Contribution Same",H738,IF($V735="Enter Percentages",IF(V738="","",V738*T738),IF($V735="Keep Percentage Same",IF(G738="","",G738*T738),IF($V735="Enter Dollar Amount",IF(W738="","",W738),"")))),"")</f>
        <v/>
      </c>
      <c r="Y738" s="408" t="str">
        <f t="shared" ca="1" si="102"/>
        <v/>
      </c>
      <c r="Z738" s="410" t="str">
        <f t="shared" si="103"/>
        <v/>
      </c>
    </row>
    <row r="739" spans="4:26" ht="18.75" customHeight="1" thickBot="1">
      <c r="D739" s="174" t="s">
        <v>241</v>
      </c>
      <c r="E739" s="416"/>
      <c r="F739" s="451"/>
      <c r="G739" s="471"/>
      <c r="H739" s="451"/>
      <c r="I739" s="452"/>
      <c r="J739" s="419"/>
      <c r="K739" s="411"/>
      <c r="L739" s="417" t="str" cm="1">
        <f t="array" ca="1" aca="1" ref="L739">_xlfn.IFNA(VLOOKUP(INDIRECT("L"&amp;ROW()-4)&amp;"_"&amp;$D$12,BEGIN_Renew_Dental:END_RENEW_DENTAL,RENEW_COL_FAM,FALSE),"")</f>
        <v/>
      </c>
      <c r="M739" s="423" t="str">
        <f>IF(E739="","",E739)</f>
        <v/>
      </c>
      <c r="N739" s="420"/>
      <c r="O739" s="421"/>
      <c r="P739" s="422" t="str">
        <f>IFERROR(IF($N735="Keep Contribution Same",H739,IF($N735="Enter Percentages",IF(N739="","",N739*L739),IF($N735="Keep Percentage Same",IF(G739="","",G739*L739),IF($N735="Enter Dollar Amount",IF(O739="","",O739),"")))),"")</f>
        <v/>
      </c>
      <c r="Q739" s="417" t="str">
        <f>IFERROR(R739-P739,"")</f>
        <v/>
      </c>
      <c r="R739" s="419" t="str">
        <f>IFERROR(IF(P739="","",M739*P739),"")</f>
        <v/>
      </c>
      <c r="S739" s="411"/>
      <c r="T739" s="417" t="str" cm="1">
        <f t="array" ca="1" aca="1" ref="T739">_xlfn.IFNA(VLOOKUP(INDIRECT("T"&amp;ROW()-4)&amp;"_"&amp;$D$12,BEGIN_Renew_Dental:END_RENEW_DENTAL,RENEW_COL_FAM,FALSE),"")</f>
        <v/>
      </c>
      <c r="U739" s="423" t="str">
        <f t="shared" si="101"/>
        <v/>
      </c>
      <c r="V739" s="420"/>
      <c r="W739" s="421"/>
      <c r="X739" s="422" t="str">
        <f>IFERROR(IF($V735="Keep Contribution Same",H739,IF($V735="Enter Percentages",IF(V739="","",V739*T739),IF($V735="Keep Percentage Same",IF(G739="","",G739*T739),IF($V735="Enter Dollar Amount",IF(W739="","",W739),"")))),"")</f>
        <v/>
      </c>
      <c r="Y739" s="417" t="str">
        <f t="shared" ca="1" si="102"/>
        <v/>
      </c>
      <c r="Z739" s="419" t="str">
        <f t="shared" si="103"/>
        <v/>
      </c>
    </row>
    <row r="740" spans="4:26" ht="18.75" customHeight="1" thickTop="1">
      <c r="D740" s="175" t="s">
        <v>242</v>
      </c>
      <c r="E740" s="424"/>
      <c r="F740" s="427"/>
      <c r="G740" s="426"/>
      <c r="H740" s="427"/>
      <c r="I740" s="428"/>
      <c r="J740" s="429" t="str">
        <f>IFERROR(IF(J736="","",SUM(J736:J739)),0)</f>
        <v/>
      </c>
      <c r="K740" s="1"/>
      <c r="L740" s="424"/>
      <c r="M740" s="427"/>
      <c r="N740" s="426"/>
      <c r="O740" s="427"/>
      <c r="P740" s="431"/>
      <c r="Q740" s="432"/>
      <c r="R740" s="429" t="str">
        <f>IFERROR(IF(R736="","",SUM(R736:R739)),0)</f>
        <v/>
      </c>
      <c r="T740" s="424"/>
      <c r="U740" s="427"/>
      <c r="V740" s="426"/>
      <c r="W740" s="427"/>
      <c r="X740" s="431"/>
      <c r="Y740" s="432"/>
      <c r="Z740" s="429" t="str">
        <f>IFERROR(IF(Z736="","",SUM(Z736:Z739)),0)</f>
        <v/>
      </c>
    </row>
    <row r="741" spans="4:26" ht="18.75" customHeight="1">
      <c r="D741" s="177" t="s">
        <v>243</v>
      </c>
      <c r="E741" s="433"/>
      <c r="F741" s="436"/>
      <c r="G741" s="435"/>
      <c r="H741" s="436"/>
      <c r="I741" s="432"/>
      <c r="J741" s="437" t="str">
        <f>IF(J740="","",J740*12)</f>
        <v/>
      </c>
      <c r="K741" s="1"/>
      <c r="L741" s="433"/>
      <c r="M741" s="436"/>
      <c r="N741" s="435"/>
      <c r="O741" s="436"/>
      <c r="P741" s="432"/>
      <c r="Q741" s="432"/>
      <c r="R741" s="437" t="str">
        <f>IF(R740="","",R740*12)</f>
        <v/>
      </c>
      <c r="T741" s="433"/>
      <c r="U741" s="436"/>
      <c r="V741" s="435"/>
      <c r="W741" s="436"/>
      <c r="X741" s="432"/>
      <c r="Y741" s="432"/>
      <c r="Z741" s="437" t="str">
        <f>IF(Z740="","",Z740*12)</f>
        <v/>
      </c>
    </row>
    <row r="742" spans="4:26" ht="18.75" customHeight="1">
      <c r="D742" s="177" t="s">
        <v>244</v>
      </c>
      <c r="E742" s="433"/>
      <c r="F742" s="436"/>
      <c r="G742" s="435"/>
      <c r="H742" s="436"/>
      <c r="I742" s="432"/>
      <c r="J742" s="437" t="str">
        <f>IFERROR(IF(J741="","",R741-J741),0)</f>
        <v/>
      </c>
      <c r="K742" s="1"/>
      <c r="L742" s="433"/>
      <c r="M742" s="436"/>
      <c r="N742" s="435"/>
      <c r="O742" s="436"/>
      <c r="P742" s="432"/>
      <c r="Q742" s="432"/>
      <c r="R742" s="437" t="str">
        <f>IFERROR(IF(J741="","",R741-J741),0)</f>
        <v/>
      </c>
      <c r="T742" s="433"/>
      <c r="U742" s="436"/>
      <c r="V742" s="435"/>
      <c r="W742" s="436"/>
      <c r="X742" s="432"/>
      <c r="Y742" s="432"/>
      <c r="Z742" s="437" t="str">
        <f>IFERROR(IF(R741="","",Z741-R741),0)</f>
        <v/>
      </c>
    </row>
    <row r="743" spans="4:26" ht="18.75" customHeight="1" thickBot="1">
      <c r="D743" s="180" t="s">
        <v>245</v>
      </c>
      <c r="E743" s="439"/>
      <c r="F743" s="440"/>
      <c r="G743" s="441"/>
      <c r="H743" s="440"/>
      <c r="I743" s="442"/>
      <c r="J743" s="437" t="str">
        <f>IFERROR(IF(J741="","",(R741/J741)-1),0)</f>
        <v/>
      </c>
      <c r="K743" s="1"/>
      <c r="L743" s="439"/>
      <c r="M743" s="440"/>
      <c r="N743" s="441"/>
      <c r="O743" s="440"/>
      <c r="P743" s="445"/>
      <c r="Q743" s="445"/>
      <c r="R743" s="453" t="str">
        <f>IFERROR(IF(J741="","",(R741/J741)-1),0)</f>
        <v/>
      </c>
      <c r="T743" s="439"/>
      <c r="U743" s="440"/>
      <c r="V743" s="441"/>
      <c r="W743" s="440"/>
      <c r="X743" s="445"/>
      <c r="Y743" s="445"/>
      <c r="Z743" s="446" t="str">
        <f>IFERROR(IF(R741="","",(Z741/R741)-1),0)</f>
        <v/>
      </c>
    </row>
    <row r="744" spans="4:26" ht="5.25" customHeight="1" thickBot="1">
      <c r="D744" s="229"/>
      <c r="E744" s="229"/>
      <c r="F744" s="230"/>
      <c r="G744" s="231"/>
      <c r="H744" s="232"/>
      <c r="I744" s="233"/>
      <c r="J744" s="233"/>
      <c r="K744"/>
      <c r="L744" s="233"/>
      <c r="M744" s="233"/>
      <c r="N744" s="233"/>
      <c r="O744" s="233"/>
      <c r="P744" s="233"/>
      <c r="Q744" s="233"/>
      <c r="R744" s="233"/>
      <c r="T744" s="233"/>
      <c r="U744" s="233"/>
      <c r="V744" s="233"/>
      <c r="W744" s="233"/>
      <c r="X744" s="233"/>
      <c r="Y744" s="233"/>
      <c r="Z744" s="233"/>
    </row>
    <row r="745" spans="3:26" ht="50.15" customHeight="1">
      <c r="C745" s="164" t="s">
        <v>297</v>
      </c>
      <c r="D745" s="275" t="s">
        <v>285</v>
      </c>
      <c r="E745" s="165"/>
      <c r="F745" s="272"/>
      <c r="G745" s="166"/>
      <c r="H745" s="167"/>
      <c r="I745" s="168"/>
      <c r="J745" s="169"/>
      <c r="K745"/>
      <c r="L745" s="274" t="s">
        <v>38</v>
      </c>
      <c r="M745" s="170"/>
      <c r="N745" s="274" t="s">
        <v>237</v>
      </c>
      <c r="O745" s="171"/>
      <c r="P745" s="171"/>
      <c r="Q745" s="171"/>
      <c r="R745" s="169"/>
      <c r="T745" s="274" t="s">
        <v>38</v>
      </c>
      <c r="U745" s="170"/>
      <c r="V745" s="274" t="s">
        <v>237</v>
      </c>
      <c r="W745" s="171"/>
      <c r="X745" s="171"/>
      <c r="Y745" s="171"/>
      <c r="Z745" s="169"/>
    </row>
    <row r="746" spans="4:26" ht="18.75" customHeight="1">
      <c r="D746" s="172" t="s">
        <v>238</v>
      </c>
      <c r="E746" s="407"/>
      <c r="F746" s="449"/>
      <c r="G746" s="470"/>
      <c r="H746" s="449"/>
      <c r="I746" s="450"/>
      <c r="J746" s="410"/>
      <c r="K746" s="411"/>
      <c r="L746" s="408" t="str" cm="1">
        <f t="array" ca="1" aca="1" ref="L746">_xlfn.IFNA(VLOOKUP(INDIRECT("L"&amp;ROW()-1)&amp;"_"&amp;$D$12,BEGIN_Renew_Dental:END_RENEW_DENTAL,RENEW_COL_EO,FALSE),"")</f>
        <v/>
      </c>
      <c r="M746" s="412" t="str">
        <f>IF(E746="","",E746)</f>
        <v/>
      </c>
      <c r="N746" s="413"/>
      <c r="O746" s="414"/>
      <c r="P746" s="415" t="str">
        <f>IFERROR(IF($N745="Keep Contribution Same",H746,IF($N745="Enter Percentages",IF(N746="","",N746*L746),IF($N745="Keep Percentage Same",IF(G746="","",G746*L746),IF($N745="Enter Dollar Amount",IF(O746="","",O746),"")))),"")</f>
        <v/>
      </c>
      <c r="Q746" s="408" t="str">
        <f>IFERROR(R746-P746,"")</f>
        <v/>
      </c>
      <c r="R746" s="410" t="str">
        <f>IFERROR(IF(P746="","",M746*P746),"")</f>
        <v/>
      </c>
      <c r="S746" s="411"/>
      <c r="T746" s="408" t="str" cm="1">
        <f t="array" ca="1" aca="1" ref="T746">_xlfn.IFNA(VLOOKUP(INDIRECT("T"&amp;ROW()-1)&amp;"_"&amp;$D$12,BEGIN_Renew_Dental:END_RENEW_DENTAL,RENEW_COL_EO,FALSE),"")</f>
        <v/>
      </c>
      <c r="U746" s="412" t="str">
        <f>IF(E746="","",E746)</f>
        <v/>
      </c>
      <c r="V746" s="413"/>
      <c r="W746" s="414"/>
      <c r="X746" s="415" t="str">
        <f>IFERROR(IF($V745="Keep Contribution Same",H746,IF($V745="Enter Percentages",IF(V746="","",V746*T746),IF($V745="Keep Percentage Same",IF(G746="","",G746*T746),IF($V745="Enter Dollar Amount",IF(W746="","",W746),"")))),"")</f>
        <v/>
      </c>
      <c r="Y746" s="408" t="str">
        <f ca="1">IFERROR(T746-X746,"")</f>
        <v/>
      </c>
      <c r="Z746" s="410" t="str">
        <f>IFERROR(IF(X746="","",U746*X746),"")</f>
        <v/>
      </c>
    </row>
    <row r="747" spans="4:26" ht="18.75" customHeight="1">
      <c r="D747" s="172" t="s">
        <v>239</v>
      </c>
      <c r="E747" s="407"/>
      <c r="F747" s="449"/>
      <c r="G747" s="470"/>
      <c r="H747" s="449"/>
      <c r="I747" s="450"/>
      <c r="J747" s="410"/>
      <c r="K747" s="411"/>
      <c r="L747" s="408" t="str" cm="1">
        <f t="array" ca="1" aca="1" ref="L747">_xlfn.IFNA(VLOOKUP(INDIRECT("L"&amp;ROW()-2)&amp;"_"&amp;$D$12,BEGIN_Renew_Dental:END_RENEW_DENTAL,RENEW_COL_ES,FALSE),"")</f>
        <v/>
      </c>
      <c r="M747" s="412" t="str">
        <f>IF(E747="","",E747)</f>
        <v/>
      </c>
      <c r="N747" s="413"/>
      <c r="O747" s="414"/>
      <c r="P747" s="415" t="str">
        <f>IFERROR(IF($N745="Keep Contribution Same",H747,IF($N745="Enter Percentages",IF(N747="","",N747*L747),IF($N745="Keep Percentage Same",IF(G747="","",G747*L747),IF($N745="Enter Dollar Amount",IF(O747="","",O747),"")))),"")</f>
        <v/>
      </c>
      <c r="Q747" s="408" t="str">
        <f t="shared" si="104" ref="Q747">IFERROR(R747-P747,"")</f>
        <v/>
      </c>
      <c r="R747" s="410" t="str">
        <f>IFERROR(IF(P747="","",M747*P747),"")</f>
        <v/>
      </c>
      <c r="S747" s="411"/>
      <c r="T747" s="408" t="str" cm="1">
        <f t="array" ca="1" aca="1" ref="T747">_xlfn.IFNA(VLOOKUP(INDIRECT("T"&amp;ROW()-2)&amp;"_"&amp;$D$12,BEGIN_Renew_Dental:END_RENEW_DENTAL,RENEW_COL_ES,FALSE),"")</f>
        <v/>
      </c>
      <c r="U747" s="412" t="str">
        <f t="shared" si="105" ref="U747:U749">IF(E747="","",E747)</f>
        <v/>
      </c>
      <c r="V747" s="413"/>
      <c r="W747" s="414"/>
      <c r="X747" s="415" t="str">
        <f>IFERROR(IF($V745="Keep Contribution Same",H747,IF($V745="Enter Percentages",IF(V747="","",V747*T747),IF($V745="Keep Percentage Same",IF(G747="","",G747*T747),IF($V745="Enter Dollar Amount",IF(W747="","",W747),"")))),"")</f>
        <v/>
      </c>
      <c r="Y747" s="408" t="str">
        <f ca="1" t="shared" si="106" ref="Y747:Y749">IFERROR(T747-X747,"")</f>
        <v/>
      </c>
      <c r="Z747" s="410" t="str">
        <f t="shared" si="107" ref="Z747:Z749">IFERROR(IF(X747="","",U747*X747),"")</f>
        <v/>
      </c>
    </row>
    <row r="748" spans="4:26" ht="18.75" customHeight="1">
      <c r="D748" s="172" t="s">
        <v>240</v>
      </c>
      <c r="E748" s="407"/>
      <c r="F748" s="449"/>
      <c r="G748" s="470"/>
      <c r="H748" s="449"/>
      <c r="I748" s="450"/>
      <c r="J748" s="410"/>
      <c r="K748" s="411"/>
      <c r="L748" s="408" t="str" cm="1">
        <f t="array" ca="1" aca="1" ref="L748">_xlfn.IFNA(VLOOKUP(INDIRECT("L"&amp;ROW()-3)&amp;"_"&amp;$D$12,BEGIN_Renew_Dental:END_RENEW_DENTAL,RENEW_COL_EC,FALSE),"")</f>
        <v/>
      </c>
      <c r="M748" s="412" t="str">
        <f>IF(E748="","",E748)</f>
        <v/>
      </c>
      <c r="N748" s="413"/>
      <c r="O748" s="414"/>
      <c r="P748" s="415" t="str">
        <f>IFERROR(IF($N745="Keep Contribution Same",H748,IF($N745="Enter Percentages",IF(N748="","",N748*L748),IF($N745="Keep Percentage Same",IF(G748="","",G748*L748),IF($N745="Enter Dollar Amount",IF(O748="","",O748),"")))),"")</f>
        <v/>
      </c>
      <c r="Q748" s="408" t="str">
        <f>IFERROR(R748-P748,"")</f>
        <v/>
      </c>
      <c r="R748" s="410" t="str">
        <f>IFERROR(IF(P748="","",M748*P748),"")</f>
        <v/>
      </c>
      <c r="S748" s="411"/>
      <c r="T748" s="408" t="str" cm="1">
        <f t="array" ca="1" aca="1" ref="T748">_xlfn.IFNA(VLOOKUP(INDIRECT("T"&amp;ROW()-3)&amp;"_"&amp;$D$12,BEGIN_Renew_Dental:END_RENEW_DENTAL,RENEW_COL_EC,FALSE),"")</f>
        <v/>
      </c>
      <c r="U748" s="412" t="str">
        <f t="shared" si="105"/>
        <v/>
      </c>
      <c r="V748" s="413"/>
      <c r="W748" s="414"/>
      <c r="X748" s="415" t="str">
        <f>IFERROR(IF($V745="Keep Contribution Same",H748,IF($V745="Enter Percentages",IF(V748="","",V748*T748),IF($V745="Keep Percentage Same",IF(G748="","",G748*T748),IF($V745="Enter Dollar Amount",IF(W748="","",W748),"")))),"")</f>
        <v/>
      </c>
      <c r="Y748" s="408" t="str">
        <f t="shared" ca="1" si="106"/>
        <v/>
      </c>
      <c r="Z748" s="410" t="str">
        <f t="shared" si="107"/>
        <v/>
      </c>
    </row>
    <row r="749" spans="4:26" ht="18.75" customHeight="1" thickBot="1">
      <c r="D749" s="174" t="s">
        <v>241</v>
      </c>
      <c r="E749" s="416"/>
      <c r="F749" s="451"/>
      <c r="G749" s="471"/>
      <c r="H749" s="451"/>
      <c r="I749" s="452"/>
      <c r="J749" s="419"/>
      <c r="K749" s="411"/>
      <c r="L749" s="417" t="str" cm="1">
        <f t="array" ca="1" aca="1" ref="L749">_xlfn.IFNA(VLOOKUP(INDIRECT("L"&amp;ROW()-4)&amp;"_"&amp;$D$12,BEGIN_Renew_Dental:END_RENEW_DENTAL,RENEW_COL_FAM,FALSE),"")</f>
        <v/>
      </c>
      <c r="M749" s="423" t="str">
        <f>IF(E749="","",E749)</f>
        <v/>
      </c>
      <c r="N749" s="420"/>
      <c r="O749" s="421"/>
      <c r="P749" s="422" t="str">
        <f>IFERROR(IF($N745="Keep Contribution Same",H749,IF($N745="Enter Percentages",IF(N749="","",N749*L749),IF($N745="Keep Percentage Same",IF(G749="","",G749*L749),IF($N745="Enter Dollar Amount",IF(O749="","",O749),"")))),"")</f>
        <v/>
      </c>
      <c r="Q749" s="417" t="str">
        <f>IFERROR(R749-P749,"")</f>
        <v/>
      </c>
      <c r="R749" s="419" t="str">
        <f>IFERROR(IF(P749="","",M749*P749),"")</f>
        <v/>
      </c>
      <c r="S749" s="411"/>
      <c r="T749" s="417" t="str" cm="1">
        <f t="array" ca="1" aca="1" ref="T749">_xlfn.IFNA(VLOOKUP(INDIRECT("T"&amp;ROW()-4)&amp;"_"&amp;$D$12,BEGIN_Renew_Dental:END_RENEW_DENTAL,RENEW_COL_FAM,FALSE),"")</f>
        <v/>
      </c>
      <c r="U749" s="423" t="str">
        <f t="shared" si="105"/>
        <v/>
      </c>
      <c r="V749" s="420"/>
      <c r="W749" s="421"/>
      <c r="X749" s="422" t="str">
        <f>IFERROR(IF($V745="Keep Contribution Same",H749,IF($V745="Enter Percentages",IF(V749="","",V749*T749),IF($V745="Keep Percentage Same",IF(G749="","",G749*T749),IF($V745="Enter Dollar Amount",IF(W749="","",W749),"")))),"")</f>
        <v/>
      </c>
      <c r="Y749" s="417" t="str">
        <f t="shared" ca="1" si="106"/>
        <v/>
      </c>
      <c r="Z749" s="419" t="str">
        <f t="shared" si="107"/>
        <v/>
      </c>
    </row>
    <row r="750" spans="4:26" ht="18.75" customHeight="1" thickTop="1">
      <c r="D750" s="175" t="s">
        <v>242</v>
      </c>
      <c r="E750" s="424"/>
      <c r="F750" s="427"/>
      <c r="G750" s="426"/>
      <c r="H750" s="427"/>
      <c r="I750" s="428"/>
      <c r="J750" s="429" t="str">
        <f>IFERROR(IF(J746="","",SUM(J746:J749)),0)</f>
        <v/>
      </c>
      <c r="K750" s="1"/>
      <c r="L750" s="424"/>
      <c r="M750" s="427"/>
      <c r="N750" s="426"/>
      <c r="O750" s="427"/>
      <c r="P750" s="431"/>
      <c r="Q750" s="432"/>
      <c r="R750" s="429" t="str">
        <f>IFERROR(IF(R746="","",SUM(R746:R749)),0)</f>
        <v/>
      </c>
      <c r="T750" s="424"/>
      <c r="U750" s="427"/>
      <c r="V750" s="426"/>
      <c r="W750" s="427"/>
      <c r="X750" s="431"/>
      <c r="Y750" s="432"/>
      <c r="Z750" s="429" t="str">
        <f>IFERROR(IF(Z746="","",SUM(Z746:Z749)),0)</f>
        <v/>
      </c>
    </row>
    <row r="751" spans="4:26" ht="18.75" customHeight="1">
      <c r="D751" s="177" t="s">
        <v>243</v>
      </c>
      <c r="E751" s="433"/>
      <c r="F751" s="436"/>
      <c r="G751" s="435"/>
      <c r="H751" s="436"/>
      <c r="I751" s="432"/>
      <c r="J751" s="437" t="str">
        <f>IF(J750="","",J750*12)</f>
        <v/>
      </c>
      <c r="K751" s="1"/>
      <c r="L751" s="433"/>
      <c r="M751" s="436"/>
      <c r="N751" s="435"/>
      <c r="O751" s="436"/>
      <c r="P751" s="432"/>
      <c r="Q751" s="432"/>
      <c r="R751" s="437" t="str">
        <f>IF(R750="","",R750*12)</f>
        <v/>
      </c>
      <c r="T751" s="433"/>
      <c r="U751" s="436"/>
      <c r="V751" s="435"/>
      <c r="W751" s="436"/>
      <c r="X751" s="432"/>
      <c r="Y751" s="432"/>
      <c r="Z751" s="437" t="str">
        <f>IF(Z750="","",Z750*12)</f>
        <v/>
      </c>
    </row>
    <row r="752" spans="4:26" ht="18.75" customHeight="1">
      <c r="D752" s="177" t="s">
        <v>244</v>
      </c>
      <c r="E752" s="433"/>
      <c r="F752" s="436"/>
      <c r="G752" s="435"/>
      <c r="H752" s="436"/>
      <c r="I752" s="432"/>
      <c r="J752" s="437" t="str">
        <f>IFERROR(IF(J751="","",R751-J751),0)</f>
        <v/>
      </c>
      <c r="K752" s="1"/>
      <c r="L752" s="433"/>
      <c r="M752" s="436"/>
      <c r="N752" s="435"/>
      <c r="O752" s="436"/>
      <c r="P752" s="432"/>
      <c r="Q752" s="432"/>
      <c r="R752" s="437" t="str">
        <f>IFERROR(IF(J751="","",R751-J751),0)</f>
        <v/>
      </c>
      <c r="T752" s="433"/>
      <c r="U752" s="436"/>
      <c r="V752" s="435"/>
      <c r="W752" s="436"/>
      <c r="X752" s="432"/>
      <c r="Y752" s="432"/>
      <c r="Z752" s="437" t="str">
        <f>IFERROR(IF(R751="","",Z751-R751),0)</f>
        <v/>
      </c>
    </row>
    <row r="753" spans="4:26" ht="18.75" customHeight="1" thickBot="1">
      <c r="D753" s="180" t="s">
        <v>245</v>
      </c>
      <c r="E753" s="439"/>
      <c r="F753" s="440"/>
      <c r="G753" s="441"/>
      <c r="H753" s="440"/>
      <c r="I753" s="442"/>
      <c r="J753" s="437" t="str">
        <f>IFERROR(IF(J751="","",(R751/J751)-1),0)</f>
        <v/>
      </c>
      <c r="K753" s="1"/>
      <c r="L753" s="439"/>
      <c r="M753" s="440"/>
      <c r="N753" s="441"/>
      <c r="O753" s="440"/>
      <c r="P753" s="445"/>
      <c r="Q753" s="445"/>
      <c r="R753" s="453" t="str">
        <f>IFERROR(IF(J751="","",(R751/J751)-1),0)</f>
        <v/>
      </c>
      <c r="T753" s="439"/>
      <c r="U753" s="440"/>
      <c r="V753" s="441"/>
      <c r="W753" s="440"/>
      <c r="X753" s="445"/>
      <c r="Y753" s="445"/>
      <c r="Z753" s="446" t="str">
        <f>IFERROR(IF(R751="","",(Z751/R751)-1),0)</f>
        <v/>
      </c>
    </row>
    <row r="754" spans="4:26" ht="5.25" customHeight="1" thickBot="1">
      <c r="D754" s="229"/>
      <c r="E754" s="229"/>
      <c r="F754" s="230"/>
      <c r="G754" s="231"/>
      <c r="H754" s="232"/>
      <c r="I754" s="233"/>
      <c r="J754" s="233"/>
      <c r="K754"/>
      <c r="L754" s="233"/>
      <c r="M754" s="233"/>
      <c r="N754" s="233"/>
      <c r="O754" s="233"/>
      <c r="P754" s="233"/>
      <c r="Q754" s="233"/>
      <c r="R754" s="233"/>
      <c r="T754" s="233"/>
      <c r="U754" s="233"/>
      <c r="V754" s="233"/>
      <c r="W754" s="233"/>
      <c r="X754" s="233"/>
      <c r="Y754" s="233"/>
      <c r="Z754" s="233"/>
    </row>
    <row r="755" spans="3:26" ht="50.15" customHeight="1">
      <c r="C755" s="164" t="s">
        <v>298</v>
      </c>
      <c r="D755" s="275" t="s">
        <v>285</v>
      </c>
      <c r="E755" s="165"/>
      <c r="F755" s="272"/>
      <c r="G755" s="166"/>
      <c r="H755" s="167"/>
      <c r="I755" s="168"/>
      <c r="J755" s="169"/>
      <c r="K755"/>
      <c r="L755" s="274" t="s">
        <v>38</v>
      </c>
      <c r="M755" s="170"/>
      <c r="N755" s="274" t="s">
        <v>237</v>
      </c>
      <c r="O755" s="171"/>
      <c r="P755" s="171"/>
      <c r="Q755" s="171"/>
      <c r="R755" s="169"/>
      <c r="T755" s="274" t="s">
        <v>38</v>
      </c>
      <c r="U755" s="170"/>
      <c r="V755" s="274" t="s">
        <v>237</v>
      </c>
      <c r="W755" s="171"/>
      <c r="X755" s="171"/>
      <c r="Y755" s="171"/>
      <c r="Z755" s="169"/>
    </row>
    <row r="756" spans="4:26" ht="18.75" customHeight="1">
      <c r="D756" s="172" t="s">
        <v>238</v>
      </c>
      <c r="E756" s="407"/>
      <c r="F756" s="449"/>
      <c r="G756" s="470"/>
      <c r="H756" s="449"/>
      <c r="I756" s="450"/>
      <c r="J756" s="410"/>
      <c r="K756" s="411"/>
      <c r="L756" s="408" t="str" cm="1">
        <f t="array" ca="1" aca="1" ref="L756">_xlfn.IFNA(VLOOKUP(INDIRECT("L"&amp;ROW()-1)&amp;"_"&amp;$D$12,BEGIN_Renew_Dental:END_RENEW_DENTAL,RENEW_COL_EO,FALSE),"")</f>
        <v/>
      </c>
      <c r="M756" s="412" t="str">
        <f>IF(E756="","",E756)</f>
        <v/>
      </c>
      <c r="N756" s="413"/>
      <c r="O756" s="414"/>
      <c r="P756" s="415" t="str">
        <f>IFERROR(IF($N755="Keep Contribution Same",H756,IF($N755="Enter Percentages",IF(N756="","",N756*L756),IF($N755="Keep Percentage Same",IF(G756="","",G756*L756),IF($N755="Enter Dollar Amount",IF(O756="","",O756),"")))),"")</f>
        <v/>
      </c>
      <c r="Q756" s="408" t="str">
        <f>IFERROR(R756-P756,"")</f>
        <v/>
      </c>
      <c r="R756" s="410" t="str">
        <f>IFERROR(IF(P756="","",M756*P756),"")</f>
        <v/>
      </c>
      <c r="S756" s="411"/>
      <c r="T756" s="408" t="str" cm="1">
        <f t="array" ca="1" aca="1" ref="T756">_xlfn.IFNA(VLOOKUP(INDIRECT("T"&amp;ROW()-1)&amp;"_"&amp;$D$12,BEGIN_Renew_Dental:END_RENEW_DENTAL,RENEW_COL_EO,FALSE),"")</f>
        <v/>
      </c>
      <c r="U756" s="412" t="str">
        <f>IF(E756="","",E756)</f>
        <v/>
      </c>
      <c r="V756" s="413"/>
      <c r="W756" s="414"/>
      <c r="X756" s="415" t="str">
        <f>IFERROR(IF($V755="Keep Contribution Same",H756,IF($V755="Enter Percentages",IF(V756="","",V756*T756),IF($V755="Keep Percentage Same",IF(G756="","",G756*T756),IF($V755="Enter Dollar Amount",IF(W756="","",W756),"")))),"")</f>
        <v/>
      </c>
      <c r="Y756" s="408" t="str">
        <f ca="1">IFERROR(T756-X756,"")</f>
        <v/>
      </c>
      <c r="Z756" s="410" t="str">
        <f>IFERROR(IF(X756="","",U756*X756),"")</f>
        <v/>
      </c>
    </row>
    <row r="757" spans="4:26" ht="18.75" customHeight="1">
      <c r="D757" s="172" t="s">
        <v>239</v>
      </c>
      <c r="E757" s="407"/>
      <c r="F757" s="449"/>
      <c r="G757" s="470"/>
      <c r="H757" s="449"/>
      <c r="I757" s="450"/>
      <c r="J757" s="410"/>
      <c r="K757" s="411"/>
      <c r="L757" s="408" t="str" cm="1">
        <f t="array" ca="1" aca="1" ref="L757">_xlfn.IFNA(VLOOKUP(INDIRECT("L"&amp;ROW()-2)&amp;"_"&amp;$D$12,BEGIN_Renew_Dental:END_RENEW_DENTAL,RENEW_COL_ES,FALSE),"")</f>
        <v/>
      </c>
      <c r="M757" s="412" t="str">
        <f>IF(E757="","",E757)</f>
        <v/>
      </c>
      <c r="N757" s="413"/>
      <c r="O757" s="414"/>
      <c r="P757" s="415" t="str">
        <f>IFERROR(IF($N755="Keep Contribution Same",H757,IF($N755="Enter Percentages",IF(N757="","",N757*L757),IF($N755="Keep Percentage Same",IF(G757="","",G757*L757),IF($N755="Enter Dollar Amount",IF(O757="","",O757),"")))),"")</f>
        <v/>
      </c>
      <c r="Q757" s="408" t="str">
        <f t="shared" si="108" ref="Q757">IFERROR(R757-P757,"")</f>
        <v/>
      </c>
      <c r="R757" s="410" t="str">
        <f>IFERROR(IF(P757="","",M757*P757),"")</f>
        <v/>
      </c>
      <c r="S757" s="411"/>
      <c r="T757" s="408" t="str" cm="1">
        <f t="array" ca="1" aca="1" ref="T757">_xlfn.IFNA(VLOOKUP(INDIRECT("T"&amp;ROW()-2)&amp;"_"&amp;$D$12,BEGIN_Renew_Dental:END_RENEW_DENTAL,RENEW_COL_ES,FALSE),"")</f>
        <v/>
      </c>
      <c r="U757" s="412" t="str">
        <f t="shared" si="109" ref="U757:U759">IF(E757="","",E757)</f>
        <v/>
      </c>
      <c r="V757" s="413"/>
      <c r="W757" s="414"/>
      <c r="X757" s="415" t="str">
        <f>IFERROR(IF($V755="Keep Contribution Same",H757,IF($V755="Enter Percentages",IF(V757="","",V757*T757),IF($V755="Keep Percentage Same",IF(G757="","",G757*T757),IF($V755="Enter Dollar Amount",IF(W757="","",W757),"")))),"")</f>
        <v/>
      </c>
      <c r="Y757" s="408" t="str">
        <f ca="1" t="shared" si="110" ref="Y757:Y759">IFERROR(T757-X757,"")</f>
        <v/>
      </c>
      <c r="Z757" s="410" t="str">
        <f t="shared" si="111" ref="Z757:Z759">IFERROR(IF(X757="","",U757*X757),"")</f>
        <v/>
      </c>
    </row>
    <row r="758" spans="4:26" ht="18.75" customHeight="1">
      <c r="D758" s="172" t="s">
        <v>240</v>
      </c>
      <c r="E758" s="407"/>
      <c r="F758" s="449"/>
      <c r="G758" s="470"/>
      <c r="H758" s="449"/>
      <c r="I758" s="450"/>
      <c r="J758" s="410"/>
      <c r="K758" s="411"/>
      <c r="L758" s="408" t="str" cm="1">
        <f t="array" ca="1" aca="1" ref="L758">_xlfn.IFNA(VLOOKUP(INDIRECT("L"&amp;ROW()-3)&amp;"_"&amp;$D$12,BEGIN_Renew_Dental:END_RENEW_DENTAL,RENEW_COL_EC,FALSE),"")</f>
        <v/>
      </c>
      <c r="M758" s="412" t="str">
        <f>IF(E758="","",E758)</f>
        <v/>
      </c>
      <c r="N758" s="413"/>
      <c r="O758" s="414"/>
      <c r="P758" s="415" t="str">
        <f>IFERROR(IF($N755="Keep Contribution Same",H758,IF($N755="Enter Percentages",IF(N758="","",N758*L758),IF($N755="Keep Percentage Same",IF(G758="","",G758*L758),IF($N755="Enter Dollar Amount",IF(O758="","",O758),"")))),"")</f>
        <v/>
      </c>
      <c r="Q758" s="408" t="str">
        <f>IFERROR(R758-P758,"")</f>
        <v/>
      </c>
      <c r="R758" s="410" t="str">
        <f>IFERROR(IF(P758="","",M758*P758),"")</f>
        <v/>
      </c>
      <c r="S758" s="411"/>
      <c r="T758" s="408" t="str" cm="1">
        <f t="array" ca="1" aca="1" ref="T758">_xlfn.IFNA(VLOOKUP(INDIRECT("T"&amp;ROW()-3)&amp;"_"&amp;$D$12,BEGIN_Renew_Dental:END_RENEW_DENTAL,RENEW_COL_EC,FALSE),"")</f>
        <v/>
      </c>
      <c r="U758" s="412" t="str">
        <f t="shared" si="109"/>
        <v/>
      </c>
      <c r="V758" s="413"/>
      <c r="W758" s="414"/>
      <c r="X758" s="415" t="str">
        <f>IFERROR(IF($V755="Keep Contribution Same",H758,IF($V755="Enter Percentages",IF(V758="","",V758*T758),IF($V755="Keep Percentage Same",IF(G758="","",G758*T758),IF($V755="Enter Dollar Amount",IF(W758="","",W758),"")))),"")</f>
        <v/>
      </c>
      <c r="Y758" s="408" t="str">
        <f t="shared" ca="1" si="110"/>
        <v/>
      </c>
      <c r="Z758" s="410" t="str">
        <f t="shared" si="111"/>
        <v/>
      </c>
    </row>
    <row r="759" spans="4:26" ht="18.75" customHeight="1" thickBot="1">
      <c r="D759" s="174" t="s">
        <v>241</v>
      </c>
      <c r="E759" s="416"/>
      <c r="F759" s="451"/>
      <c r="G759" s="471"/>
      <c r="H759" s="451"/>
      <c r="I759" s="452"/>
      <c r="J759" s="419"/>
      <c r="K759" s="411"/>
      <c r="L759" s="417" t="str" cm="1">
        <f t="array" ca="1" aca="1" ref="L759">_xlfn.IFNA(VLOOKUP(INDIRECT("L"&amp;ROW()-4)&amp;"_"&amp;$D$12,BEGIN_Renew_Dental:END_RENEW_DENTAL,RENEW_COL_FAM,FALSE),"")</f>
        <v/>
      </c>
      <c r="M759" s="423" t="str">
        <f>IF(E759="","",E759)</f>
        <v/>
      </c>
      <c r="N759" s="420"/>
      <c r="O759" s="421"/>
      <c r="P759" s="422" t="str">
        <f>IFERROR(IF($N755="Keep Contribution Same",H759,IF($N755="Enter Percentages",IF(N759="","",N759*L759),IF($N755="Keep Percentage Same",IF(G759="","",G759*L759),IF($N755="Enter Dollar Amount",IF(O759="","",O759),"")))),"")</f>
        <v/>
      </c>
      <c r="Q759" s="417" t="str">
        <f>IFERROR(R759-P759,"")</f>
        <v/>
      </c>
      <c r="R759" s="419" t="str">
        <f>IFERROR(IF(P759="","",M759*P759),"")</f>
        <v/>
      </c>
      <c r="S759" s="411"/>
      <c r="T759" s="417" t="str" cm="1">
        <f t="array" ca="1" aca="1" ref="T759">_xlfn.IFNA(VLOOKUP(INDIRECT("T"&amp;ROW()-4)&amp;"_"&amp;$D$12,BEGIN_Renew_Dental:END_RENEW_DENTAL,RENEW_COL_FAM,FALSE),"")</f>
        <v/>
      </c>
      <c r="U759" s="423" t="str">
        <f t="shared" si="109"/>
        <v/>
      </c>
      <c r="V759" s="420"/>
      <c r="W759" s="421"/>
      <c r="X759" s="422" t="str">
        <f>IFERROR(IF($V755="Keep Contribution Same",H759,IF($V755="Enter Percentages",IF(V759="","",V759*T759),IF($V755="Keep Percentage Same",IF(G759="","",G759*T759),IF($V755="Enter Dollar Amount",IF(W759="","",W759),"")))),"")</f>
        <v/>
      </c>
      <c r="Y759" s="417" t="str">
        <f t="shared" ca="1" si="110"/>
        <v/>
      </c>
      <c r="Z759" s="419" t="str">
        <f t="shared" si="111"/>
        <v/>
      </c>
    </row>
    <row r="760" spans="4:26" ht="18.75" customHeight="1" thickTop="1">
      <c r="D760" s="175" t="s">
        <v>242</v>
      </c>
      <c r="E760" s="424"/>
      <c r="F760" s="427"/>
      <c r="G760" s="426"/>
      <c r="H760" s="427"/>
      <c r="I760" s="428"/>
      <c r="J760" s="429" t="str">
        <f>IFERROR(IF(J756="","",SUM(J756:J759)),0)</f>
        <v/>
      </c>
      <c r="K760" s="1"/>
      <c r="L760" s="424"/>
      <c r="M760" s="427"/>
      <c r="N760" s="426"/>
      <c r="O760" s="427"/>
      <c r="P760" s="431"/>
      <c r="Q760" s="432"/>
      <c r="R760" s="429" t="str">
        <f>IFERROR(IF(R756="","",SUM(R756:R759)),0)</f>
        <v/>
      </c>
      <c r="T760" s="424"/>
      <c r="U760" s="427"/>
      <c r="V760" s="426"/>
      <c r="W760" s="427"/>
      <c r="X760" s="431"/>
      <c r="Y760" s="432"/>
      <c r="Z760" s="429" t="str">
        <f>IFERROR(IF(Z756="","",SUM(Z756:Z759)),0)</f>
        <v/>
      </c>
    </row>
    <row r="761" spans="4:26" ht="18.75" customHeight="1">
      <c r="D761" s="177" t="s">
        <v>243</v>
      </c>
      <c r="E761" s="433"/>
      <c r="F761" s="436"/>
      <c r="G761" s="435"/>
      <c r="H761" s="436"/>
      <c r="I761" s="432"/>
      <c r="J761" s="437" t="str">
        <f>IF(J760="","",J760*12)</f>
        <v/>
      </c>
      <c r="K761" s="1"/>
      <c r="L761" s="433"/>
      <c r="M761" s="436"/>
      <c r="N761" s="435"/>
      <c r="O761" s="436"/>
      <c r="P761" s="432"/>
      <c r="Q761" s="432"/>
      <c r="R761" s="437" t="str">
        <f>IF(R760="","",R760*12)</f>
        <v/>
      </c>
      <c r="T761" s="433"/>
      <c r="U761" s="436"/>
      <c r="V761" s="435"/>
      <c r="W761" s="436"/>
      <c r="X761" s="432"/>
      <c r="Y761" s="432"/>
      <c r="Z761" s="437" t="str">
        <f>IF(Z760="","",Z760*12)</f>
        <v/>
      </c>
    </row>
    <row r="762" spans="4:26" ht="18.75" customHeight="1">
      <c r="D762" s="177" t="s">
        <v>244</v>
      </c>
      <c r="E762" s="433"/>
      <c r="F762" s="436"/>
      <c r="G762" s="435"/>
      <c r="H762" s="436"/>
      <c r="I762" s="432"/>
      <c r="J762" s="437" t="str">
        <f>IFERROR(IF(J761="","",R761-J761),0)</f>
        <v/>
      </c>
      <c r="K762" s="1"/>
      <c r="L762" s="433"/>
      <c r="M762" s="436"/>
      <c r="N762" s="435"/>
      <c r="O762" s="436"/>
      <c r="P762" s="432"/>
      <c r="Q762" s="432"/>
      <c r="R762" s="437" t="str">
        <f>IFERROR(IF(J761="","",R761-J761),0)</f>
        <v/>
      </c>
      <c r="T762" s="433"/>
      <c r="U762" s="436"/>
      <c r="V762" s="435"/>
      <c r="W762" s="436"/>
      <c r="X762" s="432"/>
      <c r="Y762" s="432"/>
      <c r="Z762" s="437" t="str">
        <f>IFERROR(IF(R761="","",Z761-R761),0)</f>
        <v/>
      </c>
    </row>
    <row r="763" spans="4:27" ht="18.75" customHeight="1" thickBot="1">
      <c r="D763" s="180" t="s">
        <v>245</v>
      </c>
      <c r="E763" s="439"/>
      <c r="F763" s="440"/>
      <c r="G763" s="441"/>
      <c r="H763" s="440"/>
      <c r="I763" s="442"/>
      <c r="J763" s="437" t="str">
        <f>IFERROR(IF(J761="","",(R761/J761)-1),0)</f>
        <v/>
      </c>
      <c r="K763" s="1"/>
      <c r="L763" s="439"/>
      <c r="M763" s="440"/>
      <c r="N763" s="441"/>
      <c r="O763" s="440"/>
      <c r="P763" s="445"/>
      <c r="Q763" s="445"/>
      <c r="R763" s="453" t="str">
        <f>IFERROR(IF(J761="","",(R761/J761)-1),0)</f>
        <v/>
      </c>
      <c r="T763" s="439"/>
      <c r="U763" s="440"/>
      <c r="V763" s="441"/>
      <c r="W763" s="440"/>
      <c r="X763" s="445"/>
      <c r="Y763" s="445"/>
      <c r="Z763" s="446" t="str">
        <f>IFERROR(IF(R761="","",(Z761/R761)-1),0)</f>
        <v/>
      </c>
      <c r="AA763"/>
    </row>
    <row r="764" spans="4:27" ht="5.25" customHeight="1" thickBot="1">
      <c r="D764" s="229"/>
      <c r="E764" s="229"/>
      <c r="F764" s="230"/>
      <c r="G764" s="231"/>
      <c r="H764" s="232"/>
      <c r="I764" s="233"/>
      <c r="J764" s="233"/>
      <c r="K764"/>
      <c r="L764" s="233"/>
      <c r="M764" s="233"/>
      <c r="N764" s="233"/>
      <c r="O764" s="233"/>
      <c r="P764" s="233"/>
      <c r="Q764" s="233"/>
      <c r="R764" s="233"/>
      <c r="T764" s="233"/>
      <c r="U764" s="233"/>
      <c r="V764" s="233"/>
      <c r="W764" s="233"/>
      <c r="X764" s="233"/>
      <c r="Y764" s="233"/>
      <c r="Z764" s="233"/>
      <c r="AA764"/>
    </row>
    <row r="765" spans="1:140" s="162" customFormat="1" ht="31.15" customHeight="1" thickTop="1" thickBot="1">
      <c r="A765" s="153"/>
      <c r="B765" s="153"/>
      <c r="C765" s="234"/>
      <c r="D765" s="484" t="s">
        <v>299</v>
      </c>
      <c r="E765" s="485"/>
      <c r="F765" s="485"/>
      <c r="G765" s="485"/>
      <c r="H765" s="485"/>
      <c r="I765" s="485"/>
      <c r="J765" s="485"/>
      <c r="K765" s="485"/>
      <c r="L765" s="485"/>
      <c r="M765" s="485"/>
      <c r="N765" s="485"/>
      <c r="O765" s="485"/>
      <c r="P765" s="485"/>
      <c r="Q765" s="485"/>
      <c r="R765" s="486"/>
      <c r="T765" s="235"/>
      <c r="U765" s="236"/>
      <c r="V765" s="236"/>
      <c r="W765" s="236"/>
      <c r="X765" s="236"/>
      <c r="Y765" s="236"/>
      <c r="Z765" s="237"/>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row>
    <row r="766" spans="1:26" ht="50.15" customHeight="1">
      <c r="A766" s="140">
        <v>1</v>
      </c>
      <c r="B766" s="140">
        <f>IF(A766&gt;Class1_CurrentVisionCount,"DELETE",Class1_CurrentVisionStart+A766)</f>
        <v>15</v>
      </c>
      <c r="C766" s="164" t="s">
        <v>300</v>
      </c>
      <c r="D766" s="273" t="e">
        <f ca="1">IF(B766="Delete","",VLOOKUP(F766,BEGIN_CURRENT_VISION:END_CURRENT_VISION,3,FALSE))</f>
        <v>#N/A</v>
      </c>
      <c r="E766" s="165"/>
      <c r="F766" s="272" cm="1">
        <f t="array" ca="1" aca="1" ref="F766">IF(B766="Delete","",INDIRECT("CurrentPlans!A"&amp;B766,TRUE))</f>
        <v>0</v>
      </c>
      <c r="G766" s="166"/>
      <c r="H766" s="167"/>
      <c r="I766" s="168"/>
      <c r="J766" s="169"/>
      <c r="K766"/>
      <c r="L766" s="274" t="str">
        <f ca="1">_xlfn.IFNA(VLOOKUP(F766,BEGIN_RENEWEDFROM_DENTAL:ROW_RenewDental_PlanID,3,FALSE),"SELECT PLAN")</f>
        <v>SELECT PLAN</v>
      </c>
      <c r="M766" s="170"/>
      <c r="N766" s="274" t="s">
        <v>237</v>
      </c>
      <c r="O766" s="171"/>
      <c r="P766" s="171"/>
      <c r="Q766" s="171"/>
      <c r="R766" s="169"/>
      <c r="T766" s="274" t="s">
        <v>38</v>
      </c>
      <c r="U766" s="170"/>
      <c r="V766" s="274" t="s">
        <v>237</v>
      </c>
      <c r="W766" s="171"/>
      <c r="X766" s="171"/>
      <c r="Y766" s="171"/>
      <c r="Z766" s="169"/>
    </row>
    <row r="767" spans="4:26" ht="18.75" customHeight="1">
      <c r="D767" s="172" t="s">
        <v>238</v>
      </c>
      <c r="E767" s="407" t="str">
        <f ca="1">_xlfn.IFNA(VLOOKUP(F766,BEGIN_CURRENT_VISION:END_CURRENT_VISION,CURRENT_COL_EO_count,FALSE),"")</f>
        <v/>
      </c>
      <c r="F767" s="408" t="str">
        <f ca="1">_xlfn.IFNA(VLOOKUP(F766,BEGIN_CURRENT_VISION:END_CURRENT_VISION,CURRENT_COL_EO,FALSE),"")</f>
        <v/>
      </c>
      <c r="G767" s="468" t="str">
        <f ca="1" t="shared" si="112" ref="G767:G770">IF(F767="","",H767/F767)</f>
        <v/>
      </c>
      <c r="H767" s="408" t="str">
        <f ca="1">_xlfn.IFNA(VLOOKUP(F766,BEGIN_CURRENT_VISION:END_CURRENT_VISION,CURRENT_COL_EOContrib,FALSE),"")</f>
        <v/>
      </c>
      <c r="I767" s="409" t="str">
        <f ca="1">IFERROR(F767-H767,"")</f>
        <v/>
      </c>
      <c r="J767" s="410" t="str">
        <f ca="1">IF(F767="","",H767*E767)</f>
        <v/>
      </c>
      <c r="K767" s="411"/>
      <c r="L767" s="408" t="str" cm="1">
        <f t="array" ca="1" aca="1" ref="L767">_xlfn.IFNA(VLOOKUP(INDIRECT("L"&amp;ROW()-1)&amp;"_"&amp;$D$12,BEGIN_Renew_Vision:END_RENEW_VISION,RENEW_COL_EO,FALSE),"")</f>
        <v/>
      </c>
      <c r="M767" s="412" t="str">
        <f ca="1">IF(E767="","",E767)</f>
        <v/>
      </c>
      <c r="N767" s="413"/>
      <c r="O767" s="414"/>
      <c r="P767" s="415" t="str">
        <f>IFERROR(IF($N766="Keep Contribution Same",H767,IF($N766="Enter Percentages",IF(N767="","",N767*L767),IF($N766="Keep Percentage Same",IF(G767="","",G767*L767),IF($N766="Enter Dollar Amount",IF(O767="","",O767),"")))),"")</f>
        <v/>
      </c>
      <c r="Q767" s="408" t="str">
        <f ca="1">IFERROR(L767-P767,"")</f>
        <v/>
      </c>
      <c r="R767" s="410" t="str">
        <f>IFERROR(IF(P767="","",M767*P767),"")</f>
        <v/>
      </c>
      <c r="S767" s="411"/>
      <c r="T767" s="408" t="str" cm="1">
        <f t="array" ca="1" aca="1" ref="T767">_xlfn.IFNA(VLOOKUP(INDIRECT("T"&amp;ROW()-1)&amp;"_"&amp;$D$12,BEGIN_Renew_Vision:END_RENEW_VISION,RENEW_COL_EO,FALSE),"")</f>
        <v/>
      </c>
      <c r="U767" s="412" t="str">
        <f ca="1">IF(E767="","",E767)</f>
        <v/>
      </c>
      <c r="V767" s="413"/>
      <c r="W767" s="414"/>
      <c r="X767" s="415" t="str">
        <f>IFERROR(IF($V766="Keep Contribution Same",H767,IF($V766="Enter Percentages",IF(V767="","",V767*T767),IF($V766="Keep Percentage Same",IF(G767="","",G767*T767),IF($V766="Enter Dollar Amount",IF(W767="","",W767),"")))),"")</f>
        <v/>
      </c>
      <c r="Y767" s="408" t="str">
        <f ca="1">IFERROR(T767-X767,"")</f>
        <v/>
      </c>
      <c r="Z767" s="410" t="str">
        <f>IFERROR(IF(X767="","",U767*X767),"")</f>
        <v/>
      </c>
    </row>
    <row r="768" spans="4:26" ht="18.75" customHeight="1">
      <c r="D768" s="172" t="s">
        <v>239</v>
      </c>
      <c r="E768" s="407" t="str">
        <f ca="1">_xlfn.IFNA(VLOOKUP(F766,BEGIN_CURRENT_VISION:END_CURRENT_VISION,CURRENT_COL_ES_count,FALSE),"")</f>
        <v/>
      </c>
      <c r="F768" s="408" t="str">
        <f ca="1">_xlfn.IFNA(VLOOKUP(F766,BEGIN_CURRENT_VISION:END_CURRENT_VISION,CURRENT_COL_ES,FALSE),"")</f>
        <v/>
      </c>
      <c r="G768" s="468" t="str">
        <f t="shared" ca="1" si="112"/>
        <v/>
      </c>
      <c r="H768" s="408" t="str">
        <f ca="1">_xlfn.IFNA(VLOOKUP(F766,BEGIN_CURRENT_VISION:END_CURRENT_VISION,CURRENT_COL_ESContrib,FALSE),"")</f>
        <v/>
      </c>
      <c r="I768" s="409" t="str">
        <f ca="1" t="shared" si="113" ref="I768:I770">IFERROR(F768-H768,"")</f>
        <v/>
      </c>
      <c r="J768" s="410" t="str">
        <f ca="1" t="shared" si="114" ref="J768:J770">IF(F768="","",H768*E768)</f>
        <v/>
      </c>
      <c r="K768" s="411"/>
      <c r="L768" s="408" t="str" cm="1">
        <f t="array" ca="1" aca="1" ref="L768">_xlfn.IFNA(VLOOKUP(INDIRECT("L"&amp;ROW()-2)&amp;"_"&amp;$D$12,BEGIN_Renew_Vision:END_RENEW_VISION,RENEW_COL_ES,FALSE),"")</f>
        <v/>
      </c>
      <c r="M768" s="412" t="str">
        <f ca="1">IF(E768="","",E768)</f>
        <v/>
      </c>
      <c r="N768" s="413"/>
      <c r="O768" s="414"/>
      <c r="P768" s="415" t="str">
        <f>IFERROR(IF($N766="Keep Contribution Same",H768,IF($N766="Enter Percentages",IF(N768="","",N768*L768),IF($N766="Keep Percentage Same",IF(G768="","",G768*L768),IF($N766="Enter Dollar Amount",IF(O768="","",O768),"")))),"")</f>
        <v/>
      </c>
      <c r="Q768" s="408" t="str">
        <f ca="1" t="shared" si="115" ref="Q768:Q770">IFERROR(L768-P768,"")</f>
        <v/>
      </c>
      <c r="R768" s="410" t="str">
        <f>IFERROR(IF(P768="","",M768*P768),"")</f>
        <v/>
      </c>
      <c r="S768" s="411"/>
      <c r="T768" s="408" t="str" cm="1">
        <f t="array" ca="1" aca="1" ref="T768">_xlfn.IFNA(VLOOKUP(INDIRECT("T"&amp;ROW()-2)&amp;"_"&amp;$D$12,BEGIN_Renew_Vision:END_RENEW_VISION,RENEW_COL_ES,FALSE),"")</f>
        <v/>
      </c>
      <c r="U768" s="412" t="str">
        <f ca="1" t="shared" si="116" ref="U768:U770">IF(E768="","",E768)</f>
        <v/>
      </c>
      <c r="V768" s="413"/>
      <c r="W768" s="414"/>
      <c r="X768" s="415" t="str">
        <f>IFERROR(IF($V766="Keep Contribution Same",H768,IF($V766="Enter Percentages",IF(V768="","",V768*T768),IF($V766="Keep Percentage Same",IF(G768="","",G768*T768),IF($V766="Enter Dollar Amount",IF(W768="","",W768),"")))),"")</f>
        <v/>
      </c>
      <c r="Y768" s="408" t="str">
        <f ca="1" t="shared" si="117" ref="Y768:Y770">IFERROR(T768-X768,"")</f>
        <v/>
      </c>
      <c r="Z768" s="410" t="str">
        <f t="shared" si="118" ref="Z768:Z770">IFERROR(IF(X768="","",U768*X768),"")</f>
        <v/>
      </c>
    </row>
    <row r="769" spans="4:26" ht="18.75" customHeight="1">
      <c r="D769" s="172" t="s">
        <v>240</v>
      </c>
      <c r="E769" s="407" t="str">
        <f ca="1">_xlfn.IFNA(VLOOKUP(F766,BEGIN_CURRENT_VISION:END_CURRENT_VISION,CURRENT_COL_EC_count,FALSE),"")</f>
        <v/>
      </c>
      <c r="F769" s="408" t="str">
        <f ca="1">_xlfn.IFNA(VLOOKUP(F766,BEGIN_CURRENT_VISION:END_CURRENT_VISION,CURRENT_COL_EC,FALSE),"")</f>
        <v/>
      </c>
      <c r="G769" s="468" t="str">
        <f t="shared" ca="1" si="112"/>
        <v/>
      </c>
      <c r="H769" s="408" t="str">
        <f ca="1">_xlfn.IFNA(VLOOKUP(F766,BEGIN_CURRENT_VISION:END_CURRENT_VISION,CURRENT_COL_ECContrib,FALSE),"")</f>
        <v/>
      </c>
      <c r="I769" s="409" t="str">
        <f t="shared" ca="1" si="113"/>
        <v/>
      </c>
      <c r="J769" s="410" t="str">
        <f t="shared" ca="1" si="114"/>
        <v/>
      </c>
      <c r="K769" s="411"/>
      <c r="L769" s="408" t="str" cm="1">
        <f t="array" ca="1" aca="1" ref="L769">_xlfn.IFNA(VLOOKUP(INDIRECT("L"&amp;ROW()-3)&amp;"_"&amp;$D$12,BEGIN_Renew_Vision:END_RENEW_VISION,RENEW_COL_EC,FALSE),"")</f>
        <v/>
      </c>
      <c r="M769" s="412" t="str">
        <f ca="1">IF(E769="","",E769)</f>
        <v/>
      </c>
      <c r="N769" s="413"/>
      <c r="O769" s="414"/>
      <c r="P769" s="415" t="str">
        <f>IFERROR(IF($N766="Keep Contribution Same",H769,IF($N766="Enter Percentages",IF(N769="","",N769*L769),IF($N766="Keep Percentage Same",IF(G769="","",G769*L769),IF($N766="Enter Dollar Amount",IF(O769="","",O769),"")))),"")</f>
        <v/>
      </c>
      <c r="Q769" s="408" t="str">
        <f t="shared" ca="1" si="115"/>
        <v/>
      </c>
      <c r="R769" s="410" t="str">
        <f>IFERROR(IF(P769="","",M769*P769),"")</f>
        <v/>
      </c>
      <c r="S769" s="411"/>
      <c r="T769" s="408" t="str" cm="1">
        <f t="array" ca="1" aca="1" ref="T769">_xlfn.IFNA(VLOOKUP(INDIRECT("T"&amp;ROW()-3)&amp;"_"&amp;$D$12,BEGIN_Renew_Vision:END_RENEW_VISION,RENEW_COL_EC,FALSE),"")</f>
        <v/>
      </c>
      <c r="U769" s="412" t="str">
        <f t="shared" ca="1" si="116"/>
        <v/>
      </c>
      <c r="V769" s="413"/>
      <c r="W769" s="414"/>
      <c r="X769" s="415" t="str">
        <f>IFERROR(IF($V766="Keep Contribution Same",H769,IF($V766="Enter Percentages",IF(V769="","",V769*T769),IF($V766="Keep Percentage Same",IF(G769="","",G769*T769),IF($V766="Enter Dollar Amount",IF(W769="","",W769),"")))),"")</f>
        <v/>
      </c>
      <c r="Y769" s="408" t="str">
        <f t="shared" ca="1" si="117"/>
        <v/>
      </c>
      <c r="Z769" s="410" t="str">
        <f t="shared" si="118"/>
        <v/>
      </c>
    </row>
    <row r="770" spans="4:26" ht="18.75" customHeight="1" thickBot="1">
      <c r="D770" s="174" t="s">
        <v>241</v>
      </c>
      <c r="E770" s="416" t="str">
        <f ca="1">_xlfn.IFNA(VLOOKUP(F766,BEGIN_CURRENT_VISION:END_CURRENT_VISION,CURRENT_COL_FAM_count,FALSE),"")</f>
        <v/>
      </c>
      <c r="F770" s="417" t="str">
        <f ca="1">_xlfn.IFNA(VLOOKUP(F766,BEGIN_CURRENT_VISION:END_CURRENT_VISION,CURRENT_COL_FAM,FALSE),"")</f>
        <v/>
      </c>
      <c r="G770" s="469" t="str">
        <f t="shared" ca="1" si="112"/>
        <v/>
      </c>
      <c r="H770" s="417" t="str">
        <f ca="1">_xlfn.IFNA(VLOOKUP(F766,BEGIN_CURRENT_VISION:END_CURRENT_VISION,CURRENT_COL_FAMContrib,FALSE),"")</f>
        <v/>
      </c>
      <c r="I770" s="409" t="str">
        <f t="shared" ca="1" si="113"/>
        <v/>
      </c>
      <c r="J770" s="410" t="str">
        <f t="shared" ca="1" si="114"/>
        <v/>
      </c>
      <c r="K770" s="411"/>
      <c r="L770" s="417" t="str" cm="1">
        <f t="array" ca="1" aca="1" ref="L770">_xlfn.IFNA(VLOOKUP(INDIRECT("L"&amp;ROW()-4)&amp;"_"&amp;$D$12,BEGIN_Renew_Vision:END_RENEW_VISION,RENEW_COL_FAM,FALSE),"")</f>
        <v/>
      </c>
      <c r="M770" s="423" t="str">
        <f ca="1">IF(E770="","",E770)</f>
        <v/>
      </c>
      <c r="N770" s="420"/>
      <c r="O770" s="421"/>
      <c r="P770" s="422" t="str">
        <f>IFERROR(IF($N766="Keep Contribution Same",H770,IF($N766="Enter Percentages",IF(N770="","",N770*L770),IF($N766="Keep Percentage Same",IF(G770="","",G770*L770),IF($N766="Enter Dollar Amount",IF(O770="","",O770),"")))),"")</f>
        <v/>
      </c>
      <c r="Q770" s="417" t="str">
        <f t="shared" ca="1" si="115"/>
        <v/>
      </c>
      <c r="R770" s="419" t="str">
        <f>IFERROR(IF(P770="","",M770*P770),"")</f>
        <v/>
      </c>
      <c r="S770" s="411"/>
      <c r="T770" s="417" t="str" cm="1">
        <f t="array" ca="1" aca="1" ref="T770">_xlfn.IFNA(VLOOKUP(INDIRECT("T"&amp;ROW()-4)&amp;"_"&amp;$D$12,BEGIN_Renew_Vision:END_RENEW_VISION,RENEW_COL_FAM,FALSE),"")</f>
        <v/>
      </c>
      <c r="U770" s="423" t="str">
        <f t="shared" ca="1" si="116"/>
        <v/>
      </c>
      <c r="V770" s="420"/>
      <c r="W770" s="421"/>
      <c r="X770" s="422" t="str">
        <f>IFERROR(IF($V766="Keep Contribution Same",H770,IF($V766="Enter Percentages",IF(V770="","",V770*T770),IF($V766="Keep Percentage Same",IF(G770="","",G770*T770),IF($V766="Enter Dollar Amount",IF(W770="","",W770),"")))),"")</f>
        <v/>
      </c>
      <c r="Y770" s="417" t="str">
        <f t="shared" ca="1" si="117"/>
        <v/>
      </c>
      <c r="Z770" s="419" t="str">
        <f t="shared" si="118"/>
        <v/>
      </c>
    </row>
    <row r="771" spans="4:26" ht="18.75" customHeight="1" thickTop="1">
      <c r="D771" s="175" t="s">
        <v>242</v>
      </c>
      <c r="E771" s="424"/>
      <c r="F771" s="427"/>
      <c r="G771" s="426"/>
      <c r="H771" s="427"/>
      <c r="I771" s="428"/>
      <c r="J771" s="429" t="str">
        <f ca="1">IFERROR(IF(J767="","",SUM(J767:J770)),0)</f>
        <v/>
      </c>
      <c r="K771" s="1"/>
      <c r="L771" s="424"/>
      <c r="M771" s="427"/>
      <c r="N771" s="426"/>
      <c r="O771" s="427"/>
      <c r="P771" s="431"/>
      <c r="Q771" s="432"/>
      <c r="R771" s="429" t="str">
        <f>IFERROR(IF(R767="","",SUM(R767:R770)),0)</f>
        <v/>
      </c>
      <c r="T771" s="424"/>
      <c r="U771" s="427"/>
      <c r="V771" s="426"/>
      <c r="W771" s="427"/>
      <c r="X771" s="431"/>
      <c r="Y771" s="432"/>
      <c r="Z771" s="429" t="str">
        <f>IFERROR(IF(Z767="","",SUM(Z767:Z770)),0)</f>
        <v/>
      </c>
    </row>
    <row r="772" spans="4:26" ht="18.75" customHeight="1">
      <c r="D772" s="177" t="s">
        <v>243</v>
      </c>
      <c r="E772" s="433"/>
      <c r="F772" s="436"/>
      <c r="G772" s="435"/>
      <c r="H772" s="436"/>
      <c r="I772" s="432"/>
      <c r="J772" s="437" t="str">
        <f ca="1">IF(J771="","",J771*12)</f>
        <v/>
      </c>
      <c r="K772" s="1"/>
      <c r="L772" s="433"/>
      <c r="M772" s="436"/>
      <c r="N772" s="435"/>
      <c r="O772" s="436"/>
      <c r="P772" s="432"/>
      <c r="Q772" s="432"/>
      <c r="R772" s="437" t="str">
        <f>IF(R771="","",R771*12)</f>
        <v/>
      </c>
      <c r="T772" s="433"/>
      <c r="U772" s="436"/>
      <c r="V772" s="435"/>
      <c r="W772" s="436"/>
      <c r="X772" s="432"/>
      <c r="Y772" s="432"/>
      <c r="Z772" s="437" t="str">
        <f>IF(Z771="","",Z771*12)</f>
        <v/>
      </c>
    </row>
    <row r="773" spans="4:26" ht="18.75" customHeight="1">
      <c r="D773" s="177" t="s">
        <v>244</v>
      </c>
      <c r="E773" s="433"/>
      <c r="F773" s="436"/>
      <c r="G773" s="435"/>
      <c r="H773" s="436"/>
      <c r="I773" s="432"/>
      <c r="J773" s="437" t="str">
        <f ca="1">IFERROR(IF(J772="","",R772-J772),0)</f>
        <v/>
      </c>
      <c r="K773" s="1"/>
      <c r="L773" s="433"/>
      <c r="M773" s="436"/>
      <c r="N773" s="435"/>
      <c r="O773" s="436"/>
      <c r="P773" s="432"/>
      <c r="Q773" s="432"/>
      <c r="R773" s="437" t="str">
        <f ca="1">IFERROR(IF(J772="","",R772-J772),0)</f>
        <v/>
      </c>
      <c r="T773" s="433"/>
      <c r="U773" s="436"/>
      <c r="V773" s="435"/>
      <c r="W773" s="436"/>
      <c r="X773" s="432"/>
      <c r="Y773" s="432"/>
      <c r="Z773" s="437" t="str">
        <f>IFERROR(IF(R772="","",Z772-R772),0)</f>
        <v/>
      </c>
    </row>
    <row r="774" spans="4:26" ht="18.75" customHeight="1" thickBot="1">
      <c r="D774" s="180" t="s">
        <v>245</v>
      </c>
      <c r="E774" s="439"/>
      <c r="F774" s="440"/>
      <c r="G774" s="441"/>
      <c r="H774" s="440"/>
      <c r="I774" s="442"/>
      <c r="J774" s="437" t="str">
        <f ca="1">IFERROR(IF(J772="","",(R772/J772)-1),0)</f>
        <v/>
      </c>
      <c r="K774" s="1"/>
      <c r="L774" s="439"/>
      <c r="M774" s="440"/>
      <c r="N774" s="441"/>
      <c r="O774" s="440"/>
      <c r="P774" s="445"/>
      <c r="Q774" s="445"/>
      <c r="R774" s="453" t="str">
        <f ca="1">IFERROR(IF(J772="","",(R772/J772)-1),0)</f>
        <v/>
      </c>
      <c r="T774" s="439"/>
      <c r="U774" s="440"/>
      <c r="V774" s="441"/>
      <c r="W774" s="440"/>
      <c r="X774" s="445"/>
      <c r="Y774" s="445"/>
      <c r="Z774" s="446" t="str">
        <f>IFERROR(IF(R772="","",(Z772/R772)-1),0)</f>
        <v/>
      </c>
    </row>
    <row r="775" spans="4:26" ht="5.25" customHeight="1" thickBot="1">
      <c r="D775" s="229"/>
      <c r="E775" s="229"/>
      <c r="F775" s="230"/>
      <c r="G775" s="231"/>
      <c r="H775" s="232"/>
      <c r="I775" s="233"/>
      <c r="J775" s="233"/>
      <c r="K775"/>
      <c r="L775" s="233"/>
      <c r="M775" s="233"/>
      <c r="N775" s="233"/>
      <c r="O775" s="233"/>
      <c r="P775" s="233"/>
      <c r="Q775" s="233"/>
      <c r="R775" s="233"/>
      <c r="T775" s="233"/>
      <c r="U775" s="233"/>
      <c r="V775" s="233"/>
      <c r="W775" s="233"/>
      <c r="X775" s="233"/>
      <c r="Y775" s="233"/>
      <c r="Z775" s="233"/>
    </row>
    <row r="776" spans="1:26" ht="50.15" customHeight="1">
      <c r="A776" s="140">
        <v>2</v>
      </c>
      <c r="B776" s="140">
        <f>IF(A776&gt;Class1_CurrentVisionCount,"DELETE",Class1_CurrentVisionStart+A776)</f>
        <v>16</v>
      </c>
      <c r="C776" s="164" t="s">
        <v>301</v>
      </c>
      <c r="D776" s="273" t="e">
        <f ca="1">IF(B776="Delete","",VLOOKUP(F776,BEGIN_CURRENT_VISION:END_CURRENT_VISION,3,FALSE))</f>
        <v>#N/A</v>
      </c>
      <c r="E776" s="165"/>
      <c r="F776" s="272" cm="1">
        <f t="array" ca="1" aca="1" ref="F776">IF(B776="Delete","",INDIRECT("CurrentPlans!A"&amp;B776,TRUE))</f>
        <v>0</v>
      </c>
      <c r="G776" s="166"/>
      <c r="H776" s="167"/>
      <c r="I776" s="168"/>
      <c r="J776" s="169"/>
      <c r="K776"/>
      <c r="L776" s="274" t="str">
        <f ca="1">_xlfn.IFNA(VLOOKUP(F776,BEGIN_RENEWEDFROM_DENTAL:ROW_RenewDental_PlanID,3,FALSE),"SELECT PLAN")</f>
        <v>SELECT PLAN</v>
      </c>
      <c r="M776" s="170"/>
      <c r="N776" s="274" t="s">
        <v>237</v>
      </c>
      <c r="O776" s="171"/>
      <c r="P776" s="171"/>
      <c r="Q776" s="171"/>
      <c r="R776" s="169"/>
      <c r="T776" s="274" t="s">
        <v>38</v>
      </c>
      <c r="U776" s="170"/>
      <c r="V776" s="274" t="s">
        <v>237</v>
      </c>
      <c r="W776" s="171"/>
      <c r="X776" s="171"/>
      <c r="Y776" s="171"/>
      <c r="Z776" s="169"/>
    </row>
    <row r="777" spans="4:26" ht="18.75" customHeight="1">
      <c r="D777" s="172" t="s">
        <v>238</v>
      </c>
      <c r="E777" s="407" t="str">
        <f ca="1">_xlfn.IFNA(VLOOKUP(F776,BEGIN_CURRENT_VISION:END_CURRENT_VISION,CURRENT_COL_EO_count,FALSE),"")</f>
        <v/>
      </c>
      <c r="F777" s="408" t="str">
        <f ca="1">_xlfn.IFNA(VLOOKUP(F776,BEGIN_CURRENT_VISION:END_CURRENT_VISION,CURRENT_COL_EO,FALSE),"")</f>
        <v/>
      </c>
      <c r="G777" s="468" t="str">
        <f ca="1" t="shared" si="119" ref="G777:G780">IF(F777="","",H777/F777)</f>
        <v/>
      </c>
      <c r="H777" s="408" t="str">
        <f ca="1">_xlfn.IFNA(VLOOKUP(F776,BEGIN_CURRENT_VISION:END_CURRENT_VISION,CURRENT_COL_EOContrib,FALSE),"")</f>
        <v/>
      </c>
      <c r="I777" s="409" t="str">
        <f ca="1">IFERROR(F777-H777,"")</f>
        <v/>
      </c>
      <c r="J777" s="410" t="str">
        <f ca="1">IF(F777="","",H777*E777)</f>
        <v/>
      </c>
      <c r="K777" s="411"/>
      <c r="L777" s="408" t="str" cm="1">
        <f t="array" ca="1" aca="1" ref="L777">_xlfn.IFNA(VLOOKUP(INDIRECT("L"&amp;ROW()-1)&amp;"_"&amp;$D$12,BEGIN_Renew_Vision:END_RENEW_VISION,RENEW_COL_EO,FALSE),"")</f>
        <v/>
      </c>
      <c r="M777" s="412" t="str">
        <f ca="1">IF(E777="","",E777)</f>
        <v/>
      </c>
      <c r="N777" s="413"/>
      <c r="O777" s="414"/>
      <c r="P777" s="415" t="str">
        <f>IFERROR(IF($N776="Keep Contribution Same",H777,IF($N776="Enter Percentages",IF(N777="","",N777*L777),IF($N776="Keep Percentage Same",IF(G777="","",G777*L777),IF($N776="Enter Dollar Amount",IF(O777="","",O777),"")))),"")</f>
        <v/>
      </c>
      <c r="Q777" s="408" t="str">
        <f ca="1">IFERROR(L777-P777,"")</f>
        <v/>
      </c>
      <c r="R777" s="410" t="str">
        <f>IFERROR(IF(P777="","",M777*P777),"")</f>
        <v/>
      </c>
      <c r="S777" s="411"/>
      <c r="T777" s="408" t="str" cm="1">
        <f t="array" ca="1" aca="1" ref="T777">_xlfn.IFNA(VLOOKUP(INDIRECT("T"&amp;ROW()-1)&amp;"_"&amp;$D$12,BEGIN_Renew_Vision:END_RENEW_VISION,RENEW_COL_EO,FALSE),"")</f>
        <v/>
      </c>
      <c r="U777" s="412" t="str">
        <f ca="1">IF(E777="","",E777)</f>
        <v/>
      </c>
      <c r="V777" s="413"/>
      <c r="W777" s="414"/>
      <c r="X777" s="415" t="str">
        <f>IFERROR(IF($V776="Keep Contribution Same",H777,IF($V776="Enter Percentages",IF(V777="","",V777*T777),IF($V776="Keep Percentage Same",IF(G777="","",G777*T777),IF($V776="Enter Dollar Amount",IF(W777="","",W777),"")))),"")</f>
        <v/>
      </c>
      <c r="Y777" s="408" t="str">
        <f ca="1">IFERROR(T777-X777,"")</f>
        <v/>
      </c>
      <c r="Z777" s="410" t="str">
        <f>IFERROR(IF(X777="","",U777*X777),"")</f>
        <v/>
      </c>
    </row>
    <row r="778" spans="4:26" ht="18.75" customHeight="1">
      <c r="D778" s="172" t="s">
        <v>239</v>
      </c>
      <c r="E778" s="407" t="str">
        <f ca="1">_xlfn.IFNA(VLOOKUP(F776,BEGIN_CURRENT_VISION:END_CURRENT_VISION,CURRENT_COL_ES_count,FALSE),"")</f>
        <v/>
      </c>
      <c r="F778" s="408" t="str">
        <f ca="1">_xlfn.IFNA(VLOOKUP(F776,BEGIN_CURRENT_VISION:END_CURRENT_VISION,CURRENT_COL_ES,FALSE),"")</f>
        <v/>
      </c>
      <c r="G778" s="468" t="str">
        <f t="shared" ca="1" si="119"/>
        <v/>
      </c>
      <c r="H778" s="408" t="str">
        <f ca="1">_xlfn.IFNA(VLOOKUP(F776,BEGIN_CURRENT_VISION:END_CURRENT_VISION,CURRENT_COL_ESContrib,FALSE),"")</f>
        <v/>
      </c>
      <c r="I778" s="409" t="str">
        <f ca="1" t="shared" si="120" ref="I778:I780">IFERROR(F778-H778,"")</f>
        <v/>
      </c>
      <c r="J778" s="410" t="str">
        <f ca="1" t="shared" si="121" ref="J778:J780">IF(F778="","",H778*E778)</f>
        <v/>
      </c>
      <c r="K778" s="411"/>
      <c r="L778" s="408" t="str" cm="1">
        <f t="array" ca="1" aca="1" ref="L778">_xlfn.IFNA(VLOOKUP(INDIRECT("L"&amp;ROW()-2)&amp;"_"&amp;$D$12,BEGIN_Renew_Vision:END_RENEW_VISION,RENEW_COL_ES,FALSE),"")</f>
        <v/>
      </c>
      <c r="M778" s="412" t="str">
        <f ca="1">IF(E778="","",E778)</f>
        <v/>
      </c>
      <c r="N778" s="413"/>
      <c r="O778" s="414"/>
      <c r="P778" s="415" t="str">
        <f>IFERROR(IF($N776="Keep Contribution Same",H778,IF($N776="Enter Percentages",IF(N778="","",N778*L778),IF($N776="Keep Percentage Same",IF(G778="","",G778*L778),IF($N776="Enter Dollar Amount",IF(O778="","",O778),"")))),"")</f>
        <v/>
      </c>
      <c r="Q778" s="408" t="str">
        <f ca="1" t="shared" si="122" ref="Q778:Q780">IFERROR(L778-P778,"")</f>
        <v/>
      </c>
      <c r="R778" s="410" t="str">
        <f>IFERROR(IF(P778="","",M778*P778),"")</f>
        <v/>
      </c>
      <c r="S778" s="411"/>
      <c r="T778" s="408" t="str" cm="1">
        <f t="array" ca="1" aca="1" ref="T778">_xlfn.IFNA(VLOOKUP(INDIRECT("T"&amp;ROW()-2)&amp;"_"&amp;$D$12,BEGIN_Renew_Vision:END_RENEW_VISION,RENEW_COL_ES,FALSE),"")</f>
        <v/>
      </c>
      <c r="U778" s="412" t="str">
        <f ca="1" t="shared" si="123" ref="U778:U780">IF(E778="","",E778)</f>
        <v/>
      </c>
      <c r="V778" s="413"/>
      <c r="W778" s="414"/>
      <c r="X778" s="415" t="str">
        <f>IFERROR(IF($V776="Keep Contribution Same",H778,IF($V776="Enter Percentages",IF(V778="","",V778*T778),IF($V776="Keep Percentage Same",IF(G778="","",G778*T778),IF($V776="Enter Dollar Amount",IF(W778="","",W778),"")))),"")</f>
        <v/>
      </c>
      <c r="Y778" s="408" t="str">
        <f ca="1" t="shared" si="124" ref="Y778:Y780">IFERROR(T778-X778,"")</f>
        <v/>
      </c>
      <c r="Z778" s="410" t="str">
        <f t="shared" si="125" ref="Z778:Z780">IFERROR(IF(X778="","",U778*X778),"")</f>
        <v/>
      </c>
    </row>
    <row r="779" spans="4:26" ht="18.75" customHeight="1">
      <c r="D779" s="172" t="s">
        <v>240</v>
      </c>
      <c r="E779" s="407" t="str">
        <f ca="1">_xlfn.IFNA(VLOOKUP(F776,BEGIN_CURRENT_VISION:END_CURRENT_VISION,CURRENT_COL_EC_count,FALSE),"")</f>
        <v/>
      </c>
      <c r="F779" s="408" t="str">
        <f ca="1">_xlfn.IFNA(VLOOKUP(F776,BEGIN_CURRENT_VISION:END_CURRENT_VISION,CURRENT_COL_EC,FALSE),"")</f>
        <v/>
      </c>
      <c r="G779" s="468" t="str">
        <f t="shared" ca="1" si="119"/>
        <v/>
      </c>
      <c r="H779" s="408" t="str">
        <f ca="1">_xlfn.IFNA(VLOOKUP(F776,BEGIN_CURRENT_VISION:END_CURRENT_VISION,CURRENT_COL_ECContrib,FALSE),"")</f>
        <v/>
      </c>
      <c r="I779" s="409" t="str">
        <f t="shared" ca="1" si="120"/>
        <v/>
      </c>
      <c r="J779" s="410" t="str">
        <f t="shared" ca="1" si="121"/>
        <v/>
      </c>
      <c r="K779" s="411"/>
      <c r="L779" s="408" t="str" cm="1">
        <f t="array" ca="1" aca="1" ref="L779">_xlfn.IFNA(VLOOKUP(INDIRECT("L"&amp;ROW()-3)&amp;"_"&amp;$D$12,BEGIN_Renew_Vision:END_RENEW_VISION,RENEW_COL_EC,FALSE),"")</f>
        <v/>
      </c>
      <c r="M779" s="412" t="str">
        <f ca="1">IF(E779="","",E779)</f>
        <v/>
      </c>
      <c r="N779" s="413"/>
      <c r="O779" s="414"/>
      <c r="P779" s="415" t="str">
        <f>IFERROR(IF($N776="Keep Contribution Same",H779,IF($N776="Enter Percentages",IF(N779="","",N779*L779),IF($N776="Keep Percentage Same",IF(G779="","",G779*L779),IF($N776="Enter Dollar Amount",IF(O779="","",O779),"")))),"")</f>
        <v/>
      </c>
      <c r="Q779" s="408" t="str">
        <f t="shared" ca="1" si="122"/>
        <v/>
      </c>
      <c r="R779" s="410" t="str">
        <f>IFERROR(IF(P779="","",M779*P779),"")</f>
        <v/>
      </c>
      <c r="S779" s="411"/>
      <c r="T779" s="408" t="str" cm="1">
        <f t="array" ca="1" aca="1" ref="T779">_xlfn.IFNA(VLOOKUP(INDIRECT("T"&amp;ROW()-3)&amp;"_"&amp;$D$12,BEGIN_Renew_Vision:END_RENEW_VISION,RENEW_COL_EC,FALSE),"")</f>
        <v/>
      </c>
      <c r="U779" s="412" t="str">
        <f t="shared" ca="1" si="123"/>
        <v/>
      </c>
      <c r="V779" s="413"/>
      <c r="W779" s="414"/>
      <c r="X779" s="415" t="str">
        <f>IFERROR(IF($V776="Keep Contribution Same",H779,IF($V776="Enter Percentages",IF(V779="","",V779*T779),IF($V776="Keep Percentage Same",IF(G779="","",G779*T779),IF($V776="Enter Dollar Amount",IF(W779="","",W779),"")))),"")</f>
        <v/>
      </c>
      <c r="Y779" s="408" t="str">
        <f t="shared" ca="1" si="124"/>
        <v/>
      </c>
      <c r="Z779" s="410" t="str">
        <f t="shared" si="125"/>
        <v/>
      </c>
    </row>
    <row r="780" spans="4:26" ht="18.75" customHeight="1" thickBot="1">
      <c r="D780" s="174" t="s">
        <v>241</v>
      </c>
      <c r="E780" s="416" t="str">
        <f ca="1">_xlfn.IFNA(VLOOKUP(F776,BEGIN_CURRENT_VISION:END_CURRENT_VISION,CURRENT_COL_FAM_count,FALSE),"")</f>
        <v/>
      </c>
      <c r="F780" s="417" t="str">
        <f ca="1">_xlfn.IFNA(VLOOKUP(F776,BEGIN_CURRENT_VISION:END_CURRENT_VISION,CURRENT_COL_FAM,FALSE),"")</f>
        <v/>
      </c>
      <c r="G780" s="469" t="str">
        <f t="shared" ca="1" si="119"/>
        <v/>
      </c>
      <c r="H780" s="417" t="str">
        <f ca="1">_xlfn.IFNA(VLOOKUP(F776,BEGIN_CURRENT_VISION:END_CURRENT_VISION,CURRENT_COL_FAMContrib,FALSE),"")</f>
        <v/>
      </c>
      <c r="I780" s="409" t="str">
        <f t="shared" ca="1" si="120"/>
        <v/>
      </c>
      <c r="J780" s="410" t="str">
        <f t="shared" ca="1" si="121"/>
        <v/>
      </c>
      <c r="K780" s="411"/>
      <c r="L780" s="417" t="str" cm="1">
        <f t="array" ca="1" aca="1" ref="L780">_xlfn.IFNA(VLOOKUP(INDIRECT("L"&amp;ROW()-4)&amp;"_"&amp;$D$12,BEGIN_Renew_Vision:END_RENEW_VISION,RENEW_COL_FAM,FALSE),"")</f>
        <v/>
      </c>
      <c r="M780" s="423" t="str">
        <f ca="1">IF(E780="","",E780)</f>
        <v/>
      </c>
      <c r="N780" s="420"/>
      <c r="O780" s="421"/>
      <c r="P780" s="422" t="str">
        <f>IFERROR(IF($N776="Keep Contribution Same",H780,IF($N776="Enter Percentages",IF(N780="","",N780*L780),IF($N776="Keep Percentage Same",IF(G780="","",G780*L780),IF($N776="Enter Dollar Amount",IF(O780="","",O780),"")))),"")</f>
        <v/>
      </c>
      <c r="Q780" s="417" t="str">
        <f t="shared" ca="1" si="122"/>
        <v/>
      </c>
      <c r="R780" s="419" t="str">
        <f>IFERROR(IF(P780="","",M780*P780),"")</f>
        <v/>
      </c>
      <c r="S780" s="411"/>
      <c r="T780" s="417" t="str" cm="1">
        <f t="array" ca="1" aca="1" ref="T780">_xlfn.IFNA(VLOOKUP(INDIRECT("T"&amp;ROW()-4)&amp;"_"&amp;$D$12,BEGIN_Renew_Vision:END_RENEW_VISION,RENEW_COL_FAM,FALSE),"")</f>
        <v/>
      </c>
      <c r="U780" s="423" t="str">
        <f t="shared" ca="1" si="123"/>
        <v/>
      </c>
      <c r="V780" s="420"/>
      <c r="W780" s="421"/>
      <c r="X780" s="422" t="str">
        <f>IFERROR(IF($V776="Keep Contribution Same",H780,IF($V776="Enter Percentages",IF(V780="","",V780*T780),IF($V776="Keep Percentage Same",IF(G780="","",G780*T780),IF($V776="Enter Dollar Amount",IF(W780="","",W780),"")))),"")</f>
        <v/>
      </c>
      <c r="Y780" s="417" t="str">
        <f t="shared" ca="1" si="124"/>
        <v/>
      </c>
      <c r="Z780" s="419" t="str">
        <f t="shared" si="125"/>
        <v/>
      </c>
    </row>
    <row r="781" spans="4:26" ht="18.75" customHeight="1" thickTop="1">
      <c r="D781" s="175" t="s">
        <v>242</v>
      </c>
      <c r="E781" s="424"/>
      <c r="F781" s="427"/>
      <c r="G781" s="426"/>
      <c r="H781" s="427"/>
      <c r="I781" s="428"/>
      <c r="J781" s="429" t="str">
        <f ca="1">IFERROR(IF(J777="","",SUM(J777:J780)),0)</f>
        <v/>
      </c>
      <c r="K781" s="1"/>
      <c r="L781" s="424"/>
      <c r="M781" s="427"/>
      <c r="N781" s="426"/>
      <c r="O781" s="427"/>
      <c r="P781" s="431"/>
      <c r="Q781" s="432"/>
      <c r="R781" s="429" t="str">
        <f>IFERROR(IF(R777="","",SUM(R777:R780)),0)</f>
        <v/>
      </c>
      <c r="T781" s="424"/>
      <c r="U781" s="427"/>
      <c r="V781" s="426"/>
      <c r="W781" s="427"/>
      <c r="X781" s="431"/>
      <c r="Y781" s="432"/>
      <c r="Z781" s="429" t="str">
        <f>IFERROR(IF(Z777="","",SUM(Z777:Z780)),0)</f>
        <v/>
      </c>
    </row>
    <row r="782" spans="4:26" ht="18.75" customHeight="1">
      <c r="D782" s="177" t="s">
        <v>243</v>
      </c>
      <c r="E782" s="433"/>
      <c r="F782" s="436"/>
      <c r="G782" s="435"/>
      <c r="H782" s="436"/>
      <c r="I782" s="432"/>
      <c r="J782" s="437" t="str">
        <f ca="1">IF(J781="","",J781*12)</f>
        <v/>
      </c>
      <c r="K782" s="1"/>
      <c r="L782" s="433"/>
      <c r="M782" s="436"/>
      <c r="N782" s="435"/>
      <c r="O782" s="436"/>
      <c r="P782" s="432"/>
      <c r="Q782" s="432"/>
      <c r="R782" s="437" t="str">
        <f>IF(R781="","",R781*12)</f>
        <v/>
      </c>
      <c r="T782" s="433"/>
      <c r="U782" s="436"/>
      <c r="V782" s="435"/>
      <c r="W782" s="436"/>
      <c r="X782" s="432"/>
      <c r="Y782" s="432"/>
      <c r="Z782" s="437" t="str">
        <f>IF(Z781="","",Z781*12)</f>
        <v/>
      </c>
    </row>
    <row r="783" spans="4:26" ht="18.75" customHeight="1">
      <c r="D783" s="177" t="s">
        <v>244</v>
      </c>
      <c r="E783" s="433"/>
      <c r="F783" s="436"/>
      <c r="G783" s="435"/>
      <c r="H783" s="436"/>
      <c r="I783" s="432"/>
      <c r="J783" s="437" t="str">
        <f ca="1">IFERROR(IF(J782="","",R782-J782),0)</f>
        <v/>
      </c>
      <c r="K783" s="1"/>
      <c r="L783" s="433"/>
      <c r="M783" s="436"/>
      <c r="N783" s="435"/>
      <c r="O783" s="436"/>
      <c r="P783" s="432"/>
      <c r="Q783" s="432"/>
      <c r="R783" s="437" t="str">
        <f ca="1">IFERROR(IF(J782="","",R782-J782),0)</f>
        <v/>
      </c>
      <c r="T783" s="433"/>
      <c r="U783" s="436"/>
      <c r="V783" s="435"/>
      <c r="W783" s="436"/>
      <c r="X783" s="432"/>
      <c r="Y783" s="432"/>
      <c r="Z783" s="437" t="str">
        <f>IFERROR(IF(R782="","",Z782-R782),0)</f>
        <v/>
      </c>
    </row>
    <row r="784" spans="4:26" ht="18.75" customHeight="1" thickBot="1">
      <c r="D784" s="180" t="s">
        <v>245</v>
      </c>
      <c r="E784" s="439"/>
      <c r="F784" s="440"/>
      <c r="G784" s="441"/>
      <c r="H784" s="440"/>
      <c r="I784" s="442"/>
      <c r="J784" s="437" t="str">
        <f ca="1">IFERROR(IF(J782="","",(R782/J782)-1),0)</f>
        <v/>
      </c>
      <c r="K784" s="1"/>
      <c r="L784" s="439"/>
      <c r="M784" s="440"/>
      <c r="N784" s="441"/>
      <c r="O784" s="440"/>
      <c r="P784" s="445"/>
      <c r="Q784" s="445"/>
      <c r="R784" s="453" t="str">
        <f ca="1">IFERROR(IF(J782="","",(R782/J782)-1),0)</f>
        <v/>
      </c>
      <c r="T784" s="439"/>
      <c r="U784" s="440"/>
      <c r="V784" s="441"/>
      <c r="W784" s="440"/>
      <c r="X784" s="445"/>
      <c r="Y784" s="445"/>
      <c r="Z784" s="446" t="str">
        <f>IFERROR(IF(R782="","",(Z782/R782)-1),0)</f>
        <v/>
      </c>
    </row>
    <row r="785" spans="4:26" ht="5.25" customHeight="1" thickBot="1">
      <c r="D785" s="229"/>
      <c r="E785" s="229"/>
      <c r="F785" s="230"/>
      <c r="G785" s="231"/>
      <c r="H785" s="232"/>
      <c r="I785" s="233"/>
      <c r="J785" s="233"/>
      <c r="K785"/>
      <c r="L785" s="233"/>
      <c r="M785" s="233"/>
      <c r="N785" s="233"/>
      <c r="O785" s="233"/>
      <c r="P785" s="233"/>
      <c r="Q785" s="233"/>
      <c r="R785" s="233"/>
      <c r="T785" s="233"/>
      <c r="U785" s="233"/>
      <c r="V785" s="233"/>
      <c r="W785" s="233"/>
      <c r="X785" s="233"/>
      <c r="Y785" s="233"/>
      <c r="Z785" s="233"/>
    </row>
    <row r="786" spans="1:26" ht="50.15" customHeight="1">
      <c r="A786" s="140">
        <v>3</v>
      </c>
      <c r="B786" s="140">
        <f>IF(A786&gt;Class1_CurrentVisionCount,"DELETE",Class1_CurrentVisionStart+A786)</f>
        <v>17</v>
      </c>
      <c r="C786" s="164" t="s">
        <v>302</v>
      </c>
      <c r="D786" s="273" t="e">
        <f ca="1">IF(B786="Delete","",VLOOKUP(F786,BEGIN_CURRENT_VISION:END_CURRENT_VISION,3,FALSE))</f>
        <v>#N/A</v>
      </c>
      <c r="E786" s="165"/>
      <c r="F786" s="272" t="str" cm="1">
        <f t="array" ca="1" aca="1" ref="F786">IF(B786="Delete","",INDIRECT("CurrentPlans!A"&amp;B786,TRUE))</f>
        <v>Other</v>
      </c>
      <c r="G786" s="166"/>
      <c r="H786" s="167"/>
      <c r="I786" s="168"/>
      <c r="J786" s="169"/>
      <c r="K786"/>
      <c r="L786" s="274" t="str">
        <f ca="1">_xlfn.IFNA(VLOOKUP(F786,BEGIN_RENEWEDFROM_DENTAL:ROW_RenewDental_PlanID,3,FALSE),"SELECT PLAN")</f>
        <v>SELECT PLAN</v>
      </c>
      <c r="M786" s="170"/>
      <c r="N786" s="274" t="s">
        <v>237</v>
      </c>
      <c r="O786" s="171"/>
      <c r="P786" s="171"/>
      <c r="Q786" s="171"/>
      <c r="R786" s="169"/>
      <c r="T786" s="274" t="s">
        <v>38</v>
      </c>
      <c r="U786" s="170"/>
      <c r="V786" s="274" t="s">
        <v>237</v>
      </c>
      <c r="W786" s="171"/>
      <c r="X786" s="171"/>
      <c r="Y786" s="171"/>
      <c r="Z786" s="169"/>
    </row>
    <row r="787" spans="4:26" ht="18.75" customHeight="1">
      <c r="D787" s="172" t="s">
        <v>238</v>
      </c>
      <c r="E787" s="407" t="str">
        <f ca="1">_xlfn.IFNA(VLOOKUP(F786,BEGIN_CURRENT_VISION:END_CURRENT_VISION,CURRENT_COL_EO_count,FALSE),"")</f>
        <v/>
      </c>
      <c r="F787" s="408" t="str">
        <f ca="1">_xlfn.IFNA(VLOOKUP(F786,BEGIN_CURRENT_VISION:END_CURRENT_VISION,CURRENT_COL_EO,FALSE),"")</f>
        <v/>
      </c>
      <c r="G787" s="468" t="str">
        <f ca="1" t="shared" si="126" ref="G787:G790">IF(F787="","",H787/F787)</f>
        <v/>
      </c>
      <c r="H787" s="408" t="str">
        <f ca="1">_xlfn.IFNA(VLOOKUP(F786,BEGIN_CURRENT_VISION:END_CURRENT_VISION,CURRENT_COL_EOContrib,FALSE),"")</f>
        <v/>
      </c>
      <c r="I787" s="409" t="str">
        <f ca="1">IFERROR(F787-H787,"")</f>
        <v/>
      </c>
      <c r="J787" s="410" t="str">
        <f ca="1">IF(F787="","",H787*E787)</f>
        <v/>
      </c>
      <c r="K787" s="411"/>
      <c r="L787" s="408" t="str" cm="1">
        <f t="array" ca="1" aca="1" ref="L787">_xlfn.IFNA(VLOOKUP(INDIRECT("L"&amp;ROW()-1)&amp;"_"&amp;$D$12,BEGIN_Renew_Vision:END_RENEW_VISION,RENEW_COL_EO,FALSE),"")</f>
        <v/>
      </c>
      <c r="M787" s="412" t="str">
        <f ca="1">IF(E787="","",E787)</f>
        <v/>
      </c>
      <c r="N787" s="413"/>
      <c r="O787" s="414"/>
      <c r="P787" s="415" t="str">
        <f>IFERROR(IF($N786="Keep Contribution Same",H787,IF($N786="Enter Percentages",IF(N787="","",N787*L787),IF($N786="Keep Percentage Same",IF(G787="","",G787*L787),IF($N786="Enter Dollar Amount",IF(O787="","",O787),"")))),"")</f>
        <v/>
      </c>
      <c r="Q787" s="408" t="str">
        <f ca="1">IFERROR(L787-P787,"")</f>
        <v/>
      </c>
      <c r="R787" s="410" t="str">
        <f>IFERROR(IF(P787="","",M787*P787),"")</f>
        <v/>
      </c>
      <c r="S787" s="411"/>
      <c r="T787" s="408" t="str" cm="1">
        <f t="array" ca="1" aca="1" ref="T787">_xlfn.IFNA(VLOOKUP(INDIRECT("T"&amp;ROW()-1)&amp;"_"&amp;$D$12,BEGIN_Renew_Vision:END_RENEW_VISION,RENEW_COL_EO,FALSE),"")</f>
        <v/>
      </c>
      <c r="U787" s="412" t="str">
        <f ca="1">IF(E787="","",E787)</f>
        <v/>
      </c>
      <c r="V787" s="413"/>
      <c r="W787" s="414"/>
      <c r="X787" s="415" t="str">
        <f>IFERROR(IF($V786="Keep Contribution Same",H787,IF($V786="Enter Percentages",IF(V787="","",V787*T787),IF($V786="Keep Percentage Same",IF(G787="","",G787*T787),IF($V786="Enter Dollar Amount",IF(W787="","",W787),"")))),"")</f>
        <v/>
      </c>
      <c r="Y787" s="408" t="str">
        <f ca="1">IFERROR(T787-X787,"")</f>
        <v/>
      </c>
      <c r="Z787" s="410" t="str">
        <f>IFERROR(IF(X787="","",U787*X787),"")</f>
        <v/>
      </c>
    </row>
    <row r="788" spans="4:26" ht="18.75" customHeight="1">
      <c r="D788" s="172" t="s">
        <v>239</v>
      </c>
      <c r="E788" s="407" t="str">
        <f ca="1">_xlfn.IFNA(VLOOKUP(F786,BEGIN_CURRENT_VISION:END_CURRENT_VISION,CURRENT_COL_ES_count,FALSE),"")</f>
        <v/>
      </c>
      <c r="F788" s="408" t="str">
        <f ca="1">_xlfn.IFNA(VLOOKUP(F786,BEGIN_CURRENT_VISION:END_CURRENT_VISION,CURRENT_COL_ES,FALSE),"")</f>
        <v/>
      </c>
      <c r="G788" s="468" t="str">
        <f t="shared" ca="1" si="126"/>
        <v/>
      </c>
      <c r="H788" s="408" t="str">
        <f ca="1">_xlfn.IFNA(VLOOKUP(F786,BEGIN_CURRENT_VISION:END_CURRENT_VISION,CURRENT_COL_ESContrib,FALSE),"")</f>
        <v/>
      </c>
      <c r="I788" s="409" t="str">
        <f ca="1" t="shared" si="127" ref="I788:I790">IFERROR(F788-H788,"")</f>
        <v/>
      </c>
      <c r="J788" s="410" t="str">
        <f ca="1" t="shared" si="128" ref="J788:J790">IF(F788="","",H788*E788)</f>
        <v/>
      </c>
      <c r="K788" s="411"/>
      <c r="L788" s="408" t="str" cm="1">
        <f t="array" ca="1" aca="1" ref="L788">_xlfn.IFNA(VLOOKUP(INDIRECT("L"&amp;ROW()-2)&amp;"_"&amp;$D$12,BEGIN_Renew_Vision:END_RENEW_VISION,RENEW_COL_ES,FALSE),"")</f>
        <v/>
      </c>
      <c r="M788" s="412" t="str">
        <f ca="1">IF(E788="","",E788)</f>
        <v/>
      </c>
      <c r="N788" s="413"/>
      <c r="O788" s="414"/>
      <c r="P788" s="415" t="str">
        <f>IFERROR(IF($N786="Keep Contribution Same",H788,IF($N786="Enter Percentages",IF(N788="","",N788*L788),IF($N786="Keep Percentage Same",IF(G788="","",G788*L788),IF($N786="Enter Dollar Amount",IF(O788="","",O788),"")))),"")</f>
        <v/>
      </c>
      <c r="Q788" s="408" t="str">
        <f ca="1" t="shared" si="129" ref="Q788:Q790">IFERROR(L788-P788,"")</f>
        <v/>
      </c>
      <c r="R788" s="410" t="str">
        <f>IFERROR(IF(P788="","",M788*P788),"")</f>
        <v/>
      </c>
      <c r="S788" s="411"/>
      <c r="T788" s="408" t="str" cm="1">
        <f t="array" ca="1" aca="1" ref="T788">_xlfn.IFNA(VLOOKUP(INDIRECT("T"&amp;ROW()-2)&amp;"_"&amp;$D$12,BEGIN_Renew_Vision:END_RENEW_VISION,RENEW_COL_ES,FALSE),"")</f>
        <v/>
      </c>
      <c r="U788" s="412" t="str">
        <f ca="1" t="shared" si="130" ref="U788:U790">IF(E788="","",E788)</f>
        <v/>
      </c>
      <c r="V788" s="413"/>
      <c r="W788" s="414"/>
      <c r="X788" s="415" t="str">
        <f>IFERROR(IF($V786="Keep Contribution Same",H788,IF($V786="Enter Percentages",IF(V788="","",V788*T788),IF($V786="Keep Percentage Same",IF(G788="","",G788*T788),IF($V786="Enter Dollar Amount",IF(W788="","",W788),"")))),"")</f>
        <v/>
      </c>
      <c r="Y788" s="408" t="str">
        <f ca="1" t="shared" si="131" ref="Y788:Y790">IFERROR(T788-X788,"")</f>
        <v/>
      </c>
      <c r="Z788" s="410" t="str">
        <f t="shared" si="132" ref="Z788:Z790">IFERROR(IF(X788="","",U788*X788),"")</f>
        <v/>
      </c>
    </row>
    <row r="789" spans="4:26" ht="18.75" customHeight="1">
      <c r="D789" s="172" t="s">
        <v>240</v>
      </c>
      <c r="E789" s="407" t="str">
        <f ca="1">_xlfn.IFNA(VLOOKUP(F786,BEGIN_CURRENT_VISION:END_CURRENT_VISION,CURRENT_COL_EC_count,FALSE),"")</f>
        <v/>
      </c>
      <c r="F789" s="408" t="str">
        <f ca="1">_xlfn.IFNA(VLOOKUP(F786,BEGIN_CURRENT_VISION:END_CURRENT_VISION,CURRENT_COL_EC,FALSE),"")</f>
        <v/>
      </c>
      <c r="G789" s="468" t="str">
        <f t="shared" ca="1" si="126"/>
        <v/>
      </c>
      <c r="H789" s="408" t="str">
        <f ca="1">_xlfn.IFNA(VLOOKUP(F786,BEGIN_CURRENT_VISION:END_CURRENT_VISION,CURRENT_COL_ECContrib,FALSE),"")</f>
        <v/>
      </c>
      <c r="I789" s="409" t="str">
        <f t="shared" ca="1" si="127"/>
        <v/>
      </c>
      <c r="J789" s="410" t="str">
        <f t="shared" ca="1" si="128"/>
        <v/>
      </c>
      <c r="K789" s="411"/>
      <c r="L789" s="408" t="str" cm="1">
        <f t="array" ca="1" aca="1" ref="L789">_xlfn.IFNA(VLOOKUP(INDIRECT("L"&amp;ROW()-3)&amp;"_"&amp;$D$12,BEGIN_Renew_Vision:END_RENEW_VISION,RENEW_COL_EC,FALSE),"")</f>
        <v/>
      </c>
      <c r="M789" s="412" t="str">
        <f ca="1">IF(E789="","",E789)</f>
        <v/>
      </c>
      <c r="N789" s="413"/>
      <c r="O789" s="414"/>
      <c r="P789" s="415" t="str">
        <f>IFERROR(IF($N786="Keep Contribution Same",H789,IF($N786="Enter Percentages",IF(N789="","",N789*L789),IF($N786="Keep Percentage Same",IF(G789="","",G789*L789),IF($N786="Enter Dollar Amount",IF(O789="","",O789),"")))),"")</f>
        <v/>
      </c>
      <c r="Q789" s="408" t="str">
        <f t="shared" ca="1" si="129"/>
        <v/>
      </c>
      <c r="R789" s="410" t="str">
        <f>IFERROR(IF(P789="","",M789*P789),"")</f>
        <v/>
      </c>
      <c r="S789" s="411"/>
      <c r="T789" s="408" t="str" cm="1">
        <f t="array" ca="1" aca="1" ref="T789">_xlfn.IFNA(VLOOKUP(INDIRECT("T"&amp;ROW()-3)&amp;"_"&amp;$D$12,BEGIN_Renew_Vision:END_RENEW_VISION,RENEW_COL_EC,FALSE),"")</f>
        <v/>
      </c>
      <c r="U789" s="412" t="str">
        <f t="shared" ca="1" si="130"/>
        <v/>
      </c>
      <c r="V789" s="413"/>
      <c r="W789" s="414"/>
      <c r="X789" s="415" t="str">
        <f>IFERROR(IF($V786="Keep Contribution Same",H789,IF($V786="Enter Percentages",IF(V789="","",V789*T789),IF($V786="Keep Percentage Same",IF(G789="","",G789*T789),IF($V786="Enter Dollar Amount",IF(W789="","",W789),"")))),"")</f>
        <v/>
      </c>
      <c r="Y789" s="408" t="str">
        <f t="shared" ca="1" si="131"/>
        <v/>
      </c>
      <c r="Z789" s="410" t="str">
        <f t="shared" si="132"/>
        <v/>
      </c>
    </row>
    <row r="790" spans="4:26" ht="18.75" customHeight="1" thickBot="1">
      <c r="D790" s="174" t="s">
        <v>241</v>
      </c>
      <c r="E790" s="416" t="str">
        <f ca="1">_xlfn.IFNA(VLOOKUP(F786,BEGIN_CURRENT_VISION:END_CURRENT_VISION,CURRENT_COL_FAM_count,FALSE),"")</f>
        <v/>
      </c>
      <c r="F790" s="417" t="str">
        <f ca="1">_xlfn.IFNA(VLOOKUP(F786,BEGIN_CURRENT_VISION:END_CURRENT_VISION,CURRENT_COL_FAM,FALSE),"")</f>
        <v/>
      </c>
      <c r="G790" s="469" t="str">
        <f t="shared" ca="1" si="126"/>
        <v/>
      </c>
      <c r="H790" s="417" t="str">
        <f ca="1">_xlfn.IFNA(VLOOKUP(F786,BEGIN_CURRENT_VISION:END_CURRENT_VISION,CURRENT_COL_FAMContrib,FALSE),"")</f>
        <v/>
      </c>
      <c r="I790" s="409" t="str">
        <f t="shared" ca="1" si="127"/>
        <v/>
      </c>
      <c r="J790" s="410" t="str">
        <f t="shared" ca="1" si="128"/>
        <v/>
      </c>
      <c r="K790" s="411"/>
      <c r="L790" s="417" t="str" cm="1">
        <f t="array" ca="1" aca="1" ref="L790">_xlfn.IFNA(VLOOKUP(INDIRECT("L"&amp;ROW()-4)&amp;"_"&amp;$D$12,BEGIN_Renew_Vision:END_RENEW_VISION,RENEW_COL_FAM,FALSE),"")</f>
        <v/>
      </c>
      <c r="M790" s="423" t="str">
        <f ca="1">IF(E790="","",E790)</f>
        <v/>
      </c>
      <c r="N790" s="420"/>
      <c r="O790" s="421"/>
      <c r="P790" s="422" t="str">
        <f>IFERROR(IF($N786="Keep Contribution Same",H790,IF($N786="Enter Percentages",IF(N790="","",N790*L790),IF($N786="Keep Percentage Same",IF(G790="","",G790*L790),IF($N786="Enter Dollar Amount",IF(O790="","",O790),"")))),"")</f>
        <v/>
      </c>
      <c r="Q790" s="417" t="str">
        <f t="shared" ca="1" si="129"/>
        <v/>
      </c>
      <c r="R790" s="419" t="str">
        <f>IFERROR(IF(P790="","",M790*P790),"")</f>
        <v/>
      </c>
      <c r="S790" s="411"/>
      <c r="T790" s="417" t="str" cm="1">
        <f t="array" ca="1" aca="1" ref="T790">_xlfn.IFNA(VLOOKUP(INDIRECT("T"&amp;ROW()-4)&amp;"_"&amp;$D$12,BEGIN_Renew_Vision:END_RENEW_VISION,RENEW_COL_FAM,FALSE),"")</f>
        <v/>
      </c>
      <c r="U790" s="423" t="str">
        <f t="shared" ca="1" si="130"/>
        <v/>
      </c>
      <c r="V790" s="420"/>
      <c r="W790" s="421"/>
      <c r="X790" s="422" t="str">
        <f>IFERROR(IF($V786="Keep Contribution Same",H790,IF($V786="Enter Percentages",IF(V790="","",V790*T790),IF($V786="Keep Percentage Same",IF(G790="","",G790*T790),IF($V786="Enter Dollar Amount",IF(W790="","",W790),"")))),"")</f>
        <v/>
      </c>
      <c r="Y790" s="417" t="str">
        <f t="shared" ca="1" si="131"/>
        <v/>
      </c>
      <c r="Z790" s="419" t="str">
        <f t="shared" si="132"/>
        <v/>
      </c>
    </row>
    <row r="791" spans="4:26" ht="18.75" customHeight="1" thickTop="1">
      <c r="D791" s="175" t="s">
        <v>242</v>
      </c>
      <c r="E791" s="424"/>
      <c r="F791" s="427"/>
      <c r="G791" s="426"/>
      <c r="H791" s="427"/>
      <c r="I791" s="428"/>
      <c r="J791" s="429" t="str">
        <f ca="1">IFERROR(IF(J787="","",SUM(J787:J790)),0)</f>
        <v/>
      </c>
      <c r="K791" s="1"/>
      <c r="L791" s="424"/>
      <c r="M791" s="427"/>
      <c r="N791" s="426"/>
      <c r="O791" s="427"/>
      <c r="P791" s="431"/>
      <c r="Q791" s="432"/>
      <c r="R791" s="429" t="str">
        <f>IFERROR(IF(R787="","",SUM(R787:R790)),0)</f>
        <v/>
      </c>
      <c r="T791" s="424"/>
      <c r="U791" s="427"/>
      <c r="V791" s="426"/>
      <c r="W791" s="427"/>
      <c r="X791" s="431"/>
      <c r="Y791" s="432"/>
      <c r="Z791" s="429" t="str">
        <f>IFERROR(IF(Z787="","",SUM(Z787:Z790)),0)</f>
        <v/>
      </c>
    </row>
    <row r="792" spans="4:26" ht="18.75" customHeight="1">
      <c r="D792" s="177" t="s">
        <v>243</v>
      </c>
      <c r="E792" s="433"/>
      <c r="F792" s="436"/>
      <c r="G792" s="435"/>
      <c r="H792" s="436"/>
      <c r="I792" s="432"/>
      <c r="J792" s="437" t="str">
        <f ca="1">IF(J791="","",J791*12)</f>
        <v/>
      </c>
      <c r="K792" s="1"/>
      <c r="L792" s="433"/>
      <c r="M792" s="436"/>
      <c r="N792" s="435"/>
      <c r="O792" s="436"/>
      <c r="P792" s="432"/>
      <c r="Q792" s="432"/>
      <c r="R792" s="437" t="str">
        <f>IF(R791="","",R791*12)</f>
        <v/>
      </c>
      <c r="T792" s="433"/>
      <c r="U792" s="436"/>
      <c r="V792" s="435"/>
      <c r="W792" s="436"/>
      <c r="X792" s="432"/>
      <c r="Y792" s="432"/>
      <c r="Z792" s="437" t="str">
        <f>IF(Z791="","",Z791*12)</f>
        <v/>
      </c>
    </row>
    <row r="793" spans="4:26" ht="18.75" customHeight="1">
      <c r="D793" s="177" t="s">
        <v>244</v>
      </c>
      <c r="E793" s="433"/>
      <c r="F793" s="436"/>
      <c r="G793" s="435"/>
      <c r="H793" s="436"/>
      <c r="I793" s="432"/>
      <c r="J793" s="437" t="str">
        <f ca="1">IFERROR(IF(J792="","",R792-J792),0)</f>
        <v/>
      </c>
      <c r="K793" s="1"/>
      <c r="L793" s="433"/>
      <c r="M793" s="436"/>
      <c r="N793" s="435"/>
      <c r="O793" s="436"/>
      <c r="P793" s="432"/>
      <c r="Q793" s="432"/>
      <c r="R793" s="437" t="str">
        <f ca="1">IFERROR(IF(J792="","",R792-J792),0)</f>
        <v/>
      </c>
      <c r="T793" s="433"/>
      <c r="U793" s="436"/>
      <c r="V793" s="435"/>
      <c r="W793" s="436"/>
      <c r="X793" s="432"/>
      <c r="Y793" s="432"/>
      <c r="Z793" s="437" t="str">
        <f>IFERROR(IF(R792="","",Z792-R792),0)</f>
        <v/>
      </c>
    </row>
    <row r="794" spans="4:26" ht="18.75" customHeight="1" thickBot="1">
      <c r="D794" s="180" t="s">
        <v>245</v>
      </c>
      <c r="E794" s="439"/>
      <c r="F794" s="440"/>
      <c r="G794" s="441"/>
      <c r="H794" s="440"/>
      <c r="I794" s="442"/>
      <c r="J794" s="437" t="str">
        <f ca="1">IFERROR(IF(J792="","",(R792/J792)-1),0)</f>
        <v/>
      </c>
      <c r="K794" s="1"/>
      <c r="L794" s="439"/>
      <c r="M794" s="440"/>
      <c r="N794" s="441"/>
      <c r="O794" s="440"/>
      <c r="P794" s="445"/>
      <c r="Q794" s="445"/>
      <c r="R794" s="453" t="str">
        <f ca="1">IFERROR(IF(J792="","",(R792/J792)-1),0)</f>
        <v/>
      </c>
      <c r="T794" s="439"/>
      <c r="U794" s="440"/>
      <c r="V794" s="441"/>
      <c r="W794" s="440"/>
      <c r="X794" s="445"/>
      <c r="Y794" s="445"/>
      <c r="Z794" s="446" t="str">
        <f>IFERROR(IF(R792="","",(Z792/R792)-1),0)</f>
        <v/>
      </c>
    </row>
    <row r="795" spans="4:26" ht="5.25" customHeight="1" thickBot="1">
      <c r="D795" s="229"/>
      <c r="E795" s="229"/>
      <c r="F795" s="230"/>
      <c r="G795" s="231"/>
      <c r="H795" s="232"/>
      <c r="I795" s="233"/>
      <c r="J795" s="233"/>
      <c r="K795"/>
      <c r="L795" s="233"/>
      <c r="M795" s="233"/>
      <c r="N795" s="233"/>
      <c r="O795" s="233"/>
      <c r="P795" s="233"/>
      <c r="Q795" s="233"/>
      <c r="R795" s="233"/>
      <c r="T795" s="233"/>
      <c r="U795" s="233"/>
      <c r="V795" s="233"/>
      <c r="W795" s="233"/>
      <c r="X795" s="233"/>
      <c r="Y795" s="233"/>
      <c r="Z795" s="233"/>
    </row>
    <row r="796" spans="1:26" ht="50.15" customHeight="1">
      <c r="A796" s="140">
        <v>4</v>
      </c>
      <c r="B796" s="140">
        <f>IF(A796&gt;Class1_CurrentVisionCount,"DELETE",Class1_CurrentVisionStart+A796)</f>
        <v>18</v>
      </c>
      <c r="C796" s="164" t="s">
        <v>303</v>
      </c>
      <c r="D796" s="273" t="e">
        <f ca="1">IF(B796="Delete","",VLOOKUP(F796,BEGIN_CURRENT_VISION:END_CURRENT_VISION,3,FALSE))</f>
        <v>#N/A</v>
      </c>
      <c r="E796" s="165"/>
      <c r="F796" s="272" t="str" cm="1">
        <f t="array" ca="1" aca="1" ref="F796">IF(B796="Delete","",INDIRECT("CurrentPlans!A"&amp;B796,TRUE))</f>
        <v>PrimaryKey</v>
      </c>
      <c r="G796" s="166"/>
      <c r="H796" s="167"/>
      <c r="I796" s="168"/>
      <c r="J796" s="169"/>
      <c r="K796"/>
      <c r="L796" s="274" t="str">
        <f ca="1">_xlfn.IFNA(VLOOKUP(F796,BEGIN_RENEWEDFROM_DENTAL:ROW_RenewDental_PlanID,3,FALSE),"SELECT PLAN")</f>
        <v>SELECT PLAN</v>
      </c>
      <c r="M796" s="170"/>
      <c r="N796" s="274" t="s">
        <v>237</v>
      </c>
      <c r="O796" s="171"/>
      <c r="P796" s="171"/>
      <c r="Q796" s="171"/>
      <c r="R796" s="169"/>
      <c r="T796" s="274" t="s">
        <v>38</v>
      </c>
      <c r="U796" s="170"/>
      <c r="V796" s="274" t="s">
        <v>237</v>
      </c>
      <c r="W796" s="171"/>
      <c r="X796" s="171"/>
      <c r="Y796" s="171"/>
      <c r="Z796" s="169"/>
    </row>
    <row r="797" spans="4:26" ht="18.75" customHeight="1">
      <c r="D797" s="172" t="s">
        <v>238</v>
      </c>
      <c r="E797" s="407" t="str">
        <f ca="1">_xlfn.IFNA(VLOOKUP(F796,BEGIN_CURRENT_VISION:END_CURRENT_VISION,CURRENT_COL_EO_count,FALSE),"")</f>
        <v/>
      </c>
      <c r="F797" s="408" t="str">
        <f ca="1">_xlfn.IFNA(VLOOKUP(F796,BEGIN_CURRENT_VISION:END_CURRENT_VISION,CURRENT_COL_EO,FALSE),"")</f>
        <v/>
      </c>
      <c r="G797" s="468" t="str">
        <f ca="1" t="shared" si="133" ref="G797:G800">IF(F797="","",H797/F797)</f>
        <v/>
      </c>
      <c r="H797" s="408" t="str">
        <f ca="1">_xlfn.IFNA(VLOOKUP(F796,BEGIN_CURRENT_VISION:END_CURRENT_VISION,CURRENT_COL_EOContrib,FALSE),"")</f>
        <v/>
      </c>
      <c r="I797" s="409" t="str">
        <f ca="1">IFERROR(F797-H797,"")</f>
        <v/>
      </c>
      <c r="J797" s="410" t="str">
        <f ca="1">IF(F797="","",H797*E797)</f>
        <v/>
      </c>
      <c r="K797" s="411"/>
      <c r="L797" s="408" t="str" cm="1">
        <f t="array" ca="1" aca="1" ref="L797">_xlfn.IFNA(VLOOKUP(INDIRECT("L"&amp;ROW()-1)&amp;"_"&amp;$D$12,BEGIN_Renew_Vision:END_RENEW_VISION,RENEW_COL_EO,FALSE),"")</f>
        <v/>
      </c>
      <c r="M797" s="412" t="str">
        <f ca="1">IF(E797="","",E797)</f>
        <v/>
      </c>
      <c r="N797" s="413"/>
      <c r="O797" s="414"/>
      <c r="P797" s="415" t="str">
        <f>IFERROR(IF($N796="Keep Contribution Same",H797,IF($N796="Enter Percentages",IF(N797="","",N797*L797),IF($N796="Keep Percentage Same",IF(G797="","",G797*L797),IF($N796="Enter Dollar Amount",IF(O797="","",O797),"")))),"")</f>
        <v/>
      </c>
      <c r="Q797" s="408" t="str">
        <f ca="1">IFERROR(L797-P797,"")</f>
        <v/>
      </c>
      <c r="R797" s="410" t="str">
        <f>IFERROR(IF(P797="","",M797*P797),"")</f>
        <v/>
      </c>
      <c r="S797" s="411"/>
      <c r="T797" s="408" t="str" cm="1">
        <f t="array" ca="1" aca="1" ref="T797">_xlfn.IFNA(VLOOKUP(INDIRECT("T"&amp;ROW()-1)&amp;"_"&amp;$D$12,BEGIN_Renew_Vision:END_RENEW_VISION,RENEW_COL_EO,FALSE),"")</f>
        <v/>
      </c>
      <c r="U797" s="412" t="str">
        <f ca="1">IF(E797="","",E797)</f>
        <v/>
      </c>
      <c r="V797" s="413"/>
      <c r="W797" s="414"/>
      <c r="X797" s="415" t="str">
        <f>IFERROR(IF($V796="Keep Contribution Same",H797,IF($V796="Enter Percentages",IF(V797="","",V797*T797),IF($V796="Keep Percentage Same",IF(G797="","",G797*T797),IF($V796="Enter Dollar Amount",IF(W797="","",W797),"")))),"")</f>
        <v/>
      </c>
      <c r="Y797" s="408" t="str">
        <f ca="1">IFERROR(T797-X797,"")</f>
        <v/>
      </c>
      <c r="Z797" s="410" t="str">
        <f>IFERROR(IF(X797="","",U797*X797),"")</f>
        <v/>
      </c>
    </row>
    <row r="798" spans="4:26" ht="18.75" customHeight="1">
      <c r="D798" s="172" t="s">
        <v>239</v>
      </c>
      <c r="E798" s="407" t="str">
        <f ca="1">_xlfn.IFNA(VLOOKUP(F796,BEGIN_CURRENT_VISION:END_CURRENT_VISION,CURRENT_COL_ES_count,FALSE),"")</f>
        <v/>
      </c>
      <c r="F798" s="408" t="str">
        <f ca="1">_xlfn.IFNA(VLOOKUP(F796,BEGIN_CURRENT_VISION:END_CURRENT_VISION,CURRENT_COL_ES,FALSE),"")</f>
        <v/>
      </c>
      <c r="G798" s="468" t="str">
        <f t="shared" ca="1" si="133"/>
        <v/>
      </c>
      <c r="H798" s="408" t="str">
        <f ca="1">_xlfn.IFNA(VLOOKUP(F796,BEGIN_CURRENT_VISION:END_CURRENT_VISION,CURRENT_COL_ESContrib,FALSE),"")</f>
        <v/>
      </c>
      <c r="I798" s="409" t="str">
        <f ca="1" t="shared" si="134" ref="I798:I800">IFERROR(F798-H798,"")</f>
        <v/>
      </c>
      <c r="J798" s="410" t="str">
        <f ca="1" t="shared" si="135" ref="J798:J800">IF(F798="","",H798*E798)</f>
        <v/>
      </c>
      <c r="K798" s="411"/>
      <c r="L798" s="408" t="str" cm="1">
        <f t="array" ca="1" aca="1" ref="L798">_xlfn.IFNA(VLOOKUP(INDIRECT("L"&amp;ROW()-2)&amp;"_"&amp;$D$12,BEGIN_Renew_Vision:END_RENEW_VISION,RENEW_COL_ES,FALSE),"")</f>
        <v/>
      </c>
      <c r="M798" s="412" t="str">
        <f ca="1">IF(E798="","",E798)</f>
        <v/>
      </c>
      <c r="N798" s="413"/>
      <c r="O798" s="414"/>
      <c r="P798" s="415" t="str">
        <f>IFERROR(IF($N796="Keep Contribution Same",H798,IF($N796="Enter Percentages",IF(N798="","",N798*L798),IF($N796="Keep Percentage Same",IF(G798="","",G798*L798),IF($N796="Enter Dollar Amount",IF(O798="","",O798),"")))),"")</f>
        <v/>
      </c>
      <c r="Q798" s="408" t="str">
        <f ca="1" t="shared" si="136" ref="Q798:Q800">IFERROR(L798-P798,"")</f>
        <v/>
      </c>
      <c r="R798" s="410" t="str">
        <f>IFERROR(IF(P798="","",M798*P798),"")</f>
        <v/>
      </c>
      <c r="S798" s="411"/>
      <c r="T798" s="408" t="str" cm="1">
        <f t="array" ca="1" aca="1" ref="T798">_xlfn.IFNA(VLOOKUP(INDIRECT("T"&amp;ROW()-2)&amp;"_"&amp;$D$12,BEGIN_Renew_Vision:END_RENEW_VISION,RENEW_COL_ES,FALSE),"")</f>
        <v/>
      </c>
      <c r="U798" s="412" t="str">
        <f ca="1" t="shared" si="137" ref="U798:U800">IF(E798="","",E798)</f>
        <v/>
      </c>
      <c r="V798" s="413"/>
      <c r="W798" s="414"/>
      <c r="X798" s="415" t="str">
        <f>IFERROR(IF($V796="Keep Contribution Same",H798,IF($V796="Enter Percentages",IF(V798="","",V798*T798),IF($V796="Keep Percentage Same",IF(G798="","",G798*T798),IF($V796="Enter Dollar Amount",IF(W798="","",W798),"")))),"")</f>
        <v/>
      </c>
      <c r="Y798" s="408" t="str">
        <f ca="1" t="shared" si="138" ref="Y798:Y800">IFERROR(T798-X798,"")</f>
        <v/>
      </c>
      <c r="Z798" s="410" t="str">
        <f t="shared" si="139" ref="Z798:Z800">IFERROR(IF(X798="","",U798*X798),"")</f>
        <v/>
      </c>
    </row>
    <row r="799" spans="4:26" ht="18.75" customHeight="1">
      <c r="D799" s="172" t="s">
        <v>240</v>
      </c>
      <c r="E799" s="407" t="str">
        <f ca="1">_xlfn.IFNA(VLOOKUP(F796,BEGIN_CURRENT_VISION:END_CURRENT_VISION,CURRENT_COL_EC_count,FALSE),"")</f>
        <v/>
      </c>
      <c r="F799" s="408" t="str">
        <f ca="1">_xlfn.IFNA(VLOOKUP(F796,BEGIN_CURRENT_VISION:END_CURRENT_VISION,CURRENT_COL_EC,FALSE),"")</f>
        <v/>
      </c>
      <c r="G799" s="468" t="str">
        <f t="shared" ca="1" si="133"/>
        <v/>
      </c>
      <c r="H799" s="408" t="str">
        <f ca="1">_xlfn.IFNA(VLOOKUP(F796,BEGIN_CURRENT_VISION:END_CURRENT_VISION,CURRENT_COL_ECContrib,FALSE),"")</f>
        <v/>
      </c>
      <c r="I799" s="409" t="str">
        <f t="shared" ca="1" si="134"/>
        <v/>
      </c>
      <c r="J799" s="410" t="str">
        <f t="shared" ca="1" si="135"/>
        <v/>
      </c>
      <c r="K799" s="411"/>
      <c r="L799" s="408" t="str" cm="1">
        <f t="array" ca="1" aca="1" ref="L799">_xlfn.IFNA(VLOOKUP(INDIRECT("L"&amp;ROW()-3)&amp;"_"&amp;$D$12,BEGIN_Renew_Vision:END_RENEW_VISION,RENEW_COL_EC,FALSE),"")</f>
        <v/>
      </c>
      <c r="M799" s="412" t="str">
        <f ca="1">IF(E799="","",E799)</f>
        <v/>
      </c>
      <c r="N799" s="413"/>
      <c r="O799" s="414"/>
      <c r="P799" s="415" t="str">
        <f>IFERROR(IF($N796="Keep Contribution Same",H799,IF($N796="Enter Percentages",IF(N799="","",N799*L799),IF($N796="Keep Percentage Same",IF(G799="","",G799*L799),IF($N796="Enter Dollar Amount",IF(O799="","",O799),"")))),"")</f>
        <v/>
      </c>
      <c r="Q799" s="408" t="str">
        <f t="shared" ca="1" si="136"/>
        <v/>
      </c>
      <c r="R799" s="410" t="str">
        <f>IFERROR(IF(P799="","",M799*P799),"")</f>
        <v/>
      </c>
      <c r="S799" s="411"/>
      <c r="T799" s="408" t="str" cm="1">
        <f t="array" ca="1" aca="1" ref="T799">_xlfn.IFNA(VLOOKUP(INDIRECT("T"&amp;ROW()-3)&amp;"_"&amp;$D$12,BEGIN_Renew_Vision:END_RENEW_VISION,RENEW_COL_EC,FALSE),"")</f>
        <v/>
      </c>
      <c r="U799" s="412" t="str">
        <f t="shared" ca="1" si="137"/>
        <v/>
      </c>
      <c r="V799" s="413"/>
      <c r="W799" s="414"/>
      <c r="X799" s="415" t="str">
        <f>IFERROR(IF($V796="Keep Contribution Same",H799,IF($V796="Enter Percentages",IF(V799="","",V799*T799),IF($V796="Keep Percentage Same",IF(G799="","",G799*T799),IF($V796="Enter Dollar Amount",IF(W799="","",W799),"")))),"")</f>
        <v/>
      </c>
      <c r="Y799" s="408" t="str">
        <f t="shared" ca="1" si="138"/>
        <v/>
      </c>
      <c r="Z799" s="410" t="str">
        <f t="shared" si="139"/>
        <v/>
      </c>
    </row>
    <row r="800" spans="4:26" ht="18.75" customHeight="1" thickBot="1">
      <c r="D800" s="174" t="s">
        <v>241</v>
      </c>
      <c r="E800" s="416" t="str">
        <f ca="1">_xlfn.IFNA(VLOOKUP(F796,BEGIN_CURRENT_VISION:END_CURRENT_VISION,CURRENT_COL_FAM_count,FALSE),"")</f>
        <v/>
      </c>
      <c r="F800" s="417" t="str">
        <f ca="1">_xlfn.IFNA(VLOOKUP(F796,BEGIN_CURRENT_VISION:END_CURRENT_VISION,CURRENT_COL_FAM,FALSE),"")</f>
        <v/>
      </c>
      <c r="G800" s="469" t="str">
        <f t="shared" ca="1" si="133"/>
        <v/>
      </c>
      <c r="H800" s="417" t="str">
        <f ca="1">_xlfn.IFNA(VLOOKUP(F796,BEGIN_CURRENT_VISION:END_CURRENT_VISION,CURRENT_COL_FAMContrib,FALSE),"")</f>
        <v/>
      </c>
      <c r="I800" s="409" t="str">
        <f t="shared" ca="1" si="134"/>
        <v/>
      </c>
      <c r="J800" s="410" t="str">
        <f t="shared" ca="1" si="135"/>
        <v/>
      </c>
      <c r="K800" s="411"/>
      <c r="L800" s="417" t="str" cm="1">
        <f t="array" ca="1" aca="1" ref="L800">_xlfn.IFNA(VLOOKUP(INDIRECT("L"&amp;ROW()-4)&amp;"_"&amp;$D$12,BEGIN_Renew_Vision:END_RENEW_VISION,RENEW_COL_FAM,FALSE),"")</f>
        <v/>
      </c>
      <c r="M800" s="423" t="str">
        <f ca="1">IF(E800="","",E800)</f>
        <v/>
      </c>
      <c r="N800" s="420"/>
      <c r="O800" s="421"/>
      <c r="P800" s="422" t="str">
        <f>IFERROR(IF($N796="Keep Contribution Same",H800,IF($N796="Enter Percentages",IF(N800="","",N800*L800),IF($N796="Keep Percentage Same",IF(G800="","",G800*L800),IF($N796="Enter Dollar Amount",IF(O800="","",O800),"")))),"")</f>
        <v/>
      </c>
      <c r="Q800" s="417" t="str">
        <f t="shared" ca="1" si="136"/>
        <v/>
      </c>
      <c r="R800" s="419" t="str">
        <f>IFERROR(IF(P800="","",M800*P800),"")</f>
        <v/>
      </c>
      <c r="S800" s="411"/>
      <c r="T800" s="417" t="str" cm="1">
        <f t="array" ca="1" aca="1" ref="T800">_xlfn.IFNA(VLOOKUP(INDIRECT("T"&amp;ROW()-4)&amp;"_"&amp;$D$12,BEGIN_Renew_Vision:END_RENEW_VISION,RENEW_COL_FAM,FALSE),"")</f>
        <v/>
      </c>
      <c r="U800" s="423" t="str">
        <f t="shared" ca="1" si="137"/>
        <v/>
      </c>
      <c r="V800" s="420"/>
      <c r="W800" s="421"/>
      <c r="X800" s="422" t="str">
        <f>IFERROR(IF($V796="Keep Contribution Same",H800,IF($V796="Enter Percentages",IF(V800="","",V800*T800),IF($V796="Keep Percentage Same",IF(G800="","",G800*T800),IF($V796="Enter Dollar Amount",IF(W800="","",W800),"")))),"")</f>
        <v/>
      </c>
      <c r="Y800" s="417" t="str">
        <f t="shared" ca="1" si="138"/>
        <v/>
      </c>
      <c r="Z800" s="419" t="str">
        <f t="shared" si="139"/>
        <v/>
      </c>
    </row>
    <row r="801" spans="4:26" ht="18.75" customHeight="1" thickTop="1">
      <c r="D801" s="175" t="s">
        <v>242</v>
      </c>
      <c r="E801" s="424"/>
      <c r="F801" s="427"/>
      <c r="G801" s="426"/>
      <c r="H801" s="427"/>
      <c r="I801" s="428"/>
      <c r="J801" s="429" t="str">
        <f ca="1">IFERROR(IF(J797="","",SUM(J797:J800)),0)</f>
        <v/>
      </c>
      <c r="K801" s="1"/>
      <c r="L801" s="424"/>
      <c r="M801" s="427"/>
      <c r="N801" s="426"/>
      <c r="O801" s="427"/>
      <c r="P801" s="431"/>
      <c r="Q801" s="432"/>
      <c r="R801" s="429" t="str">
        <f>IFERROR(IF(R797="","",SUM(R797:R800)),0)</f>
        <v/>
      </c>
      <c r="T801" s="424"/>
      <c r="U801" s="427"/>
      <c r="V801" s="426"/>
      <c r="W801" s="427"/>
      <c r="X801" s="431"/>
      <c r="Y801" s="432"/>
      <c r="Z801" s="429" t="str">
        <f>IFERROR(IF(Z797="","",SUM(Z797:Z800)),0)</f>
        <v/>
      </c>
    </row>
    <row r="802" spans="4:26" ht="18.75" customHeight="1">
      <c r="D802" s="177" t="s">
        <v>243</v>
      </c>
      <c r="E802" s="433"/>
      <c r="F802" s="436"/>
      <c r="G802" s="435"/>
      <c r="H802" s="436"/>
      <c r="I802" s="432"/>
      <c r="J802" s="437" t="str">
        <f ca="1">IF(J801="","",J801*12)</f>
        <v/>
      </c>
      <c r="K802" s="1"/>
      <c r="L802" s="433"/>
      <c r="M802" s="436"/>
      <c r="N802" s="435"/>
      <c r="O802" s="436"/>
      <c r="P802" s="432"/>
      <c r="Q802" s="432"/>
      <c r="R802" s="437" t="str">
        <f>IF(R801="","",R801*12)</f>
        <v/>
      </c>
      <c r="T802" s="433"/>
      <c r="U802" s="436"/>
      <c r="V802" s="435"/>
      <c r="W802" s="436"/>
      <c r="X802" s="432"/>
      <c r="Y802" s="432"/>
      <c r="Z802" s="437" t="str">
        <f>IF(Z801="","",Z801*12)</f>
        <v/>
      </c>
    </row>
    <row r="803" spans="4:26" ht="18.75" customHeight="1">
      <c r="D803" s="177" t="s">
        <v>244</v>
      </c>
      <c r="E803" s="433"/>
      <c r="F803" s="436"/>
      <c r="G803" s="435"/>
      <c r="H803" s="436"/>
      <c r="I803" s="432"/>
      <c r="J803" s="437" t="str">
        <f ca="1">IFERROR(IF(J802="","",R802-J802),0)</f>
        <v/>
      </c>
      <c r="K803" s="1"/>
      <c r="L803" s="433"/>
      <c r="M803" s="436"/>
      <c r="N803" s="435"/>
      <c r="O803" s="436"/>
      <c r="P803" s="432"/>
      <c r="Q803" s="432"/>
      <c r="R803" s="437" t="str">
        <f ca="1">IFERROR(IF(J802="","",R802-J802),0)</f>
        <v/>
      </c>
      <c r="T803" s="433"/>
      <c r="U803" s="436"/>
      <c r="V803" s="435"/>
      <c r="W803" s="436"/>
      <c r="X803" s="432"/>
      <c r="Y803" s="432"/>
      <c r="Z803" s="437" t="str">
        <f>IFERROR(IF(R802="","",Z802-R802),0)</f>
        <v/>
      </c>
    </row>
    <row r="804" spans="4:26" ht="18.75" customHeight="1" thickBot="1">
      <c r="D804" s="180" t="s">
        <v>245</v>
      </c>
      <c r="E804" s="439"/>
      <c r="F804" s="440"/>
      <c r="G804" s="441"/>
      <c r="H804" s="440"/>
      <c r="I804" s="442"/>
      <c r="J804" s="437" t="str">
        <f ca="1">IFERROR(IF(J802="","",(R802/J802)-1),0)</f>
        <v/>
      </c>
      <c r="K804" s="1"/>
      <c r="L804" s="439"/>
      <c r="M804" s="440"/>
      <c r="N804" s="441"/>
      <c r="O804" s="440"/>
      <c r="P804" s="445"/>
      <c r="Q804" s="445"/>
      <c r="R804" s="453" t="str">
        <f ca="1">IFERROR(IF(J802="","",(R802/J802)-1),0)</f>
        <v/>
      </c>
      <c r="T804" s="439"/>
      <c r="U804" s="440"/>
      <c r="V804" s="441"/>
      <c r="W804" s="440"/>
      <c r="X804" s="445"/>
      <c r="Y804" s="445"/>
      <c r="Z804" s="446" t="str">
        <f>IFERROR(IF(R802="","",(Z802/R802)-1),0)</f>
        <v/>
      </c>
    </row>
    <row r="805" spans="4:26" ht="5.25" customHeight="1" thickBot="1">
      <c r="D805" s="229"/>
      <c r="E805" s="229"/>
      <c r="F805" s="230"/>
      <c r="G805" s="231"/>
      <c r="H805" s="232"/>
      <c r="I805" s="233"/>
      <c r="J805" s="233"/>
      <c r="K805"/>
      <c r="L805" s="233"/>
      <c r="M805" s="233"/>
      <c r="N805" s="233"/>
      <c r="O805" s="233"/>
      <c r="P805" s="233"/>
      <c r="Q805" s="233"/>
      <c r="R805" s="233"/>
      <c r="T805" s="233"/>
      <c r="U805" s="233"/>
      <c r="V805" s="233"/>
      <c r="W805" s="233"/>
      <c r="X805" s="233"/>
      <c r="Y805" s="233"/>
      <c r="Z805" s="233"/>
    </row>
    <row r="806" spans="1:26" ht="50.15" customHeight="1">
      <c r="A806" s="140">
        <v>5</v>
      </c>
      <c r="B806" s="140" t="str">
        <f>IF(A806&gt;Class1_CurrentVisionCount,"DELETE",Class1_CurrentVisionStart+A806)</f>
        <v>DELETE</v>
      </c>
      <c r="C806" s="164" t="s">
        <v>304</v>
      </c>
      <c r="D806" s="273" t="str">
        <f>IF(B806="Delete","",VLOOKUP(F806,BEGIN_CURRENT_VISION:END_CURRENT_VISION,3,FALSE))</f>
        <v/>
      </c>
      <c r="E806" s="165"/>
      <c r="F806" s="272" t="str" cm="1">
        <f t="array" ca="1" aca="1" ref="F806">IF(B806="Delete","",INDIRECT("CurrentPlans!A"&amp;B806,TRUE))</f>
        <v/>
      </c>
      <c r="G806" s="166"/>
      <c r="H806" s="167"/>
      <c r="I806" s="168"/>
      <c r="J806" s="169"/>
      <c r="K806"/>
      <c r="L806" s="274" t="str">
        <f ca="1">_xlfn.IFNA(VLOOKUP(F806,BEGIN_RENEWEDFROM_DENTAL:ROW_RenewDental_PlanID,3,FALSE),"SELECT PLAN")</f>
        <v>SELECT PLAN</v>
      </c>
      <c r="M806" s="170"/>
      <c r="N806" s="274" t="s">
        <v>237</v>
      </c>
      <c r="O806" s="171"/>
      <c r="P806" s="171"/>
      <c r="Q806" s="171"/>
      <c r="R806" s="169"/>
      <c r="T806" s="274" t="s">
        <v>38</v>
      </c>
      <c r="U806" s="170"/>
      <c r="V806" s="274" t="s">
        <v>237</v>
      </c>
      <c r="W806" s="171"/>
      <c r="X806" s="171"/>
      <c r="Y806" s="171"/>
      <c r="Z806" s="169"/>
    </row>
    <row r="807" spans="4:26" ht="18.75" customHeight="1">
      <c r="D807" s="172" t="s">
        <v>238</v>
      </c>
      <c r="E807" s="407" t="str">
        <f ca="1">_xlfn.IFNA(VLOOKUP(F806,BEGIN_CURRENT_VISION:END_CURRENT_VISION,CURRENT_COL_EO_count,FALSE),"")</f>
        <v/>
      </c>
      <c r="F807" s="408" t="str">
        <f ca="1">_xlfn.IFNA(VLOOKUP(F806,BEGIN_CURRENT_VISION:END_CURRENT_VISION,CURRENT_COL_EO,FALSE),"")</f>
        <v/>
      </c>
      <c r="G807" s="468" t="str">
        <f ca="1" t="shared" si="140" ref="G807:G810">IF(F807="","",H807/F807)</f>
        <v/>
      </c>
      <c r="H807" s="408" t="str">
        <f ca="1">_xlfn.IFNA(VLOOKUP(F806,BEGIN_CURRENT_VISION:END_CURRENT_VISION,CURRENT_COL_EOContrib,FALSE),"")</f>
        <v/>
      </c>
      <c r="I807" s="409" t="str">
        <f ca="1">IFERROR(F807-H807,"")</f>
        <v/>
      </c>
      <c r="J807" s="410" t="str">
        <f ca="1">IF(F807="","",H807*E807)</f>
        <v/>
      </c>
      <c r="K807" s="411"/>
      <c r="L807" s="408" t="str" cm="1">
        <f t="array" ca="1" aca="1" ref="L807">_xlfn.IFNA(VLOOKUP(INDIRECT("L"&amp;ROW()-1)&amp;"_"&amp;$D$12,BEGIN_Renew_Vision:END_RENEW_VISION,RENEW_COL_EO,FALSE),"")</f>
        <v/>
      </c>
      <c r="M807" s="412" t="str">
        <f ca="1">IF(E807="","",E807)</f>
        <v/>
      </c>
      <c r="N807" s="413"/>
      <c r="O807" s="414"/>
      <c r="P807" s="415" t="str">
        <f>IFERROR(IF($N806="Keep Contribution Same",H807,IF($N806="Enter Percentages",IF(N807="","",N807*L807),IF($N806="Keep Percentage Same",IF(G807="","",G807*L807),IF($N806="Enter Dollar Amount",IF(O807="","",O807),"")))),"")</f>
        <v/>
      </c>
      <c r="Q807" s="408" t="str">
        <f ca="1">IFERROR(L807-P807,"")</f>
        <v/>
      </c>
      <c r="R807" s="410" t="str">
        <f>IFERROR(IF(P807="","",M807*P807),"")</f>
        <v/>
      </c>
      <c r="S807" s="411"/>
      <c r="T807" s="408" t="str" cm="1">
        <f t="array" ca="1" aca="1" ref="T807">_xlfn.IFNA(VLOOKUP(INDIRECT("T"&amp;ROW()-1)&amp;"_"&amp;$D$12,BEGIN_Renew_Vision:END_RENEW_VISION,RENEW_COL_EO,FALSE),"")</f>
        <v/>
      </c>
      <c r="U807" s="412" t="str">
        <f ca="1">IF(E807="","",E807)</f>
        <v/>
      </c>
      <c r="V807" s="413"/>
      <c r="W807" s="414"/>
      <c r="X807" s="415" t="str">
        <f>IFERROR(IF($V806="Keep Contribution Same",H807,IF($V806="Enter Percentages",IF(V807="","",V807*T807),IF($V806="Keep Percentage Same",IF(G807="","",G807*T807),IF($V806="Enter Dollar Amount",IF(W807="","",W807),"")))),"")</f>
        <v/>
      </c>
      <c r="Y807" s="408" t="str">
        <f ca="1">IFERROR(T807-X807,"")</f>
        <v/>
      </c>
      <c r="Z807" s="410" t="str">
        <f>IFERROR(IF(X807="","",U807*X807),"")</f>
        <v/>
      </c>
    </row>
    <row r="808" spans="4:26" ht="18.75" customHeight="1">
      <c r="D808" s="172" t="s">
        <v>239</v>
      </c>
      <c r="E808" s="407" t="str">
        <f ca="1">_xlfn.IFNA(VLOOKUP(F806,BEGIN_CURRENT_VISION:END_CURRENT_VISION,CURRENT_COL_ES_count,FALSE),"")</f>
        <v/>
      </c>
      <c r="F808" s="408" t="str">
        <f ca="1">_xlfn.IFNA(VLOOKUP(F806,BEGIN_CURRENT_VISION:END_CURRENT_VISION,CURRENT_COL_ES,FALSE),"")</f>
        <v/>
      </c>
      <c r="G808" s="468" t="str">
        <f t="shared" ca="1" si="140"/>
        <v/>
      </c>
      <c r="H808" s="408" t="str">
        <f ca="1">_xlfn.IFNA(VLOOKUP(F806,BEGIN_CURRENT_VISION:END_CURRENT_VISION,CURRENT_COL_ESContrib,FALSE),"")</f>
        <v/>
      </c>
      <c r="I808" s="409" t="str">
        <f ca="1" t="shared" si="141" ref="I808:I810">IFERROR(F808-H808,"")</f>
        <v/>
      </c>
      <c r="J808" s="410" t="str">
        <f ca="1" t="shared" si="142" ref="J808:J810">IF(F808="","",H808*E808)</f>
        <v/>
      </c>
      <c r="K808" s="411"/>
      <c r="L808" s="408" t="str" cm="1">
        <f t="array" ca="1" aca="1" ref="L808">_xlfn.IFNA(VLOOKUP(INDIRECT("L"&amp;ROW()-2)&amp;"_"&amp;$D$12,BEGIN_Renew_Vision:END_RENEW_VISION,RENEW_COL_ES,FALSE),"")</f>
        <v/>
      </c>
      <c r="M808" s="412" t="str">
        <f ca="1">IF(E808="","",E808)</f>
        <v/>
      </c>
      <c r="N808" s="413"/>
      <c r="O808" s="414"/>
      <c r="P808" s="415" t="str">
        <f>IFERROR(IF($N806="Keep Contribution Same",H808,IF($N806="Enter Percentages",IF(N808="","",N808*L808),IF($N806="Keep Percentage Same",IF(G808="","",G808*L808),IF($N806="Enter Dollar Amount",IF(O808="","",O808),"")))),"")</f>
        <v/>
      </c>
      <c r="Q808" s="408" t="str">
        <f ca="1" t="shared" si="143" ref="Q808:Q810">IFERROR(L808-P808,"")</f>
        <v/>
      </c>
      <c r="R808" s="410" t="str">
        <f>IFERROR(IF(P808="","",M808*P808),"")</f>
        <v/>
      </c>
      <c r="S808" s="411"/>
      <c r="T808" s="408" t="str" cm="1">
        <f t="array" ca="1" aca="1" ref="T808">_xlfn.IFNA(VLOOKUP(INDIRECT("T"&amp;ROW()-2)&amp;"_"&amp;$D$12,BEGIN_Renew_Vision:END_RENEW_VISION,RENEW_COL_ES,FALSE),"")</f>
        <v/>
      </c>
      <c r="U808" s="412" t="str">
        <f ca="1" t="shared" si="144" ref="U808:U810">IF(E808="","",E808)</f>
        <v/>
      </c>
      <c r="V808" s="413"/>
      <c r="W808" s="414"/>
      <c r="X808" s="415" t="str">
        <f>IFERROR(IF($V806="Keep Contribution Same",H808,IF($V806="Enter Percentages",IF(V808="","",V808*T808),IF($V806="Keep Percentage Same",IF(G808="","",G808*T808),IF($V806="Enter Dollar Amount",IF(W808="","",W808),"")))),"")</f>
        <v/>
      </c>
      <c r="Y808" s="408" t="str">
        <f ca="1" t="shared" si="145" ref="Y808:Y810">IFERROR(T808-X808,"")</f>
        <v/>
      </c>
      <c r="Z808" s="410" t="str">
        <f t="shared" si="146" ref="Z808:Z810">IFERROR(IF(X808="","",U808*X808),"")</f>
        <v/>
      </c>
    </row>
    <row r="809" spans="4:26" ht="18.75" customHeight="1">
      <c r="D809" s="172" t="s">
        <v>240</v>
      </c>
      <c r="E809" s="407" t="str">
        <f ca="1">_xlfn.IFNA(VLOOKUP(F806,BEGIN_CURRENT_VISION:END_CURRENT_VISION,CURRENT_COL_EC_count,FALSE),"")</f>
        <v/>
      </c>
      <c r="F809" s="408" t="str">
        <f ca="1">_xlfn.IFNA(VLOOKUP(F806,BEGIN_CURRENT_VISION:END_CURRENT_VISION,CURRENT_COL_EC,FALSE),"")</f>
        <v/>
      </c>
      <c r="G809" s="468" t="str">
        <f t="shared" ca="1" si="140"/>
        <v/>
      </c>
      <c r="H809" s="408" t="str">
        <f ca="1">_xlfn.IFNA(VLOOKUP(F806,BEGIN_CURRENT_VISION:END_CURRENT_VISION,CURRENT_COL_ECContrib,FALSE),"")</f>
        <v/>
      </c>
      <c r="I809" s="409" t="str">
        <f t="shared" ca="1" si="141"/>
        <v/>
      </c>
      <c r="J809" s="410" t="str">
        <f t="shared" ca="1" si="142"/>
        <v/>
      </c>
      <c r="K809" s="411"/>
      <c r="L809" s="408" t="str" cm="1">
        <f t="array" ca="1" aca="1" ref="L809">_xlfn.IFNA(VLOOKUP(INDIRECT("L"&amp;ROW()-3)&amp;"_"&amp;$D$12,BEGIN_Renew_Vision:END_RENEW_VISION,RENEW_COL_EC,FALSE),"")</f>
        <v/>
      </c>
      <c r="M809" s="412" t="str">
        <f ca="1">IF(E809="","",E809)</f>
        <v/>
      </c>
      <c r="N809" s="413"/>
      <c r="O809" s="414"/>
      <c r="P809" s="415" t="str">
        <f>IFERROR(IF($N806="Keep Contribution Same",H809,IF($N806="Enter Percentages",IF(N809="","",N809*L809),IF($N806="Keep Percentage Same",IF(G809="","",G809*L809),IF($N806="Enter Dollar Amount",IF(O809="","",O809),"")))),"")</f>
        <v/>
      </c>
      <c r="Q809" s="408" t="str">
        <f t="shared" ca="1" si="143"/>
        <v/>
      </c>
      <c r="R809" s="410" t="str">
        <f>IFERROR(IF(P809="","",M809*P809),"")</f>
        <v/>
      </c>
      <c r="S809" s="411"/>
      <c r="T809" s="408" t="str" cm="1">
        <f t="array" ca="1" aca="1" ref="T809">_xlfn.IFNA(VLOOKUP(INDIRECT("T"&amp;ROW()-3)&amp;"_"&amp;$D$12,BEGIN_Renew_Vision:END_RENEW_VISION,RENEW_COL_EC,FALSE),"")</f>
        <v/>
      </c>
      <c r="U809" s="412" t="str">
        <f t="shared" ca="1" si="144"/>
        <v/>
      </c>
      <c r="V809" s="413"/>
      <c r="W809" s="414"/>
      <c r="X809" s="415" t="str">
        <f>IFERROR(IF($V806="Keep Contribution Same",H809,IF($V806="Enter Percentages",IF(V809="","",V809*T809),IF($V806="Keep Percentage Same",IF(G809="","",G809*T809),IF($V806="Enter Dollar Amount",IF(W809="","",W809),"")))),"")</f>
        <v/>
      </c>
      <c r="Y809" s="408" t="str">
        <f t="shared" ca="1" si="145"/>
        <v/>
      </c>
      <c r="Z809" s="410" t="str">
        <f t="shared" si="146"/>
        <v/>
      </c>
    </row>
    <row r="810" spans="4:26" ht="18.75" customHeight="1" thickBot="1">
      <c r="D810" s="174" t="s">
        <v>241</v>
      </c>
      <c r="E810" s="416" t="str">
        <f ca="1">_xlfn.IFNA(VLOOKUP(F806,BEGIN_CURRENT_VISION:END_CURRENT_VISION,CURRENT_COL_FAM_count,FALSE),"")</f>
        <v/>
      </c>
      <c r="F810" s="417" t="str">
        <f ca="1">_xlfn.IFNA(VLOOKUP(F806,BEGIN_CURRENT_VISION:END_CURRENT_VISION,CURRENT_COL_FAM,FALSE),"")</f>
        <v/>
      </c>
      <c r="G810" s="469" t="str">
        <f t="shared" ca="1" si="140"/>
        <v/>
      </c>
      <c r="H810" s="417" t="str">
        <f ca="1">_xlfn.IFNA(VLOOKUP(F806,BEGIN_CURRENT_VISION:END_CURRENT_VISION,CURRENT_COL_FAMContrib,FALSE),"")</f>
        <v/>
      </c>
      <c r="I810" s="409" t="str">
        <f t="shared" ca="1" si="141"/>
        <v/>
      </c>
      <c r="J810" s="410" t="str">
        <f t="shared" ca="1" si="142"/>
        <v/>
      </c>
      <c r="K810" s="411"/>
      <c r="L810" s="417" t="str" cm="1">
        <f t="array" ca="1" aca="1" ref="L810">_xlfn.IFNA(VLOOKUP(INDIRECT("L"&amp;ROW()-4)&amp;"_"&amp;$D$12,BEGIN_Renew_Vision:END_RENEW_VISION,RENEW_COL_FAM,FALSE),"")</f>
        <v/>
      </c>
      <c r="M810" s="423" t="str">
        <f ca="1">IF(E810="","",E810)</f>
        <v/>
      </c>
      <c r="N810" s="420"/>
      <c r="O810" s="421"/>
      <c r="P810" s="422" t="str">
        <f>IFERROR(IF($N806="Keep Contribution Same",H810,IF($N806="Enter Percentages",IF(N810="","",N810*L810),IF($N806="Keep Percentage Same",IF(G810="","",G810*L810),IF($N806="Enter Dollar Amount",IF(O810="","",O810),"")))),"")</f>
        <v/>
      </c>
      <c r="Q810" s="417" t="str">
        <f t="shared" ca="1" si="143"/>
        <v/>
      </c>
      <c r="R810" s="419" t="str">
        <f>IFERROR(IF(P810="","",M810*P810),"")</f>
        <v/>
      </c>
      <c r="S810" s="411"/>
      <c r="T810" s="417" t="str" cm="1">
        <f t="array" ca="1" aca="1" ref="T810">_xlfn.IFNA(VLOOKUP(INDIRECT("T"&amp;ROW()-4)&amp;"_"&amp;$D$12,BEGIN_Renew_Vision:END_RENEW_VISION,RENEW_COL_FAM,FALSE),"")</f>
        <v/>
      </c>
      <c r="U810" s="423" t="str">
        <f t="shared" ca="1" si="144"/>
        <v/>
      </c>
      <c r="V810" s="420"/>
      <c r="W810" s="421"/>
      <c r="X810" s="422" t="str">
        <f>IFERROR(IF($V806="Keep Contribution Same",H810,IF($V806="Enter Percentages",IF(V810="","",V810*T810),IF($V806="Keep Percentage Same",IF(G810="","",G810*T810),IF($V806="Enter Dollar Amount",IF(W810="","",W810),"")))),"")</f>
        <v/>
      </c>
      <c r="Y810" s="417" t="str">
        <f t="shared" ca="1" si="145"/>
        <v/>
      </c>
      <c r="Z810" s="419" t="str">
        <f t="shared" si="146"/>
        <v/>
      </c>
    </row>
    <row r="811" spans="4:26" ht="18.75" customHeight="1" thickTop="1">
      <c r="D811" s="175" t="s">
        <v>242</v>
      </c>
      <c r="E811" s="424"/>
      <c r="F811" s="427"/>
      <c r="G811" s="426"/>
      <c r="H811" s="427"/>
      <c r="I811" s="428"/>
      <c r="J811" s="429" t="str">
        <f ca="1">IFERROR(IF(J807="","",SUM(J807:J810)),0)</f>
        <v/>
      </c>
      <c r="K811" s="1"/>
      <c r="L811" s="424"/>
      <c r="M811" s="427"/>
      <c r="N811" s="426"/>
      <c r="O811" s="427"/>
      <c r="P811" s="431"/>
      <c r="Q811" s="432"/>
      <c r="R811" s="429" t="str">
        <f>IFERROR(IF(R807="","",SUM(R807:R810)),0)</f>
        <v/>
      </c>
      <c r="T811" s="424"/>
      <c r="U811" s="427"/>
      <c r="V811" s="426"/>
      <c r="W811" s="427"/>
      <c r="X811" s="431"/>
      <c r="Y811" s="432"/>
      <c r="Z811" s="429" t="str">
        <f>IFERROR(IF(Z807="","",SUM(Z807:Z810)),0)</f>
        <v/>
      </c>
    </row>
    <row r="812" spans="4:26" ht="18.75" customHeight="1">
      <c r="D812" s="177" t="s">
        <v>243</v>
      </c>
      <c r="E812" s="433"/>
      <c r="F812" s="436"/>
      <c r="G812" s="435"/>
      <c r="H812" s="436"/>
      <c r="I812" s="432"/>
      <c r="J812" s="437" t="str">
        <f ca="1">IF(J811="","",J811*12)</f>
        <v/>
      </c>
      <c r="K812" s="1"/>
      <c r="L812" s="433"/>
      <c r="M812" s="436"/>
      <c r="N812" s="435"/>
      <c r="O812" s="436"/>
      <c r="P812" s="432"/>
      <c r="Q812" s="432"/>
      <c r="R812" s="437" t="str">
        <f>IF(R811="","",R811*12)</f>
        <v/>
      </c>
      <c r="T812" s="433"/>
      <c r="U812" s="436"/>
      <c r="V812" s="435"/>
      <c r="W812" s="436"/>
      <c r="X812" s="432"/>
      <c r="Y812" s="432"/>
      <c r="Z812" s="437" t="str">
        <f>IF(Z811="","",Z811*12)</f>
        <v/>
      </c>
    </row>
    <row r="813" spans="4:26" ht="18.75" customHeight="1">
      <c r="D813" s="177" t="s">
        <v>244</v>
      </c>
      <c r="E813" s="433"/>
      <c r="F813" s="436"/>
      <c r="G813" s="435"/>
      <c r="H813" s="436"/>
      <c r="I813" s="432"/>
      <c r="J813" s="437" t="str">
        <f ca="1">IFERROR(IF(J812="","",R812-J812),0)</f>
        <v/>
      </c>
      <c r="K813" s="1"/>
      <c r="L813" s="433"/>
      <c r="M813" s="436"/>
      <c r="N813" s="435"/>
      <c r="O813" s="436"/>
      <c r="P813" s="432"/>
      <c r="Q813" s="432"/>
      <c r="R813" s="437" t="str">
        <f ca="1">IFERROR(IF(J812="","",R812-J812),0)</f>
        <v/>
      </c>
      <c r="T813" s="433"/>
      <c r="U813" s="436"/>
      <c r="V813" s="435"/>
      <c r="W813" s="436"/>
      <c r="X813" s="432"/>
      <c r="Y813" s="432"/>
      <c r="Z813" s="437" t="str">
        <f>IFERROR(IF(R812="","",Z812-R812),0)</f>
        <v/>
      </c>
    </row>
    <row r="814" spans="4:26" ht="18.75" customHeight="1" thickBot="1">
      <c r="D814" s="180" t="s">
        <v>245</v>
      </c>
      <c r="E814" s="439"/>
      <c r="F814" s="440"/>
      <c r="G814" s="441"/>
      <c r="H814" s="440"/>
      <c r="I814" s="442"/>
      <c r="J814" s="437" t="str">
        <f ca="1">IFERROR(IF(J812="","",(R812/J812)-1),0)</f>
        <v/>
      </c>
      <c r="K814" s="1"/>
      <c r="L814" s="439"/>
      <c r="M814" s="440"/>
      <c r="N814" s="441"/>
      <c r="O814" s="440"/>
      <c r="P814" s="445"/>
      <c r="Q814" s="445"/>
      <c r="R814" s="453" t="str">
        <f ca="1">IFERROR(IF(J812="","",(R812/J812)-1),0)</f>
        <v/>
      </c>
      <c r="T814" s="439"/>
      <c r="U814" s="440"/>
      <c r="V814" s="441"/>
      <c r="W814" s="440"/>
      <c r="X814" s="445"/>
      <c r="Y814" s="445"/>
      <c r="Z814" s="446" t="str">
        <f>IFERROR(IF(R812="","",(Z812/R812)-1),0)</f>
        <v/>
      </c>
    </row>
    <row r="815" spans="4:26" ht="5.25" customHeight="1" thickBot="1">
      <c r="D815" s="229"/>
      <c r="E815" s="229"/>
      <c r="F815" s="230"/>
      <c r="G815" s="231"/>
      <c r="H815" s="232"/>
      <c r="I815" s="233"/>
      <c r="J815" s="233"/>
      <c r="K815"/>
      <c r="L815" s="233"/>
      <c r="M815" s="233"/>
      <c r="N815" s="233"/>
      <c r="O815" s="233"/>
      <c r="P815" s="233"/>
      <c r="Q815" s="233"/>
      <c r="R815" s="233"/>
      <c r="T815" s="233"/>
      <c r="U815" s="233"/>
      <c r="V815" s="233"/>
      <c r="W815" s="233"/>
      <c r="X815" s="233"/>
      <c r="Y815" s="233"/>
      <c r="Z815" s="233"/>
    </row>
    <row r="816" spans="3:26" ht="50.15" customHeight="1">
      <c r="C816" s="164" t="s">
        <v>305</v>
      </c>
      <c r="D816" s="275" t="s">
        <v>285</v>
      </c>
      <c r="E816" s="165"/>
      <c r="F816" s="272"/>
      <c r="G816" s="166"/>
      <c r="H816" s="167"/>
      <c r="I816" s="168"/>
      <c r="J816" s="169"/>
      <c r="K816"/>
      <c r="L816" s="274" t="s">
        <v>38</v>
      </c>
      <c r="M816" s="170"/>
      <c r="N816" s="274" t="s">
        <v>237</v>
      </c>
      <c r="O816" s="171"/>
      <c r="P816" s="171"/>
      <c r="Q816" s="171"/>
      <c r="R816" s="169"/>
      <c r="T816" s="274" t="s">
        <v>38</v>
      </c>
      <c r="U816" s="170"/>
      <c r="V816" s="274" t="s">
        <v>237</v>
      </c>
      <c r="W816" s="171"/>
      <c r="X816" s="171"/>
      <c r="Y816" s="171"/>
      <c r="Z816" s="169"/>
    </row>
    <row r="817" spans="4:26" ht="18.75" customHeight="1">
      <c r="D817" s="172" t="s">
        <v>238</v>
      </c>
      <c r="E817" s="407"/>
      <c r="F817" s="449"/>
      <c r="G817" s="470" t="str">
        <f t="shared" si="147" ref="G817:G820">IF(F817="","",H817/F817)</f>
        <v/>
      </c>
      <c r="H817" s="449" t="str">
        <f>_xlfn.IFNA(VLOOKUP(F816,BEGIN_CURRENT_VISION:END_CURRENT_VISION,CURRENT_COL_EOContrib,FALSE),"")</f>
        <v/>
      </c>
      <c r="I817" s="409" t="str">
        <f>IFERROR(F817-H817,"")</f>
        <v/>
      </c>
      <c r="J817" s="410" t="str">
        <f>IF(F817="","",H817*E817)</f>
        <v/>
      </c>
      <c r="K817" s="411"/>
      <c r="L817" s="408" t="str" cm="1">
        <f t="array" ca="1" aca="1" ref="L817">_xlfn.IFNA(VLOOKUP(INDIRECT("L"&amp;ROW()-1)&amp;"_"&amp;$D$12,BEGIN_Renew_Vision:END_RENEW_VISION,RENEW_COL_EO,FALSE),"")</f>
        <v/>
      </c>
      <c r="M817" s="412" t="str">
        <f>IF(E817="","",E817)</f>
        <v/>
      </c>
      <c r="N817" s="413"/>
      <c r="O817" s="414"/>
      <c r="P817" s="415" t="str">
        <f>IFERROR(IF($N816="Keep Contribution Same",H817,IF($N816="Enter Percentages",IF(N817="","",N817*L817),IF($N816="Keep Percentage Same",IF(G817="","",G817*L817),IF($N816="Enter Dollar Amount",IF(O817="","",O817),"")))),"")</f>
        <v/>
      </c>
      <c r="Q817" s="408" t="str">
        <f ca="1">IFERROR(L817-P817,"")</f>
        <v/>
      </c>
      <c r="R817" s="410" t="str">
        <f>IFERROR(IF(P817="","",M817*P817),"")</f>
        <v/>
      </c>
      <c r="S817" s="411"/>
      <c r="T817" s="408" t="str" cm="1">
        <f t="array" ca="1" aca="1" ref="T817">_xlfn.IFNA(VLOOKUP(INDIRECT("T"&amp;ROW()-1)&amp;"_"&amp;$D$12,BEGIN_Renew_Vision:END_RENEW_VISION,RENEW_COL_EO,FALSE),"")</f>
        <v/>
      </c>
      <c r="U817" s="412" t="str">
        <f>IF(E817="","",E817)</f>
        <v/>
      </c>
      <c r="V817" s="413"/>
      <c r="W817" s="414"/>
      <c r="X817" s="415" t="str">
        <f>IFERROR(IF($V816="Keep Contribution Same",H817,IF($V816="Enter Percentages",IF(V817="","",V817*T817),IF($V816="Keep Percentage Same",IF(G817="","",G817*T817),IF($V816="Enter Dollar Amount",IF(W817="","",W817),"")))),"")</f>
        <v/>
      </c>
      <c r="Y817" s="408" t="str">
        <f ca="1">IFERROR(T817-X817,"")</f>
        <v/>
      </c>
      <c r="Z817" s="410" t="str">
        <f>IFERROR(IF(X817="","",U817*X817),"")</f>
        <v/>
      </c>
    </row>
    <row r="818" spans="4:26" ht="18.75" customHeight="1">
      <c r="D818" s="172" t="s">
        <v>239</v>
      </c>
      <c r="E818" s="407"/>
      <c r="F818" s="449" t="str">
        <f>_xlfn.IFNA(VLOOKUP(F816,BEGIN_CURRENT_VISION:END_CURRENT_VISION,CURRENT_COL_ES,FALSE),"")</f>
        <v/>
      </c>
      <c r="G818" s="470" t="str">
        <f t="shared" si="147"/>
        <v/>
      </c>
      <c r="H818" s="449" t="str">
        <f>_xlfn.IFNA(VLOOKUP(F816,BEGIN_CURRENT_VISION:END_CURRENT_VISION,CURRENT_COL_ESContrib,FALSE),"")</f>
        <v/>
      </c>
      <c r="I818" s="409" t="str">
        <f t="shared" si="148" ref="I818:I820">IFERROR(F818-H818,"")</f>
        <v/>
      </c>
      <c r="J818" s="410" t="str">
        <f t="shared" si="149" ref="J818:J820">IF(F818="","",H818*E818)</f>
        <v/>
      </c>
      <c r="K818" s="411"/>
      <c r="L818" s="408" t="str" cm="1">
        <f t="array" ca="1" aca="1" ref="L818">_xlfn.IFNA(VLOOKUP(INDIRECT("L"&amp;ROW()-2)&amp;"_"&amp;$D$12,BEGIN_Renew_Vision:END_RENEW_VISION,RENEW_COL_ES,FALSE),"")</f>
        <v/>
      </c>
      <c r="M818" s="412" t="str">
        <f>IF(E818="","",E818)</f>
        <v/>
      </c>
      <c r="N818" s="413"/>
      <c r="O818" s="414"/>
      <c r="P818" s="415" t="str">
        <f>IFERROR(IF($N816="Keep Contribution Same",H818,IF($N816="Enter Percentages",IF(N818="","",N818*L818),IF($N816="Keep Percentage Same",IF(G818="","",G818*L818),IF($N816="Enter Dollar Amount",IF(O818="","",O818),"")))),"")</f>
        <v/>
      </c>
      <c r="Q818" s="408" t="str">
        <f ca="1" t="shared" si="150" ref="Q818:Q820">IFERROR(L818-P818,"")</f>
        <v/>
      </c>
      <c r="R818" s="410" t="str">
        <f>IFERROR(IF(P818="","",M818*P818),"")</f>
        <v/>
      </c>
      <c r="S818" s="411"/>
      <c r="T818" s="408" t="str" cm="1">
        <f t="array" ca="1" aca="1" ref="T818">_xlfn.IFNA(VLOOKUP(INDIRECT("T"&amp;ROW()-2)&amp;"_"&amp;$D$12,BEGIN_Renew_Vision:END_RENEW_VISION,RENEW_COL_ES,FALSE),"")</f>
        <v/>
      </c>
      <c r="U818" s="412" t="str">
        <f t="shared" si="151" ref="U818:U820">IF(E818="","",E818)</f>
        <v/>
      </c>
      <c r="V818" s="413"/>
      <c r="W818" s="414"/>
      <c r="X818" s="415" t="str">
        <f>IFERROR(IF($V816="Keep Contribution Same",H818,IF($V816="Enter Percentages",IF(V818="","",V818*T818),IF($V816="Keep Percentage Same",IF(G818="","",G818*T818),IF($V816="Enter Dollar Amount",IF(W818="","",W818),"")))),"")</f>
        <v/>
      </c>
      <c r="Y818" s="408" t="str">
        <f ca="1" t="shared" si="152" ref="Y818:Y820">IFERROR(T818-X818,"")</f>
        <v/>
      </c>
      <c r="Z818" s="410" t="str">
        <f t="shared" si="153" ref="Z818:Z820">IFERROR(IF(X818="","",U818*X818),"")</f>
        <v/>
      </c>
    </row>
    <row r="819" spans="4:26" ht="18.75" customHeight="1">
      <c r="D819" s="172" t="s">
        <v>240</v>
      </c>
      <c r="E819" s="407"/>
      <c r="F819" s="449" t="str">
        <f>_xlfn.IFNA(VLOOKUP(F816,BEGIN_CURRENT_VISION:END_CURRENT_VISION,CURRENT_COL_EC,FALSE),"")</f>
        <v/>
      </c>
      <c r="G819" s="470" t="str">
        <f t="shared" si="147"/>
        <v/>
      </c>
      <c r="H819" s="449" t="str">
        <f>_xlfn.IFNA(VLOOKUP(F816,BEGIN_CURRENT_VISION:END_CURRENT_VISION,CURRENT_COL_ECContrib,FALSE),"")</f>
        <v/>
      </c>
      <c r="I819" s="409" t="str">
        <f t="shared" si="148"/>
        <v/>
      </c>
      <c r="J819" s="410" t="str">
        <f t="shared" si="149"/>
        <v/>
      </c>
      <c r="K819" s="411"/>
      <c r="L819" s="408" t="str" cm="1">
        <f t="array" ca="1" aca="1" ref="L819">_xlfn.IFNA(VLOOKUP(INDIRECT("L"&amp;ROW()-3)&amp;"_"&amp;$D$12,BEGIN_Renew_Vision:END_RENEW_VISION,RENEW_COL_EC,FALSE),"")</f>
        <v/>
      </c>
      <c r="M819" s="412" t="str">
        <f>IF(E819="","",E819)</f>
        <v/>
      </c>
      <c r="N819" s="413"/>
      <c r="O819" s="414"/>
      <c r="P819" s="415" t="str">
        <f>IFERROR(IF($N816="Keep Contribution Same",H819,IF($N816="Enter Percentages",IF(N819="","",N819*L819),IF($N816="Keep Percentage Same",IF(G819="","",G819*L819),IF($N816="Enter Dollar Amount",IF(O819="","",O819),"")))),"")</f>
        <v/>
      </c>
      <c r="Q819" s="408" t="str">
        <f t="shared" ca="1" si="150"/>
        <v/>
      </c>
      <c r="R819" s="410" t="str">
        <f>IFERROR(IF(P819="","",M819*P819),"")</f>
        <v/>
      </c>
      <c r="S819" s="411"/>
      <c r="T819" s="408" t="str" cm="1">
        <f t="array" ca="1" aca="1" ref="T819">_xlfn.IFNA(VLOOKUP(INDIRECT("T"&amp;ROW()-3)&amp;"_"&amp;$D$12,BEGIN_Renew_Vision:END_RENEW_VISION,RENEW_COL_EC,FALSE),"")</f>
        <v/>
      </c>
      <c r="U819" s="412" t="str">
        <f t="shared" si="151"/>
        <v/>
      </c>
      <c r="V819" s="413"/>
      <c r="W819" s="414"/>
      <c r="X819" s="415" t="str">
        <f>IFERROR(IF($V816="Keep Contribution Same",H819,IF($V816="Enter Percentages",IF(V819="","",V819*T819),IF($V816="Keep Percentage Same",IF(G819="","",G819*T819),IF($V816="Enter Dollar Amount",IF(W819="","",W819),"")))),"")</f>
        <v/>
      </c>
      <c r="Y819" s="408" t="str">
        <f t="shared" ca="1" si="152"/>
        <v/>
      </c>
      <c r="Z819" s="410" t="str">
        <f t="shared" si="153"/>
        <v/>
      </c>
    </row>
    <row r="820" spans="4:26" ht="18.75" customHeight="1" thickBot="1">
      <c r="D820" s="174" t="s">
        <v>241</v>
      </c>
      <c r="E820" s="416"/>
      <c r="F820" s="451" t="str">
        <f>_xlfn.IFNA(VLOOKUP(F816,BEGIN_CURRENT_VISION:END_CURRENT_VISION,CURRENT_COL_FAM,FALSE),"")</f>
        <v/>
      </c>
      <c r="G820" s="471" t="str">
        <f t="shared" si="147"/>
        <v/>
      </c>
      <c r="H820" s="451" t="str">
        <f>_xlfn.IFNA(VLOOKUP(F816,BEGIN_CURRENT_VISION:END_CURRENT_VISION,CURRENT_COL_FAMContrib,FALSE),"")</f>
        <v/>
      </c>
      <c r="I820" s="409" t="str">
        <f t="shared" si="148"/>
        <v/>
      </c>
      <c r="J820" s="410" t="str">
        <f t="shared" si="149"/>
        <v/>
      </c>
      <c r="K820" s="411"/>
      <c r="L820" s="417" t="str" cm="1">
        <f t="array" ca="1" aca="1" ref="L820">_xlfn.IFNA(VLOOKUP(INDIRECT("L"&amp;ROW()-4)&amp;"_"&amp;$D$12,BEGIN_Renew_Vision:END_RENEW_VISION,RENEW_COL_FAM,FALSE),"")</f>
        <v/>
      </c>
      <c r="M820" s="423" t="str">
        <f>IF(E820="","",E820)</f>
        <v/>
      </c>
      <c r="N820" s="420"/>
      <c r="O820" s="421"/>
      <c r="P820" s="422" t="str">
        <f>IFERROR(IF($N816="Keep Contribution Same",H820,IF($N816="Enter Percentages",IF(N820="","",N820*L820),IF($N816="Keep Percentage Same",IF(G820="","",G820*L820),IF($N816="Enter Dollar Amount",IF(O820="","",O820),"")))),"")</f>
        <v/>
      </c>
      <c r="Q820" s="417" t="str">
        <f t="shared" ca="1" si="150"/>
        <v/>
      </c>
      <c r="R820" s="419" t="str">
        <f>IFERROR(IF(P820="","",M820*P820),"")</f>
        <v/>
      </c>
      <c r="S820" s="411"/>
      <c r="T820" s="417" t="str" cm="1">
        <f t="array" ca="1" aca="1" ref="T820">_xlfn.IFNA(VLOOKUP(INDIRECT("T"&amp;ROW()-4)&amp;"_"&amp;$D$12,BEGIN_Renew_Vision:END_RENEW_VISION,RENEW_COL_FAM,FALSE),"")</f>
        <v/>
      </c>
      <c r="U820" s="423" t="str">
        <f t="shared" si="151"/>
        <v/>
      </c>
      <c r="V820" s="420"/>
      <c r="W820" s="421"/>
      <c r="X820" s="422" t="str">
        <f>IFERROR(IF($V816="Keep Contribution Same",H820,IF($V816="Enter Percentages",IF(V820="","",V820*T820),IF($V816="Keep Percentage Same",IF(G820="","",G820*T820),IF($V816="Enter Dollar Amount",IF(W820="","",W820),"")))),"")</f>
        <v/>
      </c>
      <c r="Y820" s="417" t="str">
        <f t="shared" ca="1" si="152"/>
        <v/>
      </c>
      <c r="Z820" s="419" t="str">
        <f t="shared" si="153"/>
        <v/>
      </c>
    </row>
    <row r="821" spans="4:26" ht="18.75" customHeight="1" thickTop="1">
      <c r="D821" s="175" t="s">
        <v>242</v>
      </c>
      <c r="E821" s="424"/>
      <c r="F821" s="427"/>
      <c r="G821" s="426"/>
      <c r="H821" s="427"/>
      <c r="I821" s="428"/>
      <c r="J821" s="429" t="str">
        <f>IFERROR(IF(J817="","",SUM(J817:J820)),0)</f>
        <v/>
      </c>
      <c r="K821" s="1"/>
      <c r="L821" s="424"/>
      <c r="M821" s="427"/>
      <c r="N821" s="426"/>
      <c r="O821" s="427"/>
      <c r="P821" s="431"/>
      <c r="Q821" s="432"/>
      <c r="R821" s="429" t="str">
        <f>IFERROR(IF(R817="","",SUM(R817:R820)),0)</f>
        <v/>
      </c>
      <c r="T821" s="424"/>
      <c r="U821" s="427"/>
      <c r="V821" s="426"/>
      <c r="W821" s="427"/>
      <c r="X821" s="431"/>
      <c r="Y821" s="432"/>
      <c r="Z821" s="429" t="str">
        <f>IFERROR(IF(Z817="","",SUM(Z817:Z820)),0)</f>
        <v/>
      </c>
    </row>
    <row r="822" spans="4:26" ht="18.75" customHeight="1">
      <c r="D822" s="177" t="s">
        <v>243</v>
      </c>
      <c r="E822" s="433"/>
      <c r="F822" s="436"/>
      <c r="G822" s="435"/>
      <c r="H822" s="436"/>
      <c r="I822" s="432"/>
      <c r="J822" s="437" t="str">
        <f>IF(J821="","",J821*12)</f>
        <v/>
      </c>
      <c r="K822" s="1"/>
      <c r="L822" s="433"/>
      <c r="M822" s="436"/>
      <c r="N822" s="435"/>
      <c r="O822" s="436"/>
      <c r="P822" s="432"/>
      <c r="Q822" s="432"/>
      <c r="R822" s="437" t="str">
        <f>IF(R821="","",R821*12)</f>
        <v/>
      </c>
      <c r="T822" s="433"/>
      <c r="U822" s="436"/>
      <c r="V822" s="435"/>
      <c r="W822" s="436"/>
      <c r="X822" s="432"/>
      <c r="Y822" s="432"/>
      <c r="Z822" s="437" t="str">
        <f>IF(Z821="","",Z821*12)</f>
        <v/>
      </c>
    </row>
    <row r="823" spans="4:26" ht="18.75" customHeight="1">
      <c r="D823" s="177" t="s">
        <v>244</v>
      </c>
      <c r="E823" s="433"/>
      <c r="F823" s="436"/>
      <c r="G823" s="435"/>
      <c r="H823" s="436"/>
      <c r="I823" s="432"/>
      <c r="J823" s="437" t="str">
        <f>IFERROR(IF(J822="","",R822-J822),0)</f>
        <v/>
      </c>
      <c r="K823" s="1"/>
      <c r="L823" s="433"/>
      <c r="M823" s="436"/>
      <c r="N823" s="435"/>
      <c r="O823" s="436"/>
      <c r="P823" s="432"/>
      <c r="Q823" s="432"/>
      <c r="R823" s="437" t="str">
        <f>IFERROR(IF(J822="","",R822-J822),0)</f>
        <v/>
      </c>
      <c r="T823" s="433"/>
      <c r="U823" s="436"/>
      <c r="V823" s="435"/>
      <c r="W823" s="436"/>
      <c r="X823" s="432"/>
      <c r="Y823" s="432"/>
      <c r="Z823" s="437" t="str">
        <f>IFERROR(IF(R822="","",Z822-R822),0)</f>
        <v/>
      </c>
    </row>
    <row r="824" spans="4:26" ht="18.75" customHeight="1" thickBot="1">
      <c r="D824" s="180" t="s">
        <v>245</v>
      </c>
      <c r="E824" s="439"/>
      <c r="F824" s="440"/>
      <c r="G824" s="441"/>
      <c r="H824" s="440"/>
      <c r="I824" s="442"/>
      <c r="J824" s="437" t="str">
        <f>IFERROR(IF(J822="","",(R822/J822)-1),0)</f>
        <v/>
      </c>
      <c r="K824" s="1"/>
      <c r="L824" s="439"/>
      <c r="M824" s="440"/>
      <c r="N824" s="441"/>
      <c r="O824" s="440"/>
      <c r="P824" s="445"/>
      <c r="Q824" s="445"/>
      <c r="R824" s="453" t="str">
        <f>IFERROR(IF(J822="","",(R822/J822)-1),0)</f>
        <v/>
      </c>
      <c r="T824" s="439"/>
      <c r="U824" s="440"/>
      <c r="V824" s="441"/>
      <c r="W824" s="440"/>
      <c r="X824" s="445"/>
      <c r="Y824" s="445"/>
      <c r="Z824" s="446" t="str">
        <f>IFERROR(IF(R822="","",(Z822/R822)-1),0)</f>
        <v/>
      </c>
    </row>
    <row r="825" spans="4:26" ht="5.25" customHeight="1" thickBot="1">
      <c r="D825" s="229"/>
      <c r="E825" s="229"/>
      <c r="F825" s="230"/>
      <c r="G825" s="231"/>
      <c r="H825" s="232"/>
      <c r="I825" s="233"/>
      <c r="J825" s="233"/>
      <c r="K825"/>
      <c r="L825" s="233"/>
      <c r="M825" s="233"/>
      <c r="N825" s="233"/>
      <c r="O825" s="233"/>
      <c r="P825" s="233"/>
      <c r="Q825" s="233"/>
      <c r="R825" s="233"/>
      <c r="T825" s="233"/>
      <c r="U825" s="233"/>
      <c r="V825" s="233"/>
      <c r="W825" s="233"/>
      <c r="X825" s="233"/>
      <c r="Y825" s="233"/>
      <c r="Z825" s="233"/>
    </row>
    <row r="826" spans="3:26" ht="50.15" customHeight="1">
      <c r="C826" s="164" t="s">
        <v>306</v>
      </c>
      <c r="D826" s="275" t="s">
        <v>285</v>
      </c>
      <c r="E826" s="165"/>
      <c r="F826" s="272"/>
      <c r="G826" s="166"/>
      <c r="H826" s="167"/>
      <c r="I826" s="168"/>
      <c r="J826" s="169"/>
      <c r="K826"/>
      <c r="L826" s="274" t="s">
        <v>38</v>
      </c>
      <c r="M826" s="170"/>
      <c r="N826" s="274" t="s">
        <v>237</v>
      </c>
      <c r="O826" s="171"/>
      <c r="P826" s="171"/>
      <c r="Q826" s="171"/>
      <c r="R826" s="169"/>
      <c r="T826" s="274" t="s">
        <v>38</v>
      </c>
      <c r="U826" s="170"/>
      <c r="V826" s="274" t="s">
        <v>237</v>
      </c>
      <c r="W826" s="171"/>
      <c r="X826" s="171"/>
      <c r="Y826" s="171"/>
      <c r="Z826" s="169"/>
    </row>
    <row r="827" spans="4:26" ht="18.75" customHeight="1">
      <c r="D827" s="172" t="s">
        <v>238</v>
      </c>
      <c r="E827" s="407"/>
      <c r="F827" s="449"/>
      <c r="G827" s="470" t="str">
        <f t="shared" si="154" ref="G827:G830">IF(F827="","",H827/F827)</f>
        <v/>
      </c>
      <c r="H827" s="449" t="str">
        <f>_xlfn.IFNA(VLOOKUP(F826,BEGIN_CURRENT_VISION:END_CURRENT_VISION,CURRENT_COL_EOContrib,FALSE),"")</f>
        <v/>
      </c>
      <c r="I827" s="409" t="str">
        <f>IFERROR(F827-H827,"")</f>
        <v/>
      </c>
      <c r="J827" s="410" t="str">
        <f>IF(F827="","",H827*E827)</f>
        <v/>
      </c>
      <c r="K827" s="411"/>
      <c r="L827" s="408" t="str" cm="1">
        <f t="array" ca="1" aca="1" ref="L827">_xlfn.IFNA(VLOOKUP(INDIRECT("L"&amp;ROW()-1)&amp;"_"&amp;$D$12,BEGIN_Renew_Vision:END_RENEW_VISION,RENEW_COL_EO,FALSE),"")</f>
        <v/>
      </c>
      <c r="M827" s="412" t="str">
        <f>IF(E827="","",E827)</f>
        <v/>
      </c>
      <c r="N827" s="413"/>
      <c r="O827" s="414"/>
      <c r="P827" s="415" t="str">
        <f>IFERROR(IF($N826="Keep Contribution Same",H827,IF($N826="Enter Percentages",IF(N827="","",N827*L827),IF($N826="Keep Percentage Same",IF(G827="","",G827*L827),IF($N826="Enter Dollar Amount",IF(O827="","",O827),"")))),"")</f>
        <v/>
      </c>
      <c r="Q827" s="408" t="str">
        <f ca="1">IFERROR(L827-P827,"")</f>
        <v/>
      </c>
      <c r="R827" s="410" t="str">
        <f>IFERROR(IF(P827="","",M827*P827),"")</f>
        <v/>
      </c>
      <c r="S827" s="411"/>
      <c r="T827" s="408" t="str" cm="1">
        <f t="array" ca="1" aca="1" ref="T827">_xlfn.IFNA(VLOOKUP(INDIRECT("T"&amp;ROW()-1)&amp;"_"&amp;$D$12,BEGIN_Renew_Vision:END_RENEW_VISION,RENEW_COL_EO,FALSE),"")</f>
        <v/>
      </c>
      <c r="U827" s="412" t="str">
        <f>IF(E827="","",E827)</f>
        <v/>
      </c>
      <c r="V827" s="413"/>
      <c r="W827" s="414"/>
      <c r="X827" s="415" t="str">
        <f>IFERROR(IF($V826="Keep Contribution Same",H827,IF($V826="Enter Percentages",IF(V827="","",V827*T827),IF($V826="Keep Percentage Same",IF(G827="","",G827*T827),IF($V826="Enter Dollar Amount",IF(W827="","",W827),"")))),"")</f>
        <v/>
      </c>
      <c r="Y827" s="408" t="str">
        <f ca="1">IFERROR(T827-X827,"")</f>
        <v/>
      </c>
      <c r="Z827" s="410" t="str">
        <f>IFERROR(IF(X827="","",U827*X827),"")</f>
        <v/>
      </c>
    </row>
    <row r="828" spans="4:26" ht="18.75" customHeight="1">
      <c r="D828" s="172" t="s">
        <v>239</v>
      </c>
      <c r="E828" s="407"/>
      <c r="F828" s="449" t="str">
        <f>_xlfn.IFNA(VLOOKUP(F826,BEGIN_CURRENT_VISION:END_CURRENT_VISION,CURRENT_COL_ES,FALSE),"")</f>
        <v/>
      </c>
      <c r="G828" s="470" t="str">
        <f t="shared" si="154"/>
        <v/>
      </c>
      <c r="H828" s="449" t="str">
        <f>_xlfn.IFNA(VLOOKUP(F826,BEGIN_CURRENT_VISION:END_CURRENT_VISION,CURRENT_COL_ESContrib,FALSE),"")</f>
        <v/>
      </c>
      <c r="I828" s="409" t="str">
        <f t="shared" si="155" ref="I828:I830">IFERROR(F828-H828,"")</f>
        <v/>
      </c>
      <c r="J828" s="410" t="str">
        <f t="shared" si="156" ref="J828:J830">IF(F828="","",H828*E828)</f>
        <v/>
      </c>
      <c r="K828" s="411"/>
      <c r="L828" s="408" t="str" cm="1">
        <f t="array" ca="1" aca="1" ref="L828">_xlfn.IFNA(VLOOKUP(INDIRECT("L"&amp;ROW()-2)&amp;"_"&amp;$D$12,BEGIN_Renew_Vision:END_RENEW_VISION,RENEW_COL_ES,FALSE),"")</f>
        <v/>
      </c>
      <c r="M828" s="412" t="str">
        <f>IF(E828="","",E828)</f>
        <v/>
      </c>
      <c r="N828" s="413"/>
      <c r="O828" s="414"/>
      <c r="P828" s="415" t="str">
        <f>IFERROR(IF($N826="Keep Contribution Same",H828,IF($N826="Enter Percentages",IF(N828="","",N828*L828),IF($N826="Keep Percentage Same",IF(G828="","",G828*L828),IF($N826="Enter Dollar Amount",IF(O828="","",O828),"")))),"")</f>
        <v/>
      </c>
      <c r="Q828" s="408" t="str">
        <f ca="1" t="shared" si="157" ref="Q828:Q830">IFERROR(L828-P828,"")</f>
        <v/>
      </c>
      <c r="R828" s="410" t="str">
        <f>IFERROR(IF(P828="","",M828*P828),"")</f>
        <v/>
      </c>
      <c r="S828" s="411"/>
      <c r="T828" s="408" t="str" cm="1">
        <f t="array" ca="1" aca="1" ref="T828">_xlfn.IFNA(VLOOKUP(INDIRECT("T"&amp;ROW()-2)&amp;"_"&amp;$D$12,BEGIN_Renew_Vision:END_RENEW_VISION,RENEW_COL_ES,FALSE),"")</f>
        <v/>
      </c>
      <c r="U828" s="412" t="str">
        <f t="shared" si="158" ref="U828:U830">IF(E828="","",E828)</f>
        <v/>
      </c>
      <c r="V828" s="413"/>
      <c r="W828" s="414"/>
      <c r="X828" s="415" t="str">
        <f>IFERROR(IF($V826="Keep Contribution Same",H828,IF($V826="Enter Percentages",IF(V828="","",V828*T828),IF($V826="Keep Percentage Same",IF(G828="","",G828*T828),IF($V826="Enter Dollar Amount",IF(W828="","",W828),"")))),"")</f>
        <v/>
      </c>
      <c r="Y828" s="408" t="str">
        <f ca="1" t="shared" si="159" ref="Y828:Y830">IFERROR(T828-X828,"")</f>
        <v/>
      </c>
      <c r="Z828" s="410" t="str">
        <f t="shared" si="160" ref="Z828:Z830">IFERROR(IF(X828="","",U828*X828),"")</f>
        <v/>
      </c>
    </row>
    <row r="829" spans="4:26" ht="18.75" customHeight="1">
      <c r="D829" s="172" t="s">
        <v>240</v>
      </c>
      <c r="E829" s="407"/>
      <c r="F829" s="449" t="str">
        <f>_xlfn.IFNA(VLOOKUP(F826,BEGIN_CURRENT_VISION:END_CURRENT_VISION,CURRENT_COL_EC,FALSE),"")</f>
        <v/>
      </c>
      <c r="G829" s="470" t="str">
        <f t="shared" si="154"/>
        <v/>
      </c>
      <c r="H829" s="449" t="str">
        <f>_xlfn.IFNA(VLOOKUP(F826,BEGIN_CURRENT_VISION:END_CURRENT_VISION,CURRENT_COL_ECContrib,FALSE),"")</f>
        <v/>
      </c>
      <c r="I829" s="409" t="str">
        <f t="shared" si="155"/>
        <v/>
      </c>
      <c r="J829" s="410" t="str">
        <f t="shared" si="156"/>
        <v/>
      </c>
      <c r="K829" s="411"/>
      <c r="L829" s="408" t="str" cm="1">
        <f t="array" ca="1" aca="1" ref="L829">_xlfn.IFNA(VLOOKUP(INDIRECT("L"&amp;ROW()-3)&amp;"_"&amp;$D$12,BEGIN_Renew_Vision:END_RENEW_VISION,RENEW_COL_EC,FALSE),"")</f>
        <v/>
      </c>
      <c r="M829" s="412" t="str">
        <f>IF(E829="","",E829)</f>
        <v/>
      </c>
      <c r="N829" s="413"/>
      <c r="O829" s="414"/>
      <c r="P829" s="415" t="str">
        <f>IFERROR(IF($N826="Keep Contribution Same",H829,IF($N826="Enter Percentages",IF(N829="","",N829*L829),IF($N826="Keep Percentage Same",IF(G829="","",G829*L829),IF($N826="Enter Dollar Amount",IF(O829="","",O829),"")))),"")</f>
        <v/>
      </c>
      <c r="Q829" s="408" t="str">
        <f t="shared" ca="1" si="157"/>
        <v/>
      </c>
      <c r="R829" s="410" t="str">
        <f>IFERROR(IF(P829="","",M829*P829),"")</f>
        <v/>
      </c>
      <c r="S829" s="411"/>
      <c r="T829" s="408" t="str" cm="1">
        <f t="array" ca="1" aca="1" ref="T829">_xlfn.IFNA(VLOOKUP(INDIRECT("T"&amp;ROW()-3)&amp;"_"&amp;$D$12,BEGIN_Renew_Vision:END_RENEW_VISION,RENEW_COL_EC,FALSE),"")</f>
        <v/>
      </c>
      <c r="U829" s="412" t="str">
        <f t="shared" si="158"/>
        <v/>
      </c>
      <c r="V829" s="413"/>
      <c r="W829" s="414"/>
      <c r="X829" s="415" t="str">
        <f>IFERROR(IF($V826="Keep Contribution Same",H829,IF($V826="Enter Percentages",IF(V829="","",V829*T829),IF($V826="Keep Percentage Same",IF(G829="","",G829*T829),IF($V826="Enter Dollar Amount",IF(W829="","",W829),"")))),"")</f>
        <v/>
      </c>
      <c r="Y829" s="408" t="str">
        <f t="shared" ca="1" si="159"/>
        <v/>
      </c>
      <c r="Z829" s="410" t="str">
        <f t="shared" si="160"/>
        <v/>
      </c>
    </row>
    <row r="830" spans="4:26" ht="18.75" customHeight="1" thickBot="1">
      <c r="D830" s="174" t="s">
        <v>241</v>
      </c>
      <c r="E830" s="416"/>
      <c r="F830" s="451" t="str">
        <f>_xlfn.IFNA(VLOOKUP(F826,BEGIN_CURRENT_VISION:END_CURRENT_VISION,CURRENT_COL_FAM,FALSE),"")</f>
        <v/>
      </c>
      <c r="G830" s="471" t="str">
        <f t="shared" si="154"/>
        <v/>
      </c>
      <c r="H830" s="451" t="str">
        <f>_xlfn.IFNA(VLOOKUP(F826,BEGIN_CURRENT_VISION:END_CURRENT_VISION,CURRENT_COL_FAMContrib,FALSE),"")</f>
        <v/>
      </c>
      <c r="I830" s="409" t="str">
        <f t="shared" si="155"/>
        <v/>
      </c>
      <c r="J830" s="410" t="str">
        <f t="shared" si="156"/>
        <v/>
      </c>
      <c r="K830" s="411"/>
      <c r="L830" s="417" t="str" cm="1">
        <f t="array" ca="1" aca="1" ref="L830">_xlfn.IFNA(VLOOKUP(INDIRECT("L"&amp;ROW()-4)&amp;"_"&amp;$D$12,BEGIN_Renew_Vision:END_RENEW_VISION,RENEW_COL_FAM,FALSE),"")</f>
        <v/>
      </c>
      <c r="M830" s="423" t="str">
        <f>IF(E830="","",E830)</f>
        <v/>
      </c>
      <c r="N830" s="420"/>
      <c r="O830" s="421"/>
      <c r="P830" s="422" t="str">
        <f>IFERROR(IF($N826="Keep Contribution Same",H830,IF($N826="Enter Percentages",IF(N830="","",N830*L830),IF($N826="Keep Percentage Same",IF(G830="","",G830*L830),IF($N826="Enter Dollar Amount",IF(O830="","",O830),"")))),"")</f>
        <v/>
      </c>
      <c r="Q830" s="417" t="str">
        <f t="shared" ca="1" si="157"/>
        <v/>
      </c>
      <c r="R830" s="419" t="str">
        <f>IFERROR(IF(P830="","",M830*P830),"")</f>
        <v/>
      </c>
      <c r="S830" s="411"/>
      <c r="T830" s="417" t="str" cm="1">
        <f t="array" ca="1" aca="1" ref="T830">_xlfn.IFNA(VLOOKUP(INDIRECT("T"&amp;ROW()-4)&amp;"_"&amp;$D$12,BEGIN_Renew_Vision:END_RENEW_VISION,RENEW_COL_FAM,FALSE),"")</f>
        <v/>
      </c>
      <c r="U830" s="423" t="str">
        <f t="shared" si="158"/>
        <v/>
      </c>
      <c r="V830" s="420"/>
      <c r="W830" s="421"/>
      <c r="X830" s="422" t="str">
        <f>IFERROR(IF($V826="Keep Contribution Same",H830,IF($V826="Enter Percentages",IF(V830="","",V830*T830),IF($V826="Keep Percentage Same",IF(G830="","",G830*T830),IF($V826="Enter Dollar Amount",IF(W830="","",W830),"")))),"")</f>
        <v/>
      </c>
      <c r="Y830" s="417" t="str">
        <f t="shared" ca="1" si="159"/>
        <v/>
      </c>
      <c r="Z830" s="419" t="str">
        <f t="shared" si="160"/>
        <v/>
      </c>
    </row>
    <row r="831" spans="4:26" ht="18.75" customHeight="1" thickTop="1">
      <c r="D831" s="175" t="s">
        <v>242</v>
      </c>
      <c r="E831" s="424"/>
      <c r="F831" s="427"/>
      <c r="G831" s="426"/>
      <c r="H831" s="427"/>
      <c r="I831" s="428"/>
      <c r="J831" s="429" t="str">
        <f>IFERROR(IF(J827="","",SUM(J827:J830)),0)</f>
        <v/>
      </c>
      <c r="K831" s="1"/>
      <c r="L831" s="424"/>
      <c r="M831" s="427"/>
      <c r="N831" s="426"/>
      <c r="O831" s="427"/>
      <c r="P831" s="431"/>
      <c r="Q831" s="432"/>
      <c r="R831" s="429" t="str">
        <f>IFERROR(IF(R827="","",SUM(R827:R830)),0)</f>
        <v/>
      </c>
      <c r="T831" s="424"/>
      <c r="U831" s="427"/>
      <c r="V831" s="426"/>
      <c r="W831" s="427"/>
      <c r="X831" s="431"/>
      <c r="Y831" s="432"/>
      <c r="Z831" s="429" t="str">
        <f>IFERROR(IF(Z827="","",SUM(Z827:Z830)),0)</f>
        <v/>
      </c>
    </row>
    <row r="832" spans="4:26" ht="18.75" customHeight="1">
      <c r="D832" s="177" t="s">
        <v>243</v>
      </c>
      <c r="E832" s="433"/>
      <c r="F832" s="436"/>
      <c r="G832" s="435"/>
      <c r="H832" s="436"/>
      <c r="I832" s="432"/>
      <c r="J832" s="437" t="str">
        <f>IF(J831="","",J831*12)</f>
        <v/>
      </c>
      <c r="K832" s="1"/>
      <c r="L832" s="433"/>
      <c r="M832" s="436"/>
      <c r="N832" s="435"/>
      <c r="O832" s="436"/>
      <c r="P832" s="432"/>
      <c r="Q832" s="432"/>
      <c r="R832" s="437" t="str">
        <f>IF(R831="","",R831*12)</f>
        <v/>
      </c>
      <c r="T832" s="433"/>
      <c r="U832" s="436"/>
      <c r="V832" s="435"/>
      <c r="W832" s="436"/>
      <c r="X832" s="432"/>
      <c r="Y832" s="432"/>
      <c r="Z832" s="437" t="str">
        <f>IF(Z831="","",Z831*12)</f>
        <v/>
      </c>
    </row>
    <row r="833" spans="4:26" ht="18.75" customHeight="1">
      <c r="D833" s="177" t="s">
        <v>244</v>
      </c>
      <c r="E833" s="433"/>
      <c r="F833" s="436"/>
      <c r="G833" s="435"/>
      <c r="H833" s="436"/>
      <c r="I833" s="432"/>
      <c r="J833" s="437" t="str">
        <f>IFERROR(IF(J832="","",R832-J832),0)</f>
        <v/>
      </c>
      <c r="K833" s="1"/>
      <c r="L833" s="433"/>
      <c r="M833" s="436"/>
      <c r="N833" s="435"/>
      <c r="O833" s="436"/>
      <c r="P833" s="432"/>
      <c r="Q833" s="432"/>
      <c r="R833" s="437" t="str">
        <f>IFERROR(IF(J832="","",R832-J832),0)</f>
        <v/>
      </c>
      <c r="T833" s="433"/>
      <c r="U833" s="436"/>
      <c r="V833" s="435"/>
      <c r="W833" s="436"/>
      <c r="X833" s="432"/>
      <c r="Y833" s="432"/>
      <c r="Z833" s="437" t="str">
        <f>IFERROR(IF(R832="","",Z832-R832),0)</f>
        <v/>
      </c>
    </row>
    <row r="834" spans="4:26" ht="18.75" customHeight="1" thickBot="1">
      <c r="D834" s="180" t="s">
        <v>245</v>
      </c>
      <c r="E834" s="439"/>
      <c r="F834" s="440"/>
      <c r="G834" s="441"/>
      <c r="H834" s="440"/>
      <c r="I834" s="442"/>
      <c r="J834" s="437" t="str">
        <f>IFERROR(IF(J832="","",(R832/J832)-1),0)</f>
        <v/>
      </c>
      <c r="K834" s="1"/>
      <c r="L834" s="439"/>
      <c r="M834" s="440"/>
      <c r="N834" s="441"/>
      <c r="O834" s="440"/>
      <c r="P834" s="445"/>
      <c r="Q834" s="445"/>
      <c r="R834" s="453" t="str">
        <f>IFERROR(IF(J832="","",(R832/J832)-1),0)</f>
        <v/>
      </c>
      <c r="T834" s="439"/>
      <c r="U834" s="440"/>
      <c r="V834" s="441"/>
      <c r="W834" s="440"/>
      <c r="X834" s="445"/>
      <c r="Y834" s="445"/>
      <c r="Z834" s="446" t="str">
        <f>IFERROR(IF(R832="","",(Z832/R832)-1),0)</f>
        <v/>
      </c>
    </row>
    <row r="835" spans="4:26" ht="5.25" customHeight="1" thickBot="1">
      <c r="D835" s="229"/>
      <c r="E835" s="229"/>
      <c r="F835" s="230"/>
      <c r="G835" s="231"/>
      <c r="H835" s="232"/>
      <c r="I835" s="233"/>
      <c r="J835" s="233"/>
      <c r="K835"/>
      <c r="L835" s="233"/>
      <c r="M835" s="233"/>
      <c r="N835" s="233"/>
      <c r="O835" s="233"/>
      <c r="P835" s="233"/>
      <c r="Q835" s="233"/>
      <c r="R835" s="233"/>
      <c r="T835" s="233"/>
      <c r="U835" s="233"/>
      <c r="V835" s="233"/>
      <c r="W835" s="233"/>
      <c r="X835" s="233"/>
      <c r="Y835" s="233"/>
      <c r="Z835" s="233"/>
    </row>
    <row r="836" spans="3:26" ht="50.15" customHeight="1">
      <c r="C836" s="164" t="s">
        <v>307</v>
      </c>
      <c r="D836" s="275" t="s">
        <v>285</v>
      </c>
      <c r="E836" s="165"/>
      <c r="F836" s="272"/>
      <c r="G836" s="166"/>
      <c r="H836" s="167"/>
      <c r="I836" s="168"/>
      <c r="J836" s="169"/>
      <c r="K836"/>
      <c r="L836" s="274" t="s">
        <v>38</v>
      </c>
      <c r="M836" s="170"/>
      <c r="N836" s="274" t="s">
        <v>237</v>
      </c>
      <c r="O836" s="171"/>
      <c r="P836" s="171"/>
      <c r="Q836" s="171"/>
      <c r="R836" s="169"/>
      <c r="T836" s="274" t="s">
        <v>38</v>
      </c>
      <c r="U836" s="170"/>
      <c r="V836" s="274" t="s">
        <v>237</v>
      </c>
      <c r="W836" s="171"/>
      <c r="X836" s="171"/>
      <c r="Y836" s="171"/>
      <c r="Z836" s="169"/>
    </row>
    <row r="837" spans="4:26" ht="18.75" customHeight="1">
      <c r="D837" s="172" t="s">
        <v>238</v>
      </c>
      <c r="E837" s="407"/>
      <c r="F837" s="449"/>
      <c r="G837" s="470" t="str">
        <f t="shared" si="161" ref="G837:G840">IF(F837="","",H837/F837)</f>
        <v/>
      </c>
      <c r="H837" s="449" t="str">
        <f>_xlfn.IFNA(VLOOKUP(F836,BEGIN_CURRENT_VISION:END_CURRENT_VISION,CURRENT_COL_EOContrib,FALSE),"")</f>
        <v/>
      </c>
      <c r="I837" s="409" t="str">
        <f>IFERROR(F837-H837,"")</f>
        <v/>
      </c>
      <c r="J837" s="410" t="str">
        <f>IF(F837="","",H837*E837)</f>
        <v/>
      </c>
      <c r="K837" s="411"/>
      <c r="L837" s="408" t="str" cm="1">
        <f t="array" ca="1" aca="1" ref="L837">_xlfn.IFNA(VLOOKUP(INDIRECT("L"&amp;ROW()-1)&amp;"_"&amp;$D$12,BEGIN_Renew_Vision:END_RENEW_VISION,RENEW_COL_EO,FALSE),"")</f>
        <v/>
      </c>
      <c r="M837" s="412" t="str">
        <f>IF(E837="","",E837)</f>
        <v/>
      </c>
      <c r="N837" s="413"/>
      <c r="O837" s="414"/>
      <c r="P837" s="415" t="str">
        <f>IFERROR(IF($N836="Keep Contribution Same",H837,IF($N836="Enter Percentages",IF(N837="","",N837*L837),IF($N836="Keep Percentage Same",IF(G837="","",G837*L837),IF($N836="Enter Dollar Amount",IF(O837="","",O837),"")))),"")</f>
        <v/>
      </c>
      <c r="Q837" s="408" t="str">
        <f ca="1">IFERROR(L837-P837,"")</f>
        <v/>
      </c>
      <c r="R837" s="410" t="str">
        <f>IFERROR(IF(P837="","",M837*P837),"")</f>
        <v/>
      </c>
      <c r="S837" s="411"/>
      <c r="T837" s="408" t="str" cm="1">
        <f t="array" ca="1" aca="1" ref="T837">_xlfn.IFNA(VLOOKUP(INDIRECT("T"&amp;ROW()-1)&amp;"_"&amp;$D$12,BEGIN_Renew_Vision:END_RENEW_VISION,RENEW_COL_EO,FALSE),"")</f>
        <v/>
      </c>
      <c r="U837" s="412" t="str">
        <f>IF(E837="","",E837)</f>
        <v/>
      </c>
      <c r="V837" s="413"/>
      <c r="W837" s="414"/>
      <c r="X837" s="415" t="str">
        <f>IFERROR(IF($V836="Keep Contribution Same",H837,IF($V836="Enter Percentages",IF(V837="","",V837*T837),IF($V836="Keep Percentage Same",IF(G837="","",G837*T837),IF($V836="Enter Dollar Amount",IF(W837="","",W837),"")))),"")</f>
        <v/>
      </c>
      <c r="Y837" s="408" t="str">
        <f ca="1">IFERROR(T837-X837,"")</f>
        <v/>
      </c>
      <c r="Z837" s="410" t="str">
        <f>IFERROR(IF(X837="","",U837*X837),"")</f>
        <v/>
      </c>
    </row>
    <row r="838" spans="4:26" ht="18.75" customHeight="1">
      <c r="D838" s="172" t="s">
        <v>239</v>
      </c>
      <c r="E838" s="407"/>
      <c r="F838" s="449" t="str">
        <f>_xlfn.IFNA(VLOOKUP(F836,BEGIN_CURRENT_VISION:END_CURRENT_VISION,CURRENT_COL_ES,FALSE),"")</f>
        <v/>
      </c>
      <c r="G838" s="470" t="str">
        <f t="shared" si="161"/>
        <v/>
      </c>
      <c r="H838" s="449" t="str">
        <f>_xlfn.IFNA(VLOOKUP(F836,BEGIN_CURRENT_VISION:END_CURRENT_VISION,CURRENT_COL_ESContrib,FALSE),"")</f>
        <v/>
      </c>
      <c r="I838" s="409" t="str">
        <f t="shared" si="162" ref="I838:I840">IFERROR(F838-H838,"")</f>
        <v/>
      </c>
      <c r="J838" s="410" t="str">
        <f t="shared" si="163" ref="J838:J840">IF(F838="","",H838*E838)</f>
        <v/>
      </c>
      <c r="K838" s="411"/>
      <c r="L838" s="408" t="str" cm="1">
        <f t="array" ca="1" aca="1" ref="L838">_xlfn.IFNA(VLOOKUP(INDIRECT("L"&amp;ROW()-2)&amp;"_"&amp;$D$12,BEGIN_Renew_Vision:END_RENEW_VISION,RENEW_COL_ES,FALSE),"")</f>
        <v/>
      </c>
      <c r="M838" s="412" t="str">
        <f>IF(E838="","",E838)</f>
        <v/>
      </c>
      <c r="N838" s="413"/>
      <c r="O838" s="414"/>
      <c r="P838" s="415" t="str">
        <f>IFERROR(IF($N836="Keep Contribution Same",H838,IF($N836="Enter Percentages",IF(N838="","",N838*L838),IF($N836="Keep Percentage Same",IF(G838="","",G838*L838),IF($N836="Enter Dollar Amount",IF(O838="","",O838),"")))),"")</f>
        <v/>
      </c>
      <c r="Q838" s="408" t="str">
        <f ca="1" t="shared" si="164" ref="Q838:Q840">IFERROR(L838-P838,"")</f>
        <v/>
      </c>
      <c r="R838" s="410" t="str">
        <f>IFERROR(IF(P838="","",M838*P838),"")</f>
        <v/>
      </c>
      <c r="S838" s="411"/>
      <c r="T838" s="408" t="str" cm="1">
        <f t="array" ca="1" aca="1" ref="T838">_xlfn.IFNA(VLOOKUP(INDIRECT("T"&amp;ROW()-2)&amp;"_"&amp;$D$12,BEGIN_Renew_Vision:END_RENEW_VISION,RENEW_COL_ES,FALSE),"")</f>
        <v/>
      </c>
      <c r="U838" s="412" t="str">
        <f t="shared" si="165" ref="U838:U840">IF(E838="","",E838)</f>
        <v/>
      </c>
      <c r="V838" s="413"/>
      <c r="W838" s="414"/>
      <c r="X838" s="415" t="str">
        <f>IFERROR(IF($V836="Keep Contribution Same",H838,IF($V836="Enter Percentages",IF(V838="","",V838*T838),IF($V836="Keep Percentage Same",IF(G838="","",G838*T838),IF($V836="Enter Dollar Amount",IF(W838="","",W838),"")))),"")</f>
        <v/>
      </c>
      <c r="Y838" s="408" t="str">
        <f ca="1" t="shared" si="166" ref="Y838:Y840">IFERROR(T838-X838,"")</f>
        <v/>
      </c>
      <c r="Z838" s="410" t="str">
        <f t="shared" si="167" ref="Z838:Z840">IFERROR(IF(X838="","",U838*X838),"")</f>
        <v/>
      </c>
    </row>
    <row r="839" spans="4:26" ht="18.75" customHeight="1">
      <c r="D839" s="172" t="s">
        <v>240</v>
      </c>
      <c r="E839" s="407"/>
      <c r="F839" s="449" t="str">
        <f>_xlfn.IFNA(VLOOKUP(F836,BEGIN_CURRENT_VISION:END_CURRENT_VISION,CURRENT_COL_EC,FALSE),"")</f>
        <v/>
      </c>
      <c r="G839" s="470" t="str">
        <f t="shared" si="161"/>
        <v/>
      </c>
      <c r="H839" s="449" t="str">
        <f>_xlfn.IFNA(VLOOKUP(F836,BEGIN_CURRENT_VISION:END_CURRENT_VISION,CURRENT_COL_ECContrib,FALSE),"")</f>
        <v/>
      </c>
      <c r="I839" s="409" t="str">
        <f t="shared" si="162"/>
        <v/>
      </c>
      <c r="J839" s="410" t="str">
        <f t="shared" si="163"/>
        <v/>
      </c>
      <c r="K839" s="411"/>
      <c r="L839" s="408" t="str" cm="1">
        <f t="array" ca="1" aca="1" ref="L839">_xlfn.IFNA(VLOOKUP(INDIRECT("L"&amp;ROW()-3)&amp;"_"&amp;$D$12,BEGIN_Renew_Vision:END_RENEW_VISION,RENEW_COL_EC,FALSE),"")</f>
        <v/>
      </c>
      <c r="M839" s="412" t="str">
        <f>IF(E839="","",E839)</f>
        <v/>
      </c>
      <c r="N839" s="413"/>
      <c r="O839" s="414"/>
      <c r="P839" s="415" t="str">
        <f>IFERROR(IF($N836="Keep Contribution Same",H839,IF($N836="Enter Percentages",IF(N839="","",N839*L839),IF($N836="Keep Percentage Same",IF(G839="","",G839*L839),IF($N836="Enter Dollar Amount",IF(O839="","",O839),"")))),"")</f>
        <v/>
      </c>
      <c r="Q839" s="408" t="str">
        <f t="shared" ca="1" si="164"/>
        <v/>
      </c>
      <c r="R839" s="410" t="str">
        <f>IFERROR(IF(P839="","",M839*P839),"")</f>
        <v/>
      </c>
      <c r="S839" s="411"/>
      <c r="T839" s="408" t="str" cm="1">
        <f t="array" ca="1" aca="1" ref="T839">_xlfn.IFNA(VLOOKUP(INDIRECT("T"&amp;ROW()-3)&amp;"_"&amp;$D$12,BEGIN_Renew_Vision:END_RENEW_VISION,RENEW_COL_EC,FALSE),"")</f>
        <v/>
      </c>
      <c r="U839" s="412" t="str">
        <f t="shared" si="165"/>
        <v/>
      </c>
      <c r="V839" s="413"/>
      <c r="W839" s="414"/>
      <c r="X839" s="415" t="str">
        <f>IFERROR(IF($V836="Keep Contribution Same",H839,IF($V836="Enter Percentages",IF(V839="","",V839*T839),IF($V836="Keep Percentage Same",IF(G839="","",G839*T839),IF($V836="Enter Dollar Amount",IF(W839="","",W839),"")))),"")</f>
        <v/>
      </c>
      <c r="Y839" s="408" t="str">
        <f t="shared" ca="1" si="166"/>
        <v/>
      </c>
      <c r="Z839" s="410" t="str">
        <f t="shared" si="167"/>
        <v/>
      </c>
    </row>
    <row r="840" spans="4:26" ht="18.75" customHeight="1" thickBot="1">
      <c r="D840" s="174" t="s">
        <v>241</v>
      </c>
      <c r="E840" s="416"/>
      <c r="F840" s="451" t="str">
        <f>_xlfn.IFNA(VLOOKUP(F836,BEGIN_CURRENT_VISION:END_CURRENT_VISION,CURRENT_COL_FAM,FALSE),"")</f>
        <v/>
      </c>
      <c r="G840" s="471" t="str">
        <f t="shared" si="161"/>
        <v/>
      </c>
      <c r="H840" s="451" t="str">
        <f>_xlfn.IFNA(VLOOKUP(F836,BEGIN_CURRENT_VISION:END_CURRENT_VISION,CURRENT_COL_FAMContrib,FALSE),"")</f>
        <v/>
      </c>
      <c r="I840" s="409" t="str">
        <f t="shared" si="162"/>
        <v/>
      </c>
      <c r="J840" s="410" t="str">
        <f t="shared" si="163"/>
        <v/>
      </c>
      <c r="K840" s="411"/>
      <c r="L840" s="417" t="str" cm="1">
        <f t="array" ca="1" aca="1" ref="L840">_xlfn.IFNA(VLOOKUP(INDIRECT("L"&amp;ROW()-4)&amp;"_"&amp;$D$12,BEGIN_Renew_Vision:END_RENEW_VISION,RENEW_COL_FAM,FALSE),"")</f>
        <v/>
      </c>
      <c r="M840" s="423" t="str">
        <f>IF(E840="","",E840)</f>
        <v/>
      </c>
      <c r="N840" s="420"/>
      <c r="O840" s="421"/>
      <c r="P840" s="422" t="str">
        <f>IFERROR(IF($N836="Keep Contribution Same",H840,IF($N836="Enter Percentages",IF(N840="","",N840*L840),IF($N836="Keep Percentage Same",IF(G840="","",G840*L840),IF($N836="Enter Dollar Amount",IF(O840="","",O840),"")))),"")</f>
        <v/>
      </c>
      <c r="Q840" s="417" t="str">
        <f t="shared" ca="1" si="164"/>
        <v/>
      </c>
      <c r="R840" s="419" t="str">
        <f>IFERROR(IF(P840="","",M840*P840),"")</f>
        <v/>
      </c>
      <c r="S840" s="411"/>
      <c r="T840" s="417" t="str" cm="1">
        <f t="array" ca="1" aca="1" ref="T840">_xlfn.IFNA(VLOOKUP(INDIRECT("T"&amp;ROW()-4)&amp;"_"&amp;$D$12,BEGIN_Renew_Vision:END_RENEW_VISION,RENEW_COL_FAM,FALSE),"")</f>
        <v/>
      </c>
      <c r="U840" s="423" t="str">
        <f t="shared" si="165"/>
        <v/>
      </c>
      <c r="V840" s="420"/>
      <c r="W840" s="421"/>
      <c r="X840" s="422" t="str">
        <f>IFERROR(IF($V836="Keep Contribution Same",H840,IF($V836="Enter Percentages",IF(V840="","",V840*T840),IF($V836="Keep Percentage Same",IF(G840="","",G840*T840),IF($V836="Enter Dollar Amount",IF(W840="","",W840),"")))),"")</f>
        <v/>
      </c>
      <c r="Y840" s="417" t="str">
        <f t="shared" ca="1" si="166"/>
        <v/>
      </c>
      <c r="Z840" s="419" t="str">
        <f t="shared" si="167"/>
        <v/>
      </c>
    </row>
    <row r="841" spans="4:26" ht="18.75" customHeight="1" thickTop="1">
      <c r="D841" s="175" t="s">
        <v>242</v>
      </c>
      <c r="E841" s="424"/>
      <c r="F841" s="427"/>
      <c r="G841" s="426"/>
      <c r="H841" s="427"/>
      <c r="I841" s="428"/>
      <c r="J841" s="429" t="str">
        <f>IFERROR(IF(J837="","",SUM(J837:J840)),0)</f>
        <v/>
      </c>
      <c r="K841" s="1"/>
      <c r="L841" s="424"/>
      <c r="M841" s="427"/>
      <c r="N841" s="426"/>
      <c r="O841" s="427"/>
      <c r="P841" s="431"/>
      <c r="Q841" s="432"/>
      <c r="R841" s="429" t="str">
        <f>IFERROR(IF(R837="","",SUM(R837:R840)),0)</f>
        <v/>
      </c>
      <c r="T841" s="424"/>
      <c r="U841" s="427"/>
      <c r="V841" s="426"/>
      <c r="W841" s="427"/>
      <c r="X841" s="431"/>
      <c r="Y841" s="432"/>
      <c r="Z841" s="429" t="str">
        <f>IFERROR(IF(Z837="","",SUM(Z837:Z840)),0)</f>
        <v/>
      </c>
    </row>
    <row r="842" spans="4:26" ht="18.75" customHeight="1">
      <c r="D842" s="177" t="s">
        <v>243</v>
      </c>
      <c r="E842" s="433"/>
      <c r="F842" s="436"/>
      <c r="G842" s="435"/>
      <c r="H842" s="436"/>
      <c r="I842" s="432"/>
      <c r="J842" s="437" t="str">
        <f>IF(J841="","",J841*12)</f>
        <v/>
      </c>
      <c r="K842" s="1"/>
      <c r="L842" s="433"/>
      <c r="M842" s="436"/>
      <c r="N842" s="435"/>
      <c r="O842" s="436"/>
      <c r="P842" s="432"/>
      <c r="Q842" s="432"/>
      <c r="R842" s="437" t="str">
        <f>IF(R841="","",R841*12)</f>
        <v/>
      </c>
      <c r="T842" s="433"/>
      <c r="U842" s="436"/>
      <c r="V842" s="435"/>
      <c r="W842" s="436"/>
      <c r="X842" s="432"/>
      <c r="Y842" s="432"/>
      <c r="Z842" s="437" t="str">
        <f>IF(Z841="","",Z841*12)</f>
        <v/>
      </c>
    </row>
    <row r="843" spans="4:26" ht="18.75" customHeight="1">
      <c r="D843" s="177" t="s">
        <v>244</v>
      </c>
      <c r="E843" s="433"/>
      <c r="F843" s="436"/>
      <c r="G843" s="435"/>
      <c r="H843" s="436"/>
      <c r="I843" s="432"/>
      <c r="J843" s="437" t="str">
        <f>IFERROR(IF(J842="","",R842-J842),0)</f>
        <v/>
      </c>
      <c r="K843" s="1"/>
      <c r="L843" s="433"/>
      <c r="M843" s="436"/>
      <c r="N843" s="435"/>
      <c r="O843" s="436"/>
      <c r="P843" s="432"/>
      <c r="Q843" s="432"/>
      <c r="R843" s="437" t="str">
        <f>IFERROR(IF(J842="","",R842-J842),0)</f>
        <v/>
      </c>
      <c r="T843" s="433"/>
      <c r="U843" s="436"/>
      <c r="V843" s="435"/>
      <c r="W843" s="436"/>
      <c r="X843" s="432"/>
      <c r="Y843" s="432"/>
      <c r="Z843" s="437" t="str">
        <f>IFERROR(IF(R842="","",Z842-R842),0)</f>
        <v/>
      </c>
    </row>
    <row r="844" spans="4:26" ht="18.75" customHeight="1" thickBot="1">
      <c r="D844" s="180" t="s">
        <v>245</v>
      </c>
      <c r="E844" s="439"/>
      <c r="F844" s="440"/>
      <c r="G844" s="441"/>
      <c r="H844" s="440"/>
      <c r="I844" s="442"/>
      <c r="J844" s="437" t="str">
        <f>IFERROR(IF(J842="","",(R842/J842)-1),0)</f>
        <v/>
      </c>
      <c r="K844" s="1"/>
      <c r="L844" s="439"/>
      <c r="M844" s="440"/>
      <c r="N844" s="441"/>
      <c r="O844" s="440"/>
      <c r="P844" s="445"/>
      <c r="Q844" s="445"/>
      <c r="R844" s="453" t="str">
        <f>IFERROR(IF(J842="","",(R842/J842)-1),0)</f>
        <v/>
      </c>
      <c r="T844" s="439"/>
      <c r="U844" s="440"/>
      <c r="V844" s="441"/>
      <c r="W844" s="440"/>
      <c r="X844" s="445"/>
      <c r="Y844" s="445"/>
      <c r="Z844" s="446" t="str">
        <f>IFERROR(IF(R842="","",(Z842/R842)-1),0)</f>
        <v/>
      </c>
    </row>
    <row r="845" spans="4:26" ht="5.25" customHeight="1" thickBot="1">
      <c r="D845" s="229"/>
      <c r="E845" s="229"/>
      <c r="F845" s="230"/>
      <c r="G845" s="231"/>
      <c r="H845" s="232"/>
      <c r="I845" s="233"/>
      <c r="J845" s="233"/>
      <c r="K845"/>
      <c r="L845" s="233"/>
      <c r="M845" s="233"/>
      <c r="N845" s="233"/>
      <c r="O845" s="233"/>
      <c r="P845" s="233"/>
      <c r="Q845" s="233"/>
      <c r="R845" s="233"/>
      <c r="T845" s="233"/>
      <c r="U845" s="233"/>
      <c r="V845" s="233"/>
      <c r="W845" s="233"/>
      <c r="X845" s="233"/>
      <c r="Y845" s="233"/>
      <c r="Z845" s="233"/>
    </row>
    <row r="846" spans="3:26" ht="50.15" customHeight="1">
      <c r="C846" s="164" t="s">
        <v>308</v>
      </c>
      <c r="D846" s="275" t="s">
        <v>285</v>
      </c>
      <c r="E846" s="165"/>
      <c r="F846" s="272"/>
      <c r="G846" s="166"/>
      <c r="H846" s="167"/>
      <c r="I846" s="168"/>
      <c r="J846" s="169"/>
      <c r="K846"/>
      <c r="L846" s="274" t="s">
        <v>38</v>
      </c>
      <c r="M846" s="170"/>
      <c r="N846" s="274" t="s">
        <v>237</v>
      </c>
      <c r="O846" s="171"/>
      <c r="P846" s="171"/>
      <c r="Q846" s="171"/>
      <c r="R846" s="169"/>
      <c r="T846" s="274" t="s">
        <v>38</v>
      </c>
      <c r="U846" s="170"/>
      <c r="V846" s="274" t="s">
        <v>237</v>
      </c>
      <c r="W846" s="171"/>
      <c r="X846" s="171"/>
      <c r="Y846" s="171"/>
      <c r="Z846" s="169"/>
    </row>
    <row r="847" spans="4:26" ht="18.75" customHeight="1">
      <c r="D847" s="172" t="s">
        <v>238</v>
      </c>
      <c r="E847" s="407"/>
      <c r="F847" s="449"/>
      <c r="G847" s="470" t="str">
        <f t="shared" si="168" ref="G847:G850">IF(F847="","",H847/F847)</f>
        <v/>
      </c>
      <c r="H847" s="449" t="str">
        <f>_xlfn.IFNA(VLOOKUP(F846,BEGIN_CURRENT_VISION:END_CURRENT_VISION,CURRENT_COL_EOContrib,FALSE),"")</f>
        <v/>
      </c>
      <c r="I847" s="409" t="str">
        <f>IFERROR(F847-H847,"")</f>
        <v/>
      </c>
      <c r="J847" s="410" t="str">
        <f>IF(F847="","",H847*E847)</f>
        <v/>
      </c>
      <c r="K847" s="411"/>
      <c r="L847" s="408" t="str" cm="1">
        <f t="array" ca="1" aca="1" ref="L847">_xlfn.IFNA(VLOOKUP(INDIRECT("L"&amp;ROW()-1)&amp;"_"&amp;$D$12,BEGIN_Renew_Vision:END_RENEW_VISION,RENEW_COL_EO,FALSE),"")</f>
        <v/>
      </c>
      <c r="M847" s="412" t="str">
        <f>IF(E847="","",E847)</f>
        <v/>
      </c>
      <c r="N847" s="413"/>
      <c r="O847" s="414"/>
      <c r="P847" s="415" t="str">
        <f>IFERROR(IF($N846="Keep Contribution Same",H847,IF($N846="Enter Percentages",IF(N847="","",N847*L847),IF($N846="Keep Percentage Same",IF(G847="","",G847*L847),IF($N846="Enter Dollar Amount",IF(O847="","",O847),"")))),"")</f>
        <v/>
      </c>
      <c r="Q847" s="408" t="str">
        <f ca="1">IFERROR(L847-P847,"")</f>
        <v/>
      </c>
      <c r="R847" s="410" t="str">
        <f>IFERROR(IF(P847="","",M847*P847),"")</f>
        <v/>
      </c>
      <c r="S847" s="411"/>
      <c r="T847" s="408" t="str" cm="1">
        <f t="array" ca="1" aca="1" ref="T847">_xlfn.IFNA(VLOOKUP(INDIRECT("T"&amp;ROW()-1)&amp;"_"&amp;$D$12,BEGIN_Renew_Vision:END_RENEW_VISION,RENEW_COL_EO,FALSE),"")</f>
        <v/>
      </c>
      <c r="U847" s="412" t="str">
        <f>IF(E847="","",E847)</f>
        <v/>
      </c>
      <c r="V847" s="413"/>
      <c r="W847" s="414"/>
      <c r="X847" s="415" t="str">
        <f>IFERROR(IF($V846="Keep Contribution Same",H847,IF($V846="Enter Percentages",IF(V847="","",V847*T847),IF($V846="Keep Percentage Same",IF(G847="","",G847*T847),IF($V846="Enter Dollar Amount",IF(W847="","",W847),"")))),"")</f>
        <v/>
      </c>
      <c r="Y847" s="408" t="str">
        <f ca="1">IFERROR(T847-X847,"")</f>
        <v/>
      </c>
      <c r="Z847" s="410" t="str">
        <f>IFERROR(IF(X847="","",U847*X847),"")</f>
        <v/>
      </c>
    </row>
    <row r="848" spans="4:26" ht="18.75" customHeight="1">
      <c r="D848" s="172" t="s">
        <v>239</v>
      </c>
      <c r="E848" s="407"/>
      <c r="F848" s="449" t="str">
        <f>_xlfn.IFNA(VLOOKUP(F846,BEGIN_CURRENT_VISION:END_CURRENT_VISION,CURRENT_COL_ES,FALSE),"")</f>
        <v/>
      </c>
      <c r="G848" s="470" t="str">
        <f t="shared" si="168"/>
        <v/>
      </c>
      <c r="H848" s="449" t="str">
        <f>_xlfn.IFNA(VLOOKUP(F846,BEGIN_CURRENT_VISION:END_CURRENT_VISION,CURRENT_COL_ESContrib,FALSE),"")</f>
        <v/>
      </c>
      <c r="I848" s="409" t="str">
        <f t="shared" si="169" ref="I848:I850">IFERROR(F848-H848,"")</f>
        <v/>
      </c>
      <c r="J848" s="410" t="str">
        <f t="shared" si="170" ref="J848:J850">IF(F848="","",H848*E848)</f>
        <v/>
      </c>
      <c r="K848" s="411"/>
      <c r="L848" s="408" t="str" cm="1">
        <f t="array" ca="1" aca="1" ref="L848">_xlfn.IFNA(VLOOKUP(INDIRECT("L"&amp;ROW()-2)&amp;"_"&amp;$D$12,BEGIN_Renew_Vision:END_RENEW_VISION,RENEW_COL_ES,FALSE),"")</f>
        <v/>
      </c>
      <c r="M848" s="412" t="str">
        <f>IF(E848="","",E848)</f>
        <v/>
      </c>
      <c r="N848" s="413"/>
      <c r="O848" s="414"/>
      <c r="P848" s="415" t="str">
        <f>IFERROR(IF($N846="Keep Contribution Same",H848,IF($N846="Enter Percentages",IF(N848="","",N848*L848),IF($N846="Keep Percentage Same",IF(G848="","",G848*L848),IF($N846="Enter Dollar Amount",IF(O848="","",O848),"")))),"")</f>
        <v/>
      </c>
      <c r="Q848" s="408" t="str">
        <f ca="1" t="shared" si="171" ref="Q848:Q850">IFERROR(L848-P848,"")</f>
        <v/>
      </c>
      <c r="R848" s="410" t="str">
        <f>IFERROR(IF(P848="","",M848*P848),"")</f>
        <v/>
      </c>
      <c r="S848" s="411"/>
      <c r="T848" s="408" t="str" cm="1">
        <f t="array" ca="1" aca="1" ref="T848">_xlfn.IFNA(VLOOKUP(INDIRECT("T"&amp;ROW()-2)&amp;"_"&amp;$D$12,BEGIN_Renew_Vision:END_RENEW_VISION,RENEW_COL_ES,FALSE),"")</f>
        <v/>
      </c>
      <c r="U848" s="412" t="str">
        <f t="shared" si="172" ref="U848:U850">IF(E848="","",E848)</f>
        <v/>
      </c>
      <c r="V848" s="413"/>
      <c r="W848" s="414"/>
      <c r="X848" s="415" t="str">
        <f>IFERROR(IF($V846="Keep Contribution Same",H848,IF($V846="Enter Percentages",IF(V848="","",V848*T848),IF($V846="Keep Percentage Same",IF(G848="","",G848*T848),IF($V846="Enter Dollar Amount",IF(W848="","",W848),"")))),"")</f>
        <v/>
      </c>
      <c r="Y848" s="408" t="str">
        <f ca="1" t="shared" si="173" ref="Y848:Y850">IFERROR(T848-X848,"")</f>
        <v/>
      </c>
      <c r="Z848" s="410" t="str">
        <f t="shared" si="174" ref="Z848:Z850">IFERROR(IF(X848="","",U848*X848),"")</f>
        <v/>
      </c>
    </row>
    <row r="849" spans="4:26" ht="18.75" customHeight="1">
      <c r="D849" s="172" t="s">
        <v>240</v>
      </c>
      <c r="E849" s="407"/>
      <c r="F849" s="449" t="str">
        <f>_xlfn.IFNA(VLOOKUP(F846,BEGIN_CURRENT_VISION:END_CURRENT_VISION,CURRENT_COL_EC,FALSE),"")</f>
        <v/>
      </c>
      <c r="G849" s="470" t="str">
        <f t="shared" si="168"/>
        <v/>
      </c>
      <c r="H849" s="449" t="str">
        <f>_xlfn.IFNA(VLOOKUP(F846,BEGIN_CURRENT_VISION:END_CURRENT_VISION,CURRENT_COL_ECContrib,FALSE),"")</f>
        <v/>
      </c>
      <c r="I849" s="409" t="str">
        <f t="shared" si="169"/>
        <v/>
      </c>
      <c r="J849" s="410" t="str">
        <f t="shared" si="170"/>
        <v/>
      </c>
      <c r="K849" s="411"/>
      <c r="L849" s="408" t="str" cm="1">
        <f t="array" ca="1" aca="1" ref="L849">_xlfn.IFNA(VLOOKUP(INDIRECT("L"&amp;ROW()-3)&amp;"_"&amp;$D$12,BEGIN_Renew_Vision:END_RENEW_VISION,RENEW_COL_EC,FALSE),"")</f>
        <v/>
      </c>
      <c r="M849" s="412" t="str">
        <f>IF(E849="","",E849)</f>
        <v/>
      </c>
      <c r="N849" s="413"/>
      <c r="O849" s="414"/>
      <c r="P849" s="415" t="str">
        <f>IFERROR(IF($N846="Keep Contribution Same",H849,IF($N846="Enter Percentages",IF(N849="","",N849*L849),IF($N846="Keep Percentage Same",IF(G849="","",G849*L849),IF($N846="Enter Dollar Amount",IF(O849="","",O849),"")))),"")</f>
        <v/>
      </c>
      <c r="Q849" s="408" t="str">
        <f t="shared" ca="1" si="171"/>
        <v/>
      </c>
      <c r="R849" s="410" t="str">
        <f>IFERROR(IF(P849="","",M849*P849),"")</f>
        <v/>
      </c>
      <c r="S849" s="411"/>
      <c r="T849" s="408" t="str" cm="1">
        <f t="array" ca="1" aca="1" ref="T849">_xlfn.IFNA(VLOOKUP(INDIRECT("T"&amp;ROW()-3)&amp;"_"&amp;$D$12,BEGIN_Renew_Vision:END_RENEW_VISION,RENEW_COL_EC,FALSE),"")</f>
        <v/>
      </c>
      <c r="U849" s="412" t="str">
        <f t="shared" si="172"/>
        <v/>
      </c>
      <c r="V849" s="413"/>
      <c r="W849" s="414"/>
      <c r="X849" s="415" t="str">
        <f>IFERROR(IF($V846="Keep Contribution Same",H849,IF($V846="Enter Percentages",IF(V849="","",V849*T849),IF($V846="Keep Percentage Same",IF(G849="","",G849*T849),IF($V846="Enter Dollar Amount",IF(W849="","",W849),"")))),"")</f>
        <v/>
      </c>
      <c r="Y849" s="408" t="str">
        <f t="shared" ca="1" si="173"/>
        <v/>
      </c>
      <c r="Z849" s="410" t="str">
        <f t="shared" si="174"/>
        <v/>
      </c>
    </row>
    <row r="850" spans="4:26" ht="18.75" customHeight="1" thickBot="1">
      <c r="D850" s="174" t="s">
        <v>241</v>
      </c>
      <c r="E850" s="416"/>
      <c r="F850" s="451" t="str">
        <f>_xlfn.IFNA(VLOOKUP(F846,BEGIN_CURRENT_VISION:END_CURRENT_VISION,CURRENT_COL_FAM,FALSE),"")</f>
        <v/>
      </c>
      <c r="G850" s="471" t="str">
        <f t="shared" si="168"/>
        <v/>
      </c>
      <c r="H850" s="451" t="str">
        <f>_xlfn.IFNA(VLOOKUP(F846,BEGIN_CURRENT_VISION:END_CURRENT_VISION,CURRENT_COL_FAMContrib,FALSE),"")</f>
        <v/>
      </c>
      <c r="I850" s="409" t="str">
        <f t="shared" si="169"/>
        <v/>
      </c>
      <c r="J850" s="410" t="str">
        <f t="shared" si="170"/>
        <v/>
      </c>
      <c r="K850" s="411"/>
      <c r="L850" s="417" t="str" cm="1">
        <f t="array" ca="1" aca="1" ref="L850">_xlfn.IFNA(VLOOKUP(INDIRECT("L"&amp;ROW()-4)&amp;"_"&amp;$D$12,BEGIN_Renew_Vision:END_RENEW_VISION,RENEW_COL_FAM,FALSE),"")</f>
        <v/>
      </c>
      <c r="M850" s="423" t="str">
        <f>IF(E850="","",E850)</f>
        <v/>
      </c>
      <c r="N850" s="420"/>
      <c r="O850" s="421"/>
      <c r="P850" s="422" t="str">
        <f>IFERROR(IF($N846="Keep Contribution Same",H850,IF($N846="Enter Percentages",IF(N850="","",N850*L850),IF($N846="Keep Percentage Same",IF(G850="","",G850*L850),IF($N846="Enter Dollar Amount",IF(O850="","",O850),"")))),"")</f>
        <v/>
      </c>
      <c r="Q850" s="417" t="str">
        <f t="shared" ca="1" si="171"/>
        <v/>
      </c>
      <c r="R850" s="419" t="str">
        <f>IFERROR(IF(P850="","",M850*P850),"")</f>
        <v/>
      </c>
      <c r="S850" s="411"/>
      <c r="T850" s="417" t="str" cm="1">
        <f t="array" ca="1" aca="1" ref="T850">_xlfn.IFNA(VLOOKUP(INDIRECT("T"&amp;ROW()-4)&amp;"_"&amp;$D$12,BEGIN_Renew_Vision:END_RENEW_VISION,RENEW_COL_FAM,FALSE),"")</f>
        <v/>
      </c>
      <c r="U850" s="423" t="str">
        <f t="shared" si="172"/>
        <v/>
      </c>
      <c r="V850" s="420"/>
      <c r="W850" s="421"/>
      <c r="X850" s="422" t="str">
        <f>IFERROR(IF($V846="Keep Contribution Same",H850,IF($V846="Enter Percentages",IF(V850="","",V850*T850),IF($V846="Keep Percentage Same",IF(G850="","",G850*T850),IF($V846="Enter Dollar Amount",IF(W850="","",W850),"")))),"")</f>
        <v/>
      </c>
      <c r="Y850" s="417" t="str">
        <f t="shared" ca="1" si="173"/>
        <v/>
      </c>
      <c r="Z850" s="419" t="str">
        <f t="shared" si="174"/>
        <v/>
      </c>
    </row>
    <row r="851" spans="4:26" ht="18.75" customHeight="1" thickTop="1">
      <c r="D851" s="175" t="s">
        <v>242</v>
      </c>
      <c r="E851" s="424"/>
      <c r="F851" s="427"/>
      <c r="G851" s="426"/>
      <c r="H851" s="427"/>
      <c r="I851" s="428"/>
      <c r="J851" s="429" t="str">
        <f>IFERROR(IF(J847="","",SUM(J847:J850)),0)</f>
        <v/>
      </c>
      <c r="K851" s="1"/>
      <c r="L851" s="424"/>
      <c r="M851" s="427"/>
      <c r="N851" s="426"/>
      <c r="O851" s="427"/>
      <c r="P851" s="431"/>
      <c r="Q851" s="432"/>
      <c r="R851" s="429" t="str">
        <f>IFERROR(IF(R847="","",SUM(R847:R850)),0)</f>
        <v/>
      </c>
      <c r="T851" s="424"/>
      <c r="U851" s="427"/>
      <c r="V851" s="426"/>
      <c r="W851" s="427"/>
      <c r="X851" s="431"/>
      <c r="Y851" s="432"/>
      <c r="Z851" s="429" t="str">
        <f>IFERROR(IF(Z847="","",SUM(Z847:Z850)),0)</f>
        <v/>
      </c>
    </row>
    <row r="852" spans="4:26" ht="18.75" customHeight="1">
      <c r="D852" s="177" t="s">
        <v>243</v>
      </c>
      <c r="E852" s="433"/>
      <c r="F852" s="436"/>
      <c r="G852" s="435"/>
      <c r="H852" s="436"/>
      <c r="I852" s="432"/>
      <c r="J852" s="437" t="str">
        <f>IF(J851="","",J851*12)</f>
        <v/>
      </c>
      <c r="K852" s="1"/>
      <c r="L852" s="433"/>
      <c r="M852" s="436"/>
      <c r="N852" s="435"/>
      <c r="O852" s="436"/>
      <c r="P852" s="432"/>
      <c r="Q852" s="432"/>
      <c r="R852" s="437" t="str">
        <f>IF(R851="","",R851*12)</f>
        <v/>
      </c>
      <c r="T852" s="433"/>
      <c r="U852" s="436"/>
      <c r="V852" s="435"/>
      <c r="W852" s="436"/>
      <c r="X852" s="432"/>
      <c r="Y852" s="432"/>
      <c r="Z852" s="437" t="str">
        <f>IF(Z851="","",Z851*12)</f>
        <v/>
      </c>
    </row>
    <row r="853" spans="4:26" ht="18.75" customHeight="1">
      <c r="D853" s="177" t="s">
        <v>244</v>
      </c>
      <c r="E853" s="433"/>
      <c r="F853" s="436"/>
      <c r="G853" s="435"/>
      <c r="H853" s="436"/>
      <c r="I853" s="432"/>
      <c r="J853" s="437" t="str">
        <f>IFERROR(IF(J852="","",R852-J852),0)</f>
        <v/>
      </c>
      <c r="K853" s="1"/>
      <c r="L853" s="433"/>
      <c r="M853" s="436"/>
      <c r="N853" s="435"/>
      <c r="O853" s="436"/>
      <c r="P853" s="432"/>
      <c r="Q853" s="432"/>
      <c r="R853" s="437" t="str">
        <f>IFERROR(IF(J852="","",R852-J852),0)</f>
        <v/>
      </c>
      <c r="T853" s="433"/>
      <c r="U853" s="436"/>
      <c r="V853" s="435"/>
      <c r="W853" s="436"/>
      <c r="X853" s="432"/>
      <c r="Y853" s="432"/>
      <c r="Z853" s="437" t="str">
        <f>IFERROR(IF(R852="","",Z852-R852),0)</f>
        <v/>
      </c>
    </row>
    <row r="854" spans="4:26" ht="18.75" customHeight="1" thickBot="1">
      <c r="D854" s="180" t="s">
        <v>245</v>
      </c>
      <c r="E854" s="439"/>
      <c r="F854" s="440"/>
      <c r="G854" s="441"/>
      <c r="H854" s="440"/>
      <c r="I854" s="442"/>
      <c r="J854" s="437" t="str">
        <f>IFERROR(IF(J852="","",(R852/J852)-1),0)</f>
        <v/>
      </c>
      <c r="K854" s="1"/>
      <c r="L854" s="439"/>
      <c r="M854" s="440"/>
      <c r="N854" s="441"/>
      <c r="O854" s="440"/>
      <c r="P854" s="445"/>
      <c r="Q854" s="445"/>
      <c r="R854" s="453" t="str">
        <f>IFERROR(IF(J852="","",(R852/J852)-1),0)</f>
        <v/>
      </c>
      <c r="T854" s="439"/>
      <c r="U854" s="440"/>
      <c r="V854" s="441"/>
      <c r="W854" s="440"/>
      <c r="X854" s="445"/>
      <c r="Y854" s="445"/>
      <c r="Z854" s="446" t="str">
        <f>IFERROR(IF(R852="","",(Z852/R852)-1),0)</f>
        <v/>
      </c>
    </row>
    <row r="855" spans="4:26" ht="5.25" customHeight="1" thickBot="1">
      <c r="D855" s="229"/>
      <c r="E855" s="229"/>
      <c r="F855" s="230"/>
      <c r="G855" s="231"/>
      <c r="H855" s="232"/>
      <c r="I855" s="233"/>
      <c r="J855" s="233"/>
      <c r="K855"/>
      <c r="L855" s="233"/>
      <c r="M855" s="233"/>
      <c r="N855" s="233"/>
      <c r="O855" s="233"/>
      <c r="P855" s="233"/>
      <c r="Q855" s="233"/>
      <c r="R855" s="233"/>
      <c r="T855" s="233"/>
      <c r="U855" s="233"/>
      <c r="V855" s="233"/>
      <c r="W855" s="233"/>
      <c r="X855" s="233"/>
      <c r="Y855" s="233"/>
      <c r="Z855" s="233"/>
    </row>
    <row r="856" spans="3:26" ht="50.15" customHeight="1">
      <c r="C856" s="164" t="s">
        <v>309</v>
      </c>
      <c r="D856" s="275" t="s">
        <v>285</v>
      </c>
      <c r="E856" s="165"/>
      <c r="F856" s="272"/>
      <c r="G856" s="166"/>
      <c r="H856" s="167"/>
      <c r="I856" s="168"/>
      <c r="J856" s="169"/>
      <c r="K856"/>
      <c r="L856" s="274" t="s">
        <v>38</v>
      </c>
      <c r="M856" s="170"/>
      <c r="N856" s="274" t="s">
        <v>237</v>
      </c>
      <c r="O856" s="171"/>
      <c r="P856" s="171"/>
      <c r="Q856" s="171"/>
      <c r="R856" s="169"/>
      <c r="T856" s="274" t="s">
        <v>38</v>
      </c>
      <c r="U856" s="170"/>
      <c r="V856" s="274" t="s">
        <v>237</v>
      </c>
      <c r="W856" s="171"/>
      <c r="X856" s="171"/>
      <c r="Y856" s="171"/>
      <c r="Z856" s="169"/>
    </row>
    <row r="857" spans="4:26" ht="18.75" customHeight="1">
      <c r="D857" s="172" t="s">
        <v>238</v>
      </c>
      <c r="E857" s="407"/>
      <c r="F857" s="449"/>
      <c r="G857" s="470" t="str">
        <f t="shared" si="175" ref="G857:G860">IF(F857="","",H857/F857)</f>
        <v/>
      </c>
      <c r="H857" s="449" t="str">
        <f>_xlfn.IFNA(VLOOKUP(F856,BEGIN_CURRENT_VISION:END_CURRENT_VISION,CURRENT_COL_EOContrib,FALSE),"")</f>
        <v/>
      </c>
      <c r="I857" s="409" t="str">
        <f>IFERROR(F857-H857,"")</f>
        <v/>
      </c>
      <c r="J857" s="410" t="str">
        <f>IF(F857="","",H857*E857)</f>
        <v/>
      </c>
      <c r="K857" s="411"/>
      <c r="L857" s="408" t="str" cm="1">
        <f t="array" ca="1" aca="1" ref="L857">_xlfn.IFNA(VLOOKUP(INDIRECT("L"&amp;ROW()-1)&amp;"_"&amp;$D$12,BEGIN_Renew_Vision:END_RENEW_VISION,RENEW_COL_EO,FALSE),"")</f>
        <v/>
      </c>
      <c r="M857" s="412" t="str">
        <f>IF(E857="","",E857)</f>
        <v/>
      </c>
      <c r="N857" s="413"/>
      <c r="O857" s="414"/>
      <c r="P857" s="415" t="str">
        <f>IFERROR(IF($N856="Keep Contribution Same",H857,IF($N856="Enter Percentages",IF(N857="","",N857*L857),IF($N856="Keep Percentage Same",IF(G857="","",G857*L857),IF($N856="Enter Dollar Amount",IF(O857="","",O857),"")))),"")</f>
        <v/>
      </c>
      <c r="Q857" s="408" t="str">
        <f ca="1">IFERROR(L857-P857,"")</f>
        <v/>
      </c>
      <c r="R857" s="410" t="str">
        <f>IFERROR(IF(P857="","",M857*P857),"")</f>
        <v/>
      </c>
      <c r="S857" s="411"/>
      <c r="T857" s="408" t="str" cm="1">
        <f t="array" ca="1" aca="1" ref="T857">_xlfn.IFNA(VLOOKUP(INDIRECT("T"&amp;ROW()-1)&amp;"_"&amp;$D$12,BEGIN_Renew_Vision:END_RENEW_VISION,RENEW_COL_EO,FALSE),"")</f>
        <v/>
      </c>
      <c r="U857" s="412" t="str">
        <f>IF(E857="","",E857)</f>
        <v/>
      </c>
      <c r="V857" s="413"/>
      <c r="W857" s="414"/>
      <c r="X857" s="415" t="str">
        <f>IFERROR(IF($V856="Keep Contribution Same",H857,IF($V856="Enter Percentages",IF(V857="","",V857*T857),IF($V856="Keep Percentage Same",IF(G857="","",G857*T857),IF($V856="Enter Dollar Amount",IF(W857="","",W857),"")))),"")</f>
        <v/>
      </c>
      <c r="Y857" s="408" t="str">
        <f ca="1">IFERROR(T857-X857,"")</f>
        <v/>
      </c>
      <c r="Z857" s="410" t="str">
        <f>IFERROR(IF(X857="","",U857*X857),"")</f>
        <v/>
      </c>
    </row>
    <row r="858" spans="4:26" ht="18.75" customHeight="1">
      <c r="D858" s="172" t="s">
        <v>239</v>
      </c>
      <c r="E858" s="407"/>
      <c r="F858" s="449" t="str">
        <f>_xlfn.IFNA(VLOOKUP(F856,BEGIN_CURRENT_VISION:END_CURRENT_VISION,CURRENT_COL_ES,FALSE),"")</f>
        <v/>
      </c>
      <c r="G858" s="470" t="str">
        <f t="shared" si="175"/>
        <v/>
      </c>
      <c r="H858" s="449" t="str">
        <f>_xlfn.IFNA(VLOOKUP(F856,BEGIN_CURRENT_VISION:END_CURRENT_VISION,CURRENT_COL_ESContrib,FALSE),"")</f>
        <v/>
      </c>
      <c r="I858" s="409" t="str">
        <f t="shared" si="176" ref="I858:I860">IFERROR(F858-H858,"")</f>
        <v/>
      </c>
      <c r="J858" s="410" t="str">
        <f t="shared" si="177" ref="J858:J860">IF(F858="","",H858*E858)</f>
        <v/>
      </c>
      <c r="K858" s="411"/>
      <c r="L858" s="408" t="str" cm="1">
        <f t="array" ca="1" aca="1" ref="L858">_xlfn.IFNA(VLOOKUP(INDIRECT("L"&amp;ROW()-2)&amp;"_"&amp;$D$12,BEGIN_Renew_Vision:END_RENEW_VISION,RENEW_COL_ES,FALSE),"")</f>
        <v/>
      </c>
      <c r="M858" s="412" t="str">
        <f>IF(E858="","",E858)</f>
        <v/>
      </c>
      <c r="N858" s="413"/>
      <c r="O858" s="414"/>
      <c r="P858" s="415" t="str">
        <f>IFERROR(IF($N856="Keep Contribution Same",H858,IF($N856="Enter Percentages",IF(N858="","",N858*L858),IF($N856="Keep Percentage Same",IF(G858="","",G858*L858),IF($N856="Enter Dollar Amount",IF(O858="","",O858),"")))),"")</f>
        <v/>
      </c>
      <c r="Q858" s="408" t="str">
        <f ca="1" t="shared" si="178" ref="Q858:Q860">IFERROR(L858-P858,"")</f>
        <v/>
      </c>
      <c r="R858" s="410" t="str">
        <f>IFERROR(IF(P858="","",M858*P858),"")</f>
        <v/>
      </c>
      <c r="S858" s="411"/>
      <c r="T858" s="408" t="str" cm="1">
        <f t="array" ca="1" aca="1" ref="T858">_xlfn.IFNA(VLOOKUP(INDIRECT("T"&amp;ROW()-2)&amp;"_"&amp;$D$12,BEGIN_Renew_Vision:END_RENEW_VISION,RENEW_COL_ES,FALSE),"")</f>
        <v/>
      </c>
      <c r="U858" s="412" t="str">
        <f t="shared" si="179" ref="U858:U860">IF(E858="","",E858)</f>
        <v/>
      </c>
      <c r="V858" s="413"/>
      <c r="W858" s="414"/>
      <c r="X858" s="415" t="str">
        <f>IFERROR(IF($V856="Keep Contribution Same",H858,IF($V856="Enter Percentages",IF(V858="","",V858*T858),IF($V856="Keep Percentage Same",IF(G858="","",G858*T858),IF($V856="Enter Dollar Amount",IF(W858="","",W858),"")))),"")</f>
        <v/>
      </c>
      <c r="Y858" s="408" t="str">
        <f ca="1" t="shared" si="180" ref="Y858:Y860">IFERROR(T858-X858,"")</f>
        <v/>
      </c>
      <c r="Z858" s="410" t="str">
        <f t="shared" si="181" ref="Z858:Z860">IFERROR(IF(X858="","",U858*X858),"")</f>
        <v/>
      </c>
    </row>
    <row r="859" spans="4:26" ht="18.75" customHeight="1">
      <c r="D859" s="172" t="s">
        <v>240</v>
      </c>
      <c r="E859" s="407"/>
      <c r="F859" s="449" t="str">
        <f>_xlfn.IFNA(VLOOKUP(F856,BEGIN_CURRENT_VISION:END_CURRENT_VISION,CURRENT_COL_EC,FALSE),"")</f>
        <v/>
      </c>
      <c r="G859" s="470" t="str">
        <f t="shared" si="175"/>
        <v/>
      </c>
      <c r="H859" s="449" t="str">
        <f>_xlfn.IFNA(VLOOKUP(F856,BEGIN_CURRENT_VISION:END_CURRENT_VISION,CURRENT_COL_ECContrib,FALSE),"")</f>
        <v/>
      </c>
      <c r="I859" s="409" t="str">
        <f t="shared" si="176"/>
        <v/>
      </c>
      <c r="J859" s="410" t="str">
        <f t="shared" si="177"/>
        <v/>
      </c>
      <c r="K859" s="411"/>
      <c r="L859" s="408" t="str" cm="1">
        <f t="array" ca="1" aca="1" ref="L859">_xlfn.IFNA(VLOOKUP(INDIRECT("L"&amp;ROW()-3)&amp;"_"&amp;$D$12,BEGIN_Renew_Vision:END_RENEW_VISION,RENEW_COL_EC,FALSE),"")</f>
        <v/>
      </c>
      <c r="M859" s="412" t="str">
        <f>IF(E859="","",E859)</f>
        <v/>
      </c>
      <c r="N859" s="413"/>
      <c r="O859" s="414"/>
      <c r="P859" s="415" t="str">
        <f>IFERROR(IF($N856="Keep Contribution Same",H859,IF($N856="Enter Percentages",IF(N859="","",N859*L859),IF($N856="Keep Percentage Same",IF(G859="","",G859*L859),IF($N856="Enter Dollar Amount",IF(O859="","",O859),"")))),"")</f>
        <v/>
      </c>
      <c r="Q859" s="408" t="str">
        <f t="shared" ca="1" si="178"/>
        <v/>
      </c>
      <c r="R859" s="410" t="str">
        <f>IFERROR(IF(P859="","",M859*P859),"")</f>
        <v/>
      </c>
      <c r="S859" s="411"/>
      <c r="T859" s="408" t="str" cm="1">
        <f t="array" ca="1" aca="1" ref="T859">_xlfn.IFNA(VLOOKUP(INDIRECT("T"&amp;ROW()-3)&amp;"_"&amp;$D$12,BEGIN_Renew_Vision:END_RENEW_VISION,RENEW_COL_EC,FALSE),"")</f>
        <v/>
      </c>
      <c r="U859" s="412" t="str">
        <f t="shared" si="179"/>
        <v/>
      </c>
      <c r="V859" s="413"/>
      <c r="W859" s="414"/>
      <c r="X859" s="415" t="str">
        <f>IFERROR(IF($V856="Keep Contribution Same",H859,IF($V856="Enter Percentages",IF(V859="","",V859*T859),IF($V856="Keep Percentage Same",IF(G859="","",G859*T859),IF($V856="Enter Dollar Amount",IF(W859="","",W859),"")))),"")</f>
        <v/>
      </c>
      <c r="Y859" s="408" t="str">
        <f t="shared" ca="1" si="180"/>
        <v/>
      </c>
      <c r="Z859" s="410" t="str">
        <f t="shared" si="181"/>
        <v/>
      </c>
    </row>
    <row r="860" spans="4:26" ht="18.75" customHeight="1" thickBot="1">
      <c r="D860" s="174" t="s">
        <v>241</v>
      </c>
      <c r="E860" s="416"/>
      <c r="F860" s="451" t="str">
        <f>_xlfn.IFNA(VLOOKUP(F856,BEGIN_CURRENT_VISION:END_CURRENT_VISION,CURRENT_COL_FAM,FALSE),"")</f>
        <v/>
      </c>
      <c r="G860" s="471" t="str">
        <f t="shared" si="175"/>
        <v/>
      </c>
      <c r="H860" s="451" t="str">
        <f>_xlfn.IFNA(VLOOKUP(F856,BEGIN_CURRENT_VISION:END_CURRENT_VISION,CURRENT_COL_FAMContrib,FALSE),"")</f>
        <v/>
      </c>
      <c r="I860" s="409" t="str">
        <f t="shared" si="176"/>
        <v/>
      </c>
      <c r="J860" s="410" t="str">
        <f t="shared" si="177"/>
        <v/>
      </c>
      <c r="K860" s="411"/>
      <c r="L860" s="417" t="str" cm="1">
        <f t="array" ca="1" aca="1" ref="L860">_xlfn.IFNA(VLOOKUP(INDIRECT("L"&amp;ROW()-4)&amp;"_"&amp;$D$12,BEGIN_Renew_Vision:END_RENEW_VISION,RENEW_COL_FAM,FALSE),"")</f>
        <v/>
      </c>
      <c r="M860" s="423" t="str">
        <f>IF(E860="","",E860)</f>
        <v/>
      </c>
      <c r="N860" s="420"/>
      <c r="O860" s="421"/>
      <c r="P860" s="422" t="str">
        <f>IFERROR(IF($N856="Keep Contribution Same",H860,IF($N856="Enter Percentages",IF(N860="","",N860*L860),IF($N856="Keep Percentage Same",IF(G860="","",G860*L860),IF($N856="Enter Dollar Amount",IF(O860="","",O860),"")))),"")</f>
        <v/>
      </c>
      <c r="Q860" s="417" t="str">
        <f t="shared" ca="1" si="178"/>
        <v/>
      </c>
      <c r="R860" s="419" t="str">
        <f>IFERROR(IF(P860="","",M860*P860),"")</f>
        <v/>
      </c>
      <c r="S860" s="411"/>
      <c r="T860" s="417" t="str" cm="1">
        <f t="array" ca="1" aca="1" ref="T860">_xlfn.IFNA(VLOOKUP(INDIRECT("T"&amp;ROW()-4)&amp;"_"&amp;$D$12,BEGIN_Renew_Vision:END_RENEW_VISION,RENEW_COL_FAM,FALSE),"")</f>
        <v/>
      </c>
      <c r="U860" s="423" t="str">
        <f t="shared" si="179"/>
        <v/>
      </c>
      <c r="V860" s="420"/>
      <c r="W860" s="421"/>
      <c r="X860" s="422" t="str">
        <f>IFERROR(IF($V856="Keep Contribution Same",H860,IF($V856="Enter Percentages",IF(V860="","",V860*T860),IF($V856="Keep Percentage Same",IF(G860="","",G860*T860),IF($V856="Enter Dollar Amount",IF(W860="","",W860),"")))),"")</f>
        <v/>
      </c>
      <c r="Y860" s="417" t="str">
        <f t="shared" ca="1" si="180"/>
        <v/>
      </c>
      <c r="Z860" s="419" t="str">
        <f t="shared" si="181"/>
        <v/>
      </c>
    </row>
    <row r="861" spans="4:26" ht="18.75" customHeight="1" thickTop="1">
      <c r="D861" s="175" t="s">
        <v>242</v>
      </c>
      <c r="E861" s="424"/>
      <c r="F861" s="427"/>
      <c r="G861" s="426"/>
      <c r="H861" s="427"/>
      <c r="I861" s="428"/>
      <c r="J861" s="429" t="str">
        <f>IFERROR(IF(J857="","",SUM(J857:J860)),0)</f>
        <v/>
      </c>
      <c r="K861" s="1"/>
      <c r="L861" s="424"/>
      <c r="M861" s="427"/>
      <c r="N861" s="426"/>
      <c r="O861" s="427"/>
      <c r="P861" s="431"/>
      <c r="Q861" s="432"/>
      <c r="R861" s="429" t="str">
        <f>IFERROR(IF(R857="","",SUM(R857:R860)),0)</f>
        <v/>
      </c>
      <c r="T861" s="424"/>
      <c r="U861" s="427"/>
      <c r="V861" s="426"/>
      <c r="W861" s="427"/>
      <c r="X861" s="431"/>
      <c r="Y861" s="432"/>
      <c r="Z861" s="429" t="str">
        <f>IFERROR(IF(Z857="","",SUM(Z857:Z860)),0)</f>
        <v/>
      </c>
    </row>
    <row r="862" spans="4:26" ht="18.75" customHeight="1">
      <c r="D862" s="177" t="s">
        <v>243</v>
      </c>
      <c r="E862" s="433"/>
      <c r="F862" s="436"/>
      <c r="G862" s="435"/>
      <c r="H862" s="436"/>
      <c r="I862" s="432"/>
      <c r="J862" s="437" t="str">
        <f>IF(J861="","",J861*12)</f>
        <v/>
      </c>
      <c r="K862" s="1"/>
      <c r="L862" s="433"/>
      <c r="M862" s="436"/>
      <c r="N862" s="435"/>
      <c r="O862" s="436"/>
      <c r="P862" s="432"/>
      <c r="Q862" s="432"/>
      <c r="R862" s="437" t="str">
        <f>IF(R861="","",R861*12)</f>
        <v/>
      </c>
      <c r="T862" s="433"/>
      <c r="U862" s="436"/>
      <c r="V862" s="435"/>
      <c r="W862" s="436"/>
      <c r="X862" s="432"/>
      <c r="Y862" s="432"/>
      <c r="Z862" s="437" t="str">
        <f>IF(Z861="","",Z861*12)</f>
        <v/>
      </c>
    </row>
    <row r="863" spans="4:26" ht="18.75" customHeight="1">
      <c r="D863" s="177" t="s">
        <v>244</v>
      </c>
      <c r="E863" s="433"/>
      <c r="F863" s="436"/>
      <c r="G863" s="435"/>
      <c r="H863" s="436"/>
      <c r="I863" s="432"/>
      <c r="J863" s="437" t="str">
        <f>IFERROR(IF(J862="","",R862-J862),0)</f>
        <v/>
      </c>
      <c r="K863" s="1"/>
      <c r="L863" s="433"/>
      <c r="M863" s="436"/>
      <c r="N863" s="435"/>
      <c r="O863" s="436"/>
      <c r="P863" s="432"/>
      <c r="Q863" s="432"/>
      <c r="R863" s="437" t="str">
        <f>IFERROR(IF(J862="","",R862-J862),0)</f>
        <v/>
      </c>
      <c r="T863" s="433"/>
      <c r="U863" s="436"/>
      <c r="V863" s="435"/>
      <c r="W863" s="436"/>
      <c r="X863" s="432"/>
      <c r="Y863" s="432"/>
      <c r="Z863" s="437" t="str">
        <f>IFERROR(IF(R862="","",Z862-R862),0)</f>
        <v/>
      </c>
    </row>
    <row r="864" spans="4:26" ht="18.75" customHeight="1" thickBot="1">
      <c r="D864" s="180" t="s">
        <v>245</v>
      </c>
      <c r="E864" s="439"/>
      <c r="F864" s="440"/>
      <c r="G864" s="441"/>
      <c r="H864" s="440"/>
      <c r="I864" s="442"/>
      <c r="J864" s="437" t="str">
        <f>IFERROR(IF(J862="","",(R862/J862)-1),0)</f>
        <v/>
      </c>
      <c r="K864" s="1"/>
      <c r="L864" s="439"/>
      <c r="M864" s="440"/>
      <c r="N864" s="441"/>
      <c r="O864" s="440"/>
      <c r="P864" s="445"/>
      <c r="Q864" s="445"/>
      <c r="R864" s="453" t="str">
        <f>IFERROR(IF(J862="","",(R862/J862)-1),0)</f>
        <v/>
      </c>
      <c r="T864" s="439"/>
      <c r="U864" s="440"/>
      <c r="V864" s="441"/>
      <c r="W864" s="440"/>
      <c r="X864" s="445"/>
      <c r="Y864" s="445"/>
      <c r="Z864" s="446" t="str">
        <f>IFERROR(IF(R862="","",(Z862/R862)-1),0)</f>
        <v/>
      </c>
    </row>
    <row r="865" spans="4:26" ht="5.25" customHeight="1" thickBot="1">
      <c r="D865" s="229"/>
      <c r="E865" s="229"/>
      <c r="F865" s="230"/>
      <c r="G865" s="231"/>
      <c r="H865" s="232"/>
      <c r="I865" s="233"/>
      <c r="J865" s="233"/>
      <c r="K865"/>
      <c r="L865" s="233"/>
      <c r="M865" s="233"/>
      <c r="N865" s="233"/>
      <c r="O865" s="233"/>
      <c r="P865" s="233"/>
      <c r="Q865" s="233"/>
      <c r="R865" s="233"/>
      <c r="T865" s="233"/>
      <c r="U865" s="233"/>
      <c r="V865" s="233"/>
      <c r="W865" s="233"/>
      <c r="X865" s="233"/>
      <c r="Y865" s="233"/>
      <c r="Z865" s="233"/>
    </row>
    <row r="866" spans="4:26" ht="15.75" customHeight="1" thickTop="1">
      <c r="D866" s="238" t="s">
        <v>310</v>
      </c>
      <c r="E866" s="239"/>
      <c r="F866" s="239"/>
      <c r="G866" s="239"/>
      <c r="H866" s="239"/>
      <c r="I866" s="239"/>
      <c r="J866" s="239"/>
      <c r="K866" s="239"/>
      <c r="L866" s="239"/>
      <c r="M866" s="239"/>
      <c r="N866" s="239"/>
      <c r="O866" s="239"/>
      <c r="P866" s="239"/>
      <c r="Q866" s="239"/>
      <c r="R866" s="240"/>
      <c r="T866" s="240"/>
      <c r="U866" s="240"/>
      <c r="V866" s="240"/>
      <c r="W866" s="240"/>
      <c r="X866" s="240"/>
      <c r="Y866" s="240"/>
      <c r="Z866" s="240"/>
    </row>
    <row r="867" spans="4:26" ht="18" customHeight="1">
      <c r="D867"/>
      <c r="E867"/>
      <c r="F867"/>
      <c r="G867"/>
      <c r="H867"/>
      <c r="I867" s="241" t="s">
        <v>311</v>
      </c>
      <c r="J867" s="462">
        <f ca="1">IFERROR(IF(J19="",0,J19)+IF(J69="",0,J69)+IF(J119="",0,J119)+IF(J169="",0,J169)+IF(J219="",0,J219)+IF(J269="",0,J269)+IF(J319="",0,J319)+IF(J369="",0,J369)+IF(J419="",0,J419)+IF(J469="",0,J469)+IF(J519="",0,J519)+IF(J569="",0,J569)+IF(J619="",0,J619),0)</f>
        <v>0</v>
      </c>
      <c r="K867" s="242"/>
      <c r="L867" s="176"/>
      <c r="M867" s="178"/>
      <c r="N867" s="139"/>
      <c r="O867" s="178"/>
      <c r="P867"/>
      <c r="Q867" s="173" t="s">
        <v>311</v>
      </c>
      <c r="R867" s="462">
        <f>IFERROR(IF(R19="",0,R19)+IF(R69="",0,R69)+IF(R119="",0,R119)+IF(R169="",0,R169)+IF(R219="",0,R219)+IF(R269="",0,R269)+IF(R319="",0,R319)+IF(R369="",0,R369)+IF(R419="",0,R419)+IF(R469="",0,R469)+IF(R519="",0,R519)+IF(R569="",0,R569)+IF(R619="",0,R619),0)</f>
        <v>0</v>
      </c>
      <c r="Y867" s="173" t="s">
        <v>311</v>
      </c>
      <c r="Z867" s="462">
        <f>IFERROR(IF(Z19="",0,Z19)+IF(Z69="",0,Z69)+IF(Z119="",0,Z119)+IF(Z169="",0,Z169)+IF(Z219="",0,Z219)+IF(Z269="",0,Z269)+IF(Z319="",0,Z319)+IF(Z369="",0,Z369)+IF(Z419="",0,Z419)+IF(Z469="",0,Z469)+IF(Z519="",0,Z519)+IF(Z569="",0,Z569)+IF(Z619="",0,Z619),0)</f>
        <v>0</v>
      </c>
    </row>
    <row r="868" spans="4:26" ht="18" customHeight="1">
      <c r="D868"/>
      <c r="E868"/>
      <c r="F868"/>
      <c r="G868"/>
      <c r="H868"/>
      <c r="I868" s="241" t="s">
        <v>312</v>
      </c>
      <c r="J868" s="462">
        <f ca="1">IFERROR(IF(J670="",0,J670)+IF(J680="",0,J680)+IF(J690="",0,J690)+IF(J700="",0,J700)+IF(J710="",0,J710)+IF(J720="",0,J720)+IF(J730="",0,J730)+IF(J740="",0,P740)+IF(J750="",0,P750)+IF(J760="",0,J760),0)</f>
        <v>0</v>
      </c>
      <c r="K868" s="242"/>
      <c r="L868" s="176"/>
      <c r="M868" s="178"/>
      <c r="N868" s="139"/>
      <c r="O868" s="178"/>
      <c r="P868"/>
      <c r="Q868" s="173" t="s">
        <v>312</v>
      </c>
      <c r="R868" s="462">
        <f>IFERROR(IF(R670="",0,R670)+IF(R680="",0,R680)+IF(R690="",0,R690)+IF(R700="",0,R700)+IF(R710="",0,R710)+IF(R720="",0,R720)+IF(R730="",0,R730)+IF(R740="",0,X740)+IF(R750="",0,X750)+IF(R760="",0,R760),0)</f>
        <v>0</v>
      </c>
      <c r="Y868" s="173" t="s">
        <v>312</v>
      </c>
      <c r="Z868" s="462">
        <f>IFERROR(IF(Z670="",0,Z670)+IF(Z680="",0,Z680)+IF(Z690="",0,Z690)+IF(Z700="",0,Z700)+IF(Z710="",0,Z710)+IF(Z720="",0,Z720)+IF(Z730="",0,Z730)+IF(Z740="",0,AF740)+IF(Z750="",0,AF750)+IF(Z760="",0,Z760),0)</f>
        <v>0</v>
      </c>
    </row>
    <row r="869" spans="4:26" ht="18" customHeight="1">
      <c r="D869"/>
      <c r="E869"/>
      <c r="F869"/>
      <c r="G869"/>
      <c r="H869"/>
      <c r="I869" s="241" t="s">
        <v>313</v>
      </c>
      <c r="J869" s="462">
        <f ca="1">IFERROR(IF(J771="",0,J771)+IF(J781="",0,J781)+IF(J791="",0,J791)+IF(J801="",0,J801)+IF(J811="",0,J811)+IF(J821="",0,J821)+IF(J831="",0,J831)+IF(J841="",0,J841)+IF(J851="",0,J851)+IF(J861="",0,J861),0)</f>
        <v>0</v>
      </c>
      <c r="K869" s="242"/>
      <c r="L869" s="176"/>
      <c r="M869" s="178"/>
      <c r="N869" s="139"/>
      <c r="O869" s="178"/>
      <c r="P869"/>
      <c r="Q869" s="173" t="s">
        <v>314</v>
      </c>
      <c r="R869" s="462">
        <f>IFERROR(IF(R771="",0,R771)+IF(R781="",0,R781)+IF(R791="",0,R791)+IF(R801="",0,R801)+IF(R811="",0,R811)+IF(R821="",0,R821)+IF(R831="",0,R831)+IF(R841="",0,R841)+IF(R851="",0,R851)+IF(R861="",0,R861),0)</f>
        <v>0</v>
      </c>
      <c r="Y869" s="173" t="s">
        <v>314</v>
      </c>
      <c r="Z869" s="462">
        <f>IFERROR(IF(Z771="",0,Z771)+IF(Z781="",0,Z781)+IF(Z791="",0,Z791)+IF(Z801="",0,Z801)+IF(Z811="",0,Z811)+IF(Z821="",0,Z821)+IF(Z831="",0,Z831)+IF(Z841="",0,Z841)+IF(Z851="",0,Z851)+IF(Z861="",0,Z861),0)</f>
        <v>0</v>
      </c>
    </row>
    <row r="870" spans="4:26" ht="18" customHeight="1">
      <c r="D870"/>
      <c r="E870"/>
      <c r="F870"/>
      <c r="G870"/>
      <c r="H870"/>
      <c r="I870" s="241" t="s">
        <v>315</v>
      </c>
      <c r="J870" s="11">
        <f ca="1">IFERROR(IF(E15="",0,E15)+IF(E16="",0,E16)+IF(E17="",0,E17)+IF(E18="",0,E18)+IF(E65="",0,E65)+IF(E66="",0,E66)+IF(E67="",0,E67)+IF(E68="",0,E68)+IF(E115="",0,E115)+IF(E116="",0,E116)+IF(E117="",0,E117)+IF(E118="",0,E118)+IF(E165="",0,E165)+IF(E166="",0,E166)+IF(E167="",0,E167)+IF(E168="",0,E168)+IF(E215="",0,E215)+IF(E216="",0,E216)+IF(E217="",0,E217)+IF(E218="",0,E218)+IF(E265="",0,E265)+IF(E266="",0,E266)+IF(E267="",0,E267)+IF(E268="",0,E268)+IF(E315="",0,E315)+IF(E316="",0,E316)+IF(E317="",0,E317)+IF(E318="",0,E318)+IF(E365="",0,E365)+IF(E366="",0,E366)+IF(E367="",0,E367)+IF(E368="",0,E368)+IF(E415="",0,E415)+IF(E416="",0,E416)+IF(E417="",0,E417)+IF(E418="",0,E418)+IF(E465="",0,E465)+IF(E466="",0,E466)+IF(E467="",0,E467)+IF(E468="",0,E468)+IF(E515="",0,E515)+IF(E516="",0,E516)+IF(E517="",0,E517)+IF(E518="",0,E518)+IF(E565="",0,E565)+IF(E566="",0,E566)+IF(E567="",0,E567)+IF(E568="",0,E568)+IF(E615="",0,E615)+IF(E616="",0,E616)+IF(E617="",0,E617)+IF(E618="",0,E618),0)</f>
        <v>0</v>
      </c>
      <c r="K870" s="242"/>
      <c r="L870" s="176"/>
      <c r="M870" s="178"/>
      <c r="N870" s="139"/>
      <c r="O870" s="178"/>
      <c r="P870"/>
      <c r="Q870" s="241" t="s">
        <v>315</v>
      </c>
      <c r="R870" s="11">
        <f ca="1">IFERROR(IF(M15="",0,M15)+IF(M16="",0,M16)+IF(M17="",0,M17)+IF(M18="",0,M18)+IF(M65="",0,M65)+IF(M66="",0,M66)+IF(M67="",0,M67)+IF(M68="",0,M68)+IF(M115="",0,M115)+IF(M116="",0,M116)+IF(M117="",0,M117)+IF(M118="",0,M118)+IF(M165="",0,M165)+IF(M166="",0,M166)+IF(M167="",0,M167)+IF(M168="",0,M168)+IF(M215="",0,M215)+IF(M216="",0,M216)+IF(M217="",0,M217)+IF(M218="",0,M218)+IF(M265="",0,M265)+IF(M266="",0,M266)+IF(M267="",0,M267)+IF(M268="",0,M268)+IF(M315="",0,M315)+IF(M316="",0,M316)+IF(M317="",0,M317)+IF(M318="",0,M318)+IF(M365="",0,M365)+IF(M366="",0,M366)+IF(M367="",0,M367)+IF(M368="",0,M368)+IF(M415="",0,M415)+IF(M416="",0,M416)+IF(M417="",0,M417)+IF(M418="",0,M418)+IF(M465="",0,M465)+IF(M466="",0,M466)+IF(M467="",0,M467)+IF(M468="",0,M468)+IF(M515="",0,M515)+IF(M516="",0,M516)+IF(M517="",0,M517)+IF(M518="",0,M518)+IF(M565="",0,M565)+IF(M566="",0,M566)+IF(M567="",0,M567)+IF(M568="",0,M568)+IF(M615="",0,M615)+IF(M616="",0,M616)+IF(M617="",0,M617)+IF(M618="",0,M618),0)</f>
        <v>0</v>
      </c>
      <c r="Y870" s="241" t="s">
        <v>315</v>
      </c>
      <c r="Z870" s="11">
        <f ca="1">IFERROR(IF(U15="",0,U15)+IF(U16="",0,U16)+IF(U17="",0,U17)+IF(U18="",0,U18)+IF(U65="",0,U65)+IF(U66="",0,U66)+IF(U67="",0,U67)+IF(U68="",0,U68)+IF(U115="",0,U115)+IF(U116="",0,U116)+IF(U117="",0,U117)+IF(U118="",0,U118)+IF(U165="",0,U165)+IF(U166="",0,U166)+IF(U167="",0,U167)+IF(U168="",0,U168)+IF(U215="",0,U215)+IF(U216="",0,U216)+IF(U217="",0,U217)+IF(U218="",0,U218)+IF(U265="",0,U265)+IF(U266="",0,U266)+IF(U267="",0,U267)+IF(U268="",0,U268)+IF(U315="",0,U315)+IF(U316="",0,U316)+IF(U317="",0,U317)+IF(U318="",0,U318)+IF(U365="",0,U365)+IF(U366="",0,U366)+IF(U367="",0,U367)+IF(U368="",0,U368)+IF(U415="",0,U415)+IF(U416="",0,U416)+IF(U417="",0,U417)+IF(U418="",0,U418)+IF(U465="",0,U465)+IF(U466="",0,U466)+IF(U467="",0,U467)+IF(U468="",0,U468)+IF(U515="",0,U515)+IF(U516="",0,U516)+IF(U517="",0,U517)+IF(U518="",0,U518)+IF(U565="",0,U565)+IF(U566="",0,U566)+IF(U567="",0,U567)+IF(U568="",0,U568)+IF(U615="",0,U615)+IF(U616="",0,U616)+IF(U617="",0,U617)+IF(U618="",0,U618),0)</f>
        <v>0</v>
      </c>
    </row>
    <row r="871" spans="4:26" ht="18" customHeight="1">
      <c r="D871"/>
      <c r="E871"/>
      <c r="F871"/>
      <c r="G871"/>
      <c r="H871"/>
      <c r="I871" s="241" t="s">
        <v>316</v>
      </c>
      <c r="J871" s="11">
        <f ca="1">IFERROR(IF(E666="",0,E666)+IF(E667="",0,E667)+IF(E668="",0,E668)+IF(E669="",0,E669)+IF(E676="",0,E676)+IF(E677="",0,E677)+IF(E678="",0,E678)+IF(E679="",0,E679)+IF(E686="",0,E686)+IF(E687="",0,E687)+IF(E688="",0,E688)+IF(E689="",0,E689)+IF(E696="",0,E696)+IF(E697="",0,E697)+IF(E698="",0,E698)+IF(E699="",0,E699)+IF(E706="",0,E706)+IF(E707="",0,E707)+IF(E708="",0,E708)+IF(E709="",0,E709)+IF(E716="",0,E716)+IF(E717="",0,E717)+IF(E718="",0,E718)+IF(E719="",0,E719)+IF(E726="",0,E726)+IF(E727="",0,E727)+IF(E728="",0,E728)+IF(E729="",0,E729)+IF(E736="",0,E736)+IF(E737="",0,E737)+IF(E738="",0,E738)+IF(E739="",0,E739)+IF(E746="",0,E746)+IF(E747="",0,E747)+IF(E748="",0,E748)+IF(E749="",0,E749)+IF(E756="",0,E756)+IF(E757="",0,E757)+IF(E758="",0,E758)+IF(E759="",0,E759),0)</f>
        <v>0</v>
      </c>
      <c r="K871" s="242"/>
      <c r="L871" s="176"/>
      <c r="M871" s="178"/>
      <c r="N871" s="139"/>
      <c r="O871" s="178"/>
      <c r="P871"/>
      <c r="Q871" s="241" t="s">
        <v>316</v>
      </c>
      <c r="R871" s="11">
        <f ca="1">IFERROR(IF(M666="",0,M666)+IF(M667="",0,M667)+IF(M668="",0,M668)+IF(M669="",0,M669)+IF(M676="",0,M676)+IF(M677="",0,M677)+IF(M678="",0,M678)+IF(M679="",0,M679)+IF(M686="",0,M686)+IF(M687="",0,M687)+IF(M688="",0,M688)+IF(M689="",0,M689)+IF(M696="",0,M696)+IF(M697="",0,M697)+IF(M698="",0,M698)+IF(M699="",0,M699)+IF(M706="",0,M706)+IF(M707="",0,M707)+IF(M708="",0,M708)+IF(M709="",0,M709)+IF(M716="",0,M716)+IF(M717="",0,M717)+IF(M718="",0,M718)+IF(M719="",0,M719)+IF(M726="",0,M726)+IF(M727="",0,M727)+IF(M728="",0,M728)+IF(M729="",0,M729)+IF(M736="",0,M736)+IF(M737="",0,M737)+IF(M738="",0,M738)+IF(M739="",0,M739)+IF(M746="",0,M746)+IF(M747="",0,M747)+IF(M748="",0,M748)+IF(M749="",0,M749)+IF(M756="",0,M756)+IF(M757="",0,M757)+IF(M758="",0,M758)+IF(M759="",0,M759),0)</f>
        <v>0</v>
      </c>
      <c r="Y871" s="241" t="s">
        <v>316</v>
      </c>
      <c r="Z871" s="11">
        <f ca="1">IFERROR(IF(U666="",0,U666)+IF(U667="",0,U667)+IF(U668="",0,U668)+IF(U669="",0,U669)+IF(U676="",0,U676)+IF(U677="",0,U677)+IF(U678="",0,U678)+IF(U679="",0,U679)+IF(U686="",0,U686)+IF(U687="",0,U687)+IF(U688="",0,U688)+IF(U689="",0,U689)+IF(U696="",0,U696)+IF(U697="",0,U697)+IF(U698="",0,U698)+IF(U699="",0,U699)+IF(U706="",0,U706)+IF(U707="",0,U707)+IF(U708="",0,U708)+IF(U709="",0,U709)+IF(U716="",0,U716)+IF(U717="",0,U717)+IF(U718="",0,U718)+IF(U719="",0,U719)+IF(U726="",0,U726)+IF(U727="",0,U727)+IF(U728="",0,U728)+IF(U729="",0,U729)+IF(U736="",0,U736)+IF(U737="",0,U737)+IF(U738="",0,U738)+IF(U739="",0,U739)+IF(U746="",0,U746)+IF(U747="",0,U747)+IF(U748="",0,U748)+IF(U749="",0,U749)+IF(U756="",0,U756)+IF(U757="",0,U757)+IF(U758="",0,U758)+IF(U759="",0,U759),0)</f>
        <v>0</v>
      </c>
    </row>
    <row r="872" spans="4:26" ht="18" customHeight="1">
      <c r="D872"/>
      <c r="E872"/>
      <c r="F872"/>
      <c r="G872"/>
      <c r="H872"/>
      <c r="I872" s="241" t="s">
        <v>317</v>
      </c>
      <c r="J872" s="11">
        <f ca="1">IFERROR(IF(E767="",0,E767)+IF(E768="",0,E768)+IF(E769="",0,E769)+IF(E770="",0,E770)+IF(E777="",0,E777)+IF(E778="",0,E778)+IF(E779="",0,E779)+IF(E780="",0,E780)+IF(E787="",0,E787)+IF(E788="",0,E788)+IF(E789="",0,E789)+IF(E790="",0,E790)+IF(E797="",0,E797)+IF(E798="",0,E798)+IF(E799="",0,E799)+IF(E800="",0,E800)+IF(E807="",0,E807)+IF(E808="",0,E808)+IF(E809="",0,E809)+IF(E810="",0,E810)+IF(E817="",0,E817)+IF(E818="",0,E818)+IF(E819="",0,E819)+IF(E820="",0,E820)+IF(E827="",0,E827)+IF(E828="",0,E828)+IF(E829="",0,E829)+IF(E830="",0,E830)+IF(E837="",0,E837)+IF(E838="",0,E838)+IF(E839="",0,E839)+IF(E840="",0,E840)+IF(E847="",0,E847)+IF(E848="",0,E848)+IF(E849="",0,E849)+IF(E850="",0,E850)+IF(E857="",0,E857)+IF(E858="",0,E858)+IF(E859="",0,E859)+IF(E860="",0,E860),0)</f>
        <v>0</v>
      </c>
      <c r="K872" s="242"/>
      <c r="L872" s="176"/>
      <c r="M872" s="178"/>
      <c r="N872" s="139"/>
      <c r="O872" s="178"/>
      <c r="P872"/>
      <c r="Q872" s="241" t="s">
        <v>317</v>
      </c>
      <c r="R872" s="11">
        <f ca="1">IFERROR(IF(M767="",0,M767)+IF(M768="",0,M768)+IF(M769="",0,M769)+IF(M770="",0,M770)+IF(M777="",0,M777)+IF(M778="",0,M778)+IF(M779="",0,M779)+IF(M780="",0,M780)+IF(M787="",0,M787)+IF(M788="",0,M788)+IF(M789="",0,M789)+IF(M790="",0,M790)+IF(M797="",0,M797)+IF(M798="",0,M798)+IF(M799="",0,M799)+IF(M800="",0,M800)+IF(M807="",0,M807)+IF(M808="",0,M808)+IF(M809="",0,M809)+IF(M810="",0,M810)+IF(M817="",0,M817)+IF(M818="",0,M818)+IF(M819="",0,M819)+IF(M820="",0,M820)+IF(M827="",0,M827)+IF(M828="",0,M828)+IF(M829="",0,M829)+IF(M830="",0,M830)+IF(M837="",0,M837)+IF(M838="",0,M838)+IF(M839="",0,M839)+IF(M840="",0,M840)+IF(M847="",0,M847)+IF(M848="",0,M848)+IF(M849="",0,M849)+IF(M850="",0,M850)+IF(M857="",0,M857)+IF(M858="",0,M858)+IF(M859="",0,M859)+IF(M860="",0,M860),0)</f>
        <v>0</v>
      </c>
      <c r="Y872" s="241" t="s">
        <v>317</v>
      </c>
      <c r="Z872" s="11">
        <f ca="1">IFERROR(IF(U767="",0,U767)+IF(U768="",0,U768)+IF(U769="",0,U769)+IF(U770="",0,U770)+IF(U777="",0,U777)+IF(U778="",0,U778)+IF(U779="",0,U779)+IF(U780="",0,U780)+IF(U787="",0,U787)+IF(U788="",0,U788)+IF(U789="",0,U789)+IF(U790="",0,U790)+IF(U797="",0,U797)+IF(U798="",0,U798)+IF(U799="",0,U799)+IF(U800="",0,U800)+IF(U807="",0,U807)+IF(U808="",0,U808)+IF(U809="",0,U809)+IF(U810="",0,U810)+IF(U817="",0,U817)+IF(U818="",0,U818)+IF(U819="",0,U819)+IF(U820="",0,U820)+IF(U827="",0,U827)+IF(U828="",0,U828)+IF(U829="",0,U829)+IF(U830="",0,U830)+IF(U837="",0,U837)+IF(U838="",0,U838)+IF(U839="",0,U839)+IF(U840="",0,U840)+IF(U847="",0,U847)+IF(U848="",0,U848)+IF(U849="",0,U849)+IF(U850="",0,U850)+IF(U857="",0,U857)+IF(U858="",0,U858)+IF(U859="",0,U859)+IF(U860="",0,U860),0)</f>
        <v>0</v>
      </c>
    </row>
    <row r="873" spans="4:18" ht="18" customHeight="1" thickBot="1">
      <c r="D873" s="243"/>
      <c r="E873" s="244"/>
      <c r="F873" s="245"/>
      <c r="G873" s="245"/>
      <c r="H873" s="245"/>
      <c r="I873" s="242"/>
      <c r="J873" s="245"/>
      <c r="K873" s="245"/>
      <c r="L873" s="178"/>
      <c r="M873" s="178"/>
      <c r="N873" s="139"/>
      <c r="O873" s="178"/>
      <c r="P873" s="178"/>
      <c r="Q873" s="178"/>
      <c r="R873" s="246"/>
    </row>
    <row r="874" spans="1:140" s="162" customFormat="1" ht="31.15" customHeight="1" thickBot="1">
      <c r="A874" s="153"/>
      <c r="B874" s="153"/>
      <c r="C874" s="234"/>
      <c r="D874" s="474" t="s">
        <v>318</v>
      </c>
      <c r="E874" s="475"/>
      <c r="F874" s="475"/>
      <c r="G874" s="475"/>
      <c r="H874" s="475"/>
      <c r="I874" s="475"/>
      <c r="J874" s="475"/>
      <c r="K874" s="475"/>
      <c r="L874" s="475"/>
      <c r="M874" s="475"/>
      <c r="N874" s="475"/>
      <c r="O874" s="475"/>
      <c r="P874" s="475"/>
      <c r="Q874" s="475"/>
      <c r="R874" s="476"/>
      <c r="T874" s="474"/>
      <c r="U874" s="475"/>
      <c r="V874" s="475"/>
      <c r="W874" s="475"/>
      <c r="X874" s="475"/>
      <c r="Y874" s="475"/>
      <c r="Z874" s="476"/>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row>
    <row r="875" spans="4:18" ht="24" customHeight="1" thickBot="1">
      <c r="D875" s="247"/>
      <c r="E875" s="248"/>
      <c r="F875" s="249" t="s">
        <v>319</v>
      </c>
      <c r="G875" s="392"/>
      <c r="H875" s="392"/>
      <c r="I875" s="242"/>
      <c r="J875" s="245"/>
      <c r="K875" s="245"/>
      <c r="L875" s="178"/>
      <c r="M875" s="178"/>
      <c r="N875" s="139"/>
      <c r="O875" s="178"/>
      <c r="P875" s="178"/>
      <c r="Q875" s="178"/>
      <c r="R875" s="246"/>
    </row>
    <row r="876" spans="4:18" ht="21.75" customHeight="1">
      <c r="D876" s="516" t="s">
        <v>320</v>
      </c>
      <c r="E876" s="517"/>
      <c r="F876" s="464"/>
      <c r="G876" s="507"/>
      <c r="H876" s="508"/>
      <c r="I876" s="250" t="s">
        <v>441</v>
      </c>
      <c r="J876"/>
      <c r="K876" s="245"/>
      <c r="L876" s="518" t="s">
        <v>321</v>
      </c>
      <c r="M876" s="519"/>
      <c r="N876" s="514" t="s">
        <v>322</v>
      </c>
      <c r="O876" s="514"/>
      <c r="P876" s="515" t="s">
        <v>323</v>
      </c>
      <c r="Q876" s="515"/>
      <c r="R876" s="245"/>
    </row>
    <row r="877" spans="2:18" ht="21.75" customHeight="1">
      <c r="B877" s="140" t="s">
        <v>38</v>
      </c>
      <c r="D877" s="505" t="s">
        <v>455</v>
      </c>
      <c r="E877" s="506"/>
      <c r="F877" s="509"/>
      <c r="G877" s="510"/>
      <c r="H877" s="511"/>
      <c r="I877"/>
      <c r="J877"/>
      <c r="K877" s="245"/>
      <c r="L877" s="520" t="s">
        <v>325</v>
      </c>
      <c r="M877" s="521"/>
      <c r="N877" s="512" t="str">
        <f>LTDSelect</f>
        <v>SELECT PLAN</v>
      </c>
      <c r="O877" s="512"/>
      <c r="P877" s="513" t="str">
        <f>IFERROR(VLOOKUP(N877,BEGIN_Renew_LTD_PlanID:END_RENEW_LTD,9,FALSE),"--")</f>
        <v>--</v>
      </c>
      <c r="Q877" s="513"/>
      <c r="R877" s="251" t="s">
        <v>446</v>
      </c>
    </row>
    <row r="878" spans="2:18" ht="21.75" customHeight="1">
      <c r="B878" s="140" t="s">
        <v>38</v>
      </c>
      <c r="D878" s="505" t="s">
        <v>324</v>
      </c>
      <c r="E878" s="506"/>
      <c r="F878" s="465" t="s">
        <v>454</v>
      </c>
      <c r="G878" s="463"/>
      <c r="H878" s="463"/>
      <c r="I878"/>
      <c r="J878"/>
      <c r="K878" s="245"/>
      <c r="L878" s="520" t="s">
        <v>326</v>
      </c>
      <c r="M878" s="521"/>
      <c r="N878" s="512" t="str">
        <f>STDSelect</f>
        <v>SELECT PLAN</v>
      </c>
      <c r="O878" s="512"/>
      <c r="P878" s="513" t="str">
        <f>IFERROR(VLOOKUP(N878,BEGIN_Renew_STD_PlanID:END_RENEW_STD,9,FALSE),"--")</f>
        <v>--</v>
      </c>
      <c r="Q878" s="513"/>
      <c r="R878" s="251" t="s">
        <v>442</v>
      </c>
    </row>
    <row r="879" spans="2:18" ht="21.75" customHeight="1" thickBot="1">
      <c r="B879" s="140" t="s">
        <v>38</v>
      </c>
      <c r="D879" s="522" t="s">
        <v>457</v>
      </c>
      <c r="E879" s="523"/>
      <c r="F879" s="466"/>
      <c r="G879" s="463">
        <v>3</v>
      </c>
      <c r="H879" s="463" t="str">
        <f>IFERROR(IF(G879="","","Per EE per Month"),"")</f>
        <v>Per EE per Month</v>
      </c>
      <c r="I879"/>
      <c r="J879"/>
      <c r="K879" s="245"/>
      <c r="L879" s="520" t="s">
        <v>327</v>
      </c>
      <c r="M879" s="521"/>
      <c r="N879" s="512" t="str">
        <f>LifeSelect</f>
        <v>SELECT PLAN</v>
      </c>
      <c r="O879" s="512"/>
      <c r="P879" s="513" t="str">
        <f>IFERROR(VLOOKUP(N879,BEGIN_Renew_LIFE_PlanID:END_RENEW_LIFE,9,FALSE),"--")</f>
        <v>--</v>
      </c>
      <c r="Q879" s="513"/>
      <c r="R879" s="251" t="s">
        <v>443</v>
      </c>
    </row>
    <row r="880" spans="7:11" ht="21.75" customHeight="1">
      <c r="G880" s="253"/>
      <c r="H880" s="253"/>
      <c r="I880"/>
      <c r="J880"/>
      <c r="K880" s="245"/>
    </row>
    <row r="881" spans="7:18" ht="13">
      <c r="G881" s="253"/>
      <c r="H881" s="253"/>
      <c r="L881" s="253"/>
      <c r="M881" s="253"/>
      <c r="N881" s="255"/>
      <c r="O881" s="253"/>
      <c r="P881" s="253"/>
      <c r="Q881" s="253"/>
      <c r="R881" s="253"/>
    </row>
    <row r="882" spans="7:22" ht="13">
      <c r="G882" s="253"/>
      <c r="H882" s="253"/>
      <c r="I882" s="256"/>
      <c r="J882" s="253"/>
      <c r="K882" s="253"/>
      <c r="L882" s="253"/>
      <c r="M882" s="253"/>
      <c r="N882" s="255"/>
      <c r="O882" s="253"/>
      <c r="P882" s="253"/>
      <c r="Q882" s="253"/>
      <c r="R882" s="253"/>
      <c r="S882" s="257"/>
      <c r="T882" s="257"/>
      <c r="U882" s="257"/>
      <c r="V882" s="257"/>
    </row>
    <row r="883" spans="7:22" ht="13">
      <c r="G883" s="253"/>
      <c r="H883" s="253"/>
      <c r="I883" s="256"/>
      <c r="J883" s="253"/>
      <c r="K883" s="253"/>
      <c r="L883" s="253"/>
      <c r="M883" s="253"/>
      <c r="N883" s="255"/>
      <c r="O883" s="253"/>
      <c r="P883" s="253"/>
      <c r="Q883" s="253"/>
      <c r="R883" s="253"/>
      <c r="S883" s="257"/>
      <c r="T883" s="257"/>
      <c r="U883" s="257"/>
      <c r="V883" s="257"/>
    </row>
    <row r="884" spans="7:22" ht="13">
      <c r="G884" s="253"/>
      <c r="H884" s="253"/>
      <c r="I884" s="256"/>
      <c r="J884" s="253"/>
      <c r="K884" s="253"/>
      <c r="L884" s="253"/>
      <c r="M884" s="253"/>
      <c r="N884" s="255"/>
      <c r="O884" s="253"/>
      <c r="P884" s="253"/>
      <c r="Q884" s="253"/>
      <c r="R884" s="253"/>
      <c r="S884" s="257"/>
      <c r="T884" s="257"/>
      <c r="U884" s="257"/>
      <c r="V884" s="257"/>
    </row>
    <row r="885" spans="7:22" ht="13">
      <c r="G885" s="253"/>
      <c r="H885" s="253"/>
      <c r="I885" s="256"/>
      <c r="J885" s="253"/>
      <c r="K885" s="253"/>
      <c r="L885" s="253"/>
      <c r="M885" s="253"/>
      <c r="N885" s="255"/>
      <c r="O885" s="253"/>
      <c r="P885" s="253"/>
      <c r="Q885" s="253"/>
      <c r="R885" s="253"/>
      <c r="S885" s="257"/>
      <c r="T885" s="257"/>
      <c r="U885" s="257"/>
      <c r="V885" s="257"/>
    </row>
    <row r="886" spans="7:22" ht="13">
      <c r="G886" s="253"/>
      <c r="H886" s="253"/>
      <c r="I886" s="256"/>
      <c r="J886" s="253"/>
      <c r="K886" s="253"/>
      <c r="L886" s="253"/>
      <c r="M886" s="253"/>
      <c r="N886" s="255"/>
      <c r="O886" s="253"/>
      <c r="P886" s="253"/>
      <c r="Q886" s="253"/>
      <c r="R886" s="253"/>
      <c r="S886" s="257"/>
      <c r="T886" s="257"/>
      <c r="U886" s="257"/>
      <c r="V886" s="257"/>
    </row>
    <row r="887" spans="7:22" ht="13">
      <c r="G887" s="253"/>
      <c r="H887" s="253"/>
      <c r="I887" s="256"/>
      <c r="J887" s="253"/>
      <c r="K887" s="253"/>
      <c r="L887" s="253"/>
      <c r="M887" s="253"/>
      <c r="N887" s="255"/>
      <c r="O887" s="253"/>
      <c r="P887" s="253"/>
      <c r="Q887" s="253"/>
      <c r="R887" s="253"/>
      <c r="S887" s="257"/>
      <c r="T887" s="257"/>
      <c r="U887" s="257"/>
      <c r="V887" s="257"/>
    </row>
    <row r="888" spans="7:22" ht="13">
      <c r="G888" s="253"/>
      <c r="H888" s="253"/>
      <c r="I888" s="256"/>
      <c r="J888" s="253"/>
      <c r="K888" s="253"/>
      <c r="L888" s="253"/>
      <c r="M888" s="253"/>
      <c r="N888" s="255"/>
      <c r="O888" s="253"/>
      <c r="P888" s="253"/>
      <c r="Q888" s="253"/>
      <c r="R888" s="253"/>
      <c r="S888" s="257"/>
      <c r="T888" s="257"/>
      <c r="U888" s="257"/>
      <c r="V888" s="257"/>
    </row>
    <row r="889" spans="7:22" ht="13">
      <c r="G889" s="253"/>
      <c r="H889" s="253"/>
      <c r="I889" s="256"/>
      <c r="J889" s="253"/>
      <c r="K889" s="253"/>
      <c r="L889" s="253"/>
      <c r="M889" s="253"/>
      <c r="N889" s="255"/>
      <c r="O889" s="253"/>
      <c r="P889" s="253"/>
      <c r="Q889" s="253"/>
      <c r="R889" s="253"/>
      <c r="S889" s="257"/>
      <c r="T889" s="257"/>
      <c r="U889" s="257"/>
      <c r="V889" s="257"/>
    </row>
    <row r="890" spans="7:22" ht="13">
      <c r="G890" s="253"/>
      <c r="H890" s="253"/>
      <c r="I890" s="256"/>
      <c r="J890" s="253"/>
      <c r="K890" s="253"/>
      <c r="L890" s="253"/>
      <c r="M890" s="253"/>
      <c r="N890" s="255"/>
      <c r="O890" s="253"/>
      <c r="P890" s="253"/>
      <c r="Q890" s="253"/>
      <c r="R890" s="253"/>
      <c r="S890" s="257"/>
      <c r="T890" s="257"/>
      <c r="U890" s="257"/>
      <c r="V890" s="257"/>
    </row>
    <row r="891" spans="7:22" ht="13">
      <c r="G891" s="253"/>
      <c r="H891" s="253"/>
      <c r="I891" s="256"/>
      <c r="J891" s="253"/>
      <c r="K891" s="253"/>
      <c r="L891" s="253"/>
      <c r="M891" s="253"/>
      <c r="N891" s="255"/>
      <c r="O891" s="253"/>
      <c r="P891" s="253"/>
      <c r="Q891" s="253"/>
      <c r="R891" s="253"/>
      <c r="S891" s="257"/>
      <c r="T891" s="257"/>
      <c r="U891" s="257"/>
      <c r="V891" s="257"/>
    </row>
    <row r="892" spans="7:22" ht="13">
      <c r="G892" s="253"/>
      <c r="H892" s="253"/>
      <c r="I892" s="256"/>
      <c r="J892" s="253"/>
      <c r="K892" s="253"/>
      <c r="L892" s="253"/>
      <c r="M892" s="253"/>
      <c r="N892" s="255"/>
      <c r="O892" s="253"/>
      <c r="P892" s="253"/>
      <c r="Q892" s="253"/>
      <c r="R892" s="253"/>
      <c r="S892" s="257"/>
      <c r="T892" s="257"/>
      <c r="U892" s="257"/>
      <c r="V892" s="257"/>
    </row>
    <row r="893" spans="7:22" ht="13">
      <c r="G893" s="253"/>
      <c r="H893" s="253"/>
      <c r="I893" s="256"/>
      <c r="J893" s="253"/>
      <c r="K893" s="253"/>
      <c r="L893" s="253"/>
      <c r="M893" s="253"/>
      <c r="N893" s="255"/>
      <c r="O893" s="253"/>
      <c r="P893" s="253"/>
      <c r="Q893" s="253"/>
      <c r="R893" s="253"/>
      <c r="S893" s="257"/>
      <c r="T893" s="257"/>
      <c r="U893" s="257"/>
      <c r="V893" s="257"/>
    </row>
    <row r="894" spans="7:22" ht="13">
      <c r="G894" s="253"/>
      <c r="H894" s="253"/>
      <c r="I894" s="256"/>
      <c r="J894" s="253"/>
      <c r="K894" s="253"/>
      <c r="L894" s="253"/>
      <c r="M894" s="253"/>
      <c r="N894" s="255"/>
      <c r="O894" s="253"/>
      <c r="P894" s="253"/>
      <c r="Q894" s="253"/>
      <c r="R894" s="253"/>
      <c r="S894" s="257"/>
      <c r="T894" s="257"/>
      <c r="U894" s="257"/>
      <c r="V894" s="257"/>
    </row>
    <row r="895" spans="7:22" ht="13">
      <c r="G895" s="253"/>
      <c r="H895" s="253"/>
      <c r="I895" s="256"/>
      <c r="J895" s="253"/>
      <c r="K895" s="253"/>
      <c r="L895" s="253"/>
      <c r="M895" s="253"/>
      <c r="N895" s="255"/>
      <c r="O895" s="253"/>
      <c r="P895" s="253"/>
      <c r="Q895" s="253"/>
      <c r="R895" s="253"/>
      <c r="S895" s="257"/>
      <c r="T895" s="257"/>
      <c r="U895" s="257"/>
      <c r="V895" s="257"/>
    </row>
    <row r="896" spans="7:22" ht="13">
      <c r="G896" s="253"/>
      <c r="H896" s="253"/>
      <c r="I896" s="256"/>
      <c r="J896" s="253"/>
      <c r="K896" s="253"/>
      <c r="L896" s="253"/>
      <c r="M896" s="253"/>
      <c r="N896" s="255"/>
      <c r="O896" s="253"/>
      <c r="P896" s="253"/>
      <c r="Q896" s="253"/>
      <c r="R896" s="253"/>
      <c r="S896" s="257"/>
      <c r="T896" s="257"/>
      <c r="U896" s="257"/>
      <c r="V896" s="257"/>
    </row>
    <row r="897" spans="7:22" ht="13">
      <c r="G897" s="253"/>
      <c r="H897" s="253"/>
      <c r="I897" s="256"/>
      <c r="J897" s="253"/>
      <c r="K897" s="253"/>
      <c r="L897" s="253"/>
      <c r="M897" s="253"/>
      <c r="N897" s="255"/>
      <c r="O897" s="253"/>
      <c r="P897" s="253"/>
      <c r="Q897" s="253"/>
      <c r="R897" s="253"/>
      <c r="S897" s="257"/>
      <c r="T897" s="257"/>
      <c r="U897" s="257"/>
      <c r="V897" s="257"/>
    </row>
    <row r="898" spans="7:22" ht="13">
      <c r="G898" s="253"/>
      <c r="H898" s="253"/>
      <c r="I898" s="256"/>
      <c r="J898" s="253"/>
      <c r="K898" s="253"/>
      <c r="L898" s="253"/>
      <c r="M898" s="253"/>
      <c r="N898" s="255"/>
      <c r="O898" s="253"/>
      <c r="P898" s="253"/>
      <c r="Q898" s="253"/>
      <c r="R898" s="253"/>
      <c r="S898" s="257"/>
      <c r="T898" s="257"/>
      <c r="U898" s="257"/>
      <c r="V898" s="257"/>
    </row>
    <row r="899" spans="7:22" ht="13">
      <c r="G899" s="253"/>
      <c r="H899" s="253"/>
      <c r="I899" s="256"/>
      <c r="J899" s="253"/>
      <c r="K899" s="253"/>
      <c r="L899" s="253"/>
      <c r="M899" s="253"/>
      <c r="N899" s="255"/>
      <c r="O899" s="253"/>
      <c r="P899" s="253"/>
      <c r="Q899" s="253"/>
      <c r="R899" s="253"/>
      <c r="S899" s="257"/>
      <c r="T899" s="257"/>
      <c r="U899" s="257"/>
      <c r="V899" s="257"/>
    </row>
    <row r="900" spans="7:22" ht="13">
      <c r="G900" s="253"/>
      <c r="H900" s="253"/>
      <c r="I900" s="256"/>
      <c r="J900" s="253"/>
      <c r="K900" s="253"/>
      <c r="L900" s="253"/>
      <c r="M900" s="253"/>
      <c r="N900" s="255"/>
      <c r="O900" s="253"/>
      <c r="P900" s="253"/>
      <c r="Q900" s="253"/>
      <c r="R900" s="253"/>
      <c r="S900" s="257"/>
      <c r="T900" s="257"/>
      <c r="U900" s="257"/>
      <c r="V900" s="257"/>
    </row>
    <row r="901" spans="7:22" ht="13">
      <c r="G901" s="253"/>
      <c r="H901" s="253"/>
      <c r="I901" s="256"/>
      <c r="J901" s="253"/>
      <c r="K901" s="253"/>
      <c r="L901" s="253"/>
      <c r="M901" s="253"/>
      <c r="N901" s="255"/>
      <c r="O901" s="253"/>
      <c r="P901" s="253"/>
      <c r="Q901" s="253"/>
      <c r="R901" s="253"/>
      <c r="S901" s="257"/>
      <c r="T901" s="257"/>
      <c r="U901" s="257"/>
      <c r="V901" s="257"/>
    </row>
    <row r="902" spans="7:22" ht="13">
      <c r="G902" s="253"/>
      <c r="H902" s="253"/>
      <c r="I902" s="256"/>
      <c r="J902" s="253"/>
      <c r="K902" s="253"/>
      <c r="L902" s="253"/>
      <c r="M902" s="253"/>
      <c r="N902" s="255"/>
      <c r="O902" s="253"/>
      <c r="P902" s="253"/>
      <c r="Q902" s="253"/>
      <c r="R902" s="253"/>
      <c r="S902" s="257"/>
      <c r="T902" s="257"/>
      <c r="U902" s="257"/>
      <c r="V902" s="257"/>
    </row>
    <row r="903" spans="7:22" ht="13">
      <c r="G903" s="253"/>
      <c r="H903" s="253"/>
      <c r="I903" s="256"/>
      <c r="J903" s="253"/>
      <c r="K903" s="253"/>
      <c r="L903" s="253"/>
      <c r="M903" s="253"/>
      <c r="N903" s="255"/>
      <c r="O903" s="253"/>
      <c r="P903" s="253"/>
      <c r="Q903" s="253"/>
      <c r="R903" s="253"/>
      <c r="S903" s="257"/>
      <c r="T903" s="257"/>
      <c r="U903" s="257"/>
      <c r="V903" s="257"/>
    </row>
    <row r="904" spans="7:22" ht="13">
      <c r="G904" s="253"/>
      <c r="H904" s="253"/>
      <c r="I904" s="256"/>
      <c r="J904" s="253"/>
      <c r="K904" s="253"/>
      <c r="L904" s="253"/>
      <c r="M904" s="253"/>
      <c r="N904" s="255"/>
      <c r="O904" s="253"/>
      <c r="P904" s="253"/>
      <c r="Q904" s="253"/>
      <c r="R904" s="253"/>
      <c r="S904" s="257"/>
      <c r="T904" s="257"/>
      <c r="U904" s="257"/>
      <c r="V904" s="257"/>
    </row>
    <row r="905" spans="7:22" ht="13">
      <c r="G905" s="253"/>
      <c r="H905" s="253"/>
      <c r="I905" s="256"/>
      <c r="J905" s="253"/>
      <c r="K905" s="253"/>
      <c r="L905" s="253"/>
      <c r="M905" s="253"/>
      <c r="N905" s="255"/>
      <c r="O905" s="253"/>
      <c r="P905" s="253"/>
      <c r="Q905" s="253"/>
      <c r="R905" s="253"/>
      <c r="S905" s="257"/>
      <c r="T905" s="257"/>
      <c r="U905" s="257"/>
      <c r="V905" s="257"/>
    </row>
    <row r="906" spans="7:22" ht="13">
      <c r="G906" s="253"/>
      <c r="H906" s="253"/>
      <c r="I906" s="256"/>
      <c r="J906" s="253"/>
      <c r="K906" s="253"/>
      <c r="L906" s="253"/>
      <c r="M906" s="253"/>
      <c r="N906" s="255"/>
      <c r="O906" s="253"/>
      <c r="P906" s="253"/>
      <c r="Q906" s="253"/>
      <c r="R906" s="253"/>
      <c r="S906" s="257"/>
      <c r="T906" s="257"/>
      <c r="U906" s="257"/>
      <c r="V906" s="257"/>
    </row>
    <row r="907" spans="7:22" ht="13">
      <c r="G907" s="253"/>
      <c r="H907" s="253"/>
      <c r="I907" s="256"/>
      <c r="J907" s="253"/>
      <c r="K907" s="253"/>
      <c r="L907" s="253"/>
      <c r="M907" s="253"/>
      <c r="N907" s="255"/>
      <c r="O907" s="253"/>
      <c r="P907" s="253"/>
      <c r="Q907" s="253"/>
      <c r="R907" s="253"/>
      <c r="S907" s="257"/>
      <c r="T907" s="257"/>
      <c r="U907" s="257"/>
      <c r="V907" s="257"/>
    </row>
    <row r="908" spans="7:22" ht="13">
      <c r="G908" s="253"/>
      <c r="H908" s="253"/>
      <c r="I908" s="256"/>
      <c r="J908" s="253"/>
      <c r="K908" s="253"/>
      <c r="L908" s="253"/>
      <c r="M908" s="253"/>
      <c r="N908" s="255"/>
      <c r="O908" s="253"/>
      <c r="P908" s="253"/>
      <c r="Q908" s="253"/>
      <c r="R908" s="253"/>
      <c r="S908" s="257"/>
      <c r="T908" s="257"/>
      <c r="U908" s="257"/>
      <c r="V908" s="257"/>
    </row>
    <row r="909" spans="9:22" ht="13">
      <c r="I909" s="256"/>
      <c r="J909" s="253"/>
      <c r="K909" s="253"/>
      <c r="L909" s="253"/>
      <c r="M909" s="253"/>
      <c r="N909" s="255"/>
      <c r="O909" s="253"/>
      <c r="P909" s="253"/>
      <c r="Q909" s="253"/>
      <c r="R909" s="253"/>
      <c r="S909" s="257"/>
      <c r="T909" s="257"/>
      <c r="U909" s="257"/>
      <c r="V909" s="257"/>
    </row>
    <row r="910" spans="9:22" ht="13">
      <c r="I910" s="256"/>
      <c r="J910" s="253"/>
      <c r="K910" s="253"/>
      <c r="S910" s="257"/>
      <c r="T910" s="257"/>
      <c r="U910" s="257"/>
      <c r="V910" s="257"/>
    </row>
  </sheetData>
  <sheetProtection sheet="1" formatColumns="0" formatRows="0"/>
  <mergeCells count="45">
    <mergeCell ref="D878:E878"/>
    <mergeCell ref="N879:O879"/>
    <mergeCell ref="P879:Q879"/>
    <mergeCell ref="N876:O876"/>
    <mergeCell ref="P876:Q876"/>
    <mergeCell ref="N877:O877"/>
    <mergeCell ref="P877:Q877"/>
    <mergeCell ref="N878:O878"/>
    <mergeCell ref="P878:Q878"/>
    <mergeCell ref="D876:E876"/>
    <mergeCell ref="L876:M876"/>
    <mergeCell ref="L877:M877"/>
    <mergeCell ref="L878:M878"/>
    <mergeCell ref="L879:M879"/>
    <mergeCell ref="D879:E879"/>
    <mergeCell ref="D664:R664"/>
    <mergeCell ref="E3:R3"/>
    <mergeCell ref="E4:R4"/>
    <mergeCell ref="E5:R5"/>
    <mergeCell ref="D877:E877"/>
    <mergeCell ref="G876:H876"/>
    <mergeCell ref="F877:H877"/>
    <mergeCell ref="V4:W4"/>
    <mergeCell ref="V5:W5"/>
    <mergeCell ref="V3:Z3"/>
    <mergeCell ref="T3:U3"/>
    <mergeCell ref="T10:Z10"/>
    <mergeCell ref="X4:Y4"/>
    <mergeCell ref="X5:Y5"/>
    <mergeCell ref="T874:Z874"/>
    <mergeCell ref="X6:Y6"/>
    <mergeCell ref="X7:Y7"/>
    <mergeCell ref="X8:Y8"/>
    <mergeCell ref="E11:J11"/>
    <mergeCell ref="T11:Z11"/>
    <mergeCell ref="D765:R765"/>
    <mergeCell ref="V6:W6"/>
    <mergeCell ref="V7:W7"/>
    <mergeCell ref="V8:W8"/>
    <mergeCell ref="E6:R6"/>
    <mergeCell ref="E7:R7"/>
    <mergeCell ref="D874:R874"/>
    <mergeCell ref="L10:R10"/>
    <mergeCell ref="L11:R11"/>
    <mergeCell ref="D13:R13"/>
  </mergeCells>
  <conditionalFormatting sqref="O15:O18">
    <cfRule type="expression" priority="343" dxfId="2449">
      <formula>$N$14="Enter Percentages"</formula>
    </cfRule>
    <cfRule type="expression" priority="345" dxfId="2448">
      <formula>$N$14="Enter Dollar Amount"</formula>
    </cfRule>
  </conditionalFormatting>
  <conditionalFormatting sqref="N15:N18">
    <cfRule type="expression" priority="342" dxfId="2449">
      <formula>$N$14="Enter Dollar Amount"</formula>
    </cfRule>
    <cfRule type="expression" priority="344" dxfId="2448">
      <formula>$N$14="Enter Percentages"</formula>
    </cfRule>
  </conditionalFormatting>
  <conditionalFormatting sqref="N15:O18">
    <cfRule type="expression" priority="341" dxfId="2445">
      <formula>$N$14="Drop Plan"</formula>
    </cfRule>
  </conditionalFormatting>
  <conditionalFormatting sqref="O65:O68">
    <cfRule type="expression" priority="338" dxfId="2449">
      <formula>$N$64="Enter Percentages"</formula>
    </cfRule>
    <cfRule type="expression" priority="340" dxfId="2448">
      <formula>$N$64="Enter Dollar Amount"</formula>
    </cfRule>
  </conditionalFormatting>
  <conditionalFormatting sqref="N65:N68">
    <cfRule type="expression" priority="337" dxfId="2449">
      <formula>$N$64="Enter Dollar Amount"</formula>
    </cfRule>
    <cfRule type="expression" priority="339" dxfId="2448">
      <formula>$N$64="Enter Percentages"</formula>
    </cfRule>
  </conditionalFormatting>
  <conditionalFormatting sqref="N65:O68">
    <cfRule type="expression" priority="336" dxfId="2445">
      <formula>$N$64="Drop Plan"</formula>
    </cfRule>
  </conditionalFormatting>
  <conditionalFormatting sqref="O115:O118">
    <cfRule type="expression" priority="323" dxfId="2449">
      <formula>$N$114="Enter Percentages"</formula>
    </cfRule>
    <cfRule type="expression" priority="325" dxfId="2448">
      <formula>$N$114="Enter Dollar Amount"</formula>
    </cfRule>
  </conditionalFormatting>
  <conditionalFormatting sqref="N115:N118">
    <cfRule type="expression" priority="322" dxfId="2449">
      <formula>$N$114="Enter Dollar Amount"</formula>
    </cfRule>
    <cfRule type="expression" priority="324" dxfId="2448">
      <formula>$N$114="Enter Percentages"</formula>
    </cfRule>
  </conditionalFormatting>
  <conditionalFormatting sqref="N115:O118">
    <cfRule type="expression" priority="321" dxfId="2445">
      <formula>$N$114="Drop Plan"</formula>
    </cfRule>
  </conditionalFormatting>
  <conditionalFormatting sqref="W15:W18">
    <cfRule type="expression" priority="318" dxfId="2449">
      <formula>$V$14="Enter Percentages"</formula>
    </cfRule>
    <cfRule type="expression" priority="320" dxfId="2448">
      <formula>$V$14="Enter Dollar Amount"</formula>
    </cfRule>
  </conditionalFormatting>
  <conditionalFormatting sqref="V15:V18">
    <cfRule type="expression" priority="317" dxfId="2449">
      <formula>$V$14="Enter Dollar Amount"</formula>
    </cfRule>
    <cfRule type="expression" priority="319" dxfId="2448">
      <formula>$V$14="Enter Percentages"</formula>
    </cfRule>
  </conditionalFormatting>
  <conditionalFormatting sqref="V15:W18">
    <cfRule type="expression" priority="316" dxfId="2445">
      <formula>$V$14="Drop Plan"</formula>
    </cfRule>
  </conditionalFormatting>
  <conditionalFormatting sqref="W65:W68">
    <cfRule type="expression" priority="313" dxfId="2449">
      <formula>$V$64="Enter Percentages"</formula>
    </cfRule>
    <cfRule type="expression" priority="315" dxfId="2448">
      <formula>$V$64="Enter Dollar Amount"</formula>
    </cfRule>
  </conditionalFormatting>
  <conditionalFormatting sqref="V65:V68">
    <cfRule type="expression" priority="312" dxfId="2449">
      <formula>$V$64="Enter Dollar Amount"</formula>
    </cfRule>
    <cfRule type="expression" priority="314" dxfId="2448">
      <formula>$V$64="Enter Percentages"</formula>
    </cfRule>
  </conditionalFormatting>
  <conditionalFormatting sqref="V65:W68">
    <cfRule type="expression" priority="311" dxfId="2445">
      <formula>$V$64="Drop Plan"</formula>
    </cfRule>
  </conditionalFormatting>
  <conditionalFormatting sqref="W115:W118">
    <cfRule type="expression" priority="308" dxfId="2449">
      <formula>$V$114="Enter Percentages"</formula>
    </cfRule>
    <cfRule type="expression" priority="310" dxfId="2448">
      <formula>$V$114="Enter Dollar Amount"</formula>
    </cfRule>
  </conditionalFormatting>
  <conditionalFormatting sqref="V115:V118">
    <cfRule type="expression" priority="307" dxfId="2449">
      <formula>$V$114="Enter Dollar Amount"</formula>
    </cfRule>
    <cfRule type="expression" priority="309" dxfId="2448">
      <formula>$V$114="Enter Percentages"</formula>
    </cfRule>
  </conditionalFormatting>
  <conditionalFormatting sqref="V115:W118">
    <cfRule type="expression" priority="306" dxfId="2445">
      <formula>$V$114="Drop Plan"</formula>
    </cfRule>
  </conditionalFormatting>
  <conditionalFormatting sqref="O165:O168">
    <cfRule type="expression" priority="303" dxfId="2449">
      <formula>$N$164="Enter Percentages"</formula>
    </cfRule>
    <cfRule type="expression" priority="305" dxfId="2448">
      <formula>$N$164="Enter Dollar Amount"</formula>
    </cfRule>
  </conditionalFormatting>
  <conditionalFormatting sqref="N165:N168">
    <cfRule type="expression" priority="302" dxfId="2449">
      <formula>$N$164="Enter Dollar Amount"</formula>
    </cfRule>
    <cfRule type="expression" priority="304" dxfId="2448">
      <formula>$N$164="Enter Percentages"</formula>
    </cfRule>
  </conditionalFormatting>
  <conditionalFormatting sqref="N165:O168">
    <cfRule type="expression" priority="301" dxfId="2445">
      <formula>$N$164="Drop Plan"</formula>
    </cfRule>
  </conditionalFormatting>
  <conditionalFormatting sqref="W165:W168">
    <cfRule type="expression" priority="298" dxfId="2449">
      <formula>$V$164="Enter Percentages"</formula>
    </cfRule>
    <cfRule type="expression" priority="300" dxfId="2448">
      <formula>$V$164="Enter Dollar Amount"</formula>
    </cfRule>
  </conditionalFormatting>
  <conditionalFormatting sqref="V165:V168">
    <cfRule type="expression" priority="297" dxfId="2449">
      <formula>$V$164="Enter Dollar Amount"</formula>
    </cfRule>
    <cfRule type="expression" priority="299" dxfId="2448">
      <formula>$V$164="Enter Percentages"</formula>
    </cfRule>
  </conditionalFormatting>
  <conditionalFormatting sqref="V165:W168">
    <cfRule type="expression" priority="296" dxfId="2445">
      <formula>$V$164="Drop Plan"</formula>
    </cfRule>
  </conditionalFormatting>
  <conditionalFormatting sqref="O215:O218">
    <cfRule type="expression" priority="293" dxfId="2449">
      <formula>$N$214="Enter Percentages"</formula>
    </cfRule>
    <cfRule type="expression" priority="295" dxfId="2448">
      <formula>$N$214="Enter Dollar Amount"</formula>
    </cfRule>
  </conditionalFormatting>
  <conditionalFormatting sqref="N215:N218">
    <cfRule type="expression" priority="292" dxfId="2449">
      <formula>$N$214="Enter Dollar Amount"</formula>
    </cfRule>
    <cfRule type="expression" priority="294" dxfId="2448">
      <formula>$N$214="Enter Percentages"</formula>
    </cfRule>
  </conditionalFormatting>
  <conditionalFormatting sqref="N215:O218">
    <cfRule type="expression" priority="291" dxfId="2445">
      <formula>$N$214="Drop Plan"</formula>
    </cfRule>
  </conditionalFormatting>
  <conditionalFormatting sqref="W215:W218">
    <cfRule type="expression" priority="288" dxfId="2449">
      <formula>$V$214="Enter Percentages"</formula>
    </cfRule>
    <cfRule type="expression" priority="290" dxfId="2448">
      <formula>$V$214="Enter Dollar Amount"</formula>
    </cfRule>
  </conditionalFormatting>
  <conditionalFormatting sqref="V215:V218">
    <cfRule type="expression" priority="287" dxfId="2449">
      <formula>$V$214="Enter Dollar Amount"</formula>
    </cfRule>
    <cfRule type="expression" priority="289" dxfId="2448">
      <formula>$V$214="Enter Percentages"</formula>
    </cfRule>
  </conditionalFormatting>
  <conditionalFormatting sqref="V215:W218">
    <cfRule type="expression" priority="286" dxfId="2445">
      <formula>$V$214="Drop Plan"</formula>
    </cfRule>
  </conditionalFormatting>
  <conditionalFormatting sqref="O265:O268">
    <cfRule type="expression" priority="283" dxfId="2449">
      <formula>$N$264="Enter Percentages"</formula>
    </cfRule>
    <cfRule type="expression" priority="285" dxfId="2448">
      <formula>$N$264="Enter Dollar Amount"</formula>
    </cfRule>
  </conditionalFormatting>
  <conditionalFormatting sqref="N265:N268">
    <cfRule type="expression" priority="282" dxfId="2449">
      <formula>$N$264="Enter Dollar Amount"</formula>
    </cfRule>
    <cfRule type="expression" priority="284" dxfId="2448">
      <formula>$N$264="Enter Percentages"</formula>
    </cfRule>
  </conditionalFormatting>
  <conditionalFormatting sqref="N265:O268">
    <cfRule type="expression" priority="281" dxfId="2445">
      <formula>$N$264="Drop Plan"</formula>
    </cfRule>
  </conditionalFormatting>
  <conditionalFormatting sqref="W265:W268">
    <cfRule type="expression" priority="278" dxfId="2449">
      <formula>$V$264="Enter Percentages"</formula>
    </cfRule>
    <cfRule type="expression" priority="280" dxfId="2448">
      <formula>$V$264="Enter Dollar Amount"</formula>
    </cfRule>
  </conditionalFormatting>
  <conditionalFormatting sqref="V265:V268">
    <cfRule type="expression" priority="277" dxfId="2449">
      <formula>$V$264="Enter Dollar Amount"</formula>
    </cfRule>
    <cfRule type="expression" priority="279" dxfId="2448">
      <formula>$V$264="Enter Percentages"</formula>
    </cfRule>
  </conditionalFormatting>
  <conditionalFormatting sqref="V265:W268">
    <cfRule type="expression" priority="276" dxfId="2445">
      <formula>$V$264="Drop Plan"</formula>
    </cfRule>
  </conditionalFormatting>
  <conditionalFormatting sqref="O315:O318">
    <cfRule type="expression" priority="273" dxfId="2449">
      <formula>$N$314="Enter Percentages"</formula>
    </cfRule>
    <cfRule type="expression" priority="275" dxfId="2448">
      <formula>$N$314="Enter Dollar Amount"</formula>
    </cfRule>
  </conditionalFormatting>
  <conditionalFormatting sqref="N315:N318">
    <cfRule type="expression" priority="272" dxfId="2449">
      <formula>$N$314="Enter Dollar Amount"</formula>
    </cfRule>
    <cfRule type="expression" priority="274" dxfId="2448">
      <formula>$N$314="Enter Percentages"</formula>
    </cfRule>
  </conditionalFormatting>
  <conditionalFormatting sqref="N315:O318">
    <cfRule type="expression" priority="271" dxfId="2445">
      <formula>$N$314="Drop Plan"</formula>
    </cfRule>
  </conditionalFormatting>
  <conditionalFormatting sqref="W315:W318">
    <cfRule type="expression" priority="268" dxfId="2449">
      <formula>$V$314="Enter Percentages"</formula>
    </cfRule>
    <cfRule type="expression" priority="270" dxfId="2448">
      <formula>$V$314="Enter Dollar Amount"</formula>
    </cfRule>
  </conditionalFormatting>
  <conditionalFormatting sqref="V315:V318">
    <cfRule type="expression" priority="267" dxfId="2449">
      <formula>$V$314="Enter Dollar Amount"</formula>
    </cfRule>
    <cfRule type="expression" priority="269" dxfId="2448">
      <formula>$V$314="Enter Percentages"</formula>
    </cfRule>
  </conditionalFormatting>
  <conditionalFormatting sqref="V315:W318">
    <cfRule type="expression" priority="266" dxfId="2445">
      <formula>$V$314="Drop Plan"</formula>
    </cfRule>
  </conditionalFormatting>
  <conditionalFormatting sqref="O365:O368">
    <cfRule type="expression" priority="263" dxfId="2449">
      <formula>$N$364="Enter Percentages"</formula>
    </cfRule>
    <cfRule type="expression" priority="265" dxfId="2448">
      <formula>$N$364="Enter Dollar Amount"</formula>
    </cfRule>
  </conditionalFormatting>
  <conditionalFormatting sqref="N365:N368">
    <cfRule type="expression" priority="262" dxfId="2449">
      <formula>$N$364="Enter Dollar Amount"</formula>
    </cfRule>
    <cfRule type="expression" priority="264" dxfId="2448">
      <formula>$N$364="Enter Percentages"</formula>
    </cfRule>
  </conditionalFormatting>
  <conditionalFormatting sqref="N365:O368">
    <cfRule type="expression" priority="261" dxfId="2445">
      <formula>$N$364="Drop Plan"</formula>
    </cfRule>
  </conditionalFormatting>
  <conditionalFormatting sqref="W365:W368">
    <cfRule type="expression" priority="258" dxfId="2449">
      <formula>$V$364="Enter Percentages"</formula>
    </cfRule>
    <cfRule type="expression" priority="260" dxfId="2448">
      <formula>$V$364="Enter Dollar Amount"</formula>
    </cfRule>
  </conditionalFormatting>
  <conditionalFormatting sqref="V365:V368">
    <cfRule type="expression" priority="257" dxfId="2449">
      <formula>$V$364="Enter Dollar Amount"</formula>
    </cfRule>
    <cfRule type="expression" priority="259" dxfId="2448">
      <formula>$V$364="Enter Percentages"</formula>
    </cfRule>
  </conditionalFormatting>
  <conditionalFormatting sqref="V365:W368">
    <cfRule type="expression" priority="256" dxfId="2445">
      <formula>$V$364="Drop Plan"</formula>
    </cfRule>
  </conditionalFormatting>
  <conditionalFormatting sqref="O415:O418">
    <cfRule type="expression" priority="253" dxfId="2449">
      <formula>$N$414="Enter Percentages"</formula>
    </cfRule>
    <cfRule type="expression" priority="255" dxfId="2448">
      <formula>$N$414="Enter Dollar Amount"</formula>
    </cfRule>
  </conditionalFormatting>
  <conditionalFormatting sqref="N415:N418">
    <cfRule type="expression" priority="252" dxfId="2449">
      <formula>$N$414="Enter Dollar Amount"</formula>
    </cfRule>
    <cfRule type="expression" priority="254" dxfId="2448">
      <formula>$N$414="Enter Percentages"</formula>
    </cfRule>
  </conditionalFormatting>
  <conditionalFormatting sqref="N415:O418">
    <cfRule type="expression" priority="251" dxfId="2445">
      <formula>$N$414="Drop Plan"</formula>
    </cfRule>
  </conditionalFormatting>
  <conditionalFormatting sqref="W415:W418">
    <cfRule type="expression" priority="248" dxfId="2449">
      <formula>$V$414="Enter Percentages"</formula>
    </cfRule>
    <cfRule type="expression" priority="250" dxfId="2448">
      <formula>$V$414="Enter Dollar Amount"</formula>
    </cfRule>
  </conditionalFormatting>
  <conditionalFormatting sqref="V415:V418">
    <cfRule type="expression" priority="247" dxfId="2449">
      <formula>$V$414="Enter Dollar Amount"</formula>
    </cfRule>
    <cfRule type="expression" priority="249" dxfId="2448">
      <formula>$V$414="Enter Percentages"</formula>
    </cfRule>
  </conditionalFormatting>
  <conditionalFormatting sqref="V415:W418">
    <cfRule type="expression" priority="246" dxfId="2445">
      <formula>$V$414="Drop Plan"</formula>
    </cfRule>
  </conditionalFormatting>
  <conditionalFormatting sqref="O465:O468">
    <cfRule type="expression" priority="243" dxfId="2449">
      <formula>$N$464="Enter Percentages"</formula>
    </cfRule>
    <cfRule type="expression" priority="245" dxfId="2448">
      <formula>$N$464="Enter Dollar Amount"</formula>
    </cfRule>
  </conditionalFormatting>
  <conditionalFormatting sqref="N465:N468">
    <cfRule type="expression" priority="242" dxfId="2449">
      <formula>$N$464="Enter Dollar Amount"</formula>
    </cfRule>
    <cfRule type="expression" priority="244" dxfId="2448">
      <formula>$N$464="Enter Percentages"</formula>
    </cfRule>
  </conditionalFormatting>
  <conditionalFormatting sqref="N465:O468">
    <cfRule type="expression" priority="241" dxfId="2445">
      <formula>$N$464="Drop Plan"</formula>
    </cfRule>
  </conditionalFormatting>
  <conditionalFormatting sqref="W465:W468">
    <cfRule type="expression" priority="238" dxfId="2449">
      <formula>$V$464="Enter Percentages"</formula>
    </cfRule>
    <cfRule type="expression" priority="240" dxfId="2448">
      <formula>$V$464="Enter Dollar Amount"</formula>
    </cfRule>
  </conditionalFormatting>
  <conditionalFormatting sqref="V465:V468">
    <cfRule type="expression" priority="237" dxfId="2449">
      <formula>$V$464="Enter Dollar Amount"</formula>
    </cfRule>
    <cfRule type="expression" priority="239" dxfId="2448">
      <formula>$V$464="Enter Percentages"</formula>
    </cfRule>
  </conditionalFormatting>
  <conditionalFormatting sqref="V465:W468">
    <cfRule type="expression" priority="236" dxfId="2445">
      <formula>$V$464="Drop Plan"</formula>
    </cfRule>
  </conditionalFormatting>
  <conditionalFormatting sqref="O515:O518">
    <cfRule type="expression" priority="233" dxfId="2449">
      <formula>$N$514="Enter Percentages"</formula>
    </cfRule>
    <cfRule type="expression" priority="235" dxfId="2448">
      <formula>$N$514="Enter Dollar Amount"</formula>
    </cfRule>
  </conditionalFormatting>
  <conditionalFormatting sqref="N515:N518">
    <cfRule type="expression" priority="232" dxfId="2449">
      <formula>$N$514="Enter Dollar Amount"</formula>
    </cfRule>
    <cfRule type="expression" priority="234" dxfId="2448">
      <formula>$N$514="Enter Percentages"</formula>
    </cfRule>
  </conditionalFormatting>
  <conditionalFormatting sqref="N515:O518">
    <cfRule type="expression" priority="231" dxfId="2445">
      <formula>$N$514="Drop Plan"</formula>
    </cfRule>
  </conditionalFormatting>
  <conditionalFormatting sqref="W515:W518">
    <cfRule type="expression" priority="228" dxfId="2449">
      <formula>$V$514="Enter Percentages"</formula>
    </cfRule>
    <cfRule type="expression" priority="230" dxfId="2448">
      <formula>$V$514="Enter Dollar Amount"</formula>
    </cfRule>
  </conditionalFormatting>
  <conditionalFormatting sqref="V515:V518">
    <cfRule type="expression" priority="227" dxfId="2449">
      <formula>$V$514="Enter Dollar Amount"</formula>
    </cfRule>
    <cfRule type="expression" priority="229" dxfId="2448">
      <formula>$V$514="Enter Percentages"</formula>
    </cfRule>
  </conditionalFormatting>
  <conditionalFormatting sqref="V515:W518">
    <cfRule type="expression" priority="226" dxfId="2445">
      <formula>$V$514="Drop Plan"</formula>
    </cfRule>
  </conditionalFormatting>
  <conditionalFormatting sqref="O565:O568">
    <cfRule type="expression" priority="223" dxfId="2449">
      <formula>$N$564="Enter Percentages"</formula>
    </cfRule>
    <cfRule type="expression" priority="225" dxfId="2448">
      <formula>$N$564="Enter Dollar Amount"</formula>
    </cfRule>
  </conditionalFormatting>
  <conditionalFormatting sqref="N565:N568">
    <cfRule type="expression" priority="222" dxfId="2449">
      <formula>$N$564="Enter Dollar Amount"</formula>
    </cfRule>
    <cfRule type="expression" priority="224" dxfId="2448">
      <formula>$N$564="Enter Percentages"</formula>
    </cfRule>
  </conditionalFormatting>
  <conditionalFormatting sqref="N565:O568">
    <cfRule type="expression" priority="221" dxfId="2445">
      <formula>$N$564="Drop Plan"</formula>
    </cfRule>
  </conditionalFormatting>
  <conditionalFormatting sqref="W565:W568">
    <cfRule type="expression" priority="218" dxfId="2449">
      <formula>$V$564="Enter Percentages"</formula>
    </cfRule>
    <cfRule type="expression" priority="220" dxfId="2448">
      <formula>$V$564="Enter Dollar Amount"</formula>
    </cfRule>
  </conditionalFormatting>
  <conditionalFormatting sqref="V565:V568">
    <cfRule type="expression" priority="217" dxfId="2449">
      <formula>$V$564="Enter Dollar Amount"</formula>
    </cfRule>
    <cfRule type="expression" priority="219" dxfId="2448">
      <formula>$V$564="Enter Percentages"</formula>
    </cfRule>
  </conditionalFormatting>
  <conditionalFormatting sqref="V565:W568">
    <cfRule type="expression" priority="216" dxfId="2445">
      <formula>$V$564="Drop Plan"</formula>
    </cfRule>
  </conditionalFormatting>
  <conditionalFormatting sqref="O615:O618">
    <cfRule type="expression" priority="213" dxfId="2449">
      <formula>$N$614="Enter Percentages"</formula>
    </cfRule>
    <cfRule type="expression" priority="215" dxfId="2448">
      <formula>$N$614="Enter Dollar Amount"</formula>
    </cfRule>
  </conditionalFormatting>
  <conditionalFormatting sqref="N615:N618">
    <cfRule type="expression" priority="212" dxfId="2449">
      <formula>$N$614="Enter Dollar Amount"</formula>
    </cfRule>
    <cfRule type="expression" priority="214" dxfId="2448">
      <formula>$N$614="Enter Percentages"</formula>
    </cfRule>
  </conditionalFormatting>
  <conditionalFormatting sqref="N615:O618">
    <cfRule type="expression" priority="211" dxfId="2445">
      <formula>$N$614="Drop Plan"</formula>
    </cfRule>
  </conditionalFormatting>
  <conditionalFormatting sqref="W615:W618">
    <cfRule type="expression" priority="208" dxfId="2449">
      <formula>$V$614="Enter Percentages"</formula>
    </cfRule>
    <cfRule type="expression" priority="210" dxfId="2448">
      <formula>$V$614="Enter Dollar Amount"</formula>
    </cfRule>
  </conditionalFormatting>
  <conditionalFormatting sqref="V615:V618">
    <cfRule type="expression" priority="207" dxfId="2449">
      <formula>$V$614="Enter Dollar Amount"</formula>
    </cfRule>
    <cfRule type="expression" priority="209" dxfId="2448">
      <formula>$V$614="Enter Percentages"</formula>
    </cfRule>
  </conditionalFormatting>
  <conditionalFormatting sqref="V615:W618">
    <cfRule type="expression" priority="206" dxfId="2445">
      <formula>$V$614="Drop Plan"</formula>
    </cfRule>
  </conditionalFormatting>
  <conditionalFormatting sqref="O666:O669">
    <cfRule type="expression" priority="203" dxfId="2449">
      <formula>$N$665="Enter Percentages"</formula>
    </cfRule>
    <cfRule type="expression" priority="205" dxfId="2448">
      <formula>$N$665="Enter Dollar Amount"</formula>
    </cfRule>
  </conditionalFormatting>
  <conditionalFormatting sqref="N666:N669">
    <cfRule type="expression" priority="202" dxfId="2449">
      <formula>$N$665="Enter Dollar Amount"</formula>
    </cfRule>
    <cfRule type="expression" priority="204" dxfId="2448">
      <formula>$N$665="Enter Percentages"</formula>
    </cfRule>
  </conditionalFormatting>
  <conditionalFormatting sqref="N666:O669">
    <cfRule type="expression" priority="201" dxfId="2445">
      <formula>$N$665="Drop Plan"</formula>
    </cfRule>
  </conditionalFormatting>
  <conditionalFormatting sqref="W666:W669">
    <cfRule type="expression" priority="198" dxfId="2449">
      <formula>$V$665="Enter Percentages"</formula>
    </cfRule>
    <cfRule type="expression" priority="200" dxfId="2448">
      <formula>$V$665="Enter Dollar Amount"</formula>
    </cfRule>
  </conditionalFormatting>
  <conditionalFormatting sqref="V666:V669">
    <cfRule type="expression" priority="197" dxfId="2449">
      <formula>$V$665="Enter Dollar Amount"</formula>
    </cfRule>
    <cfRule type="expression" priority="199" dxfId="2448">
      <formula>$V$665="Enter Percentages"</formula>
    </cfRule>
  </conditionalFormatting>
  <conditionalFormatting sqref="V666:W669">
    <cfRule type="expression" priority="196" dxfId="2445">
      <formula>$V$665="Drop Plan"</formula>
    </cfRule>
  </conditionalFormatting>
  <conditionalFormatting sqref="O676:O679">
    <cfRule type="expression" priority="193" dxfId="2449">
      <formula>$N$675="Enter Percentages"</formula>
    </cfRule>
    <cfRule type="expression" priority="195" dxfId="2448">
      <formula>$N$675="Enter Dollar Amount"</formula>
    </cfRule>
  </conditionalFormatting>
  <conditionalFormatting sqref="N676:N679">
    <cfRule type="expression" priority="192" dxfId="2449">
      <formula>$N$675="Enter Dollar Amount"</formula>
    </cfRule>
    <cfRule type="expression" priority="194" dxfId="2448">
      <formula>$N$675="Enter Percentages"</formula>
    </cfRule>
  </conditionalFormatting>
  <conditionalFormatting sqref="N676:O679">
    <cfRule type="expression" priority="191" dxfId="2445">
      <formula>$N$675="Drop Plan"</formula>
    </cfRule>
  </conditionalFormatting>
  <conditionalFormatting sqref="W676:W679">
    <cfRule type="expression" priority="188" dxfId="2449">
      <formula>$V$675="Enter Percentages"</formula>
    </cfRule>
    <cfRule type="expression" priority="190" dxfId="2448">
      <formula>$V$675="Enter Dollar Amount"</formula>
    </cfRule>
  </conditionalFormatting>
  <conditionalFormatting sqref="V676:V679">
    <cfRule type="expression" priority="187" dxfId="2449">
      <formula>$V$675="Enter Dollar Amount"</formula>
    </cfRule>
    <cfRule type="expression" priority="189" dxfId="2448">
      <formula>$V$675="Enter Percentages"</formula>
    </cfRule>
  </conditionalFormatting>
  <conditionalFormatting sqref="V676:W679">
    <cfRule type="expression" priority="186" dxfId="2445">
      <formula>$V$675="Drop Plan"</formula>
    </cfRule>
  </conditionalFormatting>
  <conditionalFormatting sqref="O686:O689">
    <cfRule type="expression" priority="183" dxfId="2449">
      <formula>$N$685="Enter Percentages"</formula>
    </cfRule>
    <cfRule type="expression" priority="185" dxfId="2448">
      <formula>$N$685="Enter Dollar Amount"</formula>
    </cfRule>
  </conditionalFormatting>
  <conditionalFormatting sqref="N686:N689">
    <cfRule type="expression" priority="182" dxfId="2449">
      <formula>$N$685="Enter Dollar Amount"</formula>
    </cfRule>
    <cfRule type="expression" priority="184" dxfId="2448">
      <formula>$N$685="Enter Percentages"</formula>
    </cfRule>
  </conditionalFormatting>
  <conditionalFormatting sqref="N686:O689">
    <cfRule type="expression" priority="181" dxfId="2445">
      <formula>$N$685="Drop Plan"</formula>
    </cfRule>
  </conditionalFormatting>
  <conditionalFormatting sqref="W686:W689">
    <cfRule type="expression" priority="178" dxfId="2449">
      <formula>$V$685="Enter Percentages"</formula>
    </cfRule>
    <cfRule type="expression" priority="180" dxfId="2448">
      <formula>$V$685="Enter Dollar Amount"</formula>
    </cfRule>
  </conditionalFormatting>
  <conditionalFormatting sqref="V686:V689">
    <cfRule type="expression" priority="177" dxfId="2449">
      <formula>$V$685="Enter Dollar Amount"</formula>
    </cfRule>
    <cfRule type="expression" priority="179" dxfId="2448">
      <formula>$V$685="Enter Percentages"</formula>
    </cfRule>
  </conditionalFormatting>
  <conditionalFormatting sqref="V686:W689">
    <cfRule type="expression" priority="176" dxfId="2445">
      <formula>$V$685="Drop Plan"</formula>
    </cfRule>
  </conditionalFormatting>
  <conditionalFormatting sqref="O696:O699">
    <cfRule type="expression" priority="173" dxfId="2449">
      <formula>$N$695="Enter Percentages"</formula>
    </cfRule>
    <cfRule type="expression" priority="175" dxfId="2448">
      <formula>$N$695="Enter Dollar Amount"</formula>
    </cfRule>
  </conditionalFormatting>
  <conditionalFormatting sqref="N696:N699">
    <cfRule type="expression" priority="172" dxfId="2449">
      <formula>$N$695="Enter Dollar Amount"</formula>
    </cfRule>
    <cfRule type="expression" priority="174" dxfId="2448">
      <formula>$N$695="Enter Percentages"</formula>
    </cfRule>
  </conditionalFormatting>
  <conditionalFormatting sqref="N696:O699">
    <cfRule type="expression" priority="171" dxfId="2445">
      <formula>$N$695="Drop Plan"</formula>
    </cfRule>
  </conditionalFormatting>
  <conditionalFormatting sqref="W696:W699">
    <cfRule type="expression" priority="168" dxfId="2449">
      <formula>$V$695="Enter Percentages"</formula>
    </cfRule>
    <cfRule type="expression" priority="170" dxfId="2448">
      <formula>$V$695="Enter Dollar Amount"</formula>
    </cfRule>
  </conditionalFormatting>
  <conditionalFormatting sqref="V696:V699">
    <cfRule type="expression" priority="167" dxfId="2449">
      <formula>$V$695="Enter Dollar Amount"</formula>
    </cfRule>
    <cfRule type="expression" priority="169" dxfId="2448">
      <formula>$V$695="Enter Percentages"</formula>
    </cfRule>
  </conditionalFormatting>
  <conditionalFormatting sqref="V696:W699">
    <cfRule type="expression" priority="166" dxfId="2445">
      <formula>$V$695="Drop Plan"</formula>
    </cfRule>
  </conditionalFormatting>
  <conditionalFormatting sqref="O706:O709">
    <cfRule type="expression" priority="163" dxfId="2449">
      <formula>$N$705="Enter Percentages"</formula>
    </cfRule>
    <cfRule type="expression" priority="165" dxfId="2448">
      <formula>$N$705="Enter Dollar Amount"</formula>
    </cfRule>
  </conditionalFormatting>
  <conditionalFormatting sqref="N706:N709">
    <cfRule type="expression" priority="162" dxfId="2449">
      <formula>$N$705="Enter Dollar Amount"</formula>
    </cfRule>
    <cfRule type="expression" priority="164" dxfId="2448">
      <formula>$N$705="Enter Percentages"</formula>
    </cfRule>
  </conditionalFormatting>
  <conditionalFormatting sqref="N706:O709">
    <cfRule type="expression" priority="161" dxfId="2445">
      <formula>$N$705="Drop Plan"</formula>
    </cfRule>
  </conditionalFormatting>
  <conditionalFormatting sqref="W706:W709">
    <cfRule type="expression" priority="158" dxfId="2449">
      <formula>$V$705="Enter Percentages"</formula>
    </cfRule>
    <cfRule type="expression" priority="160" dxfId="2448">
      <formula>$V$705="Enter Dollar Amount"</formula>
    </cfRule>
  </conditionalFormatting>
  <conditionalFormatting sqref="V706:V709">
    <cfRule type="expression" priority="157" dxfId="2449">
      <formula>$V$705="Enter Dollar Amount"</formula>
    </cfRule>
    <cfRule type="expression" priority="159" dxfId="2448">
      <formula>$V$705="Enter Percentages"</formula>
    </cfRule>
  </conditionalFormatting>
  <conditionalFormatting sqref="V706:W709">
    <cfRule type="expression" priority="156" dxfId="2445">
      <formula>$V$705="Drop Plan"</formula>
    </cfRule>
  </conditionalFormatting>
  <conditionalFormatting sqref="O716:O719">
    <cfRule type="expression" priority="153" dxfId="2449">
      <formula>$N$715="Enter Percentages"</formula>
    </cfRule>
    <cfRule type="expression" priority="155" dxfId="2448">
      <formula>$N$715="Enter Dollar Amount"</formula>
    </cfRule>
  </conditionalFormatting>
  <conditionalFormatting sqref="N716:N719">
    <cfRule type="expression" priority="152" dxfId="2449">
      <formula>$N$715="Enter Dollar Amount"</formula>
    </cfRule>
    <cfRule type="expression" priority="154" dxfId="2448">
      <formula>$N$715="Enter Percentages"</formula>
    </cfRule>
  </conditionalFormatting>
  <conditionalFormatting sqref="N716:O719">
    <cfRule type="expression" priority="151" dxfId="2445">
      <formula>$N$715="Drop Plan"</formula>
    </cfRule>
  </conditionalFormatting>
  <conditionalFormatting sqref="W716:W719">
    <cfRule type="expression" priority="148" dxfId="2449">
      <formula>$V$715="Enter Percentages"</formula>
    </cfRule>
    <cfRule type="expression" priority="150" dxfId="2448">
      <formula>$V$715="Enter Dollar Amount"</formula>
    </cfRule>
  </conditionalFormatting>
  <conditionalFormatting sqref="V716:V719">
    <cfRule type="expression" priority="147" dxfId="2449">
      <formula>$V$715="Enter Dollar Amount"</formula>
    </cfRule>
    <cfRule type="expression" priority="149" dxfId="2448">
      <formula>$V$715="Enter Percentages"</formula>
    </cfRule>
  </conditionalFormatting>
  <conditionalFormatting sqref="V716:W719">
    <cfRule type="expression" priority="146" dxfId="2445">
      <formula>$V$715="Drop Plan"</formula>
    </cfRule>
  </conditionalFormatting>
  <conditionalFormatting sqref="O726:O729">
    <cfRule type="expression" priority="143" dxfId="2449">
      <formula>$N$725="Enter Percentages"</formula>
    </cfRule>
    <cfRule type="expression" priority="145" dxfId="2448">
      <formula>$N$725="Enter Dollar Amount"</formula>
    </cfRule>
  </conditionalFormatting>
  <conditionalFormatting sqref="N726:N729">
    <cfRule type="expression" priority="142" dxfId="2449">
      <formula>$N$725="Enter Dollar Amount"</formula>
    </cfRule>
    <cfRule type="expression" priority="144" dxfId="2448">
      <formula>$N$725="Enter Percentages"</formula>
    </cfRule>
  </conditionalFormatting>
  <conditionalFormatting sqref="N726:O729">
    <cfRule type="expression" priority="141" dxfId="2445">
      <formula>$N$725="Drop Plan"</formula>
    </cfRule>
  </conditionalFormatting>
  <conditionalFormatting sqref="W726:W729">
    <cfRule type="expression" priority="138" dxfId="2449">
      <formula>$V$725="Enter Percentages"</formula>
    </cfRule>
    <cfRule type="expression" priority="140" dxfId="2448">
      <formula>$V$725="Enter Dollar Amount"</formula>
    </cfRule>
  </conditionalFormatting>
  <conditionalFormatting sqref="V726:V729">
    <cfRule type="expression" priority="137" dxfId="2449">
      <formula>$V$725="Enter Dollar Amount"</formula>
    </cfRule>
    <cfRule type="expression" priority="139" dxfId="2448">
      <formula>$V$725="Enter Percentages"</formula>
    </cfRule>
  </conditionalFormatting>
  <conditionalFormatting sqref="V726:W729">
    <cfRule type="expression" priority="136" dxfId="2445">
      <formula>$V$725="Drop Plan"</formula>
    </cfRule>
  </conditionalFormatting>
  <conditionalFormatting sqref="O736:O739">
    <cfRule type="expression" priority="133" dxfId="2449">
      <formula>$N$735="Enter Percentages"</formula>
    </cfRule>
    <cfRule type="expression" priority="135" dxfId="2448">
      <formula>$N$735="Enter Dollar Amount"</formula>
    </cfRule>
  </conditionalFormatting>
  <conditionalFormatting sqref="N736:N739">
    <cfRule type="expression" priority="132" dxfId="2449">
      <formula>$N$735="Enter Dollar Amount"</formula>
    </cfRule>
    <cfRule type="expression" priority="134" dxfId="2448">
      <formula>$N$735="Enter Percentages"</formula>
    </cfRule>
  </conditionalFormatting>
  <conditionalFormatting sqref="N736:O739">
    <cfRule type="expression" priority="131" dxfId="2445">
      <formula>$N$735="Drop Plan"</formula>
    </cfRule>
  </conditionalFormatting>
  <conditionalFormatting sqref="W736:W739">
    <cfRule type="expression" priority="128" dxfId="2449">
      <formula>$V$735="Enter Percentages"</formula>
    </cfRule>
    <cfRule type="expression" priority="130" dxfId="2448">
      <formula>$V$735="Enter Dollar Amount"</formula>
    </cfRule>
  </conditionalFormatting>
  <conditionalFormatting sqref="V736:V739">
    <cfRule type="expression" priority="127" dxfId="2449">
      <formula>$V$735="Enter Dollar Amount"</formula>
    </cfRule>
    <cfRule type="expression" priority="129" dxfId="2448">
      <formula>$V$735="Enter Percentages"</formula>
    </cfRule>
  </conditionalFormatting>
  <conditionalFormatting sqref="V736:W739">
    <cfRule type="expression" priority="126" dxfId="2445">
      <formula>$V$735="Drop Plan"</formula>
    </cfRule>
  </conditionalFormatting>
  <conditionalFormatting sqref="O746:O749">
    <cfRule type="expression" priority="123" dxfId="2449">
      <formula>$N$745="Enter Percentages"</formula>
    </cfRule>
    <cfRule type="expression" priority="125" dxfId="2448">
      <formula>$N$745="Enter Dollar Amount"</formula>
    </cfRule>
  </conditionalFormatting>
  <conditionalFormatting sqref="N746:N749">
    <cfRule type="expression" priority="122" dxfId="2449">
      <formula>$N$745="Enter Dollar Amount"</formula>
    </cfRule>
    <cfRule type="expression" priority="124" dxfId="2448">
      <formula>$N$745="Enter Percentages"</formula>
    </cfRule>
  </conditionalFormatting>
  <conditionalFormatting sqref="N746:O749">
    <cfRule type="expression" priority="121" dxfId="2445">
      <formula>$N$745="Drop Plan"</formula>
    </cfRule>
  </conditionalFormatting>
  <conditionalFormatting sqref="W746:W749">
    <cfRule type="expression" priority="118" dxfId="2449">
      <formula>$V$745="Enter Percentages"</formula>
    </cfRule>
    <cfRule type="expression" priority="120" dxfId="2448">
      <formula>$V$745="Enter Dollar Amount"</formula>
    </cfRule>
  </conditionalFormatting>
  <conditionalFormatting sqref="V746:V749">
    <cfRule type="expression" priority="117" dxfId="2449">
      <formula>$V$745="Enter Dollar Amount"</formula>
    </cfRule>
    <cfRule type="expression" priority="119" dxfId="2448">
      <formula>$V$745="Enter Percentages"</formula>
    </cfRule>
  </conditionalFormatting>
  <conditionalFormatting sqref="V746:W749">
    <cfRule type="expression" priority="116" dxfId="2445">
      <formula>$V$745="Drop Plan"</formula>
    </cfRule>
  </conditionalFormatting>
  <conditionalFormatting sqref="O756:O759">
    <cfRule type="expression" priority="108" dxfId="2449">
      <formula>$N$755="Enter Percentages"</formula>
    </cfRule>
    <cfRule type="expression" priority="110" dxfId="2448">
      <formula>$N$755="Enter Dollar Amount"</formula>
    </cfRule>
  </conditionalFormatting>
  <conditionalFormatting sqref="N756:N759">
    <cfRule type="expression" priority="107" dxfId="2449">
      <formula>$N$755="Enter Dollar Amount"</formula>
    </cfRule>
    <cfRule type="expression" priority="109" dxfId="2448">
      <formula>$N$755="Enter Percentages"</formula>
    </cfRule>
  </conditionalFormatting>
  <conditionalFormatting sqref="N756:O759">
    <cfRule type="expression" priority="106" dxfId="2445">
      <formula>$N$755="Drop Plan"</formula>
    </cfRule>
  </conditionalFormatting>
  <conditionalFormatting sqref="W756:W759">
    <cfRule type="expression" priority="103" dxfId="2449">
      <formula>$V$755="Enter Percentages"</formula>
    </cfRule>
    <cfRule type="expression" priority="105" dxfId="2448">
      <formula>$V$755="Enter Dollar Amount"</formula>
    </cfRule>
  </conditionalFormatting>
  <conditionalFormatting sqref="V756:V759">
    <cfRule type="expression" priority="102" dxfId="2449">
      <formula>$V$755="Enter Dollar Amount"</formula>
    </cfRule>
    <cfRule type="expression" priority="104" dxfId="2448">
      <formula>$V$755="Enter Percentages"</formula>
    </cfRule>
  </conditionalFormatting>
  <conditionalFormatting sqref="V756:W759">
    <cfRule type="expression" priority="101" dxfId="2445">
      <formula>$V$755="Drop Plan"</formula>
    </cfRule>
  </conditionalFormatting>
  <conditionalFormatting sqref="O767:O770">
    <cfRule type="expression" priority="98" dxfId="2449">
      <formula>$N$766="Enter Percentages"</formula>
    </cfRule>
    <cfRule type="expression" priority="100" dxfId="2448">
      <formula>$N$766="Enter Dollar Amount"</formula>
    </cfRule>
  </conditionalFormatting>
  <conditionalFormatting sqref="N767:N770">
    <cfRule type="expression" priority="97" dxfId="2449">
      <formula>$N$766="Enter Dollar Amount"</formula>
    </cfRule>
    <cfRule type="expression" priority="99" dxfId="2448">
      <formula>$N$766="Enter Percentages"</formula>
    </cfRule>
  </conditionalFormatting>
  <conditionalFormatting sqref="N767:O770">
    <cfRule type="expression" priority="96" dxfId="2445">
      <formula>$N$766="Drop Plan"</formula>
    </cfRule>
  </conditionalFormatting>
  <conditionalFormatting sqref="W767:W770">
    <cfRule type="expression" priority="93" dxfId="2449">
      <formula>$V$766="Enter Percentages"</formula>
    </cfRule>
    <cfRule type="expression" priority="95" dxfId="2448">
      <formula>$V$766="Enter Dollar Amount"</formula>
    </cfRule>
  </conditionalFormatting>
  <conditionalFormatting sqref="V767:V770">
    <cfRule type="expression" priority="92" dxfId="2449">
      <formula>$V$766="Enter Dollar Amount"</formula>
    </cfRule>
    <cfRule type="expression" priority="94" dxfId="2448">
      <formula>$V$766="Enter Percentages"</formula>
    </cfRule>
  </conditionalFormatting>
  <conditionalFormatting sqref="V767:W770">
    <cfRule type="expression" priority="91" dxfId="2445">
      <formula>$V$766="Drop Plan"</formula>
    </cfRule>
  </conditionalFormatting>
  <conditionalFormatting sqref="O777:O780">
    <cfRule type="expression" priority="88" dxfId="2449">
      <formula>$N$776="Enter Percentages"</formula>
    </cfRule>
    <cfRule type="expression" priority="90" dxfId="2448">
      <formula>$N$776="Enter Dollar Amount"</formula>
    </cfRule>
  </conditionalFormatting>
  <conditionalFormatting sqref="N777:N780">
    <cfRule type="expression" priority="87" dxfId="2449">
      <formula>$N$776="Enter Dollar Amount"</formula>
    </cfRule>
    <cfRule type="expression" priority="89" dxfId="2448">
      <formula>$N$776="Enter Percentages"</formula>
    </cfRule>
  </conditionalFormatting>
  <conditionalFormatting sqref="N777:O780">
    <cfRule type="expression" priority="86" dxfId="2445">
      <formula>$N$776="Drop Plan"</formula>
    </cfRule>
  </conditionalFormatting>
  <conditionalFormatting sqref="W777:W780">
    <cfRule type="expression" priority="83" dxfId="2449">
      <formula>$V$776="Enter Percentages"</formula>
    </cfRule>
    <cfRule type="expression" priority="85" dxfId="2448">
      <formula>$V$776="Enter Dollar Amount"</formula>
    </cfRule>
  </conditionalFormatting>
  <conditionalFormatting sqref="V777:V780">
    <cfRule type="expression" priority="82" dxfId="2449">
      <formula>$V$776="Enter Dollar Amount"</formula>
    </cfRule>
    <cfRule type="expression" priority="84" dxfId="2448">
      <formula>$V$776="Enter Percentages"</formula>
    </cfRule>
  </conditionalFormatting>
  <conditionalFormatting sqref="V777:W780">
    <cfRule type="expression" priority="81" dxfId="2445">
      <formula>$V$776="Drop Plan"</formula>
    </cfRule>
  </conditionalFormatting>
  <conditionalFormatting sqref="O787:O790">
    <cfRule type="expression" priority="78" dxfId="2449">
      <formula>$N$786="Enter Percentages"</formula>
    </cfRule>
    <cfRule type="expression" priority="80" dxfId="2448">
      <formula>$N$786="Enter Dollar Amount"</formula>
    </cfRule>
  </conditionalFormatting>
  <conditionalFormatting sqref="N787:N790">
    <cfRule type="expression" priority="77" dxfId="2449">
      <formula>$N$786="Enter Dollar Amount"</formula>
    </cfRule>
    <cfRule type="expression" priority="79" dxfId="2448">
      <formula>$N$786="Enter Percentages"</formula>
    </cfRule>
  </conditionalFormatting>
  <conditionalFormatting sqref="N787:O790">
    <cfRule type="expression" priority="76" dxfId="2445">
      <formula>$N$786="Drop Plan"</formula>
    </cfRule>
  </conditionalFormatting>
  <conditionalFormatting sqref="W787:W790">
    <cfRule type="expression" priority="73" dxfId="2449">
      <formula>$V$786="Enter Percentages"</formula>
    </cfRule>
    <cfRule type="expression" priority="75" dxfId="2448">
      <formula>$V$786="Enter Dollar Amount"</formula>
    </cfRule>
  </conditionalFormatting>
  <conditionalFormatting sqref="V787:V790">
    <cfRule type="expression" priority="72" dxfId="2449">
      <formula>$V$786="Enter Dollar Amount"</formula>
    </cfRule>
    <cfRule type="expression" priority="74" dxfId="2448">
      <formula>$V$786="Enter Percentages"</formula>
    </cfRule>
  </conditionalFormatting>
  <conditionalFormatting sqref="V787:W790">
    <cfRule type="expression" priority="71" dxfId="2445">
      <formula>$V$786="Drop Plan"</formula>
    </cfRule>
  </conditionalFormatting>
  <conditionalFormatting sqref="O797:O800">
    <cfRule type="expression" priority="68" dxfId="2449">
      <formula>$N$796="Enter Percentages"</formula>
    </cfRule>
    <cfRule type="expression" priority="70" dxfId="2448">
      <formula>$N$796="Enter Dollar Amount"</formula>
    </cfRule>
  </conditionalFormatting>
  <conditionalFormatting sqref="N797:N800">
    <cfRule type="expression" priority="67" dxfId="2449">
      <formula>$N$796="Enter Dollar Amount"</formula>
    </cfRule>
    <cfRule type="expression" priority="69" dxfId="2448">
      <formula>$N$796="Enter Percentages"</formula>
    </cfRule>
  </conditionalFormatting>
  <conditionalFormatting sqref="N797:O800">
    <cfRule type="expression" priority="66" dxfId="2445">
      <formula>$N$796="Drop Plan"</formula>
    </cfRule>
  </conditionalFormatting>
  <conditionalFormatting sqref="W797:W800">
    <cfRule type="expression" priority="63" dxfId="2449">
      <formula>$V$796="Enter Percentages"</formula>
    </cfRule>
    <cfRule type="expression" priority="65" dxfId="2448">
      <formula>$V$796="Enter Dollar Amount"</formula>
    </cfRule>
  </conditionalFormatting>
  <conditionalFormatting sqref="V797:V800">
    <cfRule type="expression" priority="62" dxfId="2449">
      <formula>$V$796="Enter Dollar Amount"</formula>
    </cfRule>
    <cfRule type="expression" priority="64" dxfId="2448">
      <formula>$V$796="Enter Percentages"</formula>
    </cfRule>
  </conditionalFormatting>
  <conditionalFormatting sqref="V797:W800">
    <cfRule type="expression" priority="61" dxfId="2445">
      <formula>$V$796="Drop Plan"</formula>
    </cfRule>
  </conditionalFormatting>
  <conditionalFormatting sqref="O807:O810">
    <cfRule type="expression" priority="58" dxfId="2449">
      <formula>$N$806="Enter Percentages"</formula>
    </cfRule>
    <cfRule type="expression" priority="60" dxfId="2448">
      <formula>$N$806="Enter Dollar Amount"</formula>
    </cfRule>
  </conditionalFormatting>
  <conditionalFormatting sqref="N807:N810">
    <cfRule type="expression" priority="57" dxfId="2449">
      <formula>$N$806="Enter Dollar Amount"</formula>
    </cfRule>
    <cfRule type="expression" priority="59" dxfId="2448">
      <formula>$N$806="Enter Percentages"</formula>
    </cfRule>
  </conditionalFormatting>
  <conditionalFormatting sqref="N807:O810">
    <cfRule type="expression" priority="56" dxfId="2445">
      <formula>$N$806="Drop Plan"</formula>
    </cfRule>
  </conditionalFormatting>
  <conditionalFormatting sqref="W807:W810">
    <cfRule type="expression" priority="53" dxfId="2449">
      <formula>$V$806="Enter Percentages"</formula>
    </cfRule>
    <cfRule type="expression" priority="55" dxfId="2448">
      <formula>$V$806="Enter Dollar Amount"</formula>
    </cfRule>
  </conditionalFormatting>
  <conditionalFormatting sqref="V807:V810">
    <cfRule type="expression" priority="52" dxfId="2449">
      <formula>$V$806="Enter Dollar Amount"</formula>
    </cfRule>
    <cfRule type="expression" priority="54" dxfId="2448">
      <formula>$V$806="Enter Percentages"</formula>
    </cfRule>
  </conditionalFormatting>
  <conditionalFormatting sqref="V807:W810">
    <cfRule type="expression" priority="51" dxfId="2445">
      <formula>$V$806="Drop Plan"</formula>
    </cfRule>
  </conditionalFormatting>
  <conditionalFormatting sqref="O817:O820">
    <cfRule type="expression" priority="48" dxfId="2449">
      <formula>$N$816="Enter Percentages"</formula>
    </cfRule>
    <cfRule type="expression" priority="50" dxfId="2448">
      <formula>$N$816="Enter Dollar Amount"</formula>
    </cfRule>
  </conditionalFormatting>
  <conditionalFormatting sqref="N817:N820">
    <cfRule type="expression" priority="47" dxfId="2449">
      <formula>$N$816="Enter Dollar Amount"</formula>
    </cfRule>
    <cfRule type="expression" priority="49" dxfId="2448">
      <formula>$N$816="Enter Percentages"</formula>
    </cfRule>
  </conditionalFormatting>
  <conditionalFormatting sqref="N817:O820">
    <cfRule type="expression" priority="46" dxfId="2445">
      <formula>$N$816="Drop Plan"</formula>
    </cfRule>
  </conditionalFormatting>
  <conditionalFormatting sqref="W817:W820">
    <cfRule type="expression" priority="43" dxfId="2449">
      <formula>$V$816="Enter Percentages"</formula>
    </cfRule>
    <cfRule type="expression" priority="45" dxfId="2448">
      <formula>$V$816="Enter Dollar Amount"</formula>
    </cfRule>
  </conditionalFormatting>
  <conditionalFormatting sqref="V817:V820">
    <cfRule type="expression" priority="42" dxfId="2449">
      <formula>$V$816="Enter Dollar Amount"</formula>
    </cfRule>
    <cfRule type="expression" priority="44" dxfId="2448">
      <formula>$V$816="Enter Percentages"</formula>
    </cfRule>
  </conditionalFormatting>
  <conditionalFormatting sqref="V817:W820">
    <cfRule type="expression" priority="41" dxfId="2445">
      <formula>$V$816="Drop Plan"</formula>
    </cfRule>
  </conditionalFormatting>
  <conditionalFormatting sqref="O827:O830">
    <cfRule type="expression" priority="38" dxfId="2449">
      <formula>$N$826="Enter Percentages"</formula>
    </cfRule>
    <cfRule type="expression" priority="40" dxfId="2448">
      <formula>$N$826="Enter Dollar Amount"</formula>
    </cfRule>
  </conditionalFormatting>
  <conditionalFormatting sqref="N827:N830">
    <cfRule type="expression" priority="37" dxfId="2449">
      <formula>$N$826="Enter Dollar Amount"</formula>
    </cfRule>
    <cfRule type="expression" priority="39" dxfId="2448">
      <formula>$N$826="Enter Percentages"</formula>
    </cfRule>
  </conditionalFormatting>
  <conditionalFormatting sqref="N827:O830">
    <cfRule type="expression" priority="36" dxfId="2445">
      <formula>$N$826="Drop Plan"</formula>
    </cfRule>
  </conditionalFormatting>
  <conditionalFormatting sqref="W827:W830">
    <cfRule type="expression" priority="33" dxfId="2449">
      <formula>$V$826="Enter Percentages"</formula>
    </cfRule>
    <cfRule type="expression" priority="35" dxfId="2448">
      <formula>$V$826="Enter Dollar Amount"</formula>
    </cfRule>
  </conditionalFormatting>
  <conditionalFormatting sqref="V827:V830">
    <cfRule type="expression" priority="32" dxfId="2449">
      <formula>$V$826="Enter Dollar Amount"</formula>
    </cfRule>
    <cfRule type="expression" priority="34" dxfId="2448">
      <formula>$V$826="Enter Percentages"</formula>
    </cfRule>
  </conditionalFormatting>
  <conditionalFormatting sqref="V827:W830">
    <cfRule type="expression" priority="31" dxfId="2445">
      <formula>$V$826="Drop Plan"</formula>
    </cfRule>
  </conditionalFormatting>
  <conditionalFormatting sqref="O837:O840">
    <cfRule type="expression" priority="28" dxfId="2449">
      <formula>$N$836="Enter Percentages"</formula>
    </cfRule>
    <cfRule type="expression" priority="30" dxfId="2448">
      <formula>$N$836="Enter Dollar Amount"</formula>
    </cfRule>
  </conditionalFormatting>
  <conditionalFormatting sqref="N837:N840">
    <cfRule type="expression" priority="27" dxfId="2449">
      <formula>$N$836="Enter Dollar Amount"</formula>
    </cfRule>
    <cfRule type="expression" priority="29" dxfId="2448">
      <formula>$N$836="Enter Percentages"</formula>
    </cfRule>
  </conditionalFormatting>
  <conditionalFormatting sqref="N837:O840">
    <cfRule type="expression" priority="26" dxfId="2445">
      <formula>$N$836="Drop Plan"</formula>
    </cfRule>
  </conditionalFormatting>
  <conditionalFormatting sqref="W837:W840">
    <cfRule type="expression" priority="23" dxfId="2449">
      <formula>$V$836="Enter Percentages"</formula>
    </cfRule>
    <cfRule type="expression" priority="25" dxfId="2448">
      <formula>$V$836="Enter Dollar Amount"</formula>
    </cfRule>
  </conditionalFormatting>
  <conditionalFormatting sqref="V837:V840">
    <cfRule type="expression" priority="22" dxfId="2449">
      <formula>$V$836="Enter Dollar Amount"</formula>
    </cfRule>
    <cfRule type="expression" priority="24" dxfId="2448">
      <formula>$V$836="Enter Percentages"</formula>
    </cfRule>
  </conditionalFormatting>
  <conditionalFormatting sqref="V837:W840">
    <cfRule type="expression" priority="21" dxfId="2445">
      <formula>$V$836="Drop Plan"</formula>
    </cfRule>
  </conditionalFormatting>
  <conditionalFormatting sqref="O847:O850">
    <cfRule type="expression" priority="18" dxfId="2449">
      <formula>$N$846="Enter Percentages"</formula>
    </cfRule>
    <cfRule type="expression" priority="20" dxfId="2448">
      <formula>$N$846="Enter Dollar Amount"</formula>
    </cfRule>
  </conditionalFormatting>
  <conditionalFormatting sqref="N847:N850">
    <cfRule type="expression" priority="17" dxfId="2449">
      <formula>$N$846="Enter Dollar Amount"</formula>
    </cfRule>
    <cfRule type="expression" priority="19" dxfId="2448">
      <formula>$N$846="Enter Percentages"</formula>
    </cfRule>
  </conditionalFormatting>
  <conditionalFormatting sqref="N847:O850">
    <cfRule type="expression" priority="16" dxfId="2445">
      <formula>$N$846="Drop Plan"</formula>
    </cfRule>
  </conditionalFormatting>
  <conditionalFormatting sqref="W847:W850">
    <cfRule type="expression" priority="13" dxfId="2449">
      <formula>$V$846="Enter Percentages"</formula>
    </cfRule>
    <cfRule type="expression" priority="15" dxfId="2448">
      <formula>$V$846="Enter Dollar Amount"</formula>
    </cfRule>
  </conditionalFormatting>
  <conditionalFormatting sqref="V847:V850">
    <cfRule type="expression" priority="12" dxfId="2449">
      <formula>$V$846="Enter Dollar Amount"</formula>
    </cfRule>
    <cfRule type="expression" priority="14" dxfId="2448">
      <formula>$V$846="Enter Percentages"</formula>
    </cfRule>
  </conditionalFormatting>
  <conditionalFormatting sqref="V847:W850">
    <cfRule type="expression" priority="11" dxfId="2445">
      <formula>$V$846="Drop Plan"</formula>
    </cfRule>
  </conditionalFormatting>
  <conditionalFormatting sqref="O857:O860">
    <cfRule type="expression" priority="8" dxfId="2449">
      <formula>$N$856="Enter Percentages"</formula>
    </cfRule>
    <cfRule type="expression" priority="10" dxfId="2448">
      <formula>$N$856="Enter Dollar Amount"</formula>
    </cfRule>
  </conditionalFormatting>
  <conditionalFormatting sqref="N857:N860">
    <cfRule type="expression" priority="7" dxfId="2449">
      <formula>$N$856="Enter Dollar Amount"</formula>
    </cfRule>
    <cfRule type="expression" priority="9" dxfId="2448">
      <formula>$N$856="Enter Percentages"</formula>
    </cfRule>
  </conditionalFormatting>
  <conditionalFormatting sqref="N857:O860">
    <cfRule type="expression" priority="6" dxfId="2445">
      <formula>$N$856="Drop Plan"</formula>
    </cfRule>
  </conditionalFormatting>
  <conditionalFormatting sqref="W857:W860">
    <cfRule type="expression" priority="3" dxfId="2449">
      <formula>$V$856="Enter Percentages"</formula>
    </cfRule>
    <cfRule type="expression" priority="5" dxfId="2448">
      <formula>$V$856="Enter Dollar Amount"</formula>
    </cfRule>
  </conditionalFormatting>
  <conditionalFormatting sqref="V857:V860">
    <cfRule type="expression" priority="2" dxfId="2449">
      <formula>$V$856="Enter Dollar Amount"</formula>
    </cfRule>
    <cfRule type="expression" priority="4" dxfId="2448">
      <formula>$V$856="Enter Percentages"</formula>
    </cfRule>
  </conditionalFormatting>
  <conditionalFormatting sqref="V857:W860">
    <cfRule type="expression" priority="1" dxfId="2445">
      <formula>$V$856="Drop Plan"</formula>
    </cfRule>
  </conditionalFormatting>
  <dataValidations count="8">
    <dataValidation type="list" allowBlank="1" showInputMessage="1" showErrorMessage="1" sqref="N14 V14 N64 V64 N114 V114 N164 V164 N214 V214 N264 V264 N314 V314 N364 V364 N414 V414 N464 V464 N514 V514 N564 V564 N614 V614 N665 V665 N675 V675 N685 V685 N695 V695 N705 V705 N715 V715 N725 V725 N735 V735 N745 V745 N755 V755 N766 V766 N776 V776 N786 V786 N796 V796 N806 V806 N816 V816 N826 V826 N836 V836 N846 V846 N856 V856">
      <formula1>"[Contribution Methods],Keep Contribution Same,Keep Percentage Same,Enter Dollar Amount,Enter Percentages,Drop Plan"</formula1>
    </dataValidation>
    <dataValidation type="list" allowBlank="1" showInputMessage="1" showErrorMessage="1" sqref="F876 F878:F879">
      <formula1>"Yes,No"</formula1>
    </dataValidation>
    <dataValidation type="list" allowBlank="1" showInputMessage="1" showErrorMessage="1" sqref="L14 T14 L64 T64 L114 T114 L164 T164 L214 T214 L264 T264 L314 T314 L364 T364 L414 T414 L464 T464 L514 T514 L564 T564 L614 T614">
      <formula1>'Health Summary'!$B$5:$AK$5</formula1>
    </dataValidation>
    <dataValidation type="list" allowBlank="1" showInputMessage="1" showErrorMessage="1" sqref="N878:O878">
      <formula1>'STD Summary'!$B$5:$W$5</formula1>
    </dataValidation>
    <dataValidation type="list" allowBlank="1" showInputMessage="1" showErrorMessage="1" sqref="N877:O877">
      <formula1>'LTD Summary'!$B$5:$W$5</formula1>
    </dataValidation>
    <dataValidation type="list" allowBlank="1" showInputMessage="1" showErrorMessage="1" sqref="N879:O879">
      <formula1>'Life Summary'!$B$6:$W$6</formula1>
    </dataValidation>
    <dataValidation type="list" allowBlank="1" showInputMessage="1" showErrorMessage="1" sqref="L665 T665 L675 T675 L685 T685 L695 T695 L705 T705 L715 T715 L725 T725 L735 T735 L745 T745 L755 T755">
      <formula1>'Dental Summary'!$B$5:$AK$5</formula1>
    </dataValidation>
    <dataValidation type="list" allowBlank="1" showInputMessage="1" showErrorMessage="1" sqref="L766 T766 L776 T776 L786 T786 L796 T796 L806 T806 L816 T816 L826 T826 L836 T836 L846 T846 L856 T856">
      <formula1>'Vision Summary'!$B$5:$AK$5</formula1>
    </dataValidation>
  </dataValidations>
  <hyperlinks>
    <hyperlink ref="E5" location="Class1_Dental_Section" display="Dental"/>
    <hyperlink ref="E6" location="Class1_Vision_Section" display="Vision"/>
    <hyperlink ref="E4" location="Class1_HealthSection" display="Medical"/>
    <hyperlink ref="E7" location="Class1_Supplemental_Section" display="Life / Disability"/>
    <hyperlink ref="E4:R4" location="Class1_Health_Section" display="Medical"/>
    <hyperlink ref="E7:R7" location="Class1_DisabilityLife_Section" display="Life / Disability"/>
  </hyperlinks>
  <pageMargins left="0.25" right="0.25" top="0.5" bottom="0.25" header="0.3" footer="0.3"/>
  <pageSetup fitToHeight="0" orientation="landscape" paperSize="1" scale="48" r:id="rId5"/>
  <drawing r:id="rId3"/>
  <legacyDrawing r:id="rId4"/>
  <mc:AlternateContent xmlns:mc="http://schemas.openxmlformats.org/markup-compatibility/2006">
    <mc:Choice Requires="x14">
      <controls>
        <mc:AlternateContent xmlns:mc="http://schemas.openxmlformats.org/markup-compatibility/2006">
          <mc:Choice Requires="x14">
            <control shapeId="3081" r:id="rId2" name="Button 9">
              <controlPr defaultSize="0" print="0" autoLine="0" autoPict="0" macro="[0]!Loc">
                <anchor moveWithCells="1" sizeWithCells="1">
                  <from>
                    <xdr:col>2</xdr:col>
                    <xdr:colOff>31750</xdr:colOff>
                    <xdr:row>9</xdr:row>
                    <xdr:rowOff>222250</xdr:rowOff>
                  </from>
                  <to>
                    <xdr:col>2</xdr:col>
                    <xdr:colOff>609600</xdr:colOff>
                    <xdr:row>11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13C8A0AD-FFFD-4C48-828D-EF006300B21D}">
  <sheetPr codeName="Sheet2">
    <pageSetUpPr fitToPage="1"/>
  </sheetPr>
  <dimension ref="A1:EJ1834"/>
  <sheetViews>
    <sheetView showGridLines="0" zoomScale="70" zoomScaleNormal="70" workbookViewId="0" topLeftCell="C1">
      <pane ySplit="12" topLeftCell="A820" activePane="bottomLeft" state="frozen"/>
      <selection pane="topLeft" activeCell="E15" sqref="E15"/>
      <selection pane="bottomLeft" activeCell="L828" sqref="L828"/>
    </sheetView>
  </sheetViews>
  <sheetFormatPr defaultColWidth="9.29333333333333" defaultRowHeight="13"/>
  <cols>
    <col min="1" max="2" width="3.33333333333333" style="1" hidden="1" customWidth="1"/>
    <col min="3" max="3" width="10.8333333333333" style="141" bestFit="1" customWidth="1"/>
    <col min="4" max="4" width="45.8333333333333" style="142" customWidth="1"/>
    <col min="5" max="5" width="18.8333333333333" style="142" customWidth="1"/>
    <col min="6" max="8" width="18.8333333333333" style="4" customWidth="1"/>
    <col min="9" max="9" width="18.8333333333333" style="254" customWidth="1"/>
    <col min="10" max="10" width="20.8333333333333" style="4" customWidth="1"/>
    <col min="11" max="11" width="1.66666666666667" style="4" customWidth="1"/>
    <col min="12" max="12" width="20.1666666666667" style="4" customWidth="1"/>
    <col min="13" max="13" width="18.8333333333333" style="4" customWidth="1"/>
    <col min="14" max="14" width="18.8333333333333" style="252" customWidth="1"/>
    <col min="15" max="17" width="18.8333333333333" style="4" customWidth="1"/>
    <col min="18" max="18" width="20.8333333333333" style="4" customWidth="1"/>
    <col min="19" max="19" width="1.16666666666667" style="1" customWidth="1"/>
    <col min="20" max="20" width="20.1666666666667" style="1" customWidth="1"/>
    <col min="21" max="25" width="18.8333333333333" style="1" customWidth="1"/>
    <col min="26" max="26" width="20.8333333333333" style="1" customWidth="1"/>
    <col min="27" max="27" width="2.5" style="1" customWidth="1"/>
    <col min="28" max="28" width="37.5" bestFit="1" customWidth="1"/>
    <col min="29" max="29" width="24.6666666666667" customWidth="1"/>
    <col min="30" max="31" width="1" customWidth="1"/>
    <col min="32" max="32" width="24.6666666666667" customWidth="1"/>
    <col min="33" max="33" width="0.333333333333333" customWidth="1"/>
    <col min="34" max="34" width="24.6666666666667" customWidth="1"/>
    <col min="141" max="16384" width="9.33333333333333" style="1"/>
  </cols>
  <sheetData>
    <row r="1" spans="1:25" ht="28.5" customHeight="1">
      <c r="A1" s="140"/>
      <c r="B1" s="140"/>
      <c r="E1"/>
      <c r="F1"/>
      <c r="G1"/>
      <c r="H1"/>
      <c r="I1"/>
      <c r="J1"/>
      <c r="K1"/>
      <c r="L1"/>
      <c r="M1"/>
      <c r="N1"/>
      <c r="O1"/>
      <c r="P1"/>
      <c r="Q1"/>
      <c r="R1"/>
      <c r="V1" s="118"/>
      <c r="W1" s="119"/>
      <c r="X1" s="118"/>
      <c r="Y1" s="118"/>
    </row>
    <row r="2" spans="1:25" ht="18" customHeight="1" thickBot="1">
      <c r="A2" s="140"/>
      <c r="B2" s="140"/>
      <c r="D2" s="143"/>
      <c r="E2"/>
      <c r="F2"/>
      <c r="G2"/>
      <c r="H2"/>
      <c r="I2"/>
      <c r="J2"/>
      <c r="K2"/>
      <c r="L2"/>
      <c r="M2"/>
      <c r="N2"/>
      <c r="O2"/>
      <c r="P2"/>
      <c r="Q2"/>
      <c r="R2"/>
      <c r="S2" s="144"/>
      <c r="V2" s="118"/>
      <c r="W2" s="119"/>
      <c r="X2" s="118"/>
      <c r="Y2" s="118"/>
    </row>
    <row r="3" spans="1:26" ht="25" customHeight="1" thickBot="1">
      <c r="A3" s="140"/>
      <c r="B3" s="140"/>
      <c r="D3" s="143"/>
      <c r="E3" s="504" t="str">
        <f>Client_Name&amp;" ("&amp;Client_Number&amp;") "&amp;Benefit_Year_Display&amp;" Renewal Rates"</f>
        <v>QUESTCO TEST (102) 2025 Renewal Rates</v>
      </c>
      <c r="F3" s="504"/>
      <c r="G3" s="504"/>
      <c r="H3" s="504"/>
      <c r="I3" s="504"/>
      <c r="J3" s="504"/>
      <c r="K3" s="504"/>
      <c r="L3" s="504"/>
      <c r="M3" s="504"/>
      <c r="N3" s="504"/>
      <c r="O3" s="504"/>
      <c r="P3" s="504"/>
      <c r="Q3" s="504"/>
      <c r="R3" s="504"/>
      <c r="S3" s="145"/>
      <c r="T3" s="498" t="s">
        <v>212</v>
      </c>
      <c r="U3" s="499"/>
      <c r="V3" s="496" t="s">
        <v>213</v>
      </c>
      <c r="W3" s="496"/>
      <c r="X3" s="496"/>
      <c r="Y3" s="496"/>
      <c r="Z3" s="497"/>
    </row>
    <row r="4" spans="1:26" ht="25.5" customHeight="1">
      <c r="A4" s="140"/>
      <c r="B4" s="140"/>
      <c r="D4" s="143"/>
      <c r="E4" s="491" t="s">
        <v>214</v>
      </c>
      <c r="F4" s="491"/>
      <c r="G4" s="491"/>
      <c r="H4" s="491"/>
      <c r="I4" s="491"/>
      <c r="J4" s="491"/>
      <c r="K4" s="491"/>
      <c r="L4" s="491"/>
      <c r="M4" s="491"/>
      <c r="N4" s="491"/>
      <c r="O4" s="491"/>
      <c r="P4" s="491"/>
      <c r="Q4" s="491"/>
      <c r="R4" s="491"/>
      <c r="S4" s="145"/>
      <c r="T4" s="393"/>
      <c r="U4" s="394"/>
      <c r="V4" s="492" t="s">
        <v>215</v>
      </c>
      <c r="W4" s="493"/>
      <c r="X4" s="500" t="s">
        <v>216</v>
      </c>
      <c r="Y4" s="501"/>
      <c r="Z4" s="395" t="s">
        <v>217</v>
      </c>
    </row>
    <row r="5" spans="1:26" ht="18" customHeight="1">
      <c r="A5" s="140"/>
      <c r="B5" s="140"/>
      <c r="D5" s="143"/>
      <c r="E5" s="491" t="s">
        <v>39</v>
      </c>
      <c r="F5" s="491"/>
      <c r="G5" s="491"/>
      <c r="H5" s="491"/>
      <c r="I5" s="491"/>
      <c r="J5" s="491"/>
      <c r="K5" s="491"/>
      <c r="L5" s="491"/>
      <c r="M5" s="491"/>
      <c r="N5" s="491"/>
      <c r="O5" s="491"/>
      <c r="P5" s="491"/>
      <c r="Q5" s="491"/>
      <c r="R5" s="491"/>
      <c r="T5" s="396" t="s">
        <v>218</v>
      </c>
      <c r="U5" s="397"/>
      <c r="V5" s="494">
        <f ca="1">IFERROR(IF(F20="",0,F20)+IF(F70="",0,F70)+IF(F120="",0,F120)+IF(F170="",0,F170)+IF(F220="",0,F220)+IF(F270="",0,F270)+IF(F320="",0,F320)+IF(F370="",0,F370)+IF(F420="",0,F420)+IF(F470="",0,F470)+IF(F520="",0,F520)+IF(F570="",0,F570)+IF(F620="",0,F620),"")</f>
        <v>0</v>
      </c>
      <c r="W5" s="495"/>
      <c r="X5" s="502">
        <f ca="1">IFERROR(IF(L20="",0,L20)+IF(L70="",0,L70)+IF(L120="",0,L120)+IF(L170="",0,L170)+IF(L220="",0,L220)+IF(L270="",0,L270)+IF(L320="",0,L320)+IF(L370="",0,L370)+IF(L420="",0,L420)+IF(L470="",0,L470)+IF(L520="",0,L520)+IF(L570="",0,L570)+IF(L620="",0,L620),"")</f>
        <v>0</v>
      </c>
      <c r="Y5" s="503"/>
      <c r="Z5" s="398">
        <f ca="1">IFERROR(IF(T20="",0,T20)+IF(T70="",0,T70)+IF(T120="",0,T120)+IF(T170="",0,T170)+IF(T220="",0,T220)+IF(T270="",0,T270)+IF(T320="",0,T320)+IF(T370="",0,T370)+IF(T420="",0,T420)+IF(T470="",0,T470)+IF(T520="",0,T520)+IF(T570="",0,T570)+IF(T620="",0,T620),"")</f>
        <v>0</v>
      </c>
    </row>
    <row r="6" spans="1:26" ht="18" customHeight="1">
      <c r="A6" s="140"/>
      <c r="B6" s="140"/>
      <c r="D6" s="143"/>
      <c r="E6" s="491" t="s">
        <v>40</v>
      </c>
      <c r="F6" s="491"/>
      <c r="G6" s="491"/>
      <c r="H6" s="491"/>
      <c r="I6" s="491"/>
      <c r="J6" s="491"/>
      <c r="K6" s="491"/>
      <c r="L6" s="491"/>
      <c r="M6" s="491"/>
      <c r="N6" s="491"/>
      <c r="O6" s="491"/>
      <c r="P6" s="491"/>
      <c r="Q6" s="491"/>
      <c r="R6" s="491"/>
      <c r="T6" s="399" t="s">
        <v>219</v>
      </c>
      <c r="U6" s="400"/>
      <c r="V6" s="477">
        <f ca="1">IFERROR(Current_Medical_EE_Count,"")</f>
        <v>0</v>
      </c>
      <c r="W6" s="478"/>
      <c r="X6" s="477">
        <f ca="1">IFERROR(Renewal_Medical_EE_Count,"")</f>
        <v>0</v>
      </c>
      <c r="Y6" s="478"/>
      <c r="Z6" s="401">
        <f ca="1">IFERROR(Alternate_Medical_EE_Count,"")</f>
        <v>0</v>
      </c>
    </row>
    <row r="7" spans="1:26" ht="18" customHeight="1">
      <c r="A7" s="140"/>
      <c r="B7" s="140"/>
      <c r="D7" s="143"/>
      <c r="E7" s="491" t="s">
        <v>220</v>
      </c>
      <c r="F7" s="491"/>
      <c r="G7" s="491"/>
      <c r="H7" s="491"/>
      <c r="I7" s="491"/>
      <c r="J7" s="491"/>
      <c r="K7" s="491"/>
      <c r="L7" s="491"/>
      <c r="M7" s="491"/>
      <c r="N7" s="491"/>
      <c r="O7" s="491"/>
      <c r="P7" s="491"/>
      <c r="Q7" s="491"/>
      <c r="R7" s="491"/>
      <c r="T7" s="402" t="s">
        <v>221</v>
      </c>
      <c r="U7" s="406"/>
      <c r="V7" s="487" t="s">
        <v>222</v>
      </c>
      <c r="W7" s="488"/>
      <c r="X7" s="479">
        <f ca="1">IFERROR(IF(V5="","",X5-V5),0)</f>
        <v>0</v>
      </c>
      <c r="Y7" s="480"/>
      <c r="Z7" s="398">
        <f ca="1">IFERROR(IF(V5="","",Z5-V5),0)</f>
        <v>0</v>
      </c>
    </row>
    <row r="8" spans="1:26" ht="18" customHeight="1" thickBot="1">
      <c r="A8" s="140"/>
      <c r="B8" s="140"/>
      <c r="D8" s="143"/>
      <c r="E8" s="143"/>
      <c r="F8" s="145"/>
      <c r="G8" s="145"/>
      <c r="H8" s="145"/>
      <c r="I8" s="145"/>
      <c r="J8" s="145"/>
      <c r="K8" s="145"/>
      <c r="L8" s="145"/>
      <c r="M8" s="145"/>
      <c r="N8" s="145"/>
      <c r="O8" s="145"/>
      <c r="P8" s="145"/>
      <c r="Q8" s="145"/>
      <c r="R8" s="145"/>
      <c r="T8" s="403" t="s">
        <v>223</v>
      </c>
      <c r="U8" s="404"/>
      <c r="V8" s="489" t="s">
        <v>222</v>
      </c>
      <c r="W8" s="490"/>
      <c r="X8" s="481">
        <f ca="1">IFERROR(IF(X5="","",(X5/V5)-1),0)</f>
        <v>0</v>
      </c>
      <c r="Y8" s="482"/>
      <c r="Z8" s="405">
        <f ca="1">IFERROR(IF(Z5="","",(Z5/V5)-1),0)</f>
        <v>0</v>
      </c>
    </row>
    <row r="9" spans="1:140" s="151" customFormat="1" ht="18" customHeight="1">
      <c r="A9" s="140"/>
      <c r="B9" s="140"/>
      <c r="C9" s="141"/>
      <c r="D9" s="143"/>
      <c r="E9" s="143"/>
      <c r="F9" s="145"/>
      <c r="G9" s="145"/>
      <c r="H9" s="145"/>
      <c r="I9" s="145"/>
      <c r="J9" s="145"/>
      <c r="K9" s="145"/>
      <c r="L9" s="145"/>
      <c r="M9" s="145"/>
      <c r="N9" s="145"/>
      <c r="O9" s="145"/>
      <c r="P9" s="145"/>
      <c r="Q9" s="145"/>
      <c r="R9" s="145"/>
      <c r="S9" s="1"/>
      <c r="T9" s="2"/>
      <c r="U9" s="146"/>
      <c r="V9" s="146"/>
      <c r="W9" s="147"/>
      <c r="X9" s="148"/>
      <c r="Y9" s="147"/>
      <c r="Z9" s="148"/>
      <c r="AA9" s="1"/>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row>
    <row r="10" spans="1:27" ht="18" customHeight="1">
      <c r="A10" s="149"/>
      <c r="B10" s="149"/>
      <c r="C10"/>
      <c r="D10"/>
      <c r="E10"/>
      <c r="F10"/>
      <c r="G10"/>
      <c r="H10"/>
      <c r="I10"/>
      <c r="J10"/>
      <c r="K10" s="150"/>
      <c r="L10" s="483"/>
      <c r="M10" s="483"/>
      <c r="N10" s="483"/>
      <c r="O10" s="483"/>
      <c r="P10" s="483"/>
      <c r="Q10" s="483"/>
      <c r="R10" s="483"/>
      <c r="S10" s="151"/>
      <c r="T10" s="483"/>
      <c r="U10" s="483"/>
      <c r="V10" s="483"/>
      <c r="W10" s="483"/>
      <c r="X10" s="483"/>
      <c r="Y10" s="483"/>
      <c r="Z10" s="483"/>
      <c r="AA10" s="151"/>
    </row>
    <row r="11" spans="1:140" s="159" customFormat="1" ht="18" customHeight="1">
      <c r="A11" s="140"/>
      <c r="B11" s="140"/>
      <c r="C11"/>
      <c r="D11"/>
      <c r="E11" s="483" t="s">
        <v>224</v>
      </c>
      <c r="F11" s="483"/>
      <c r="G11" s="483"/>
      <c r="H11" s="483"/>
      <c r="I11" s="483"/>
      <c r="J11" s="483"/>
      <c r="K11" s="152"/>
      <c r="L11" s="483" t="s">
        <v>225</v>
      </c>
      <c r="M11" s="483"/>
      <c r="N11" s="483"/>
      <c r="O11" s="483"/>
      <c r="P11" s="483"/>
      <c r="Q11" s="483"/>
      <c r="R11" s="483"/>
      <c r="S11" s="1"/>
      <c r="T11" s="483" t="s">
        <v>226</v>
      </c>
      <c r="U11" s="483"/>
      <c r="V11" s="483"/>
      <c r="W11" s="483"/>
      <c r="X11" s="483"/>
      <c r="Y11" s="483"/>
      <c r="Z11" s="483"/>
      <c r="AA11" s="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row>
    <row r="12" spans="1:140" s="162" customFormat="1" ht="60" customHeight="1" thickBot="1">
      <c r="A12" s="153"/>
      <c r="B12" s="153"/>
      <c r="C12" s="154" t="s">
        <v>227</v>
      </c>
      <c r="D12" s="467" t="str">
        <f>IF(Class2_Name=0,"",Class2_Name)</f>
        <v>OWNERS</v>
      </c>
      <c r="E12" s="155" t="str">
        <f>"Employee Count (as of "&amp;TEXT(CountsAsOfDate,"MM/DD/YY")&amp;")"</f>
        <v>Employee Count (as of 08/01/24)</v>
      </c>
      <c r="F12" s="156" t="str">
        <f>"CurrentRates"&amp;Benefit_Year_Display-1</f>
        <v>CurrentRates2024</v>
      </c>
      <c r="G12" s="156" t="s">
        <v>228</v>
      </c>
      <c r="H12" s="156" t="s">
        <v>229</v>
      </c>
      <c r="I12" s="155" t="s">
        <v>230</v>
      </c>
      <c r="J12" s="156" t="s">
        <v>231</v>
      </c>
      <c r="K12" s="157"/>
      <c r="L12" s="158" t="str">
        <f>"Rates Effective 1/1/"&amp;Benefit_Year_Display</f>
        <v>Rates Effective 1/1/2025</v>
      </c>
      <c r="M12" s="158" t="s">
        <v>232</v>
      </c>
      <c r="N12" s="116" t="s">
        <v>233</v>
      </c>
      <c r="O12" s="116" t="s">
        <v>234</v>
      </c>
      <c r="P12" s="158" t="str">
        <f>"Employer Contribution "&amp;Benefit_Year_Display</f>
        <v>Employer Contribution 2025</v>
      </c>
      <c r="Q12" s="158" t="str">
        <f>"Employee Contribution "&amp;Benefit_Year_Display</f>
        <v>Employee Contribution 2025</v>
      </c>
      <c r="R12" s="158" t="s">
        <v>231</v>
      </c>
      <c r="S12" s="159"/>
      <c r="T12" s="160" t="str">
        <f>"Rates Effective 1/1/"&amp;Benefit_Year_Display</f>
        <v>Rates Effective 1/1/2025</v>
      </c>
      <c r="U12" s="160" t="s">
        <v>232</v>
      </c>
      <c r="V12" s="117" t="s">
        <v>233</v>
      </c>
      <c r="W12" s="117" t="s">
        <v>234</v>
      </c>
      <c r="X12" s="160" t="str">
        <f>"Employer Contribution "&amp;Benefit_Year_Display</f>
        <v>Employer Contribution 2025</v>
      </c>
      <c r="Y12" s="160" t="str">
        <f>"Employee Contribution "&amp;Benefit_Year_Display</f>
        <v>Employee Contribution 2025</v>
      </c>
      <c r="Z12" s="160" t="s">
        <v>231</v>
      </c>
      <c r="AA12" s="159"/>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row>
    <row r="13" spans="1:27" ht="38.25" customHeight="1" thickBot="1">
      <c r="A13" s="153"/>
      <c r="B13" s="153"/>
      <c r="C13" s="161"/>
      <c r="D13" s="474" t="s">
        <v>235</v>
      </c>
      <c r="E13" s="475"/>
      <c r="F13" s="475"/>
      <c r="G13" s="475"/>
      <c r="H13" s="475"/>
      <c r="I13" s="475"/>
      <c r="J13" s="475"/>
      <c r="K13" s="475"/>
      <c r="L13" s="475"/>
      <c r="M13" s="475"/>
      <c r="N13" s="475"/>
      <c r="O13" s="475"/>
      <c r="P13" s="475"/>
      <c r="Q13" s="475"/>
      <c r="R13" s="476"/>
      <c r="S13" s="162"/>
      <c r="T13" s="163"/>
      <c r="U13" s="163"/>
      <c r="V13" s="163"/>
      <c r="W13" s="163"/>
      <c r="X13" s="163"/>
      <c r="Y13" s="163"/>
      <c r="Z13" s="258"/>
      <c r="AA13" s="159"/>
    </row>
    <row r="14" spans="1:26" ht="50.15" customHeight="1">
      <c r="A14" s="140">
        <v>1</v>
      </c>
      <c r="B14" s="140">
        <f>IF(A14&gt;Class2_CurrentHealthCount,"DELETE",Class2_CurrentHealthStart+A14)</f>
        <v>33</v>
      </c>
      <c r="C14" s="164" t="s">
        <v>236</v>
      </c>
      <c r="D14" s="273" t="e">
        <f ca="1">IF(B14="Delete","",VLOOKUP(F14,BEGIN_CURRENT_HEALTH:END_CURRENT_HEALTH,3,FALSE))</f>
        <v>#N/A</v>
      </c>
      <c r="E14" s="165"/>
      <c r="F14" s="320" cm="1">
        <f t="array" ca="1" aca="1" ref="F14">IF(B14="Delete","",INDIRECT("CurrentPlans!A"&amp;B14,TRUE))</f>
        <v>0</v>
      </c>
      <c r="G14" s="166"/>
      <c r="H14" s="167"/>
      <c r="I14" s="168"/>
      <c r="J14" s="169"/>
      <c r="K14"/>
      <c r="L14" s="274" t="str">
        <f ca="1">_xlfn.IFNA(VLOOKUP(F14,BEGIN_RENEWEDFROM_HEALTH:ROW_RenewHealth_PlanID,3,FALSE),"SELECT PLAN")</f>
        <v>SELECT PLAN</v>
      </c>
      <c r="M14" s="170"/>
      <c r="N14" s="274" t="s">
        <v>237</v>
      </c>
      <c r="O14" s="171"/>
      <c r="P14" s="171"/>
      <c r="Q14" s="171"/>
      <c r="R14" s="169"/>
      <c r="T14" s="274" t="s">
        <v>38</v>
      </c>
      <c r="U14" s="170"/>
      <c r="V14" s="274" t="s">
        <v>237</v>
      </c>
      <c r="W14" s="171"/>
      <c r="X14" s="171"/>
      <c r="Y14" s="171"/>
      <c r="Z14" s="169"/>
    </row>
    <row r="15" spans="1:26" ht="18.75" customHeight="1">
      <c r="A15" s="140"/>
      <c r="B15" s="140"/>
      <c r="D15" s="172" t="s">
        <v>238</v>
      </c>
      <c r="E15" s="407" t="str">
        <f ca="1">_xlfn.IFNA(VLOOKUP(F14,BEGIN_CURRENT_HEALTH:END_CURRENT_HEALTH,CURRENT_COL_EO_count,FALSE),"")</f>
        <v/>
      </c>
      <c r="F15" s="408" t="str">
        <f ca="1">_xlfn.IFNA(VLOOKUP(F14,BEGIN_CURRENT_HEALTH:END_CURRENT_HEALTH,CURRENT_COL_EO,FALSE),"")</f>
        <v/>
      </c>
      <c r="G15" s="468" t="str">
        <f ca="1" t="shared" si="0" ref="G15:G18">IF(F15="","",H15/F15)</f>
        <v/>
      </c>
      <c r="H15" s="408" t="str">
        <f ca="1">_xlfn.IFNA(VLOOKUP(F14,BEGIN_CURRENT_HEALTH:END_CURRENT_HEALTH,CURRENT_COL_EOContrib,FALSE),"")</f>
        <v/>
      </c>
      <c r="I15" s="409" t="str">
        <f ca="1">IFERROR(F15-H15,"")</f>
        <v/>
      </c>
      <c r="J15" s="410" t="str">
        <f ca="1">IF(F15="","",H15*E15)</f>
        <v/>
      </c>
      <c r="K15" s="411"/>
      <c r="L15" s="408" t="str" cm="1">
        <f t="array" ca="1" aca="1" ref="L15">_xlfn.IFNA(VLOOKUP(INDIRECT("L"&amp;ROW()-1)&amp;"_"&amp;$D$12,BEGIN_RENEW_HEALTH:END_RENEW_HEALTH,RENEW_COL_EO,FALSE),"")</f>
        <v/>
      </c>
      <c r="M15" s="412" t="str">
        <f ca="1">IF(E15="","",E15)</f>
        <v/>
      </c>
      <c r="N15" s="413"/>
      <c r="O15" s="414"/>
      <c r="P15" s="415" t="str">
        <f>IFERROR(IF($N14="Keep Contribution Same",H15,IF($N14="Enter Percentages",IF(N15="","",N15*L15),IF($N14="Keep Percentage Same",IF(G15="","",G15*L15),IF($N14="Enter Dollar Amount",IF(O15="","",O15),"")))),"")</f>
        <v/>
      </c>
      <c r="Q15" s="408" t="str">
        <f ca="1">IFERROR(L15-P15,"")</f>
        <v/>
      </c>
      <c r="R15" s="410" t="str">
        <f>IFERROR(IF(P15="","",M15*P15),"")</f>
        <v/>
      </c>
      <c r="S15" s="411"/>
      <c r="T15" s="408" t="str" cm="1">
        <f t="array" ca="1" aca="1" ref="T15">_xlfn.IFNA(VLOOKUP(INDIRECT("T"&amp;ROW()-1)&amp;"_"&amp;$D$12,BEGIN_RENEW_HEALTH:END_RENEW_HEALTH,RENEW_COL_EO,FALSE),"")</f>
        <v/>
      </c>
      <c r="U15" s="412" t="str">
        <f ca="1">IF(E15="","",E15)</f>
        <v/>
      </c>
      <c r="V15" s="413"/>
      <c r="W15" s="414"/>
      <c r="X15" s="415" t="str">
        <f>IFERROR(IF($V14="Keep Contribution Same",H15,IF($V14="Enter Percentages",IF(V15="","",V15*T15),IF($V14="Keep Percentage Same",IF(G15="","",G15*T15),IF($V14="Enter Dollar Amount",IF(W15="","",W15),"")))),"")</f>
        <v/>
      </c>
      <c r="Y15" s="408" t="str">
        <f ca="1">IFERROR(T15-X15,"")</f>
        <v/>
      </c>
      <c r="Z15" s="410" t="str">
        <f>IFERROR(IF(X15="","",U15*X15),"")</f>
        <v/>
      </c>
    </row>
    <row r="16" spans="1:26" ht="18.75" customHeight="1">
      <c r="A16" s="140"/>
      <c r="B16" s="140"/>
      <c r="D16" s="172" t="s">
        <v>239</v>
      </c>
      <c r="E16" s="407" t="str">
        <f ca="1">_xlfn.IFNA(VLOOKUP(F14,BEGIN_CURRENT_HEALTH:END_CURRENT_HEALTH,CURRENT_COL_ES_count,FALSE),"")</f>
        <v/>
      </c>
      <c r="F16" s="408" t="str">
        <f ca="1">_xlfn.IFNA(VLOOKUP(F14,BEGIN_CURRENT_HEALTH:END_CURRENT_HEALTH,CURRENT_COL_ES,FALSE),"")</f>
        <v/>
      </c>
      <c r="G16" s="468" t="str">
        <f t="shared" ca="1" si="0"/>
        <v/>
      </c>
      <c r="H16" s="408" t="str">
        <f ca="1">_xlfn.IFNA(VLOOKUP(F14,BEGIN_CURRENT_HEALTH:END_CURRENT_HEALTH,CURRENT_COL_ESContrib,FALSE),"")</f>
        <v/>
      </c>
      <c r="I16" s="409" t="str">
        <f ca="1" t="shared" si="1" ref="I16:I18">IFERROR(F16-H16,"")</f>
        <v/>
      </c>
      <c r="J16" s="410" t="str">
        <f ca="1">IF(F16="","",H16*E16)</f>
        <v/>
      </c>
      <c r="K16" s="411"/>
      <c r="L16" s="408" t="str" cm="1">
        <f t="array" ca="1" aca="1" ref="L16">_xlfn.IFNA(VLOOKUP(INDIRECT("L"&amp;ROW()-2)&amp;"_"&amp;$D$12,BEGIN_RENEW_HEALTH:END_RENEW_HEALTH,RENEW_COL_ES,FALSE),"")</f>
        <v/>
      </c>
      <c r="M16" s="412" t="str">
        <f ca="1">IF(E16="","",E16)</f>
        <v/>
      </c>
      <c r="N16" s="413"/>
      <c r="O16" s="414"/>
      <c r="P16" s="415" t="str">
        <f>IFERROR(IF($N14="Keep Contribution Same",H16,IF($N14="Enter Percentages",IF(N16="","",N16*L16),IF($N14="Keep Percentage Same",IF(G16="","",G16*L16),IF($N14="Enter Dollar Amount",IF(O16="","",O16),"")))),"")</f>
        <v/>
      </c>
      <c r="Q16" s="408" t="str">
        <f ca="1">IFERROR(L16-P16,"")</f>
        <v/>
      </c>
      <c r="R16" s="410" t="str">
        <f>IFERROR(IF(P16="","",M16*P16),"")</f>
        <v/>
      </c>
      <c r="S16" s="411"/>
      <c r="T16" s="408" t="str" cm="1">
        <f t="array" ca="1" aca="1" ref="T16">_xlfn.IFNA(VLOOKUP(INDIRECT("T"&amp;ROW()-2)&amp;"_"&amp;$D$12,BEGIN_RENEW_HEALTH:END_RENEW_HEALTH,RENEW_COL_ES,FALSE),"")</f>
        <v/>
      </c>
      <c r="U16" s="412" t="str">
        <f ca="1" t="shared" si="2" ref="U16:U18">IF(E16="","",E16)</f>
        <v/>
      </c>
      <c r="V16" s="413"/>
      <c r="W16" s="414"/>
      <c r="X16" s="415" t="str">
        <f>IFERROR(IF($V14="Keep Contribution Same",H16,IF($V14="Enter Percentages",IF(V16="","",V16*T16),IF($V14="Keep Percentage Same",IF(G16="","",G16*T16),IF($V14="Enter Dollar Amount",IF(W16="","",W16),"")))),"")</f>
        <v/>
      </c>
      <c r="Y16" s="408" t="str">
        <f ca="1" t="shared" si="3" ref="Y16:Y18">IFERROR(T16-X16,"")</f>
        <v/>
      </c>
      <c r="Z16" s="410" t="str">
        <f t="shared" si="4" ref="Z16:Z18">IFERROR(IF(X16="","",U16*X16),"")</f>
        <v/>
      </c>
    </row>
    <row r="17" spans="1:26" ht="18.75" customHeight="1">
      <c r="A17" s="140"/>
      <c r="B17" s="140"/>
      <c r="D17" s="172" t="s">
        <v>240</v>
      </c>
      <c r="E17" s="407" t="str">
        <f ca="1">_xlfn.IFNA(VLOOKUP(F14,BEGIN_CURRENT_HEALTH:END_CURRENT_HEALTH,CURRENT_COL_EC_count,FALSE),"")</f>
        <v/>
      </c>
      <c r="F17" s="408" t="str">
        <f ca="1">_xlfn.IFNA(VLOOKUP(F14,BEGIN_CURRENT_HEALTH:END_CURRENT_HEALTH,CURRENT_COL_EC,FALSE),"")</f>
        <v/>
      </c>
      <c r="G17" s="468" t="str">
        <f t="shared" ca="1" si="0"/>
        <v/>
      </c>
      <c r="H17" s="408" t="str">
        <f ca="1">_xlfn.IFNA(VLOOKUP(F14,BEGIN_CURRENT_HEALTH:END_CURRENT_HEALTH,CURRENT_COL_ECContrib,FALSE),"")</f>
        <v/>
      </c>
      <c r="I17" s="409" t="str">
        <f t="shared" ca="1" si="1"/>
        <v/>
      </c>
      <c r="J17" s="410" t="str">
        <f ca="1">IF(F17="","",H17*E17)</f>
        <v/>
      </c>
      <c r="K17" s="411"/>
      <c r="L17" s="408" t="str" cm="1">
        <f t="array" ca="1" aca="1" ref="L17">_xlfn.IFNA(VLOOKUP(INDIRECT("L"&amp;ROW()-3)&amp;"_"&amp;$D$12,BEGIN_RENEW_HEALTH:END_RENEW_HEALTH,RENEW_COL_EC,FALSE),"")</f>
        <v/>
      </c>
      <c r="M17" s="412" t="str">
        <f ca="1">IF(E17="","",E17)</f>
        <v/>
      </c>
      <c r="N17" s="413"/>
      <c r="O17" s="414"/>
      <c r="P17" s="415" t="str">
        <f>IFERROR(IF($N14="Keep Contribution Same",H17,IF($N14="Enter Percentages",IF(N17="","",N17*L17),IF($N14="Keep Percentage Same",IF(G17="","",G17*L17),IF($N14="Enter Dollar Amount",IF(O17="","",O17),"")))),"")</f>
        <v/>
      </c>
      <c r="Q17" s="408" t="str">
        <f ca="1">IFERROR(L17-P17,"")</f>
        <v/>
      </c>
      <c r="R17" s="410" t="str">
        <f>IFERROR(IF(P17="","",M17*P17),"")</f>
        <v/>
      </c>
      <c r="S17" s="411"/>
      <c r="T17" s="408" t="str" cm="1">
        <f t="array" ca="1" aca="1" ref="T17">_xlfn.IFNA(VLOOKUP(INDIRECT("T"&amp;ROW()-3)&amp;"_"&amp;$D$12,BEGIN_RENEW_HEALTH:END_RENEW_HEALTH,RENEW_COL_EC,FALSE),"")</f>
        <v/>
      </c>
      <c r="U17" s="412" t="str">
        <f t="shared" ca="1" si="2"/>
        <v/>
      </c>
      <c r="V17" s="413"/>
      <c r="W17" s="414"/>
      <c r="X17" s="415" t="str">
        <f>IFERROR(IF($V14="Keep Contribution Same",H17,IF($V14="Enter Percentages",IF(V17="","",V17*T17),IF($V14="Keep Percentage Same",IF(G17="","",G17*T17),IF($V14="Enter Dollar Amount",IF(W17="","",W17),"")))),"")</f>
        <v/>
      </c>
      <c r="Y17" s="408" t="str">
        <f t="shared" ca="1" si="3"/>
        <v/>
      </c>
      <c r="Z17" s="410" t="str">
        <f t="shared" si="4"/>
        <v/>
      </c>
    </row>
    <row r="18" spans="1:26" ht="18.75" customHeight="1" thickBot="1">
      <c r="A18" s="140"/>
      <c r="B18" s="140"/>
      <c r="D18" s="174" t="s">
        <v>241</v>
      </c>
      <c r="E18" s="416" t="str">
        <f ca="1">_xlfn.IFNA(VLOOKUP(F14,BEGIN_CURRENT_HEALTH:END_CURRENT_HEALTH,CURRENT_COL_FAM_count,FALSE),"")</f>
        <v/>
      </c>
      <c r="F18" s="417" t="str">
        <f ca="1">_xlfn.IFNA(VLOOKUP(F14,BEGIN_CURRENT_HEALTH:END_CURRENT_HEALTH,CURRENT_COL_FAM,FALSE),"")</f>
        <v/>
      </c>
      <c r="G18" s="469" t="str">
        <f t="shared" ca="1" si="0"/>
        <v/>
      </c>
      <c r="H18" s="417" t="str">
        <f ca="1">_xlfn.IFNA(VLOOKUP(F14,BEGIN_CURRENT_HEALTH:END_CURRENT_HEALTH,CURRENT_COL_FAMContrib,FALSE),"")</f>
        <v/>
      </c>
      <c r="I18" s="418" t="str">
        <f t="shared" ca="1" si="1"/>
        <v/>
      </c>
      <c r="J18" s="419" t="str">
        <f ca="1">IF(F18="","",H18*E18)</f>
        <v/>
      </c>
      <c r="K18" s="411"/>
      <c r="L18" s="417" t="str" cm="1">
        <f t="array" ca="1" aca="1" ref="L18">_xlfn.IFNA(VLOOKUP(INDIRECT("L"&amp;ROW()-4)&amp;"_"&amp;$D$12,BEGIN_RENEW_HEALTH:END_RENEW_HEALTH,RENEW_COL_FAM,FALSE),"")</f>
        <v/>
      </c>
      <c r="M18" s="412" t="str">
        <f ca="1">IF(E18="","",E18)</f>
        <v/>
      </c>
      <c r="N18" s="420"/>
      <c r="O18" s="421"/>
      <c r="P18" s="422" t="str">
        <f>IFERROR(IF($N14="Keep Contribution Same",H18,IF($N14="Enter Percentages",IF(N18="","",N18*L18),IF($N14="Keep Percentage Same",IF(G18="","",G18*L18),IF($N14="Enter Dollar Amount",IF(O18="","",O18),"")))),"")</f>
        <v/>
      </c>
      <c r="Q18" s="422" t="str">
        <f ca="1">IFERROR(L18-P18,"")</f>
        <v/>
      </c>
      <c r="R18" s="410" t="str">
        <f>IFERROR(IF(P18="","",M18*P18),"")</f>
        <v/>
      </c>
      <c r="S18" s="411"/>
      <c r="T18" s="417" t="str" cm="1">
        <f t="array" ca="1" aca="1" ref="T18">_xlfn.IFNA(VLOOKUP(INDIRECT("T"&amp;ROW()-4)&amp;"_"&amp;$D$12,BEGIN_RENEW_HEALTH:END_RENEW_HEALTH,RENEW_COL_FAM,FALSE),"")</f>
        <v/>
      </c>
      <c r="U18" s="423" t="str">
        <f t="shared" ca="1" si="2"/>
        <v/>
      </c>
      <c r="V18" s="420"/>
      <c r="W18" s="421"/>
      <c r="X18" s="422" t="str">
        <f>IFERROR(IF($V14="Keep Contribution Same",H18,IF($V14="Enter Percentages",IF(V18="","",V18*T18),IF($V14="Keep Percentage Same",IF(G18="","",G18*T18),IF($V14="Enter Dollar Amount",IF(W18="","",W18),"")))),"")</f>
        <v/>
      </c>
      <c r="Y18" s="417" t="str">
        <f t="shared" ca="1" si="3"/>
        <v/>
      </c>
      <c r="Z18" s="419" t="str">
        <f t="shared" si="4"/>
        <v/>
      </c>
    </row>
    <row r="19" spans="1:26" ht="18.75" customHeight="1" thickTop="1">
      <c r="A19" s="140"/>
      <c r="B19" s="140"/>
      <c r="D19" s="175" t="s">
        <v>242</v>
      </c>
      <c r="E19" s="424"/>
      <c r="F19" s="447" t="str">
        <f ca="1">IFERROR((F15*E15)+(F16*E16)+(F17*E17)+(F18*E18),"")</f>
        <v/>
      </c>
      <c r="G19" s="426"/>
      <c r="H19" s="427"/>
      <c r="I19" s="428"/>
      <c r="J19" s="429" t="str">
        <f ca="1">IFERROR(IF(J15="","",SUM(J15:J18)),0)</f>
        <v/>
      </c>
      <c r="K19" s="1"/>
      <c r="L19" s="430" t="str">
        <f ca="1">IFERROR((M15*L15)+(M16*L16)+(M17*L17)+(M18*L18),"")</f>
        <v/>
      </c>
      <c r="M19" s="427"/>
      <c r="N19" s="426"/>
      <c r="O19" s="427"/>
      <c r="P19" s="431"/>
      <c r="Q19" s="432"/>
      <c r="R19" s="429" t="str">
        <f>IFERROR(IF(R15="","",SUM(R15:R18)),0)</f>
        <v/>
      </c>
      <c r="T19" s="430" t="str">
        <f ca="1">IFERROR((U15*T15)+(U16*T16)+(U17*T17)+(U18*T18),"")</f>
        <v/>
      </c>
      <c r="U19" s="427"/>
      <c r="V19" s="426"/>
      <c r="W19" s="427"/>
      <c r="X19" s="431"/>
      <c r="Y19" s="432"/>
      <c r="Z19" s="429" t="str">
        <f>IFERROR(IF(Z15="","",SUM(Z15:Z18)),0)</f>
        <v/>
      </c>
    </row>
    <row r="20" spans="1:26" ht="18.75" customHeight="1">
      <c r="A20" s="140"/>
      <c r="B20" s="140"/>
      <c r="D20" s="177" t="s">
        <v>243</v>
      </c>
      <c r="E20" s="433"/>
      <c r="F20" s="448" t="str">
        <f ca="1">IFERROR(F19*12,"")</f>
        <v/>
      </c>
      <c r="G20" s="435"/>
      <c r="H20" s="436"/>
      <c r="I20" s="432"/>
      <c r="J20" s="437" t="str">
        <f ca="1">IF(J19="","",J19*12)</f>
        <v/>
      </c>
      <c r="K20" s="1"/>
      <c r="L20" s="438" t="str">
        <f ca="1">IFERROR(L19*12,"")</f>
        <v/>
      </c>
      <c r="M20" s="436"/>
      <c r="N20" s="435"/>
      <c r="O20" s="436"/>
      <c r="P20" s="432"/>
      <c r="Q20" s="432"/>
      <c r="R20" s="437" t="str">
        <f>IF(R19="","",R19*12)</f>
        <v/>
      </c>
      <c r="T20" s="438" t="str">
        <f ca="1">IFERROR(T19*12,"")</f>
        <v/>
      </c>
      <c r="U20" s="436"/>
      <c r="V20" s="435"/>
      <c r="W20" s="436"/>
      <c r="X20" s="432"/>
      <c r="Y20" s="432"/>
      <c r="Z20" s="437" t="str">
        <f>IF(Z19="","",Z19*12)</f>
        <v/>
      </c>
    </row>
    <row r="21" spans="1:26" ht="18.75" customHeight="1">
      <c r="A21" s="140"/>
      <c r="B21" s="140"/>
      <c r="D21" s="177" t="s">
        <v>244</v>
      </c>
      <c r="E21" s="433"/>
      <c r="F21" s="436"/>
      <c r="G21" s="435"/>
      <c r="H21" s="436"/>
      <c r="I21" s="432"/>
      <c r="J21" s="437"/>
      <c r="K21" s="1"/>
      <c r="L21" s="434" t="str">
        <f ca="1">IFERROR(L20-F20,"")</f>
        <v/>
      </c>
      <c r="M21" s="436"/>
      <c r="N21" s="435"/>
      <c r="O21" s="436"/>
      <c r="P21" s="432"/>
      <c r="Q21" s="432"/>
      <c r="R21" s="437" t="str">
        <f ca="1">IFERROR(IF(J20="","",R20-J20),0)</f>
        <v/>
      </c>
      <c r="T21" s="434" t="str">
        <f ca="1">IFERROR(T20-F20,"")</f>
        <v/>
      </c>
      <c r="U21" s="436"/>
      <c r="V21" s="435"/>
      <c r="W21" s="436"/>
      <c r="X21" s="432"/>
      <c r="Y21" s="432"/>
      <c r="Z21" s="437" t="str">
        <f>IFERROR(IF(R20="","",Z20-R20),0)</f>
        <v/>
      </c>
    </row>
    <row r="22" spans="1:26" ht="18.75" customHeight="1" thickBot="1">
      <c r="A22" s="140"/>
      <c r="B22" s="140"/>
      <c r="D22" s="180" t="s">
        <v>245</v>
      </c>
      <c r="E22" s="439"/>
      <c r="F22" s="440"/>
      <c r="G22" s="441"/>
      <c r="H22" s="440"/>
      <c r="I22" s="442"/>
      <c r="J22" s="443"/>
      <c r="K22" s="1"/>
      <c r="L22" s="444" t="str">
        <f ca="1">IFERROR(L20/F20-1,"")</f>
        <v/>
      </c>
      <c r="M22" s="440"/>
      <c r="N22" s="441"/>
      <c r="O22" s="440"/>
      <c r="P22" s="445"/>
      <c r="Q22" s="445"/>
      <c r="R22" s="446" t="str">
        <f ca="1">IFERROR(IF(J20="","",(R20/J20)-1),0)</f>
        <v/>
      </c>
      <c r="T22" s="444" t="str">
        <f ca="1">IFERROR(T20/F20-1,"")</f>
        <v/>
      </c>
      <c r="U22" s="440"/>
      <c r="V22" s="441"/>
      <c r="W22" s="440"/>
      <c r="X22" s="445"/>
      <c r="Y22" s="445"/>
      <c r="Z22" s="446" t="str">
        <f>IFERROR(IF(R20="","",(Z20/R20)-1),0)</f>
        <v/>
      </c>
    </row>
    <row r="23" spans="1:26" ht="18.75" customHeight="1">
      <c r="A23" s="140"/>
      <c r="B23" s="140"/>
      <c r="D23" s="181" t="s">
        <v>246</v>
      </c>
      <c r="E23" s="182"/>
      <c r="F23" s="182"/>
      <c r="G23" s="182"/>
      <c r="H23" s="182"/>
      <c r="I23" s="182"/>
      <c r="J23" s="183"/>
      <c r="K23"/>
      <c r="L23" s="184"/>
      <c r="M23" s="182"/>
      <c r="N23" s="182"/>
      <c r="O23" s="182"/>
      <c r="P23" s="182"/>
      <c r="Q23" s="182"/>
      <c r="R23" s="183"/>
      <c r="T23" s="184"/>
      <c r="U23" s="182"/>
      <c r="V23" s="182"/>
      <c r="W23" s="182"/>
      <c r="X23" s="182"/>
      <c r="Y23" s="182"/>
      <c r="Z23" s="183"/>
    </row>
    <row r="24" spans="1:26" ht="18.75" customHeight="1" hidden="1">
      <c r="A24" s="140"/>
      <c r="B24" s="140"/>
      <c r="D24" s="185" t="s">
        <v>247</v>
      </c>
      <c r="E24" s="186"/>
      <c r="F24" s="186"/>
      <c r="G24" s="186"/>
      <c r="H24" s="186"/>
      <c r="I24" s="186"/>
      <c r="J24" s="187"/>
      <c r="K24"/>
      <c r="L24" s="188"/>
      <c r="M24" s="186"/>
      <c r="N24" s="186"/>
      <c r="O24" s="186"/>
      <c r="P24" s="186"/>
      <c r="Q24" s="186"/>
      <c r="R24" s="187"/>
      <c r="T24" s="188"/>
      <c r="U24" s="186"/>
      <c r="V24" s="186"/>
      <c r="W24" s="186"/>
      <c r="X24" s="186"/>
      <c r="Y24" s="186"/>
      <c r="Z24" s="187"/>
    </row>
    <row r="25" spans="1:26" ht="18.75" customHeight="1" hidden="1">
      <c r="A25" s="140"/>
      <c r="B25" s="140"/>
      <c r="D25" s="189" t="s">
        <v>248</v>
      </c>
      <c r="E25" s="190" t="e">
        <f ca="1">D14&amp;"_"&amp;D12</f>
        <v>#N/A</v>
      </c>
      <c r="F25" s="191"/>
      <c r="G25" s="191"/>
      <c r="H25" s="191"/>
      <c r="I25" s="190"/>
      <c r="J25" s="192"/>
      <c r="K25"/>
      <c r="L25" s="193" t="str">
        <f ca="1">L14&amp;"_"&amp;D12</f>
        <v>SELECT PLAN_OWNERS</v>
      </c>
      <c r="M25" s="191"/>
      <c r="N25" s="191"/>
      <c r="O25" s="191"/>
      <c r="P25" s="190"/>
      <c r="Q25" s="191"/>
      <c r="R25" s="192"/>
      <c r="T25" s="193" t="str">
        <f>T14&amp;"_"&amp;D12</f>
        <v>SELECT PLAN_OWNERS</v>
      </c>
      <c r="U25" s="191"/>
      <c r="V25" s="191"/>
      <c r="W25" s="191"/>
      <c r="X25" s="190"/>
      <c r="Y25" s="191"/>
      <c r="Z25" s="192"/>
    </row>
    <row r="26" spans="1:26" ht="18.75" customHeight="1" hidden="1">
      <c r="A26" s="140"/>
      <c r="B26" s="140"/>
      <c r="D26" s="189" t="s">
        <v>249</v>
      </c>
      <c r="E26" s="191"/>
      <c r="F26" s="191"/>
      <c r="G26" s="191"/>
      <c r="H26" s="191"/>
      <c r="I26" s="191"/>
      <c r="J26" s="192"/>
      <c r="K26"/>
      <c r="L26" s="189"/>
      <c r="M26" s="191"/>
      <c r="N26" s="191"/>
      <c r="O26" s="191"/>
      <c r="P26" s="191"/>
      <c r="Q26" s="191"/>
      <c r="R26" s="192"/>
      <c r="T26" s="189"/>
      <c r="U26" s="191"/>
      <c r="V26" s="191"/>
      <c r="W26" s="191"/>
      <c r="X26" s="191"/>
      <c r="Y26" s="191"/>
      <c r="Z26" s="192"/>
    </row>
    <row r="27" spans="1:26" ht="18.75" customHeight="1" hidden="1">
      <c r="A27" s="140"/>
      <c r="B27" s="140"/>
      <c r="D27" s="194" t="s">
        <v>250</v>
      </c>
      <c r="E27" s="195"/>
      <c r="F27" s="195"/>
      <c r="G27" s="195"/>
      <c r="H27" s="195"/>
      <c r="I27" s="195"/>
      <c r="J27" s="196"/>
      <c r="K27"/>
      <c r="L27" s="197"/>
      <c r="M27" s="195"/>
      <c r="N27" s="195"/>
      <c r="O27" s="195"/>
      <c r="P27" s="195"/>
      <c r="Q27" s="195"/>
      <c r="R27" s="196"/>
      <c r="T27" s="197"/>
      <c r="U27" s="195"/>
      <c r="V27" s="195"/>
      <c r="W27" s="195"/>
      <c r="X27" s="195"/>
      <c r="Y27" s="195"/>
      <c r="Z27" s="196"/>
    </row>
    <row r="28" spans="1:26" ht="18.75" customHeight="1" hidden="1">
      <c r="A28" s="140"/>
      <c r="B28" s="140"/>
      <c r="D28" s="198" t="s">
        <v>251</v>
      </c>
      <c r="E28" s="199" t="e">
        <f>_xlfn.XLOOKUP(E25,CurrentPlans!B:B,CurrentPlans!X:X,"NA",0,1)</f>
        <v>#N/A</v>
      </c>
      <c r="F28" s="200"/>
      <c r="G28" s="200"/>
      <c r="H28" s="200"/>
      <c r="I28" s="199"/>
      <c r="J28" s="201"/>
      <c r="K28"/>
      <c r="L28" s="202" t="str">
        <f ca="1">_xlfn.XLOOKUP(L25,RenewalPlans!B:B,RenewalPlans!AA:AA,"NA",0,1)</f>
        <v>NA</v>
      </c>
      <c r="M28" s="200"/>
      <c r="N28" s="200"/>
      <c r="O28" s="200"/>
      <c r="P28" s="199"/>
      <c r="Q28" s="200"/>
      <c r="R28" s="201"/>
      <c r="T28" s="202" t="str">
        <f>_xlfn.XLOOKUP(T25,RenewalPlans!B:B,RenewalPlans!AA:AA,"NA",0,1)</f>
        <v>NA</v>
      </c>
      <c r="U28" s="200"/>
      <c r="V28" s="200"/>
      <c r="W28" s="200"/>
      <c r="X28" s="199"/>
      <c r="Y28" s="200"/>
      <c r="Z28" s="201"/>
    </row>
    <row r="29" spans="1:26" ht="18.75" customHeight="1" hidden="1">
      <c r="A29" s="140"/>
      <c r="B29" s="140"/>
      <c r="D29" s="198" t="s">
        <v>252</v>
      </c>
      <c r="E29" s="199" t="e">
        <f>_xlfn.XLOOKUP(E25,CurrentPlans!B:B,CurrentPlans!Y:Y,"NA",0,1)</f>
        <v>#N/A</v>
      </c>
      <c r="F29" s="200"/>
      <c r="G29" s="200"/>
      <c r="H29" s="200"/>
      <c r="I29" s="199"/>
      <c r="J29" s="201"/>
      <c r="K29"/>
      <c r="L29" s="202" t="str">
        <f ca="1">_xlfn.XLOOKUP(L25,RenewalPlans!B:B,RenewalPlans!AB:AB,"NA",0,1)</f>
        <v>NA</v>
      </c>
      <c r="M29" s="200"/>
      <c r="N29" s="200"/>
      <c r="O29" s="200"/>
      <c r="P29" s="199"/>
      <c r="Q29" s="200"/>
      <c r="R29" s="201"/>
      <c r="T29" s="202" t="str">
        <f>_xlfn.XLOOKUP(T25,RenewalPlans!B:B,RenewalPlans!AB:AB,"NA",0,1)</f>
        <v>NA</v>
      </c>
      <c r="U29" s="200"/>
      <c r="V29" s="200"/>
      <c r="W29" s="200"/>
      <c r="X29" s="199"/>
      <c r="Y29" s="200"/>
      <c r="Z29" s="201"/>
    </row>
    <row r="30" spans="1:26" ht="18.75" customHeight="1" hidden="1">
      <c r="A30" s="140"/>
      <c r="B30" s="140"/>
      <c r="D30" s="120" t="s">
        <v>253</v>
      </c>
      <c r="E30" s="121" t="e">
        <f>_xlfn.XLOOKUP(E25,CurrentPlans!B:B,CurrentPlans!W:W,"NA",0,1)</f>
        <v>#N/A</v>
      </c>
      <c r="F30" s="122"/>
      <c r="G30" s="122"/>
      <c r="H30" s="122"/>
      <c r="I30" s="121"/>
      <c r="J30" s="123"/>
      <c r="K30"/>
      <c r="L30" s="124" t="str">
        <f ca="1">_xlfn.XLOOKUP(L25,RenewalPlans!B:B,RenewalPlans!Z:Z,"NA",0,1)</f>
        <v>NA</v>
      </c>
      <c r="M30" s="122"/>
      <c r="N30" s="122"/>
      <c r="O30" s="122"/>
      <c r="P30" s="121"/>
      <c r="Q30" s="122"/>
      <c r="R30" s="123"/>
      <c r="T30" s="124" t="str">
        <f>_xlfn.XLOOKUP(T25,RenewalPlans!B:B,RenewalPlans!Z:Z,"NA",0,1)</f>
        <v>NA</v>
      </c>
      <c r="U30" s="122"/>
      <c r="V30" s="122"/>
      <c r="W30" s="122"/>
      <c r="X30" s="121"/>
      <c r="Y30" s="122"/>
      <c r="Z30" s="123"/>
    </row>
    <row r="31" spans="1:26" ht="18.75" customHeight="1" hidden="1">
      <c r="A31" s="140"/>
      <c r="B31" s="140"/>
      <c r="D31" s="203" t="s">
        <v>254</v>
      </c>
      <c r="E31" s="204"/>
      <c r="F31" s="205"/>
      <c r="G31" s="205"/>
      <c r="H31" s="205"/>
      <c r="I31" s="204"/>
      <c r="J31" s="206"/>
      <c r="K31"/>
      <c r="L31" s="207"/>
      <c r="M31" s="205"/>
      <c r="N31" s="205"/>
      <c r="O31" s="205"/>
      <c r="P31" s="204"/>
      <c r="Q31" s="205"/>
      <c r="R31" s="206"/>
      <c r="T31" s="207"/>
      <c r="U31" s="205"/>
      <c r="V31" s="205"/>
      <c r="W31" s="205"/>
      <c r="X31" s="204"/>
      <c r="Y31" s="205"/>
      <c r="Z31" s="206"/>
    </row>
    <row r="32" spans="1:26" ht="18.75" customHeight="1" hidden="1">
      <c r="A32" s="140"/>
      <c r="B32" s="140"/>
      <c r="D32" s="125" t="s">
        <v>255</v>
      </c>
      <c r="E32" s="126" t="e">
        <f>_xlfn.XLOOKUP(E25,CurrentPlans!B:B,CurrentPlans!Z:Z,"NA",0,1)</f>
        <v>#N/A</v>
      </c>
      <c r="F32" s="127"/>
      <c r="G32" s="127"/>
      <c r="H32" s="127"/>
      <c r="I32" s="126"/>
      <c r="J32" s="128"/>
      <c r="K32"/>
      <c r="L32" s="129" t="str">
        <f ca="1">_xlfn.XLOOKUP(L25,RenewalPlans!B:B,RenewalPlans!AC:AC,"NA",0,1)</f>
        <v>NA</v>
      </c>
      <c r="M32" s="127"/>
      <c r="N32" s="127"/>
      <c r="O32" s="127"/>
      <c r="P32" s="126"/>
      <c r="Q32" s="127"/>
      <c r="R32" s="128"/>
      <c r="T32" s="129" t="str">
        <f>_xlfn.XLOOKUP(T25,RenewalPlans!B:B,RenewalPlans!AC:AC,"NA",0,1)</f>
        <v>NA</v>
      </c>
      <c r="U32" s="127"/>
      <c r="V32" s="127"/>
      <c r="W32" s="127"/>
      <c r="X32" s="126"/>
      <c r="Y32" s="127"/>
      <c r="Z32" s="128"/>
    </row>
    <row r="33" spans="1:26" ht="18.75" customHeight="1" hidden="1">
      <c r="A33" s="140"/>
      <c r="B33" s="140"/>
      <c r="D33" s="198" t="s">
        <v>256</v>
      </c>
      <c r="E33" s="208" t="e">
        <f>_xlfn.XLOOKUP(E25,CurrentPlans!B:B,CurrentPlans!AA:AA,"NA",0,1)</f>
        <v>#N/A</v>
      </c>
      <c r="F33" s="200"/>
      <c r="G33" s="200"/>
      <c r="H33" s="200"/>
      <c r="I33" s="208"/>
      <c r="J33" s="201"/>
      <c r="K33"/>
      <c r="L33" s="209" t="str">
        <f ca="1">_xlfn.XLOOKUP(L25,RenewalPlans!B:B,RenewalPlans!AD:AD,"NA",0,1)</f>
        <v>NA</v>
      </c>
      <c r="M33" s="200"/>
      <c r="N33" s="200"/>
      <c r="O33" s="200"/>
      <c r="P33" s="208"/>
      <c r="Q33" s="200"/>
      <c r="R33" s="201"/>
      <c r="T33" s="209" t="str">
        <f>_xlfn.XLOOKUP(T25,RenewalPlans!B:B,RenewalPlans!AD:AD,"NA",0,1)</f>
        <v>NA</v>
      </c>
      <c r="U33" s="200"/>
      <c r="V33" s="200"/>
      <c r="W33" s="200"/>
      <c r="X33" s="208"/>
      <c r="Y33" s="200"/>
      <c r="Z33" s="201"/>
    </row>
    <row r="34" spans="1:26" ht="18.75" customHeight="1" hidden="1">
      <c r="A34" s="140"/>
      <c r="B34" s="140"/>
      <c r="D34" s="203" t="s">
        <v>257</v>
      </c>
      <c r="E34" s="204"/>
      <c r="F34" s="205"/>
      <c r="G34" s="205"/>
      <c r="H34" s="205"/>
      <c r="I34" s="204"/>
      <c r="J34" s="206"/>
      <c r="K34"/>
      <c r="L34" s="207"/>
      <c r="M34" s="205"/>
      <c r="N34" s="205"/>
      <c r="O34" s="205"/>
      <c r="P34" s="204"/>
      <c r="Q34" s="205"/>
      <c r="R34" s="206"/>
      <c r="T34" s="207"/>
      <c r="U34" s="205"/>
      <c r="V34" s="205"/>
      <c r="W34" s="205"/>
      <c r="X34" s="204"/>
      <c r="Y34" s="205"/>
      <c r="Z34" s="206"/>
    </row>
    <row r="35" spans="1:26" ht="18.75" customHeight="1" hidden="1">
      <c r="A35" s="140"/>
      <c r="B35" s="140"/>
      <c r="D35" s="198" t="s">
        <v>258</v>
      </c>
      <c r="E35" s="208" t="e">
        <f>_xlfn.XLOOKUP(E25,CurrentPlans!B:B,CurrentPlans!AB:AB,"NA",0,1)</f>
        <v>#N/A</v>
      </c>
      <c r="F35" s="200"/>
      <c r="G35" s="200"/>
      <c r="H35" s="200"/>
      <c r="I35" s="208"/>
      <c r="J35" s="201"/>
      <c r="K35"/>
      <c r="L35" s="209" t="str">
        <f ca="1">_xlfn.XLOOKUP(L25,RenewalPlans!B:B,RenewalPlans!AE:AE,"NA",0,1)</f>
        <v>NA</v>
      </c>
      <c r="M35" s="200"/>
      <c r="N35" s="200"/>
      <c r="O35" s="200"/>
      <c r="P35" s="208"/>
      <c r="Q35" s="200"/>
      <c r="R35" s="201"/>
      <c r="T35" s="209" t="str">
        <f>_xlfn.XLOOKUP(T25,RenewalPlans!B:B,RenewalPlans!AE:AE,"NA",0,1)</f>
        <v>NA</v>
      </c>
      <c r="U35" s="200"/>
      <c r="V35" s="200"/>
      <c r="W35" s="200"/>
      <c r="X35" s="208"/>
      <c r="Y35" s="200"/>
      <c r="Z35" s="201"/>
    </row>
    <row r="36" spans="1:26" ht="18.75" customHeight="1" hidden="1">
      <c r="A36" s="140"/>
      <c r="B36" s="140"/>
      <c r="D36" s="198" t="s">
        <v>259</v>
      </c>
      <c r="E36" s="208" t="e">
        <f>_xlfn.XLOOKUP(E25,CurrentPlans!B:B,CurrentPlans!AC:AC,"NA",0,1)</f>
        <v>#N/A</v>
      </c>
      <c r="F36" s="200"/>
      <c r="G36" s="200"/>
      <c r="H36" s="200"/>
      <c r="I36" s="208"/>
      <c r="J36" s="201"/>
      <c r="K36"/>
      <c r="L36" s="209" t="str">
        <f ca="1">_xlfn.XLOOKUP(L25,RenewalPlans!B:B,RenewalPlans!AF:AF,"NA",0,1)</f>
        <v>NA</v>
      </c>
      <c r="M36" s="200"/>
      <c r="N36" s="200"/>
      <c r="O36" s="200"/>
      <c r="P36" s="208"/>
      <c r="Q36" s="200"/>
      <c r="R36" s="201"/>
      <c r="T36" s="209" t="str">
        <f>_xlfn.XLOOKUP(T25,RenewalPlans!B:B,RenewalPlans!AF:AF,"NA",0,1)</f>
        <v>NA</v>
      </c>
      <c r="U36" s="200"/>
      <c r="V36" s="200"/>
      <c r="W36" s="200"/>
      <c r="X36" s="208"/>
      <c r="Y36" s="200"/>
      <c r="Z36" s="201"/>
    </row>
    <row r="37" spans="1:26" ht="18.75" customHeight="1" hidden="1">
      <c r="A37" s="140"/>
      <c r="B37" s="140"/>
      <c r="D37" s="210"/>
      <c r="E37" s="211"/>
      <c r="F37" s="211"/>
      <c r="G37" s="211"/>
      <c r="H37" s="211"/>
      <c r="I37" s="211"/>
      <c r="J37" s="212"/>
      <c r="K37"/>
      <c r="L37" s="210"/>
      <c r="M37" s="211"/>
      <c r="N37" s="211"/>
      <c r="O37" s="211"/>
      <c r="P37" s="211"/>
      <c r="Q37" s="211"/>
      <c r="R37" s="212"/>
      <c r="T37" s="210"/>
      <c r="U37" s="211"/>
      <c r="V37" s="211"/>
      <c r="W37" s="211"/>
      <c r="X37" s="211"/>
      <c r="Y37" s="211"/>
      <c r="Z37" s="212"/>
    </row>
    <row r="38" spans="1:26" ht="18.75" customHeight="1" hidden="1">
      <c r="A38" s="140"/>
      <c r="B38" s="140"/>
      <c r="D38" s="185" t="s">
        <v>260</v>
      </c>
      <c r="E38" s="186"/>
      <c r="F38" s="186"/>
      <c r="G38" s="186"/>
      <c r="H38" s="186"/>
      <c r="I38" s="186"/>
      <c r="J38" s="187"/>
      <c r="K38"/>
      <c r="L38" s="188"/>
      <c r="M38" s="186"/>
      <c r="N38" s="186"/>
      <c r="O38" s="186"/>
      <c r="P38" s="186"/>
      <c r="Q38" s="186"/>
      <c r="R38" s="187"/>
      <c r="T38" s="188"/>
      <c r="U38" s="186"/>
      <c r="V38" s="186"/>
      <c r="W38" s="186"/>
      <c r="X38" s="186"/>
      <c r="Y38" s="186"/>
      <c r="Z38" s="187"/>
    </row>
    <row r="39" spans="1:26" ht="18.75" customHeight="1" hidden="1">
      <c r="A39" s="140"/>
      <c r="B39" s="140"/>
      <c r="D39" s="213" t="s">
        <v>261</v>
      </c>
      <c r="E39" s="130" t="e">
        <f>_xlfn.XLOOKUP(E25,CurrentPlans!B:B,CurrentPlans!AJ:AJ,"NA",0,1)</f>
        <v>#N/A</v>
      </c>
      <c r="F39" s="214"/>
      <c r="G39" s="214"/>
      <c r="H39" s="214"/>
      <c r="I39" s="130"/>
      <c r="J39" s="215"/>
      <c r="K39"/>
      <c r="L39" s="131" t="str">
        <f ca="1">_xlfn.XLOOKUP(L25,RenewalPlans!B:B,RenewalPlans!AM:AM,"NA",0,1)</f>
        <v>NA</v>
      </c>
      <c r="M39" s="214"/>
      <c r="N39" s="214"/>
      <c r="O39" s="214"/>
      <c r="P39" s="130"/>
      <c r="Q39" s="214"/>
      <c r="R39" s="215"/>
      <c r="T39" s="131" t="str">
        <f>_xlfn.XLOOKUP(T25,RenewalPlans!B:B,RenewalPlans!AM:AM,"NA",0,1)</f>
        <v>NA</v>
      </c>
      <c r="U39" s="214"/>
      <c r="V39" s="214"/>
      <c r="W39" s="214"/>
      <c r="X39" s="130"/>
      <c r="Y39" s="214"/>
      <c r="Z39" s="215"/>
    </row>
    <row r="40" spans="1:26" ht="18.75" customHeight="1" hidden="1">
      <c r="A40" s="140"/>
      <c r="B40" s="140"/>
      <c r="D40" s="198" t="s">
        <v>262</v>
      </c>
      <c r="E40" s="130" t="e">
        <f>_xlfn.XLOOKUP(E25,CurrentPlans!B:B,CurrentPlans!AM:AM,"NA",0,1)</f>
        <v>#N/A</v>
      </c>
      <c r="F40" s="200"/>
      <c r="G40" s="200"/>
      <c r="H40" s="200"/>
      <c r="I40" s="130"/>
      <c r="J40" s="201"/>
      <c r="K40"/>
      <c r="L40" s="131" t="str">
        <f ca="1">_xlfn.XLOOKUP(L25,RenewalPlans!B:B,RenewalPlans!AP:AP,"NA",0,1)</f>
        <v>NA</v>
      </c>
      <c r="M40" s="200"/>
      <c r="N40" s="200"/>
      <c r="O40" s="200"/>
      <c r="P40" s="130"/>
      <c r="Q40" s="200"/>
      <c r="R40" s="201"/>
      <c r="T40" s="131" t="str">
        <f>_xlfn.XLOOKUP(T25,RenewalPlans!B:B,RenewalPlans!AP:AP,"NA",0,1)</f>
        <v>NA</v>
      </c>
      <c r="U40" s="200"/>
      <c r="V40" s="200"/>
      <c r="W40" s="200"/>
      <c r="X40" s="130"/>
      <c r="Y40" s="200"/>
      <c r="Z40" s="201"/>
    </row>
    <row r="41" spans="1:26" ht="18.75" customHeight="1" hidden="1">
      <c r="A41" s="140"/>
      <c r="B41" s="140"/>
      <c r="D41" s="198" t="s">
        <v>263</v>
      </c>
      <c r="E41" s="130" t="e">
        <f>_xlfn.XLOOKUP(E25,CurrentPlans!B:B,CurrentPlans!AI:AI,"NA",0,1)</f>
        <v>#N/A</v>
      </c>
      <c r="F41" s="200"/>
      <c r="G41" s="200"/>
      <c r="H41" s="200"/>
      <c r="I41" s="130"/>
      <c r="J41" s="201"/>
      <c r="K41"/>
      <c r="L41" s="131" t="str">
        <f ca="1">_xlfn.XLOOKUP(L25,RenewalPlans!B:B,RenewalPlans!AL:AL,"NA",0,1)</f>
        <v>NA</v>
      </c>
      <c r="M41" s="200"/>
      <c r="N41" s="200"/>
      <c r="O41" s="200"/>
      <c r="P41" s="130"/>
      <c r="Q41" s="200"/>
      <c r="R41" s="201"/>
      <c r="T41" s="131" t="str">
        <f>_xlfn.XLOOKUP(T25,RenewalPlans!B:B,RenewalPlans!AL:AL,"NA",0,1)</f>
        <v>NA</v>
      </c>
      <c r="U41" s="200"/>
      <c r="V41" s="200"/>
      <c r="W41" s="200"/>
      <c r="X41" s="130"/>
      <c r="Y41" s="200"/>
      <c r="Z41" s="201"/>
    </row>
    <row r="42" spans="1:26" ht="18.75" customHeight="1" hidden="1">
      <c r="A42" s="140"/>
      <c r="B42" s="140"/>
      <c r="D42" s="198" t="s">
        <v>264</v>
      </c>
      <c r="E42" s="208" t="e">
        <f>_xlfn.XLOOKUP(E25,CurrentPlans!B:B,CurrentPlans!AN:AN,"NA",0,1)</f>
        <v>#N/A</v>
      </c>
      <c r="F42" s="200"/>
      <c r="G42" s="200"/>
      <c r="H42" s="200"/>
      <c r="I42" s="208"/>
      <c r="J42" s="201"/>
      <c r="K42"/>
      <c r="L42" s="209" t="str">
        <f ca="1">_xlfn.XLOOKUP(L25,RenewalPlans!B:B,RenewalPlans!AQ:AQ,"NA",0,1)</f>
        <v>NA</v>
      </c>
      <c r="M42" s="200"/>
      <c r="N42" s="200"/>
      <c r="O42" s="200"/>
      <c r="P42" s="208"/>
      <c r="Q42" s="200"/>
      <c r="R42" s="201"/>
      <c r="T42" s="209" t="str">
        <f>_xlfn.XLOOKUP(T25,RenewalPlans!B:B,RenewalPlans!AQ:AQ,"NA",0,1)</f>
        <v>NA</v>
      </c>
      <c r="U42" s="200"/>
      <c r="V42" s="200"/>
      <c r="W42" s="200"/>
      <c r="X42" s="208"/>
      <c r="Y42" s="200"/>
      <c r="Z42" s="201"/>
    </row>
    <row r="43" spans="1:26" ht="18.75" customHeight="1" hidden="1">
      <c r="A43" s="140"/>
      <c r="B43" s="140"/>
      <c r="D43" s="210"/>
      <c r="E43" s="211"/>
      <c r="F43" s="211"/>
      <c r="G43" s="211"/>
      <c r="H43" s="211"/>
      <c r="I43" s="211"/>
      <c r="J43" s="212"/>
      <c r="K43"/>
      <c r="L43" s="210"/>
      <c r="M43" s="211"/>
      <c r="N43" s="211"/>
      <c r="O43" s="211"/>
      <c r="P43" s="211"/>
      <c r="Q43" s="211"/>
      <c r="R43" s="212"/>
      <c r="T43" s="210"/>
      <c r="U43" s="211"/>
      <c r="V43" s="211"/>
      <c r="W43" s="211"/>
      <c r="X43" s="211"/>
      <c r="Y43" s="211"/>
      <c r="Z43" s="212"/>
    </row>
    <row r="44" spans="1:26" ht="18.75" customHeight="1" hidden="1">
      <c r="A44" s="140"/>
      <c r="B44" s="140"/>
      <c r="D44" s="185" t="s">
        <v>265</v>
      </c>
      <c r="E44" s="186"/>
      <c r="F44" s="186"/>
      <c r="G44" s="186"/>
      <c r="H44" s="186"/>
      <c r="I44" s="186"/>
      <c r="J44" s="187"/>
      <c r="K44"/>
      <c r="L44" s="188"/>
      <c r="M44" s="186"/>
      <c r="N44" s="186"/>
      <c r="O44" s="186"/>
      <c r="P44" s="186"/>
      <c r="Q44" s="186"/>
      <c r="R44" s="187"/>
      <c r="T44" s="188"/>
      <c r="U44" s="186"/>
      <c r="V44" s="186"/>
      <c r="W44" s="186"/>
      <c r="X44" s="186"/>
      <c r="Y44" s="186"/>
      <c r="Z44" s="187"/>
    </row>
    <row r="45" spans="1:26" ht="18.75" customHeight="1" hidden="1">
      <c r="A45" s="140"/>
      <c r="B45" s="140"/>
      <c r="D45" s="132" t="s">
        <v>266</v>
      </c>
      <c r="E45" s="133" t="e">
        <f>_xlfn.XLOOKUP(E25,CurrentPlans!B:B,CurrentPlans!AE:AE,"NA",0,1)</f>
        <v>#N/A</v>
      </c>
      <c r="F45" s="134"/>
      <c r="G45" s="134"/>
      <c r="H45" s="134"/>
      <c r="I45" s="133"/>
      <c r="J45" s="135"/>
      <c r="K45"/>
      <c r="L45" s="136" t="str">
        <f ca="1">_xlfn.XLOOKUP(L25,RenewalPlans!B:B,RenewalPlans!AH:AH,"NA",0,1)</f>
        <v>NA</v>
      </c>
      <c r="M45" s="134"/>
      <c r="N45" s="134"/>
      <c r="O45" s="134"/>
      <c r="P45" s="133"/>
      <c r="Q45" s="134"/>
      <c r="R45" s="135"/>
      <c r="T45" s="136" t="str">
        <f>_xlfn.XLOOKUP(T25,RenewalPlans!B:B,RenewalPlans!AH:AH,"NA",0,1)</f>
        <v>NA</v>
      </c>
      <c r="U45" s="134"/>
      <c r="V45" s="134"/>
      <c r="W45" s="134"/>
      <c r="X45" s="133"/>
      <c r="Y45" s="134"/>
      <c r="Z45" s="135"/>
    </row>
    <row r="46" spans="1:26" ht="18.75" customHeight="1" hidden="1">
      <c r="A46" s="140"/>
      <c r="B46" s="140"/>
      <c r="D46" s="120" t="s">
        <v>267</v>
      </c>
      <c r="E46" s="130" t="e">
        <f>_xlfn.XLOOKUP(E25,CurrentPlans!B:B,CurrentPlans!AF:AF,"NA",0,1)</f>
        <v>#N/A</v>
      </c>
      <c r="F46" s="122"/>
      <c r="G46" s="122"/>
      <c r="H46" s="122"/>
      <c r="I46" s="130"/>
      <c r="J46" s="123"/>
      <c r="K46"/>
      <c r="L46" s="131" t="str">
        <f ca="1">_xlfn.XLOOKUP(L25,RenewalPlans!B:B,RenewalPlans!AI:AI,"NA",0,1)</f>
        <v>NA</v>
      </c>
      <c r="M46" s="122"/>
      <c r="N46" s="122"/>
      <c r="O46" s="122"/>
      <c r="P46" s="130"/>
      <c r="Q46" s="122"/>
      <c r="R46" s="123"/>
      <c r="T46" s="131" t="str">
        <f>_xlfn.XLOOKUP(T25,RenewalPlans!B:B,RenewalPlans!AI:AI,"NA",0,1)</f>
        <v>NA</v>
      </c>
      <c r="U46" s="122"/>
      <c r="V46" s="122"/>
      <c r="W46" s="122"/>
      <c r="X46" s="130"/>
      <c r="Y46" s="122"/>
      <c r="Z46" s="123"/>
    </row>
    <row r="47" spans="1:26" ht="18.75" customHeight="1" hidden="1">
      <c r="A47" s="140"/>
      <c r="B47" s="140"/>
      <c r="D47" s="198" t="s">
        <v>268</v>
      </c>
      <c r="E47" s="130" t="e">
        <f>_xlfn.XLOOKUP(E25,CurrentPlans!B:B,CurrentPlans!AH:AH,"NA",0,1)</f>
        <v>#N/A</v>
      </c>
      <c r="F47" s="200"/>
      <c r="G47" s="200"/>
      <c r="H47" s="200"/>
      <c r="I47" s="130"/>
      <c r="J47" s="201"/>
      <c r="K47"/>
      <c r="L47" s="131" t="str">
        <f ca="1">_xlfn.XLOOKUP(L25,RenewalPlans!B:B,RenewalPlans!AK:AK,"NA",0,1)</f>
        <v>NA</v>
      </c>
      <c r="M47" s="200"/>
      <c r="N47" s="200"/>
      <c r="O47" s="200"/>
      <c r="P47" s="130"/>
      <c r="Q47" s="200"/>
      <c r="R47" s="201"/>
      <c r="T47" s="131" t="str">
        <f>_xlfn.XLOOKUP(T25,RenewalPlans!B:B,RenewalPlans!AK:AK,"NA",0,1)</f>
        <v>NA</v>
      </c>
      <c r="U47" s="200"/>
      <c r="V47" s="200"/>
      <c r="W47" s="200"/>
      <c r="X47" s="130"/>
      <c r="Y47" s="200"/>
      <c r="Z47" s="201"/>
    </row>
    <row r="48" spans="1:26" ht="18.75" customHeight="1" hidden="1">
      <c r="A48" s="140"/>
      <c r="B48" s="140"/>
      <c r="D48" s="198" t="s">
        <v>269</v>
      </c>
      <c r="E48" s="130" t="e">
        <f>_xlfn.XLOOKUP(E25,CurrentPlans!B:B,CurrentPlans!AG:AG,"NA",0,1)</f>
        <v>#N/A</v>
      </c>
      <c r="F48" s="200"/>
      <c r="G48" s="200"/>
      <c r="H48" s="200"/>
      <c r="I48" s="130"/>
      <c r="J48" s="201"/>
      <c r="K48"/>
      <c r="L48" s="131" t="str">
        <f ca="1">_xlfn.XLOOKUP(L25,RenewalPlans!B:B,RenewalPlans!AJ:AJ,"NA",0,1)</f>
        <v>NA</v>
      </c>
      <c r="M48" s="200"/>
      <c r="N48" s="200"/>
      <c r="O48" s="200"/>
      <c r="P48" s="130"/>
      <c r="Q48" s="200"/>
      <c r="R48" s="201"/>
      <c r="T48" s="131" t="str">
        <f>_xlfn.XLOOKUP(T25,RenewalPlans!B:B,RenewalPlans!AJ:AJ,"NA",0,1)</f>
        <v>NA</v>
      </c>
      <c r="U48" s="200"/>
      <c r="V48" s="200"/>
      <c r="W48" s="200"/>
      <c r="X48" s="130"/>
      <c r="Y48" s="200"/>
      <c r="Z48" s="201"/>
    </row>
    <row r="49" spans="1:26" ht="18.75" customHeight="1" hidden="1">
      <c r="A49" s="140"/>
      <c r="B49" s="140"/>
      <c r="D49" s="213" t="s">
        <v>270</v>
      </c>
      <c r="E49" s="216" t="e">
        <f>_xlfn.XLOOKUP(E25,CurrentPlans!B:B,CurrentPlans!AU:AU,"NA",0,1)</f>
        <v>#N/A</v>
      </c>
      <c r="F49" s="214"/>
      <c r="G49" s="214"/>
      <c r="H49" s="214"/>
      <c r="I49" s="217"/>
      <c r="J49" s="215"/>
      <c r="K49"/>
      <c r="L49" s="218" t="str">
        <f ca="1">_xlfn.XLOOKUP(L25,RenewalPlans!B:B,RenewalPlans!AX:AX,"NA",0,1)</f>
        <v>NA</v>
      </c>
      <c r="M49" s="214"/>
      <c r="N49" s="214"/>
      <c r="O49" s="214"/>
      <c r="P49" s="217"/>
      <c r="Q49" s="214"/>
      <c r="R49" s="215"/>
      <c r="T49" s="218" t="str">
        <f>_xlfn.XLOOKUP(T25,RenewalPlans!B:B,RenewalPlans!AX:AX,"NA",0,1)</f>
        <v>NA</v>
      </c>
      <c r="U49" s="214"/>
      <c r="V49" s="214"/>
      <c r="W49" s="214"/>
      <c r="X49" s="217"/>
      <c r="Y49" s="214"/>
      <c r="Z49" s="215"/>
    </row>
    <row r="50" spans="1:26" ht="18.75" customHeight="1" hidden="1">
      <c r="A50" s="140"/>
      <c r="B50" s="140"/>
      <c r="D50" s="213" t="s">
        <v>271</v>
      </c>
      <c r="E50" s="216" t="e">
        <f>_xlfn.XLOOKUP(E25,CurrentPlans!B:B,CurrentPlans!AT:AT,"NA",0,1)</f>
        <v>#N/A</v>
      </c>
      <c r="F50" s="214"/>
      <c r="G50" s="214"/>
      <c r="H50" s="214"/>
      <c r="I50" s="217"/>
      <c r="J50" s="215"/>
      <c r="K50"/>
      <c r="L50" s="218" t="str">
        <f ca="1">_xlfn.XLOOKUP(L25,RenewalPlans!B:B,RenewalPlans!AW:AW,"NA",0,1)</f>
        <v>NA</v>
      </c>
      <c r="M50" s="214"/>
      <c r="N50" s="214"/>
      <c r="O50" s="214"/>
      <c r="P50" s="217"/>
      <c r="Q50" s="214"/>
      <c r="R50" s="215"/>
      <c r="T50" s="218" t="str">
        <f>_xlfn.XLOOKUP(T25,RenewalPlans!B:B,RenewalPlans!AW:AW,"NA",0,1)</f>
        <v>NA</v>
      </c>
      <c r="U50" s="214"/>
      <c r="V50" s="214"/>
      <c r="W50" s="214"/>
      <c r="X50" s="217"/>
      <c r="Y50" s="214"/>
      <c r="Z50" s="215"/>
    </row>
    <row r="51" spans="1:26" ht="18.75" customHeight="1" hidden="1">
      <c r="A51" s="140"/>
      <c r="B51" s="140"/>
      <c r="D51" s="198" t="s">
        <v>272</v>
      </c>
      <c r="E51" s="130" t="e">
        <f>_xlfn.XLOOKUP(E25,CurrentPlans!B:B,CurrentPlans!AD:AD,"NA",0,1)</f>
        <v>#N/A</v>
      </c>
      <c r="F51" s="200"/>
      <c r="G51" s="200"/>
      <c r="H51" s="200"/>
      <c r="I51" s="130"/>
      <c r="J51" s="201"/>
      <c r="K51"/>
      <c r="L51" s="131" t="str">
        <f ca="1">_xlfn.XLOOKUP(L25,RenewalPlans!B:B,RenewalPlans!AG:AG,"NA",0,1)</f>
        <v>NA</v>
      </c>
      <c r="M51" s="200"/>
      <c r="N51" s="200"/>
      <c r="O51" s="200"/>
      <c r="P51" s="130"/>
      <c r="Q51" s="200"/>
      <c r="R51" s="201"/>
      <c r="T51" s="131" t="str">
        <f>_xlfn.XLOOKUP(T25,RenewalPlans!B:B,RenewalPlans!AG:AG,"NA",0,1)</f>
        <v>NA</v>
      </c>
      <c r="U51" s="200"/>
      <c r="V51" s="200"/>
      <c r="W51" s="200"/>
      <c r="X51" s="130"/>
      <c r="Y51" s="200"/>
      <c r="Z51" s="201"/>
    </row>
    <row r="52" spans="1:26" ht="18.75" customHeight="1" hidden="1">
      <c r="A52" s="140"/>
      <c r="B52" s="140"/>
      <c r="D52" s="198" t="s">
        <v>273</v>
      </c>
      <c r="E52" s="200"/>
      <c r="F52" s="200"/>
      <c r="G52" s="200"/>
      <c r="H52" s="200"/>
      <c r="I52" s="200"/>
      <c r="J52" s="201"/>
      <c r="K52"/>
      <c r="L52" s="198"/>
      <c r="M52" s="200"/>
      <c r="N52" s="200"/>
      <c r="O52" s="200"/>
      <c r="P52" s="200"/>
      <c r="Q52" s="200"/>
      <c r="R52" s="201"/>
      <c r="T52" s="198"/>
      <c r="U52" s="200"/>
      <c r="V52" s="200"/>
      <c r="W52" s="200"/>
      <c r="X52" s="200"/>
      <c r="Y52" s="200"/>
      <c r="Z52" s="201"/>
    </row>
    <row r="53" spans="1:26" ht="18.75" customHeight="1" hidden="1">
      <c r="A53" s="140"/>
      <c r="B53" s="140"/>
      <c r="D53" s="210"/>
      <c r="E53" s="211"/>
      <c r="F53" s="211"/>
      <c r="G53" s="211"/>
      <c r="H53" s="211"/>
      <c r="I53" s="211"/>
      <c r="J53" s="212"/>
      <c r="K53"/>
      <c r="L53" s="210"/>
      <c r="M53" s="211"/>
      <c r="N53" s="211"/>
      <c r="O53" s="211"/>
      <c r="P53" s="211"/>
      <c r="Q53" s="211"/>
      <c r="R53" s="212"/>
      <c r="T53" s="210"/>
      <c r="U53" s="211"/>
      <c r="V53" s="211"/>
      <c r="W53" s="211"/>
      <c r="X53" s="211"/>
      <c r="Y53" s="211"/>
      <c r="Z53" s="212"/>
    </row>
    <row r="54" spans="1:26" ht="18.75" customHeight="1" hidden="1">
      <c r="A54" s="140"/>
      <c r="B54" s="140"/>
      <c r="D54" s="219" t="s">
        <v>274</v>
      </c>
      <c r="E54" s="220"/>
      <c r="F54" s="220"/>
      <c r="G54" s="220"/>
      <c r="H54" s="220"/>
      <c r="I54" s="220"/>
      <c r="J54" s="221"/>
      <c r="K54"/>
      <c r="L54" s="222"/>
      <c r="M54" s="220"/>
      <c r="N54" s="220"/>
      <c r="O54" s="220"/>
      <c r="P54" s="220"/>
      <c r="Q54" s="220"/>
      <c r="R54" s="221"/>
      <c r="T54" s="222"/>
      <c r="U54" s="220"/>
      <c r="V54" s="220"/>
      <c r="W54" s="220"/>
      <c r="X54" s="220"/>
      <c r="Y54" s="220"/>
      <c r="Z54" s="221"/>
    </row>
    <row r="55" spans="1:26" ht="18.75" customHeight="1" hidden="1">
      <c r="A55" s="140"/>
      <c r="B55" s="140"/>
      <c r="D55" s="223" t="s">
        <v>250</v>
      </c>
      <c r="E55" s="205"/>
      <c r="F55" s="205"/>
      <c r="G55" s="205"/>
      <c r="H55" s="205"/>
      <c r="I55" s="205"/>
      <c r="J55" s="206"/>
      <c r="K55"/>
      <c r="L55" s="203"/>
      <c r="M55" s="205"/>
      <c r="N55" s="205"/>
      <c r="O55" s="205"/>
      <c r="P55" s="205"/>
      <c r="Q55" s="205"/>
      <c r="R55" s="206"/>
      <c r="T55" s="203"/>
      <c r="U55" s="205"/>
      <c r="V55" s="205"/>
      <c r="W55" s="205"/>
      <c r="X55" s="205"/>
      <c r="Y55" s="205"/>
      <c r="Z55" s="206"/>
    </row>
    <row r="56" spans="1:26" ht="18.75" customHeight="1" hidden="1">
      <c r="A56" s="140"/>
      <c r="B56" s="140"/>
      <c r="D56" s="198" t="s">
        <v>251</v>
      </c>
      <c r="E56" s="130" t="e">
        <f>_xlfn.XLOOKUP(E25,CurrentPlans!B:B,CurrentPlans!AP:AP,"NA",0,1)</f>
        <v>#N/A</v>
      </c>
      <c r="F56" s="200"/>
      <c r="G56" s="200"/>
      <c r="H56" s="200"/>
      <c r="I56" s="130"/>
      <c r="J56" s="201"/>
      <c r="K56"/>
      <c r="L56" s="131" t="str">
        <f ca="1">_xlfn.XLOOKUP(L25,RenewalPlans!B:B,RenewalPlans!AS:AS,"NA",0,1)</f>
        <v>NA</v>
      </c>
      <c r="M56" s="200"/>
      <c r="N56" s="200"/>
      <c r="O56" s="200"/>
      <c r="P56" s="130"/>
      <c r="Q56" s="200"/>
      <c r="R56" s="201"/>
      <c r="T56" s="131" t="str">
        <f>_xlfn.XLOOKUP(T25,RenewalPlans!B:B,RenewalPlans!AS:AS,"NA",0,1)</f>
        <v>NA</v>
      </c>
      <c r="U56" s="200"/>
      <c r="V56" s="200"/>
      <c r="W56" s="200"/>
      <c r="X56" s="130"/>
      <c r="Y56" s="200"/>
      <c r="Z56" s="201"/>
    </row>
    <row r="57" spans="1:26" ht="18.75" customHeight="1" hidden="1">
      <c r="A57" s="140"/>
      <c r="B57" s="140"/>
      <c r="D57" s="198" t="s">
        <v>252</v>
      </c>
      <c r="E57" s="130" t="e">
        <f>_xlfn.XLOOKUP(E25,CurrentPlans!B:B,CurrentPlans!AQ:AQ,"NA",0,1)</f>
        <v>#N/A</v>
      </c>
      <c r="F57" s="200"/>
      <c r="G57" s="200"/>
      <c r="H57" s="200"/>
      <c r="I57" s="130"/>
      <c r="J57" s="201"/>
      <c r="K57"/>
      <c r="L57" s="131" t="str">
        <f ca="1">_xlfn.XLOOKUP(L25,RenewalPlans!B:B,RenewalPlans!AT:AT,"NA",0,1)</f>
        <v>NA</v>
      </c>
      <c r="M57" s="200"/>
      <c r="N57" s="200"/>
      <c r="O57" s="200"/>
      <c r="P57" s="130"/>
      <c r="Q57" s="200"/>
      <c r="R57" s="201"/>
      <c r="T57" s="131" t="str">
        <f>_xlfn.XLOOKUP(T25,RenewalPlans!B:B,RenewalPlans!AT:AT,"NA",0,1)</f>
        <v>NA</v>
      </c>
      <c r="U57" s="200"/>
      <c r="V57" s="200"/>
      <c r="W57" s="200"/>
      <c r="X57" s="130"/>
      <c r="Y57" s="200"/>
      <c r="Z57" s="201"/>
    </row>
    <row r="58" spans="1:26" ht="18.75" customHeight="1" hidden="1">
      <c r="A58" s="140"/>
      <c r="B58" s="140"/>
      <c r="D58" s="120" t="s">
        <v>253</v>
      </c>
      <c r="E58" s="133" t="e">
        <f>_xlfn.XLOOKUP(E25,CurrentPlans!B:B,CurrentPlans!AO:AO,"NA",0,1)</f>
        <v>#N/A</v>
      </c>
      <c r="F58" s="122"/>
      <c r="G58" s="122"/>
      <c r="H58" s="122"/>
      <c r="I58" s="133"/>
      <c r="J58" s="123"/>
      <c r="K58"/>
      <c r="L58" s="136" t="str">
        <f ca="1">_xlfn.XLOOKUP(L25,RenewalPlans!B:B,RenewalPlans!AR:AR,"NA",0,1)</f>
        <v>NA</v>
      </c>
      <c r="M58" s="122"/>
      <c r="N58" s="122"/>
      <c r="O58" s="122"/>
      <c r="P58" s="133"/>
      <c r="Q58" s="122"/>
      <c r="R58" s="123"/>
      <c r="T58" s="136" t="str">
        <f>_xlfn.XLOOKUP(T25,RenewalPlans!B:B,RenewalPlans!AR:AR,"NA",0,1)</f>
        <v>NA</v>
      </c>
      <c r="U58" s="122"/>
      <c r="V58" s="122"/>
      <c r="W58" s="122"/>
      <c r="X58" s="133"/>
      <c r="Y58" s="122"/>
      <c r="Z58" s="123"/>
    </row>
    <row r="59" spans="1:26" ht="18.75" customHeight="1" hidden="1">
      <c r="A59" s="140"/>
      <c r="B59" s="140"/>
      <c r="D59" s="223" t="s">
        <v>254</v>
      </c>
      <c r="E59" s="205"/>
      <c r="F59" s="205"/>
      <c r="G59" s="205"/>
      <c r="H59" s="205"/>
      <c r="I59" s="205"/>
      <c r="J59" s="206"/>
      <c r="K59"/>
      <c r="L59" s="203"/>
      <c r="M59" s="205"/>
      <c r="N59" s="205"/>
      <c r="O59" s="205"/>
      <c r="P59" s="205"/>
      <c r="Q59" s="205"/>
      <c r="R59" s="206"/>
      <c r="T59" s="203"/>
      <c r="U59" s="205"/>
      <c r="V59" s="205"/>
      <c r="W59" s="205"/>
      <c r="X59" s="205"/>
      <c r="Y59" s="205"/>
      <c r="Z59" s="206"/>
    </row>
    <row r="60" spans="1:26" ht="18.75" customHeight="1" hidden="1">
      <c r="A60" s="140"/>
      <c r="B60" s="140"/>
      <c r="D60" s="198" t="s">
        <v>255</v>
      </c>
      <c r="E60" s="130" t="e">
        <f>_xlfn.XLOOKUP(E25,CurrentPlans!B:B,CurrentPlans!AR:AR,"NA",0,1)</f>
        <v>#N/A</v>
      </c>
      <c r="F60" s="200"/>
      <c r="G60" s="200"/>
      <c r="H60" s="200"/>
      <c r="I60" s="130"/>
      <c r="J60" s="201"/>
      <c r="K60"/>
      <c r="L60" s="131" t="str">
        <f ca="1">_xlfn.XLOOKUP(L25,RenewalPlans!B:B,RenewalPlans!AU:AU,"NA",0,1)</f>
        <v>NA</v>
      </c>
      <c r="M60" s="200"/>
      <c r="N60" s="200"/>
      <c r="O60" s="200"/>
      <c r="P60" s="130"/>
      <c r="Q60" s="200"/>
      <c r="R60" s="201"/>
      <c r="T60" s="131" t="str">
        <f>_xlfn.XLOOKUP(T25,RenewalPlans!B:B,RenewalPlans!AU:AU,"NA",0,1)</f>
        <v>NA</v>
      </c>
      <c r="U60" s="200"/>
      <c r="V60" s="200"/>
      <c r="W60" s="200"/>
      <c r="X60" s="130"/>
      <c r="Y60" s="200"/>
      <c r="Z60" s="201"/>
    </row>
    <row r="61" spans="1:26" ht="18.75" customHeight="1" hidden="1" thickBot="1">
      <c r="A61" s="140"/>
      <c r="B61" s="140"/>
      <c r="D61" s="224" t="s">
        <v>256</v>
      </c>
      <c r="E61" s="137" t="e">
        <f>_xlfn.XLOOKUP(E25,CurrentPlans!B:B,CurrentPlans!AS:AS,"NA",0,1)</f>
        <v>#N/A</v>
      </c>
      <c r="F61" s="225"/>
      <c r="G61" s="225"/>
      <c r="H61" s="225"/>
      <c r="I61" s="137"/>
      <c r="J61" s="226"/>
      <c r="K61"/>
      <c r="L61" s="138" t="str">
        <f ca="1">_xlfn.XLOOKUP(L25,RenewalPlans!B:B,RenewalPlans!AV:AV,"NA",0,1)</f>
        <v>NA</v>
      </c>
      <c r="M61" s="225"/>
      <c r="N61" s="225"/>
      <c r="O61" s="225"/>
      <c r="P61" s="137"/>
      <c r="Q61" s="225"/>
      <c r="R61" s="226"/>
      <c r="T61" s="138" t="str">
        <f>_xlfn.XLOOKUP(T25,RenewalPlans!B:B,RenewalPlans!AV:AV,"NA",0,1)</f>
        <v>NA</v>
      </c>
      <c r="U61" s="225"/>
      <c r="V61" s="225"/>
      <c r="W61" s="225"/>
      <c r="X61" s="137"/>
      <c r="Y61" s="225"/>
      <c r="Z61" s="226"/>
    </row>
    <row r="62" spans="1:26" ht="18" customHeight="1">
      <c r="A62" s="140"/>
      <c r="B62" s="140"/>
      <c r="D62" s="227"/>
      <c r="E62" s="176"/>
      <c r="F62" s="178"/>
      <c r="G62" s="179"/>
      <c r="H62" s="178"/>
      <c r="I62" s="176"/>
      <c r="J62" s="228"/>
      <c r="K62"/>
      <c r="L62" s="178"/>
      <c r="M62" s="176"/>
      <c r="N62" s="139"/>
      <c r="O62" s="178"/>
      <c r="P62" s="178"/>
      <c r="Q62" s="178"/>
      <c r="R62" s="228"/>
      <c r="T62" s="178"/>
      <c r="U62" s="176"/>
      <c r="V62" s="139"/>
      <c r="W62" s="178"/>
      <c r="X62" s="178"/>
      <c r="Y62" s="178"/>
      <c r="Z62" s="228"/>
    </row>
    <row r="63" spans="1:26" ht="5.25" customHeight="1" thickBot="1">
      <c r="A63" s="140"/>
      <c r="B63" s="140"/>
      <c r="D63" s="229"/>
      <c r="E63" s="229"/>
      <c r="F63" s="230"/>
      <c r="G63" s="231"/>
      <c r="H63" s="232"/>
      <c r="I63" s="233"/>
      <c r="J63" s="233"/>
      <c r="K63"/>
      <c r="L63" s="233"/>
      <c r="M63" s="233"/>
      <c r="N63" s="233"/>
      <c r="O63" s="233"/>
      <c r="P63" s="233"/>
      <c r="Q63" s="233"/>
      <c r="R63" s="233"/>
      <c r="T63" s="233"/>
      <c r="U63" s="233"/>
      <c r="V63" s="233"/>
      <c r="W63" s="233"/>
      <c r="X63" s="233"/>
      <c r="Y63" s="233"/>
      <c r="Z63" s="233"/>
    </row>
    <row r="64" spans="1:26" ht="50.15" customHeight="1">
      <c r="A64" s="140">
        <v>2</v>
      </c>
      <c r="B64" s="140">
        <f>IF(A64&gt;Class2_CurrentHealthCount,"DELETE",Class2_CurrentHealthStart+A64)</f>
        <v>34</v>
      </c>
      <c r="C64" s="164" t="s">
        <v>275</v>
      </c>
      <c r="D64" s="273" t="e">
        <f ca="1">IF(B64="Delete","",VLOOKUP(F64,BEGIN_CURRENT_HEALTH:END_CURRENT_HEALTH,3,FALSE))</f>
        <v>#N/A</v>
      </c>
      <c r="E64" s="165"/>
      <c r="F64" s="272" cm="1">
        <f t="array" ca="1" aca="1" ref="F64">IF(B64="Delete","",INDIRECT("CurrentPlans!A"&amp;B64,TRUE))</f>
        <v>0</v>
      </c>
      <c r="G64" s="166"/>
      <c r="H64" s="167"/>
      <c r="I64" s="168"/>
      <c r="J64" s="169"/>
      <c r="K64"/>
      <c r="L64" s="274" t="str">
        <f ca="1">_xlfn.IFNA(VLOOKUP(F64,BEGIN_RENEWEDFROM_HEALTH:ROW_RenewHealth_PlanID,3,FALSE),"SELECT PLAN")</f>
        <v>SELECT PLAN</v>
      </c>
      <c r="M64" s="170"/>
      <c r="N64" s="274" t="s">
        <v>237</v>
      </c>
      <c r="O64" s="171"/>
      <c r="P64" s="171"/>
      <c r="Q64" s="171"/>
      <c r="R64" s="169"/>
      <c r="T64" s="274" t="s">
        <v>38</v>
      </c>
      <c r="U64" s="170"/>
      <c r="V64" s="274" t="s">
        <v>237</v>
      </c>
      <c r="W64" s="171"/>
      <c r="X64" s="171"/>
      <c r="Y64" s="171"/>
      <c r="Z64" s="169"/>
    </row>
    <row r="65" spans="1:26" ht="18.75" customHeight="1">
      <c r="A65" s="140"/>
      <c r="B65" s="140"/>
      <c r="D65" s="172" t="s">
        <v>238</v>
      </c>
      <c r="E65" s="407" t="str">
        <f ca="1">_xlfn.IFNA(VLOOKUP(F64,BEGIN_CURRENT_HEALTH:END_CURRENT_HEALTH,CURRENT_COL_EO_count,FALSE),"")</f>
        <v/>
      </c>
      <c r="F65" s="408" t="str">
        <f ca="1">_xlfn.IFNA(VLOOKUP(F64,BEGIN_CURRENT_HEALTH:END_CURRENT_HEALTH,CURRENT_COL_EO,FALSE),"")</f>
        <v/>
      </c>
      <c r="G65" s="468" t="str">
        <f ca="1" t="shared" si="5" ref="G65:G68">IF(F65="","",H65/F65)</f>
        <v/>
      </c>
      <c r="H65" s="408" t="str">
        <f ca="1">_xlfn.IFNA(VLOOKUP(F64,BEGIN_CURRENT_HEALTH:END_CURRENT_HEALTH,CURRENT_COL_EOContrib,FALSE),"")</f>
        <v/>
      </c>
      <c r="I65" s="409" t="str">
        <f ca="1">IFERROR(F65-H65,"")</f>
        <v/>
      </c>
      <c r="J65" s="410" t="str">
        <f ca="1">IF(F65="","",H65*E65)</f>
        <v/>
      </c>
      <c r="K65" s="411"/>
      <c r="L65" s="408" t="str" cm="1">
        <f t="array" ca="1" aca="1" ref="L65">_xlfn.IFNA(VLOOKUP(INDIRECT("L"&amp;ROW()-1)&amp;"_"&amp;$D$12,BEGIN_RENEW_HEALTH:END_RENEW_HEALTH,RENEW_COL_EO,FALSE),"")</f>
        <v/>
      </c>
      <c r="M65" s="412" t="str">
        <f ca="1">IF(E65="","",E65)</f>
        <v/>
      </c>
      <c r="N65" s="413"/>
      <c r="O65" s="414"/>
      <c r="P65" s="415" t="str">
        <f>IFERROR(IF($N64="Keep Contribution Same",H65,IF($N64="Enter Percentages",IF(N65="","",N65*L65),IF($N64="Keep Percentage Same",IF(G65="","",G65*L65),IF($N64="Enter Dollar Amount",IF(O65="","",O65),"")))),"")</f>
        <v/>
      </c>
      <c r="Q65" s="408" t="str">
        <f ca="1">IFERROR(L65-P65,"")</f>
        <v/>
      </c>
      <c r="R65" s="410" t="str">
        <f>IFERROR(IF(P65="","",M65*P65),"")</f>
        <v/>
      </c>
      <c r="S65" s="411"/>
      <c r="T65" s="408" t="str" cm="1">
        <f t="array" ca="1" aca="1" ref="T65">_xlfn.IFNA(VLOOKUP(INDIRECT("T"&amp;ROW()-1)&amp;"_"&amp;$D$12,BEGIN_RENEW_HEALTH:END_RENEW_HEALTH,RENEW_COL_EO,FALSE),"")</f>
        <v/>
      </c>
      <c r="U65" s="412" t="str">
        <f ca="1">IF(E65="","",E65)</f>
        <v/>
      </c>
      <c r="V65" s="413"/>
      <c r="W65" s="414"/>
      <c r="X65" s="415" t="str">
        <f>IFERROR(IF($V64="Keep Contribution Same",H65,IF($V64="Enter Percentages",IF(V65="","",V65*T65),IF($V64="Keep Percentage Same",IF(G65="","",G65*T65),IF($V64="Enter Dollar Amount",IF(W65="","",W65),"")))),"")</f>
        <v/>
      </c>
      <c r="Y65" s="408" t="str">
        <f ca="1">IFERROR(T65-X65,"")</f>
        <v/>
      </c>
      <c r="Z65" s="410" t="str">
        <f>IFERROR(IF(X65="","",U65*X65),"")</f>
        <v/>
      </c>
    </row>
    <row r="66" spans="1:26" ht="18.75" customHeight="1">
      <c r="A66" s="140"/>
      <c r="B66" s="140"/>
      <c r="D66" s="172" t="s">
        <v>239</v>
      </c>
      <c r="E66" s="407" t="str">
        <f ca="1">_xlfn.IFNA(VLOOKUP(F64,BEGIN_CURRENT_HEALTH:END_CURRENT_HEALTH,CURRENT_COL_ES_count,FALSE),"")</f>
        <v/>
      </c>
      <c r="F66" s="408" t="str">
        <f ca="1">_xlfn.IFNA(VLOOKUP(F64,BEGIN_CURRENT_HEALTH:END_CURRENT_HEALTH,CURRENT_COL_ES,FALSE),"")</f>
        <v/>
      </c>
      <c r="G66" s="468" t="str">
        <f t="shared" ca="1" si="5"/>
        <v/>
      </c>
      <c r="H66" s="408" t="str">
        <f ca="1">_xlfn.IFNA(VLOOKUP(F64,BEGIN_CURRENT_HEALTH:END_CURRENT_HEALTH,CURRENT_COL_ESContrib,FALSE),"")</f>
        <v/>
      </c>
      <c r="I66" s="409" t="str">
        <f ca="1" t="shared" si="6" ref="I66:I68">IFERROR(F66-H66,"")</f>
        <v/>
      </c>
      <c r="J66" s="410" t="str">
        <f ca="1">IF(F66="","",H66*E66)</f>
        <v/>
      </c>
      <c r="K66" s="411"/>
      <c r="L66" s="408" t="str" cm="1">
        <f t="array" ca="1" aca="1" ref="L66">_xlfn.IFNA(VLOOKUP(INDIRECT("L"&amp;ROW()-2)&amp;"_"&amp;$D$12,BEGIN_RENEW_HEALTH:END_RENEW_HEALTH,RENEW_COL_ES,FALSE),"")</f>
        <v/>
      </c>
      <c r="M66" s="412" t="str">
        <f ca="1">IF(E66="","",E66)</f>
        <v/>
      </c>
      <c r="N66" s="413"/>
      <c r="O66" s="414"/>
      <c r="P66" s="415" t="str">
        <f>IFERROR(IF($N64="Keep Contribution Same",H66,IF($N64="Enter Percentages",IF(N66="","",N66*L66),IF($N64="Keep Percentage Same",IF(G66="","",G66*L66),IF($N64="Enter Dollar Amount",IF(O66="","",O66),"")))),"")</f>
        <v/>
      </c>
      <c r="Q66" s="408" t="str">
        <f ca="1">IFERROR(L66-P66,"")</f>
        <v/>
      </c>
      <c r="R66" s="410" t="str">
        <f>IFERROR(IF(P66="","",M66*P66),"")</f>
        <v/>
      </c>
      <c r="S66" s="411"/>
      <c r="T66" s="408" t="str" cm="1">
        <f t="array" ca="1" aca="1" ref="T66">_xlfn.IFNA(VLOOKUP(INDIRECT("T"&amp;ROW()-2)&amp;"_"&amp;$D$12,BEGIN_RENEW_HEALTH:END_RENEW_HEALTH,RENEW_COL_ES,FALSE),"")</f>
        <v/>
      </c>
      <c r="U66" s="412" t="str">
        <f ca="1" t="shared" si="7" ref="U66:U68">IF(E66="","",E66)</f>
        <v/>
      </c>
      <c r="V66" s="413"/>
      <c r="W66" s="414"/>
      <c r="X66" s="415" t="str">
        <f>IFERROR(IF($V64="Keep Contribution Same",H66,IF($V64="Enter Percentages",IF(V66="","",V66*T66),IF($V64="Keep Percentage Same",IF(G66="","",G66*T66),IF($V64="Enter Dollar Amount",IF(W66="","",W66),"")))),"")</f>
        <v/>
      </c>
      <c r="Y66" s="408" t="str">
        <f ca="1" t="shared" si="8" ref="Y66:Y68">IFERROR(T66-X66,"")</f>
        <v/>
      </c>
      <c r="Z66" s="410" t="str">
        <f t="shared" si="9" ref="Z66:Z68">IFERROR(IF(X66="","",U66*X66),"")</f>
        <v/>
      </c>
    </row>
    <row r="67" spans="1:26" ht="18.75" customHeight="1">
      <c r="A67" s="140"/>
      <c r="B67" s="140"/>
      <c r="D67" s="172" t="s">
        <v>240</v>
      </c>
      <c r="E67" s="407" t="str">
        <f ca="1">_xlfn.IFNA(VLOOKUP(F64,BEGIN_CURRENT_HEALTH:END_CURRENT_HEALTH,CURRENT_COL_EC_count,FALSE),"")</f>
        <v/>
      </c>
      <c r="F67" s="408" t="str">
        <f ca="1">_xlfn.IFNA(VLOOKUP(F64,BEGIN_CURRENT_HEALTH:END_CURRENT_HEALTH,CURRENT_COL_EC,FALSE),"")</f>
        <v/>
      </c>
      <c r="G67" s="468" t="str">
        <f t="shared" ca="1" si="5"/>
        <v/>
      </c>
      <c r="H67" s="408" t="str">
        <f ca="1">_xlfn.IFNA(VLOOKUP(F64,BEGIN_CURRENT_HEALTH:END_CURRENT_HEALTH,CURRENT_COL_ECContrib,FALSE),"")</f>
        <v/>
      </c>
      <c r="I67" s="409" t="str">
        <f t="shared" ca="1" si="6"/>
        <v/>
      </c>
      <c r="J67" s="410" t="str">
        <f ca="1">IF(F67="","",H67*E67)</f>
        <v/>
      </c>
      <c r="K67" s="411"/>
      <c r="L67" s="408" t="str" cm="1">
        <f t="array" ca="1" aca="1" ref="L67">_xlfn.IFNA(VLOOKUP(INDIRECT("L"&amp;ROW()-3)&amp;"_"&amp;$D$12,BEGIN_RENEW_HEALTH:END_RENEW_HEALTH,RENEW_COL_EC,FALSE),"")</f>
        <v/>
      </c>
      <c r="M67" s="412" t="str">
        <f ca="1">IF(E67="","",E67)</f>
        <v/>
      </c>
      <c r="N67" s="413"/>
      <c r="O67" s="414"/>
      <c r="P67" s="415" t="str">
        <f>IFERROR(IF($N64="Keep Contribution Same",H67,IF($N64="Enter Percentages",IF(N67="","",N67*L67),IF($N64="Keep Percentage Same",IF(G67="","",G67*L67),IF($N64="Enter Dollar Amount",IF(O67="","",O67),"")))),"")</f>
        <v/>
      </c>
      <c r="Q67" s="408" t="str">
        <f ca="1">IFERROR(L67-P67,"")</f>
        <v/>
      </c>
      <c r="R67" s="410" t="str">
        <f>IFERROR(IF(P67="","",M67*P67),"")</f>
        <v/>
      </c>
      <c r="S67" s="411"/>
      <c r="T67" s="408" t="str" cm="1">
        <f t="array" ca="1" aca="1" ref="T67">_xlfn.IFNA(VLOOKUP(INDIRECT("T"&amp;ROW()-3)&amp;"_"&amp;$D$12,BEGIN_RENEW_HEALTH:END_RENEW_HEALTH,RENEW_COL_EC,FALSE),"")</f>
        <v/>
      </c>
      <c r="U67" s="412" t="str">
        <f t="shared" ca="1" si="7"/>
        <v/>
      </c>
      <c r="V67" s="413"/>
      <c r="W67" s="414"/>
      <c r="X67" s="415" t="str">
        <f>IFERROR(IF($V64="Keep Contribution Same",H67,IF($V64="Enter Percentages",IF(V67="","",V67*T67),IF($V64="Keep Percentage Same",IF(G67="","",G67*T67),IF($V64="Enter Dollar Amount",IF(W67="","",W67),"")))),"")</f>
        <v/>
      </c>
      <c r="Y67" s="408" t="str">
        <f t="shared" ca="1" si="8"/>
        <v/>
      </c>
      <c r="Z67" s="410" t="str">
        <f t="shared" si="9"/>
        <v/>
      </c>
    </row>
    <row r="68" spans="1:26" ht="18.75" customHeight="1" thickBot="1">
      <c r="A68" s="140"/>
      <c r="B68" s="140"/>
      <c r="D68" s="174" t="s">
        <v>241</v>
      </c>
      <c r="E68" s="416" t="str">
        <f ca="1">_xlfn.IFNA(VLOOKUP(F64,BEGIN_CURRENT_HEALTH:END_CURRENT_HEALTH,CURRENT_COL_FAM_count,FALSE),"")</f>
        <v/>
      </c>
      <c r="F68" s="417" t="str">
        <f ca="1">_xlfn.IFNA(VLOOKUP(F64,BEGIN_CURRENT_HEALTH:END_CURRENT_HEALTH,CURRENT_COL_FAM,FALSE),"")</f>
        <v/>
      </c>
      <c r="G68" s="469" t="str">
        <f t="shared" ca="1" si="5"/>
        <v/>
      </c>
      <c r="H68" s="417" t="str">
        <f ca="1">_xlfn.IFNA(VLOOKUP(F64,BEGIN_CURRENT_HEALTH:END_CURRENT_HEALTH,CURRENT_COL_FAMContrib,FALSE),"")</f>
        <v/>
      </c>
      <c r="I68" s="418" t="str">
        <f t="shared" ca="1" si="6"/>
        <v/>
      </c>
      <c r="J68" s="419" t="str">
        <f ca="1">IF(F68="","",H68*E68)</f>
        <v/>
      </c>
      <c r="K68" s="411"/>
      <c r="L68" s="417" t="str" cm="1">
        <f t="array" ca="1" aca="1" ref="L68">_xlfn.IFNA(VLOOKUP(INDIRECT("L"&amp;ROW()-4)&amp;"_"&amp;$D$12,BEGIN_RENEW_HEALTH:END_RENEW_HEALTH,RENEW_COL_FAM,FALSE),"")</f>
        <v/>
      </c>
      <c r="M68" s="412" t="str">
        <f ca="1">IF(E68="","",E68)</f>
        <v/>
      </c>
      <c r="N68" s="420"/>
      <c r="O68" s="421"/>
      <c r="P68" s="422" t="str">
        <f>IFERROR(IF($N64="Keep Contribution Same",H68,IF($N64="Enter Percentages",IF(N68="","",N68*L68),IF($N64="Keep Percentage Same",IF(G68="","",G68*L68),IF($N64="Enter Dollar Amount",IF(O68="","",O68),"")))),"")</f>
        <v/>
      </c>
      <c r="Q68" s="422" t="str">
        <f ca="1">IFERROR(L68-P68,"")</f>
        <v/>
      </c>
      <c r="R68" s="410" t="str">
        <f>IFERROR(IF(P68="","",M68*P68),"")</f>
        <v/>
      </c>
      <c r="S68" s="411"/>
      <c r="T68" s="417" t="str" cm="1">
        <f t="array" ca="1" aca="1" ref="T68">_xlfn.IFNA(VLOOKUP(INDIRECT("T"&amp;ROW()-4)&amp;"_"&amp;$D$12,BEGIN_RENEW_HEALTH:END_RENEW_HEALTH,RENEW_COL_FAM,FALSE),"")</f>
        <v/>
      </c>
      <c r="U68" s="423" t="str">
        <f t="shared" ca="1" si="7"/>
        <v/>
      </c>
      <c r="V68" s="420"/>
      <c r="W68" s="421"/>
      <c r="X68" s="422" t="str">
        <f>IFERROR(IF($V64="Keep Contribution Same",H68,IF($V64="Enter Percentages",IF(V68="","",V68*T68),IF($V64="Keep Percentage Same",IF(G68="","",G68*T68),IF($V64="Enter Dollar Amount",IF(W68="","",W68),"")))),"")</f>
        <v/>
      </c>
      <c r="Y68" s="417" t="str">
        <f t="shared" ca="1" si="8"/>
        <v/>
      </c>
      <c r="Z68" s="419" t="str">
        <f t="shared" si="9"/>
        <v/>
      </c>
    </row>
    <row r="69" spans="1:26" ht="18.75" customHeight="1" thickTop="1">
      <c r="A69" s="140"/>
      <c r="B69" s="140"/>
      <c r="D69" s="175" t="s">
        <v>242</v>
      </c>
      <c r="E69" s="424"/>
      <c r="F69" s="447" t="str">
        <f ca="1">IFERROR((F65*E65)+(F66*E66)+(F67*E67)+(F68*E68),"")</f>
        <v/>
      </c>
      <c r="G69" s="426"/>
      <c r="H69" s="427"/>
      <c r="I69" s="428"/>
      <c r="J69" s="429" t="str">
        <f ca="1">IFERROR(IF(J65="","",SUM(J65:J68)),0)</f>
        <v/>
      </c>
      <c r="K69" s="1"/>
      <c r="L69" s="430" t="str">
        <f ca="1">IFERROR((M65*L65)+(M66*L66)+(M67*L67)+(M68*L68),"")</f>
        <v/>
      </c>
      <c r="M69" s="427"/>
      <c r="N69" s="426"/>
      <c r="O69" s="427"/>
      <c r="P69" s="431"/>
      <c r="Q69" s="432"/>
      <c r="R69" s="429" t="str">
        <f>IFERROR(IF(R65="","",SUM(R65:R68)),0)</f>
        <v/>
      </c>
      <c r="T69" s="430" t="str">
        <f ca="1">IFERROR((U65*T65)+(U66*T66)+(U67*T67)+(U68*T68),"")</f>
        <v/>
      </c>
      <c r="U69" s="427"/>
      <c r="V69" s="426"/>
      <c r="W69" s="427"/>
      <c r="X69" s="431"/>
      <c r="Y69" s="432"/>
      <c r="Z69" s="429" t="str">
        <f>IFERROR(IF(Z65="","",SUM(Z65:Z68)),0)</f>
        <v/>
      </c>
    </row>
    <row r="70" spans="1:26" ht="18.75" customHeight="1">
      <c r="A70" s="140"/>
      <c r="B70" s="140"/>
      <c r="D70" s="177" t="s">
        <v>243</v>
      </c>
      <c r="E70" s="433"/>
      <c r="F70" s="448" t="str">
        <f ca="1">IFERROR(F69*12,"")</f>
        <v/>
      </c>
      <c r="G70" s="435"/>
      <c r="H70" s="436"/>
      <c r="I70" s="432"/>
      <c r="J70" s="437" t="str">
        <f ca="1">IF(J69="","",J69*12)</f>
        <v/>
      </c>
      <c r="K70" s="1"/>
      <c r="L70" s="438" t="str">
        <f ca="1">IFERROR(L69*12,"")</f>
        <v/>
      </c>
      <c r="M70" s="436"/>
      <c r="N70" s="435"/>
      <c r="O70" s="436"/>
      <c r="P70" s="432"/>
      <c r="Q70" s="432"/>
      <c r="R70" s="437" t="str">
        <f>IF(R69="","",R69*12)</f>
        <v/>
      </c>
      <c r="T70" s="438" t="str">
        <f ca="1">IFERROR(T69*12,"")</f>
        <v/>
      </c>
      <c r="U70" s="436"/>
      <c r="V70" s="435"/>
      <c r="W70" s="436"/>
      <c r="X70" s="432"/>
      <c r="Y70" s="432"/>
      <c r="Z70" s="437" t="str">
        <f>IF(Z69="","",Z69*12)</f>
        <v/>
      </c>
    </row>
    <row r="71" spans="1:26" ht="18.75" customHeight="1">
      <c r="A71" s="140"/>
      <c r="B71" s="140"/>
      <c r="D71" s="177" t="s">
        <v>244</v>
      </c>
      <c r="E71" s="433"/>
      <c r="F71" s="436"/>
      <c r="G71" s="435"/>
      <c r="H71" s="436"/>
      <c r="I71" s="432"/>
      <c r="J71" s="437"/>
      <c r="K71" s="1"/>
      <c r="L71" s="434" t="str">
        <f ca="1">IFERROR(L70-F70,"")</f>
        <v/>
      </c>
      <c r="M71" s="436"/>
      <c r="N71" s="435"/>
      <c r="O71" s="436"/>
      <c r="P71" s="432"/>
      <c r="Q71" s="432"/>
      <c r="R71" s="437" t="str">
        <f ca="1">IFERROR(IF(J70="","",R70-J70),0)</f>
        <v/>
      </c>
      <c r="T71" s="434" t="str">
        <f ca="1">IFERROR(T70-F70,"")</f>
        <v/>
      </c>
      <c r="U71" s="436"/>
      <c r="V71" s="435"/>
      <c r="W71" s="436"/>
      <c r="X71" s="432"/>
      <c r="Y71" s="432"/>
      <c r="Z71" s="437" t="str">
        <f>IFERROR(IF(R70="","",Z70-R70),0)</f>
        <v/>
      </c>
    </row>
    <row r="72" spans="1:26" ht="18.75" customHeight="1" thickBot="1">
      <c r="A72" s="140"/>
      <c r="B72" s="140"/>
      <c r="D72" s="180" t="s">
        <v>245</v>
      </c>
      <c r="E72" s="439"/>
      <c r="F72" s="440"/>
      <c r="G72" s="441"/>
      <c r="H72" s="440"/>
      <c r="I72" s="442"/>
      <c r="J72" s="443"/>
      <c r="K72" s="1"/>
      <c r="L72" s="444" t="str">
        <f ca="1">IFERROR(L70/F70-1,"")</f>
        <v/>
      </c>
      <c r="M72" s="440"/>
      <c r="N72" s="441"/>
      <c r="O72" s="440"/>
      <c r="P72" s="445"/>
      <c r="Q72" s="445"/>
      <c r="R72" s="446" t="str">
        <f ca="1">IFERROR(IF(J70="","",(R70/J70)-1),0)</f>
        <v/>
      </c>
      <c r="T72" s="444" t="str">
        <f ca="1">IFERROR(T70/F70-1,"")</f>
        <v/>
      </c>
      <c r="U72" s="440"/>
      <c r="V72" s="441"/>
      <c r="W72" s="440"/>
      <c r="X72" s="445"/>
      <c r="Y72" s="445"/>
      <c r="Z72" s="446" t="str">
        <f>IFERROR(IF(R70="","",(Z70/R70)-1),0)</f>
        <v/>
      </c>
    </row>
    <row r="73" spans="1:26" ht="18.75" customHeight="1">
      <c r="A73" s="140"/>
      <c r="B73" s="140"/>
      <c r="D73" s="181" t="s">
        <v>246</v>
      </c>
      <c r="E73" s="182"/>
      <c r="F73" s="182"/>
      <c r="G73" s="182"/>
      <c r="H73" s="182"/>
      <c r="I73" s="182"/>
      <c r="J73" s="183"/>
      <c r="K73"/>
      <c r="L73" s="184"/>
      <c r="M73" s="182"/>
      <c r="N73" s="182"/>
      <c r="O73" s="182"/>
      <c r="P73" s="182"/>
      <c r="Q73" s="182"/>
      <c r="R73" s="183"/>
      <c r="T73" s="184"/>
      <c r="U73" s="182"/>
      <c r="V73" s="182"/>
      <c r="W73" s="182"/>
      <c r="X73" s="182"/>
      <c r="Y73" s="182"/>
      <c r="Z73" s="183"/>
    </row>
    <row r="74" spans="1:26" ht="18.75" customHeight="1" hidden="1">
      <c r="A74" s="140"/>
      <c r="B74" s="140"/>
      <c r="D74" s="185" t="s">
        <v>247</v>
      </c>
      <c r="E74" s="186"/>
      <c r="F74" s="186"/>
      <c r="G74" s="186"/>
      <c r="H74" s="186"/>
      <c r="I74" s="186"/>
      <c r="J74" s="187"/>
      <c r="K74"/>
      <c r="L74" s="188"/>
      <c r="M74" s="186"/>
      <c r="N74" s="186"/>
      <c r="O74" s="186"/>
      <c r="P74" s="186"/>
      <c r="Q74" s="186"/>
      <c r="R74" s="187"/>
      <c r="T74" s="188"/>
      <c r="U74" s="186"/>
      <c r="V74" s="186"/>
      <c r="W74" s="186"/>
      <c r="X74" s="186"/>
      <c r="Y74" s="186"/>
      <c r="Z74" s="187"/>
    </row>
    <row r="75" spans="1:26" ht="18.75" customHeight="1" hidden="1">
      <c r="A75" s="140"/>
      <c r="B75" s="140"/>
      <c r="D75" s="189" t="s">
        <v>248</v>
      </c>
      <c r="E75" s="190" t="e">
        <f ca="1">D64&amp;"_"&amp;D12</f>
        <v>#N/A</v>
      </c>
      <c r="F75" s="191"/>
      <c r="G75" s="191"/>
      <c r="H75" s="191"/>
      <c r="I75" s="190"/>
      <c r="J75" s="192"/>
      <c r="K75"/>
      <c r="L75" s="193" t="str">
        <f ca="1">L64&amp;"_"&amp;D12</f>
        <v>SELECT PLAN_OWNERS</v>
      </c>
      <c r="M75" s="191"/>
      <c r="N75" s="191"/>
      <c r="O75" s="191"/>
      <c r="P75" s="190"/>
      <c r="Q75" s="191"/>
      <c r="R75" s="192"/>
      <c r="T75" s="193" t="str">
        <f>T64&amp;"_"&amp;D12</f>
        <v>SELECT PLAN_OWNERS</v>
      </c>
      <c r="U75" s="191"/>
      <c r="V75" s="191"/>
      <c r="W75" s="191"/>
      <c r="X75" s="190"/>
      <c r="Y75" s="191"/>
      <c r="Z75" s="192"/>
    </row>
    <row r="76" spans="1:26" ht="18.75" customHeight="1" hidden="1">
      <c r="A76" s="140"/>
      <c r="B76" s="140"/>
      <c r="D76" s="189" t="s">
        <v>249</v>
      </c>
      <c r="E76" s="191"/>
      <c r="F76" s="191"/>
      <c r="G76" s="191"/>
      <c r="H76" s="191"/>
      <c r="I76" s="191"/>
      <c r="J76" s="192"/>
      <c r="K76"/>
      <c r="L76" s="189"/>
      <c r="M76" s="191"/>
      <c r="N76" s="191"/>
      <c r="O76" s="191"/>
      <c r="P76" s="191"/>
      <c r="Q76" s="191"/>
      <c r="R76" s="192"/>
      <c r="T76" s="189"/>
      <c r="U76" s="191"/>
      <c r="V76" s="191"/>
      <c r="W76" s="191"/>
      <c r="X76" s="191"/>
      <c r="Y76" s="191"/>
      <c r="Z76" s="192"/>
    </row>
    <row r="77" spans="1:26" ht="18.75" customHeight="1" hidden="1">
      <c r="A77" s="140"/>
      <c r="B77" s="140"/>
      <c r="D77" s="194" t="s">
        <v>250</v>
      </c>
      <c r="E77" s="195"/>
      <c r="F77" s="195"/>
      <c r="G77" s="195"/>
      <c r="H77" s="195"/>
      <c r="I77" s="195"/>
      <c r="J77" s="196"/>
      <c r="K77"/>
      <c r="L77" s="197"/>
      <c r="M77" s="195"/>
      <c r="N77" s="195"/>
      <c r="O77" s="195"/>
      <c r="P77" s="195"/>
      <c r="Q77" s="195"/>
      <c r="R77" s="196"/>
      <c r="T77" s="197"/>
      <c r="U77" s="195"/>
      <c r="V77" s="195"/>
      <c r="W77" s="195"/>
      <c r="X77" s="195"/>
      <c r="Y77" s="195"/>
      <c r="Z77" s="196"/>
    </row>
    <row r="78" spans="1:26" ht="18.75" customHeight="1" hidden="1">
      <c r="A78" s="140"/>
      <c r="B78" s="140"/>
      <c r="D78" s="198" t="s">
        <v>251</v>
      </c>
      <c r="E78" s="199" t="e">
        <f>_xlfn.XLOOKUP(E75,CurrentPlans!B:B,CurrentPlans!X:X,"NA",0,1)</f>
        <v>#N/A</v>
      </c>
      <c r="F78" s="200"/>
      <c r="G78" s="200"/>
      <c r="H78" s="200"/>
      <c r="I78" s="199"/>
      <c r="J78" s="201"/>
      <c r="K78"/>
      <c r="L78" s="202" t="str">
        <f ca="1">_xlfn.XLOOKUP(L75,RenewalPlans!B:B,RenewalPlans!AA:AA,"NA",0,1)</f>
        <v>NA</v>
      </c>
      <c r="M78" s="200"/>
      <c r="N78" s="200"/>
      <c r="O78" s="200"/>
      <c r="P78" s="199"/>
      <c r="Q78" s="200"/>
      <c r="R78" s="201"/>
      <c r="T78" s="202" t="str">
        <f>_xlfn.XLOOKUP(T75,RenewalPlans!B:B,RenewalPlans!AA:AA,"NA",0,1)</f>
        <v>NA</v>
      </c>
      <c r="U78" s="200"/>
      <c r="V78" s="200"/>
      <c r="W78" s="200"/>
      <c r="X78" s="199"/>
      <c r="Y78" s="200"/>
      <c r="Z78" s="201"/>
    </row>
    <row r="79" spans="1:26" ht="18.75" customHeight="1" hidden="1">
      <c r="A79" s="140"/>
      <c r="B79" s="140"/>
      <c r="D79" s="198" t="s">
        <v>252</v>
      </c>
      <c r="E79" s="199" t="e">
        <f>_xlfn.XLOOKUP(E75,CurrentPlans!B:B,CurrentPlans!Y:Y,"NA",0,1)</f>
        <v>#N/A</v>
      </c>
      <c r="F79" s="200"/>
      <c r="G79" s="200"/>
      <c r="H79" s="200"/>
      <c r="I79" s="199"/>
      <c r="J79" s="201"/>
      <c r="K79"/>
      <c r="L79" s="202" t="str">
        <f ca="1">_xlfn.XLOOKUP(L75,RenewalPlans!B:B,RenewalPlans!AB:AB,"NA",0,1)</f>
        <v>NA</v>
      </c>
      <c r="M79" s="200"/>
      <c r="N79" s="200"/>
      <c r="O79" s="200"/>
      <c r="P79" s="199"/>
      <c r="Q79" s="200"/>
      <c r="R79" s="201"/>
      <c r="T79" s="202" t="str">
        <f>_xlfn.XLOOKUP(T75,RenewalPlans!B:B,RenewalPlans!AB:AB,"NA",0,1)</f>
        <v>NA</v>
      </c>
      <c r="U79" s="200"/>
      <c r="V79" s="200"/>
      <c r="W79" s="200"/>
      <c r="X79" s="199"/>
      <c r="Y79" s="200"/>
      <c r="Z79" s="201"/>
    </row>
    <row r="80" spans="1:26" ht="18.75" customHeight="1" hidden="1">
      <c r="A80" s="140"/>
      <c r="B80" s="140"/>
      <c r="D80" s="120" t="s">
        <v>253</v>
      </c>
      <c r="E80" s="121" t="e">
        <f>_xlfn.XLOOKUP(E75,CurrentPlans!B:B,CurrentPlans!W:W,"NA",0,1)</f>
        <v>#N/A</v>
      </c>
      <c r="F80" s="122"/>
      <c r="G80" s="122"/>
      <c r="H80" s="122"/>
      <c r="I80" s="121"/>
      <c r="J80" s="123"/>
      <c r="K80"/>
      <c r="L80" s="124" t="str">
        <f ca="1">_xlfn.XLOOKUP(L75,RenewalPlans!B:B,RenewalPlans!Z:Z,"NA",0,1)</f>
        <v>NA</v>
      </c>
      <c r="M80" s="122"/>
      <c r="N80" s="122"/>
      <c r="O80" s="122"/>
      <c r="P80" s="121"/>
      <c r="Q80" s="122"/>
      <c r="R80" s="123"/>
      <c r="T80" s="124" t="str">
        <f>_xlfn.XLOOKUP(T75,RenewalPlans!B:B,RenewalPlans!Z:Z,"NA",0,1)</f>
        <v>NA</v>
      </c>
      <c r="U80" s="122"/>
      <c r="V80" s="122"/>
      <c r="W80" s="122"/>
      <c r="X80" s="121"/>
      <c r="Y80" s="122"/>
      <c r="Z80" s="123"/>
    </row>
    <row r="81" spans="1:26" ht="18.75" customHeight="1" hidden="1">
      <c r="A81" s="140"/>
      <c r="B81" s="140"/>
      <c r="D81" s="203" t="s">
        <v>254</v>
      </c>
      <c r="E81" s="204"/>
      <c r="F81" s="205"/>
      <c r="G81" s="205"/>
      <c r="H81" s="205"/>
      <c r="I81" s="204"/>
      <c r="J81" s="206"/>
      <c r="K81"/>
      <c r="L81" s="207"/>
      <c r="M81" s="205"/>
      <c r="N81" s="205"/>
      <c r="O81" s="205"/>
      <c r="P81" s="204"/>
      <c r="Q81" s="205"/>
      <c r="R81" s="206"/>
      <c r="T81" s="207"/>
      <c r="U81" s="205"/>
      <c r="V81" s="205"/>
      <c r="W81" s="205"/>
      <c r="X81" s="204"/>
      <c r="Y81" s="205"/>
      <c r="Z81" s="206"/>
    </row>
    <row r="82" spans="1:26" ht="18.75" customHeight="1" hidden="1">
      <c r="A82" s="140"/>
      <c r="B82" s="140"/>
      <c r="D82" s="125" t="s">
        <v>255</v>
      </c>
      <c r="E82" s="126" t="e">
        <f>_xlfn.XLOOKUP(E75,CurrentPlans!B:B,CurrentPlans!Z:Z,"NA",0,1)</f>
        <v>#N/A</v>
      </c>
      <c r="F82" s="127"/>
      <c r="G82" s="127"/>
      <c r="H82" s="127"/>
      <c r="I82" s="126"/>
      <c r="J82" s="128"/>
      <c r="K82"/>
      <c r="L82" s="129" t="str">
        <f ca="1">_xlfn.XLOOKUP(L75,RenewalPlans!B:B,RenewalPlans!AC:AC,"NA",0,1)</f>
        <v>NA</v>
      </c>
      <c r="M82" s="127"/>
      <c r="N82" s="127"/>
      <c r="O82" s="127"/>
      <c r="P82" s="126"/>
      <c r="Q82" s="127"/>
      <c r="R82" s="128"/>
      <c r="T82" s="129" t="str">
        <f>_xlfn.XLOOKUP(T75,RenewalPlans!B:B,RenewalPlans!AC:AC,"NA",0,1)</f>
        <v>NA</v>
      </c>
      <c r="U82" s="127"/>
      <c r="V82" s="127"/>
      <c r="W82" s="127"/>
      <c r="X82" s="126"/>
      <c r="Y82" s="127"/>
      <c r="Z82" s="128"/>
    </row>
    <row r="83" spans="1:26" ht="18.75" customHeight="1" hidden="1">
      <c r="A83" s="140"/>
      <c r="B83" s="140"/>
      <c r="D83" s="198" t="s">
        <v>256</v>
      </c>
      <c r="E83" s="208" t="e">
        <f>_xlfn.XLOOKUP(E75,CurrentPlans!B:B,CurrentPlans!AA:AA,"NA",0,1)</f>
        <v>#N/A</v>
      </c>
      <c r="F83" s="200"/>
      <c r="G83" s="200"/>
      <c r="H83" s="200"/>
      <c r="I83" s="208"/>
      <c r="J83" s="201"/>
      <c r="K83"/>
      <c r="L83" s="209" t="str">
        <f ca="1">_xlfn.XLOOKUP(L75,RenewalPlans!B:B,RenewalPlans!AD:AD,"NA",0,1)</f>
        <v>NA</v>
      </c>
      <c r="M83" s="200"/>
      <c r="N83" s="200"/>
      <c r="O83" s="200"/>
      <c r="P83" s="208"/>
      <c r="Q83" s="200"/>
      <c r="R83" s="201"/>
      <c r="T83" s="209" t="str">
        <f>_xlfn.XLOOKUP(T75,RenewalPlans!B:B,RenewalPlans!AD:AD,"NA",0,1)</f>
        <v>NA</v>
      </c>
      <c r="U83" s="200"/>
      <c r="V83" s="200"/>
      <c r="W83" s="200"/>
      <c r="X83" s="208"/>
      <c r="Y83" s="200"/>
      <c r="Z83" s="201"/>
    </row>
    <row r="84" spans="1:26" ht="18.75" customHeight="1" hidden="1">
      <c r="A84" s="140"/>
      <c r="B84" s="140"/>
      <c r="D84" s="203" t="s">
        <v>257</v>
      </c>
      <c r="E84" s="204"/>
      <c r="F84" s="205"/>
      <c r="G84" s="205"/>
      <c r="H84" s="205"/>
      <c r="I84" s="204"/>
      <c r="J84" s="206"/>
      <c r="K84"/>
      <c r="L84" s="207"/>
      <c r="M84" s="205"/>
      <c r="N84" s="205"/>
      <c r="O84" s="205"/>
      <c r="P84" s="204"/>
      <c r="Q84" s="205"/>
      <c r="R84" s="206"/>
      <c r="T84" s="207"/>
      <c r="U84" s="205"/>
      <c r="V84" s="205"/>
      <c r="W84" s="205"/>
      <c r="X84" s="204"/>
      <c r="Y84" s="205"/>
      <c r="Z84" s="206"/>
    </row>
    <row r="85" spans="1:26" ht="18.75" customHeight="1" hidden="1">
      <c r="A85" s="140"/>
      <c r="B85" s="140"/>
      <c r="D85" s="198" t="s">
        <v>258</v>
      </c>
      <c r="E85" s="208" t="e">
        <f>_xlfn.XLOOKUP(E75,CurrentPlans!B:B,CurrentPlans!AB:AB,"NA",0,1)</f>
        <v>#N/A</v>
      </c>
      <c r="F85" s="200"/>
      <c r="G85" s="200"/>
      <c r="H85" s="200"/>
      <c r="I85" s="208"/>
      <c r="J85" s="201"/>
      <c r="K85"/>
      <c r="L85" s="209" t="str">
        <f ca="1">_xlfn.XLOOKUP(L75,RenewalPlans!B:B,RenewalPlans!AE:AE,"NA",0,1)</f>
        <v>NA</v>
      </c>
      <c r="M85" s="200"/>
      <c r="N85" s="200"/>
      <c r="O85" s="200"/>
      <c r="P85" s="208"/>
      <c r="Q85" s="200"/>
      <c r="R85" s="201"/>
      <c r="T85" s="209" t="str">
        <f>_xlfn.XLOOKUP(T75,RenewalPlans!B:B,RenewalPlans!AE:AE,"NA",0,1)</f>
        <v>NA</v>
      </c>
      <c r="U85" s="200"/>
      <c r="V85" s="200"/>
      <c r="W85" s="200"/>
      <c r="X85" s="208"/>
      <c r="Y85" s="200"/>
      <c r="Z85" s="201"/>
    </row>
    <row r="86" spans="1:26" ht="18.75" customHeight="1" hidden="1">
      <c r="A86" s="140"/>
      <c r="B86" s="140"/>
      <c r="D86" s="198" t="s">
        <v>259</v>
      </c>
      <c r="E86" s="208" t="e">
        <f>_xlfn.XLOOKUP(E75,CurrentPlans!B:B,CurrentPlans!AC:AC,"NA",0,1)</f>
        <v>#N/A</v>
      </c>
      <c r="F86" s="200"/>
      <c r="G86" s="200"/>
      <c r="H86" s="200"/>
      <c r="I86" s="208"/>
      <c r="J86" s="201"/>
      <c r="K86"/>
      <c r="L86" s="209" t="str">
        <f ca="1">_xlfn.XLOOKUP(L75,RenewalPlans!B:B,RenewalPlans!AF:AF,"NA",0,1)</f>
        <v>NA</v>
      </c>
      <c r="M86" s="200"/>
      <c r="N86" s="200"/>
      <c r="O86" s="200"/>
      <c r="P86" s="208"/>
      <c r="Q86" s="200"/>
      <c r="R86" s="201"/>
      <c r="T86" s="209" t="str">
        <f>_xlfn.XLOOKUP(T75,RenewalPlans!B:B,RenewalPlans!AF:AF,"NA",0,1)</f>
        <v>NA</v>
      </c>
      <c r="U86" s="200"/>
      <c r="V86" s="200"/>
      <c r="W86" s="200"/>
      <c r="X86" s="208"/>
      <c r="Y86" s="200"/>
      <c r="Z86" s="201"/>
    </row>
    <row r="87" spans="1:26" ht="18.75" customHeight="1" hidden="1">
      <c r="A87" s="140"/>
      <c r="B87" s="140"/>
      <c r="D87" s="210"/>
      <c r="E87" s="211"/>
      <c r="F87" s="211"/>
      <c r="G87" s="211"/>
      <c r="H87" s="211"/>
      <c r="I87" s="211"/>
      <c r="J87" s="212"/>
      <c r="K87"/>
      <c r="L87" s="210"/>
      <c r="M87" s="211"/>
      <c r="N87" s="211"/>
      <c r="O87" s="211"/>
      <c r="P87" s="211"/>
      <c r="Q87" s="211"/>
      <c r="R87" s="212"/>
      <c r="T87" s="210"/>
      <c r="U87" s="211"/>
      <c r="V87" s="211"/>
      <c r="W87" s="211"/>
      <c r="X87" s="211"/>
      <c r="Y87" s="211"/>
      <c r="Z87" s="212"/>
    </row>
    <row r="88" spans="1:26" ht="18.75" customHeight="1" hidden="1">
      <c r="A88" s="140"/>
      <c r="B88" s="140"/>
      <c r="D88" s="185" t="s">
        <v>260</v>
      </c>
      <c r="E88" s="186"/>
      <c r="F88" s="186"/>
      <c r="G88" s="186"/>
      <c r="H88" s="186"/>
      <c r="I88" s="186"/>
      <c r="J88" s="187"/>
      <c r="K88"/>
      <c r="L88" s="188"/>
      <c r="M88" s="186"/>
      <c r="N88" s="186"/>
      <c r="O88" s="186"/>
      <c r="P88" s="186"/>
      <c r="Q88" s="186"/>
      <c r="R88" s="187"/>
      <c r="T88" s="188"/>
      <c r="U88" s="186"/>
      <c r="V88" s="186"/>
      <c r="W88" s="186"/>
      <c r="X88" s="186"/>
      <c r="Y88" s="186"/>
      <c r="Z88" s="187"/>
    </row>
    <row r="89" spans="1:26" ht="18.75" customHeight="1" hidden="1">
      <c r="A89" s="140"/>
      <c r="B89" s="140"/>
      <c r="D89" s="213" t="s">
        <v>261</v>
      </c>
      <c r="E89" s="130" t="e">
        <f>_xlfn.XLOOKUP(E75,CurrentPlans!B:B,CurrentPlans!AJ:AJ,"NA",0,1)</f>
        <v>#N/A</v>
      </c>
      <c r="F89" s="214"/>
      <c r="G89" s="214"/>
      <c r="H89" s="214"/>
      <c r="I89" s="130"/>
      <c r="J89" s="215"/>
      <c r="K89"/>
      <c r="L89" s="131" t="str">
        <f ca="1">_xlfn.XLOOKUP(L75,RenewalPlans!B:B,RenewalPlans!AM:AM,"NA",0,1)</f>
        <v>NA</v>
      </c>
      <c r="M89" s="214"/>
      <c r="N89" s="214"/>
      <c r="O89" s="214"/>
      <c r="P89" s="130"/>
      <c r="Q89" s="214"/>
      <c r="R89" s="215"/>
      <c r="T89" s="131" t="str">
        <f>_xlfn.XLOOKUP(T75,RenewalPlans!B:B,RenewalPlans!AM:AM,"NA",0,1)</f>
        <v>NA</v>
      </c>
      <c r="U89" s="214"/>
      <c r="V89" s="214"/>
      <c r="W89" s="214"/>
      <c r="X89" s="130"/>
      <c r="Y89" s="214"/>
      <c r="Z89" s="215"/>
    </row>
    <row r="90" spans="1:26" ht="18.75" customHeight="1" hidden="1">
      <c r="A90" s="140"/>
      <c r="B90" s="140"/>
      <c r="D90" s="198" t="s">
        <v>262</v>
      </c>
      <c r="E90" s="130" t="e">
        <f>_xlfn.XLOOKUP(E75,CurrentPlans!B:B,CurrentPlans!AM:AM,"NA",0,1)</f>
        <v>#N/A</v>
      </c>
      <c r="F90" s="200"/>
      <c r="G90" s="200"/>
      <c r="H90" s="200"/>
      <c r="I90" s="130"/>
      <c r="J90" s="201"/>
      <c r="K90"/>
      <c r="L90" s="131" t="str">
        <f ca="1">_xlfn.XLOOKUP(L75,RenewalPlans!B:B,RenewalPlans!AP:AP,"NA",0,1)</f>
        <v>NA</v>
      </c>
      <c r="M90" s="200"/>
      <c r="N90" s="200"/>
      <c r="O90" s="200"/>
      <c r="P90" s="130"/>
      <c r="Q90" s="200"/>
      <c r="R90" s="201"/>
      <c r="T90" s="131" t="str">
        <f>_xlfn.XLOOKUP(T75,RenewalPlans!B:B,RenewalPlans!AP:AP,"NA",0,1)</f>
        <v>NA</v>
      </c>
      <c r="U90" s="200"/>
      <c r="V90" s="200"/>
      <c r="W90" s="200"/>
      <c r="X90" s="130"/>
      <c r="Y90" s="200"/>
      <c r="Z90" s="201"/>
    </row>
    <row r="91" spans="1:26" ht="18.75" customHeight="1" hidden="1">
      <c r="A91" s="140"/>
      <c r="B91" s="140"/>
      <c r="D91" s="198" t="s">
        <v>263</v>
      </c>
      <c r="E91" s="130" t="e">
        <f>_xlfn.XLOOKUP(E75,CurrentPlans!B:B,CurrentPlans!AI:AI,"NA",0,1)</f>
        <v>#N/A</v>
      </c>
      <c r="F91" s="200"/>
      <c r="G91" s="200"/>
      <c r="H91" s="200"/>
      <c r="I91" s="130"/>
      <c r="J91" s="201"/>
      <c r="K91"/>
      <c r="L91" s="131" t="str">
        <f ca="1">_xlfn.XLOOKUP(L75,RenewalPlans!B:B,RenewalPlans!AL:AL,"NA",0,1)</f>
        <v>NA</v>
      </c>
      <c r="M91" s="200"/>
      <c r="N91" s="200"/>
      <c r="O91" s="200"/>
      <c r="P91" s="130"/>
      <c r="Q91" s="200"/>
      <c r="R91" s="201"/>
      <c r="T91" s="131" t="str">
        <f>_xlfn.XLOOKUP(T75,RenewalPlans!B:B,RenewalPlans!AL:AL,"NA",0,1)</f>
        <v>NA</v>
      </c>
      <c r="U91" s="200"/>
      <c r="V91" s="200"/>
      <c r="W91" s="200"/>
      <c r="X91" s="130"/>
      <c r="Y91" s="200"/>
      <c r="Z91" s="201"/>
    </row>
    <row r="92" spans="1:26" ht="18.75" customHeight="1" hidden="1">
      <c r="A92" s="140"/>
      <c r="B92" s="140"/>
      <c r="D92" s="198" t="s">
        <v>264</v>
      </c>
      <c r="E92" s="208" t="e">
        <f>_xlfn.XLOOKUP(E75,CurrentPlans!B:B,CurrentPlans!AN:AN,"NA",0,1)</f>
        <v>#N/A</v>
      </c>
      <c r="F92" s="200"/>
      <c r="G92" s="200"/>
      <c r="H92" s="200"/>
      <c r="I92" s="208"/>
      <c r="J92" s="201"/>
      <c r="K92"/>
      <c r="L92" s="209" t="str">
        <f ca="1">_xlfn.XLOOKUP(L75,RenewalPlans!B:B,RenewalPlans!AQ:AQ,"NA",0,1)</f>
        <v>NA</v>
      </c>
      <c r="M92" s="200"/>
      <c r="N92" s="200"/>
      <c r="O92" s="200"/>
      <c r="P92" s="208"/>
      <c r="Q92" s="200"/>
      <c r="R92" s="201"/>
      <c r="T92" s="209" t="str">
        <f>_xlfn.XLOOKUP(T75,RenewalPlans!B:B,RenewalPlans!AQ:AQ,"NA",0,1)</f>
        <v>NA</v>
      </c>
      <c r="U92" s="200"/>
      <c r="V92" s="200"/>
      <c r="W92" s="200"/>
      <c r="X92" s="208"/>
      <c r="Y92" s="200"/>
      <c r="Z92" s="201"/>
    </row>
    <row r="93" spans="1:26" ht="18.75" customHeight="1" hidden="1">
      <c r="A93" s="140"/>
      <c r="B93" s="140"/>
      <c r="D93" s="210"/>
      <c r="E93" s="211"/>
      <c r="F93" s="211"/>
      <c r="G93" s="211"/>
      <c r="H93" s="211"/>
      <c r="I93" s="211"/>
      <c r="J93" s="212"/>
      <c r="K93"/>
      <c r="L93" s="210"/>
      <c r="M93" s="211"/>
      <c r="N93" s="211"/>
      <c r="O93" s="211"/>
      <c r="P93" s="211"/>
      <c r="Q93" s="211"/>
      <c r="R93" s="212"/>
      <c r="T93" s="210"/>
      <c r="U93" s="211"/>
      <c r="V93" s="211"/>
      <c r="W93" s="211"/>
      <c r="X93" s="211"/>
      <c r="Y93" s="211"/>
      <c r="Z93" s="212"/>
    </row>
    <row r="94" spans="1:26" ht="18.75" customHeight="1" hidden="1">
      <c r="A94" s="140"/>
      <c r="B94" s="140"/>
      <c r="D94" s="185" t="s">
        <v>265</v>
      </c>
      <c r="E94" s="186"/>
      <c r="F94" s="186"/>
      <c r="G94" s="186"/>
      <c r="H94" s="186"/>
      <c r="I94" s="186"/>
      <c r="J94" s="187"/>
      <c r="K94"/>
      <c r="L94" s="188"/>
      <c r="M94" s="186"/>
      <c r="N94" s="186"/>
      <c r="O94" s="186"/>
      <c r="P94" s="186"/>
      <c r="Q94" s="186"/>
      <c r="R94" s="187"/>
      <c r="T94" s="188"/>
      <c r="U94" s="186"/>
      <c r="V94" s="186"/>
      <c r="W94" s="186"/>
      <c r="X94" s="186"/>
      <c r="Y94" s="186"/>
      <c r="Z94" s="187"/>
    </row>
    <row r="95" spans="1:26" ht="18.75" customHeight="1" hidden="1">
      <c r="A95" s="140"/>
      <c r="B95" s="140"/>
      <c r="D95" s="132" t="s">
        <v>266</v>
      </c>
      <c r="E95" s="133" t="e">
        <f>_xlfn.XLOOKUP(E75,CurrentPlans!B:B,CurrentPlans!AE:AE,"NA",0,1)</f>
        <v>#N/A</v>
      </c>
      <c r="F95" s="134"/>
      <c r="G95" s="134"/>
      <c r="H95" s="134"/>
      <c r="I95" s="133"/>
      <c r="J95" s="135"/>
      <c r="K95"/>
      <c r="L95" s="136" t="str">
        <f ca="1">_xlfn.XLOOKUP(L75,RenewalPlans!B:B,RenewalPlans!AH:AH,"NA",0,1)</f>
        <v>NA</v>
      </c>
      <c r="M95" s="134"/>
      <c r="N95" s="134"/>
      <c r="O95" s="134"/>
      <c r="P95" s="133"/>
      <c r="Q95" s="134"/>
      <c r="R95" s="135"/>
      <c r="T95" s="136" t="str">
        <f>_xlfn.XLOOKUP(T75,RenewalPlans!B:B,RenewalPlans!AH:AH,"NA",0,1)</f>
        <v>NA</v>
      </c>
      <c r="U95" s="134"/>
      <c r="V95" s="134"/>
      <c r="W95" s="134"/>
      <c r="X95" s="133"/>
      <c r="Y95" s="134"/>
      <c r="Z95" s="135"/>
    </row>
    <row r="96" spans="1:26" ht="18.75" customHeight="1" hidden="1">
      <c r="A96" s="140"/>
      <c r="B96" s="140"/>
      <c r="D96" s="120" t="s">
        <v>267</v>
      </c>
      <c r="E96" s="130" t="e">
        <f>_xlfn.XLOOKUP(E75,CurrentPlans!B:B,CurrentPlans!AF:AF,"NA",0,1)</f>
        <v>#N/A</v>
      </c>
      <c r="F96" s="122"/>
      <c r="G96" s="122"/>
      <c r="H96" s="122"/>
      <c r="I96" s="130"/>
      <c r="J96" s="123"/>
      <c r="K96"/>
      <c r="L96" s="131" t="str">
        <f ca="1">_xlfn.XLOOKUP(L75,RenewalPlans!B:B,RenewalPlans!AI:AI,"NA",0,1)</f>
        <v>NA</v>
      </c>
      <c r="M96" s="122"/>
      <c r="N96" s="122"/>
      <c r="O96" s="122"/>
      <c r="P96" s="130"/>
      <c r="Q96" s="122"/>
      <c r="R96" s="123"/>
      <c r="T96" s="131" t="str">
        <f>_xlfn.XLOOKUP(T75,RenewalPlans!B:B,RenewalPlans!AI:AI,"NA",0,1)</f>
        <v>NA</v>
      </c>
      <c r="U96" s="122"/>
      <c r="V96" s="122"/>
      <c r="W96" s="122"/>
      <c r="X96" s="130"/>
      <c r="Y96" s="122"/>
      <c r="Z96" s="123"/>
    </row>
    <row r="97" spans="1:26" ht="18.75" customHeight="1" hidden="1">
      <c r="A97" s="140"/>
      <c r="B97" s="140"/>
      <c r="D97" s="198" t="s">
        <v>268</v>
      </c>
      <c r="E97" s="130" t="e">
        <f>_xlfn.XLOOKUP(E75,CurrentPlans!B:B,CurrentPlans!AH:AH,"NA",0,1)</f>
        <v>#N/A</v>
      </c>
      <c r="F97" s="200"/>
      <c r="G97" s="200"/>
      <c r="H97" s="200"/>
      <c r="I97" s="130"/>
      <c r="J97" s="201"/>
      <c r="K97"/>
      <c r="L97" s="131" t="str">
        <f ca="1">_xlfn.XLOOKUP(L75,RenewalPlans!B:B,RenewalPlans!AK:AK,"NA",0,1)</f>
        <v>NA</v>
      </c>
      <c r="M97" s="200"/>
      <c r="N97" s="200"/>
      <c r="O97" s="200"/>
      <c r="P97" s="130"/>
      <c r="Q97" s="200"/>
      <c r="R97" s="201"/>
      <c r="T97" s="131" t="str">
        <f>_xlfn.XLOOKUP(T75,RenewalPlans!B:B,RenewalPlans!AK:AK,"NA",0,1)</f>
        <v>NA</v>
      </c>
      <c r="U97" s="200"/>
      <c r="V97" s="200"/>
      <c r="W97" s="200"/>
      <c r="X97" s="130"/>
      <c r="Y97" s="200"/>
      <c r="Z97" s="201"/>
    </row>
    <row r="98" spans="1:26" ht="18.75" customHeight="1" hidden="1">
      <c r="A98" s="140"/>
      <c r="B98" s="140"/>
      <c r="D98" s="198" t="s">
        <v>269</v>
      </c>
      <c r="E98" s="130" t="e">
        <f>_xlfn.XLOOKUP(E75,CurrentPlans!B:B,CurrentPlans!AG:AG,"NA",0,1)</f>
        <v>#N/A</v>
      </c>
      <c r="F98" s="200"/>
      <c r="G98" s="200"/>
      <c r="H98" s="200"/>
      <c r="I98" s="130"/>
      <c r="J98" s="201"/>
      <c r="K98"/>
      <c r="L98" s="131" t="str">
        <f ca="1">_xlfn.XLOOKUP(L75,RenewalPlans!B:B,RenewalPlans!AJ:AJ,"NA",0,1)</f>
        <v>NA</v>
      </c>
      <c r="M98" s="200"/>
      <c r="N98" s="200"/>
      <c r="O98" s="200"/>
      <c r="P98" s="130"/>
      <c r="Q98" s="200"/>
      <c r="R98" s="201"/>
      <c r="T98" s="131" t="str">
        <f>_xlfn.XLOOKUP(T75,RenewalPlans!B:B,RenewalPlans!AJ:AJ,"NA",0,1)</f>
        <v>NA</v>
      </c>
      <c r="U98" s="200"/>
      <c r="V98" s="200"/>
      <c r="W98" s="200"/>
      <c r="X98" s="130"/>
      <c r="Y98" s="200"/>
      <c r="Z98" s="201"/>
    </row>
    <row r="99" spans="1:26" ht="18.75" customHeight="1" hidden="1">
      <c r="A99" s="140"/>
      <c r="B99" s="140"/>
      <c r="D99" s="213" t="s">
        <v>270</v>
      </c>
      <c r="E99" s="216" t="e">
        <f>_xlfn.XLOOKUP(E75,CurrentPlans!B:B,CurrentPlans!AU:AU,"NA",0,1)</f>
        <v>#N/A</v>
      </c>
      <c r="F99" s="214"/>
      <c r="G99" s="214"/>
      <c r="H99" s="214"/>
      <c r="I99" s="217"/>
      <c r="J99" s="215"/>
      <c r="K99"/>
      <c r="L99" s="218" t="str">
        <f ca="1">_xlfn.XLOOKUP(L75,RenewalPlans!B:B,RenewalPlans!AX:AX,"NA",0,1)</f>
        <v>NA</v>
      </c>
      <c r="M99" s="214"/>
      <c r="N99" s="214"/>
      <c r="O99" s="214"/>
      <c r="P99" s="217"/>
      <c r="Q99" s="214"/>
      <c r="R99" s="215"/>
      <c r="T99" s="218" t="str">
        <f>_xlfn.XLOOKUP(T75,RenewalPlans!B:B,RenewalPlans!AX:AX,"NA",0,1)</f>
        <v>NA</v>
      </c>
      <c r="U99" s="214"/>
      <c r="V99" s="214"/>
      <c r="W99" s="214"/>
      <c r="X99" s="217"/>
      <c r="Y99" s="214"/>
      <c r="Z99" s="215"/>
    </row>
    <row r="100" spans="1:26" ht="18.75" customHeight="1" hidden="1">
      <c r="A100" s="140"/>
      <c r="B100" s="140"/>
      <c r="D100" s="213" t="s">
        <v>271</v>
      </c>
      <c r="E100" s="216" t="e">
        <f>_xlfn.XLOOKUP(E75,CurrentPlans!B:B,CurrentPlans!AT:AT,"NA",0,1)</f>
        <v>#N/A</v>
      </c>
      <c r="F100" s="214"/>
      <c r="G100" s="214"/>
      <c r="H100" s="214"/>
      <c r="I100" s="217"/>
      <c r="J100" s="215"/>
      <c r="K100"/>
      <c r="L100" s="218" t="str">
        <f ca="1">_xlfn.XLOOKUP(L75,RenewalPlans!B:B,RenewalPlans!AW:AW,"NA",0,1)</f>
        <v>NA</v>
      </c>
      <c r="M100" s="214"/>
      <c r="N100" s="214"/>
      <c r="O100" s="214"/>
      <c r="P100" s="217"/>
      <c r="Q100" s="214"/>
      <c r="R100" s="215"/>
      <c r="T100" s="218" t="str">
        <f>_xlfn.XLOOKUP(T75,RenewalPlans!B:B,RenewalPlans!AW:AW,"NA",0,1)</f>
        <v>NA</v>
      </c>
      <c r="U100" s="214"/>
      <c r="V100" s="214"/>
      <c r="W100" s="214"/>
      <c r="X100" s="217"/>
      <c r="Y100" s="214"/>
      <c r="Z100" s="215"/>
    </row>
    <row r="101" spans="1:26" ht="18.75" customHeight="1" hidden="1">
      <c r="A101" s="140"/>
      <c r="B101" s="140"/>
      <c r="D101" s="198" t="s">
        <v>272</v>
      </c>
      <c r="E101" s="130" t="e">
        <f>_xlfn.XLOOKUP(E75,CurrentPlans!B:B,CurrentPlans!AD:AD,"NA",0,1)</f>
        <v>#N/A</v>
      </c>
      <c r="F101" s="200"/>
      <c r="G101" s="200"/>
      <c r="H101" s="200"/>
      <c r="I101" s="130"/>
      <c r="J101" s="201"/>
      <c r="K101"/>
      <c r="L101" s="131" t="str">
        <f ca="1">_xlfn.XLOOKUP(L75,RenewalPlans!B:B,RenewalPlans!AG:AG,"NA",0,1)</f>
        <v>NA</v>
      </c>
      <c r="M101" s="200"/>
      <c r="N101" s="200"/>
      <c r="O101" s="200"/>
      <c r="P101" s="130"/>
      <c r="Q101" s="200"/>
      <c r="R101" s="201"/>
      <c r="T101" s="131" t="str">
        <f>_xlfn.XLOOKUP(T75,RenewalPlans!B:B,RenewalPlans!AG:AG,"NA",0,1)</f>
        <v>NA</v>
      </c>
      <c r="U101" s="200"/>
      <c r="V101" s="200"/>
      <c r="W101" s="200"/>
      <c r="X101" s="130"/>
      <c r="Y101" s="200"/>
      <c r="Z101" s="201"/>
    </row>
    <row r="102" spans="1:26" ht="18.75" customHeight="1" hidden="1">
      <c r="A102" s="140"/>
      <c r="B102" s="140"/>
      <c r="D102" s="198" t="s">
        <v>273</v>
      </c>
      <c r="E102" s="200"/>
      <c r="F102" s="200"/>
      <c r="G102" s="200"/>
      <c r="H102" s="200"/>
      <c r="I102" s="200"/>
      <c r="J102" s="201"/>
      <c r="K102"/>
      <c r="L102" s="198"/>
      <c r="M102" s="200"/>
      <c r="N102" s="200"/>
      <c r="O102" s="200"/>
      <c r="P102" s="200"/>
      <c r="Q102" s="200"/>
      <c r="R102" s="201"/>
      <c r="T102" s="198"/>
      <c r="U102" s="200"/>
      <c r="V102" s="200"/>
      <c r="W102" s="200"/>
      <c r="X102" s="200"/>
      <c r="Y102" s="200"/>
      <c r="Z102" s="201"/>
    </row>
    <row r="103" spans="1:26" ht="18.75" customHeight="1" hidden="1">
      <c r="A103" s="140"/>
      <c r="B103" s="140"/>
      <c r="D103" s="210"/>
      <c r="E103" s="211"/>
      <c r="F103" s="211"/>
      <c r="G103" s="211"/>
      <c r="H103" s="211"/>
      <c r="I103" s="211"/>
      <c r="J103" s="212"/>
      <c r="K103"/>
      <c r="L103" s="210"/>
      <c r="M103" s="211"/>
      <c r="N103" s="211"/>
      <c r="O103" s="211"/>
      <c r="P103" s="211"/>
      <c r="Q103" s="211"/>
      <c r="R103" s="212"/>
      <c r="T103" s="210"/>
      <c r="U103" s="211"/>
      <c r="V103" s="211"/>
      <c r="W103" s="211"/>
      <c r="X103" s="211"/>
      <c r="Y103" s="211"/>
      <c r="Z103" s="212"/>
    </row>
    <row r="104" spans="1:26" ht="18.75" customHeight="1" hidden="1">
      <c r="A104" s="140"/>
      <c r="B104" s="140"/>
      <c r="D104" s="219" t="s">
        <v>274</v>
      </c>
      <c r="E104" s="220"/>
      <c r="F104" s="220"/>
      <c r="G104" s="220"/>
      <c r="H104" s="220"/>
      <c r="I104" s="220"/>
      <c r="J104" s="221"/>
      <c r="K104"/>
      <c r="L104" s="222"/>
      <c r="M104" s="220"/>
      <c r="N104" s="220"/>
      <c r="O104" s="220"/>
      <c r="P104" s="220"/>
      <c r="Q104" s="220"/>
      <c r="R104" s="221"/>
      <c r="T104" s="222"/>
      <c r="U104" s="220"/>
      <c r="V104" s="220"/>
      <c r="W104" s="220"/>
      <c r="X104" s="220"/>
      <c r="Y104" s="220"/>
      <c r="Z104" s="221"/>
    </row>
    <row r="105" spans="1:26" ht="18.75" customHeight="1" hidden="1">
      <c r="A105" s="140"/>
      <c r="B105" s="140"/>
      <c r="D105" s="223" t="s">
        <v>250</v>
      </c>
      <c r="E105" s="205"/>
      <c r="F105" s="205"/>
      <c r="G105" s="205"/>
      <c r="H105" s="205"/>
      <c r="I105" s="205"/>
      <c r="J105" s="206"/>
      <c r="K105"/>
      <c r="L105" s="203"/>
      <c r="M105" s="205"/>
      <c r="N105" s="205"/>
      <c r="O105" s="205"/>
      <c r="P105" s="205"/>
      <c r="Q105" s="205"/>
      <c r="R105" s="206"/>
      <c r="T105" s="203"/>
      <c r="U105" s="205"/>
      <c r="V105" s="205"/>
      <c r="W105" s="205"/>
      <c r="X105" s="205"/>
      <c r="Y105" s="205"/>
      <c r="Z105" s="206"/>
    </row>
    <row r="106" spans="1:26" ht="18.75" customHeight="1" hidden="1">
      <c r="A106" s="140"/>
      <c r="B106" s="140"/>
      <c r="D106" s="198" t="s">
        <v>251</v>
      </c>
      <c r="E106" s="130" t="e">
        <f>_xlfn.XLOOKUP(E75,CurrentPlans!B:B,CurrentPlans!AP:AP,"NA",0,1)</f>
        <v>#N/A</v>
      </c>
      <c r="F106" s="200"/>
      <c r="G106" s="200"/>
      <c r="H106" s="200"/>
      <c r="I106" s="130"/>
      <c r="J106" s="201"/>
      <c r="K106"/>
      <c r="L106" s="131" t="str">
        <f ca="1">_xlfn.XLOOKUP(L75,RenewalPlans!B:B,RenewalPlans!AS:AS,"NA",0,1)</f>
        <v>NA</v>
      </c>
      <c r="M106" s="200"/>
      <c r="N106" s="200"/>
      <c r="O106" s="200"/>
      <c r="P106" s="130"/>
      <c r="Q106" s="200"/>
      <c r="R106" s="201"/>
      <c r="T106" s="131" t="str">
        <f>_xlfn.XLOOKUP(T75,RenewalPlans!B:B,RenewalPlans!AS:AS,"NA",0,1)</f>
        <v>NA</v>
      </c>
      <c r="U106" s="200"/>
      <c r="V106" s="200"/>
      <c r="W106" s="200"/>
      <c r="X106" s="130"/>
      <c r="Y106" s="200"/>
      <c r="Z106" s="201"/>
    </row>
    <row r="107" spans="1:26" ht="18.75" customHeight="1" hidden="1">
      <c r="A107" s="140"/>
      <c r="B107" s="140"/>
      <c r="D107" s="198" t="s">
        <v>252</v>
      </c>
      <c r="E107" s="130" t="e">
        <f>_xlfn.XLOOKUP(E75,CurrentPlans!B:B,CurrentPlans!AQ:AQ,"NA",0,1)</f>
        <v>#N/A</v>
      </c>
      <c r="F107" s="200"/>
      <c r="G107" s="200"/>
      <c r="H107" s="200"/>
      <c r="I107" s="130"/>
      <c r="J107" s="201"/>
      <c r="K107"/>
      <c r="L107" s="131" t="str">
        <f ca="1">_xlfn.XLOOKUP(L75,RenewalPlans!B:B,RenewalPlans!AT:AT,"NA",0,1)</f>
        <v>NA</v>
      </c>
      <c r="M107" s="200"/>
      <c r="N107" s="200"/>
      <c r="O107" s="200"/>
      <c r="P107" s="130"/>
      <c r="Q107" s="200"/>
      <c r="R107" s="201"/>
      <c r="T107" s="131" t="str">
        <f>_xlfn.XLOOKUP(T75,RenewalPlans!B:B,RenewalPlans!AT:AT,"NA",0,1)</f>
        <v>NA</v>
      </c>
      <c r="U107" s="200"/>
      <c r="V107" s="200"/>
      <c r="W107" s="200"/>
      <c r="X107" s="130"/>
      <c r="Y107" s="200"/>
      <c r="Z107" s="201"/>
    </row>
    <row r="108" spans="1:26" ht="18.75" customHeight="1" hidden="1">
      <c r="A108" s="140"/>
      <c r="B108" s="140"/>
      <c r="D108" s="120" t="s">
        <v>253</v>
      </c>
      <c r="E108" s="133" t="e">
        <f>_xlfn.XLOOKUP(E75,CurrentPlans!B:B,CurrentPlans!AO:AO,"NA",0,1)</f>
        <v>#N/A</v>
      </c>
      <c r="F108" s="122"/>
      <c r="G108" s="122"/>
      <c r="H108" s="122"/>
      <c r="I108" s="133"/>
      <c r="J108" s="123"/>
      <c r="K108"/>
      <c r="L108" s="136" t="str">
        <f ca="1">_xlfn.XLOOKUP(L75,RenewalPlans!B:B,RenewalPlans!AR:AR,"NA",0,1)</f>
        <v>NA</v>
      </c>
      <c r="M108" s="122"/>
      <c r="N108" s="122"/>
      <c r="O108" s="122"/>
      <c r="P108" s="133"/>
      <c r="Q108" s="122"/>
      <c r="R108" s="123"/>
      <c r="T108" s="136" t="str">
        <f>_xlfn.XLOOKUP(T75,RenewalPlans!B:B,RenewalPlans!AR:AR,"NA",0,1)</f>
        <v>NA</v>
      </c>
      <c r="U108" s="122"/>
      <c r="V108" s="122"/>
      <c r="W108" s="122"/>
      <c r="X108" s="133"/>
      <c r="Y108" s="122"/>
      <c r="Z108" s="123"/>
    </row>
    <row r="109" spans="1:26" ht="18.75" customHeight="1" hidden="1">
      <c r="A109" s="140"/>
      <c r="B109" s="140"/>
      <c r="D109" s="223" t="s">
        <v>254</v>
      </c>
      <c r="E109" s="205"/>
      <c r="F109" s="205"/>
      <c r="G109" s="205"/>
      <c r="H109" s="205"/>
      <c r="I109" s="205"/>
      <c r="J109" s="206"/>
      <c r="K109"/>
      <c r="L109" s="203"/>
      <c r="M109" s="205"/>
      <c r="N109" s="205"/>
      <c r="O109" s="205"/>
      <c r="P109" s="205"/>
      <c r="Q109" s="205"/>
      <c r="R109" s="206"/>
      <c r="T109" s="203"/>
      <c r="U109" s="205"/>
      <c r="V109" s="205"/>
      <c r="W109" s="205"/>
      <c r="X109" s="205"/>
      <c r="Y109" s="205"/>
      <c r="Z109" s="206"/>
    </row>
    <row r="110" spans="1:26" ht="18.75" customHeight="1" hidden="1">
      <c r="A110" s="140"/>
      <c r="B110" s="140"/>
      <c r="D110" s="198" t="s">
        <v>255</v>
      </c>
      <c r="E110" s="130" t="e">
        <f>_xlfn.XLOOKUP(E75,CurrentPlans!B:B,CurrentPlans!AR:AR,"NA",0,1)</f>
        <v>#N/A</v>
      </c>
      <c r="F110" s="200"/>
      <c r="G110" s="200"/>
      <c r="H110" s="200"/>
      <c r="I110" s="130"/>
      <c r="J110" s="201"/>
      <c r="K110"/>
      <c r="L110" s="131" t="str">
        <f ca="1">_xlfn.XLOOKUP(L75,RenewalPlans!B:B,RenewalPlans!AU:AU,"NA",0,1)</f>
        <v>NA</v>
      </c>
      <c r="M110" s="200"/>
      <c r="N110" s="200"/>
      <c r="O110" s="200"/>
      <c r="P110" s="130"/>
      <c r="Q110" s="200"/>
      <c r="R110" s="201"/>
      <c r="T110" s="131" t="str">
        <f>_xlfn.XLOOKUP(T75,RenewalPlans!B:B,RenewalPlans!AU:AU,"NA",0,1)</f>
        <v>NA</v>
      </c>
      <c r="U110" s="200"/>
      <c r="V110" s="200"/>
      <c r="W110" s="200"/>
      <c r="X110" s="130"/>
      <c r="Y110" s="200"/>
      <c r="Z110" s="201"/>
    </row>
    <row r="111" spans="1:26" ht="18" customHeight="1" hidden="1" thickBot="1">
      <c r="A111" s="140"/>
      <c r="B111" s="140"/>
      <c r="D111" s="224" t="s">
        <v>256</v>
      </c>
      <c r="E111" s="137" t="e">
        <f>_xlfn.XLOOKUP(E75,CurrentPlans!B:B,CurrentPlans!AS:AS,"NA",0,1)</f>
        <v>#N/A</v>
      </c>
      <c r="F111" s="225"/>
      <c r="G111" s="225"/>
      <c r="H111" s="225"/>
      <c r="I111" s="137"/>
      <c r="J111" s="226"/>
      <c r="K111"/>
      <c r="L111" s="138" t="str">
        <f ca="1">_xlfn.XLOOKUP(L75,RenewalPlans!B:B,RenewalPlans!AV:AV,"NA",0,1)</f>
        <v>NA</v>
      </c>
      <c r="M111" s="225"/>
      <c r="N111" s="225"/>
      <c r="O111" s="225"/>
      <c r="P111" s="137"/>
      <c r="Q111" s="225"/>
      <c r="R111" s="226"/>
      <c r="T111" s="138" t="str">
        <f>_xlfn.XLOOKUP(T75,RenewalPlans!B:B,RenewalPlans!AV:AV,"NA",0,1)</f>
        <v>NA</v>
      </c>
      <c r="U111" s="225"/>
      <c r="V111" s="225"/>
      <c r="W111" s="225"/>
      <c r="X111" s="137"/>
      <c r="Y111" s="225"/>
      <c r="Z111" s="226"/>
    </row>
    <row r="112" spans="1:26" ht="18" customHeight="1">
      <c r="A112" s="140"/>
      <c r="B112" s="140"/>
      <c r="D112" s="227"/>
      <c r="E112" s="176"/>
      <c r="F112" s="178"/>
      <c r="G112" s="179"/>
      <c r="H112" s="178"/>
      <c r="I112" s="176"/>
      <c r="J112" s="228"/>
      <c r="K112"/>
      <c r="L112" s="178"/>
      <c r="M112" s="176"/>
      <c r="N112" s="139"/>
      <c r="O112" s="178"/>
      <c r="P112" s="178"/>
      <c r="Q112" s="178"/>
      <c r="R112" s="228"/>
      <c r="T112" s="178"/>
      <c r="U112" s="176"/>
      <c r="V112" s="139"/>
      <c r="W112" s="178"/>
      <c r="X112" s="178"/>
      <c r="Y112" s="178"/>
      <c r="Z112" s="228"/>
    </row>
    <row r="113" spans="1:26" ht="5.25" customHeight="1" thickBot="1">
      <c r="A113" s="140"/>
      <c r="B113" s="140"/>
      <c r="D113" s="229"/>
      <c r="E113" s="229"/>
      <c r="F113" s="230"/>
      <c r="G113" s="231"/>
      <c r="H113" s="232"/>
      <c r="I113" s="233"/>
      <c r="J113" s="233"/>
      <c r="K113"/>
      <c r="L113" s="233"/>
      <c r="M113" s="233"/>
      <c r="N113" s="233"/>
      <c r="O113" s="233"/>
      <c r="P113" s="233"/>
      <c r="Q113" s="233"/>
      <c r="R113" s="233"/>
      <c r="T113" s="233"/>
      <c r="U113" s="233"/>
      <c r="V113" s="233"/>
      <c r="W113" s="233"/>
      <c r="X113" s="233"/>
      <c r="Y113" s="233"/>
      <c r="Z113" s="233"/>
    </row>
    <row r="114" spans="1:26" ht="50.15" customHeight="1">
      <c r="A114" s="140">
        <v>3</v>
      </c>
      <c r="B114" s="140">
        <f>IF(A114&gt;Class2_CurrentHealthCount,"DELETE",Class2_CurrentHealthStart+A114)</f>
        <v>35</v>
      </c>
      <c r="C114" s="164" t="s">
        <v>276</v>
      </c>
      <c r="D114" s="273" t="e">
        <f ca="1">IF(B114="Delete","",VLOOKUP(F114,BEGIN_CURRENT_HEALTH:END_CURRENT_HEALTH,3,FALSE))</f>
        <v>#N/A</v>
      </c>
      <c r="E114" s="165"/>
      <c r="F114" s="272" cm="1">
        <f t="array" ca="1" aca="1" ref="F114">IF(B114="Delete","",INDIRECT("CurrentPlans!A"&amp;B114,TRUE))</f>
        <v>0</v>
      </c>
      <c r="G114" s="166"/>
      <c r="H114" s="167"/>
      <c r="I114" s="168"/>
      <c r="J114" s="169"/>
      <c r="K114"/>
      <c r="L114" s="274" t="str">
        <f ca="1">_xlfn.IFNA(VLOOKUP(F114,BEGIN_RENEWEDFROM_HEALTH:ROW_RenewHealth_PlanID,3,FALSE),"SELECT PLAN")</f>
        <v>SELECT PLAN</v>
      </c>
      <c r="M114" s="170"/>
      <c r="N114" s="274" t="s">
        <v>237</v>
      </c>
      <c r="O114" s="171"/>
      <c r="P114" s="171"/>
      <c r="Q114" s="171"/>
      <c r="R114" s="169"/>
      <c r="T114" s="274" t="s">
        <v>38</v>
      </c>
      <c r="U114" s="170"/>
      <c r="V114" s="274" t="s">
        <v>237</v>
      </c>
      <c r="W114" s="171"/>
      <c r="X114" s="171"/>
      <c r="Y114" s="171"/>
      <c r="Z114" s="169"/>
    </row>
    <row r="115" spans="1:26" ht="18.75" customHeight="1">
      <c r="A115" s="140"/>
      <c r="B115" s="140"/>
      <c r="D115" s="172" t="s">
        <v>238</v>
      </c>
      <c r="E115" s="407" t="str">
        <f ca="1">_xlfn.IFNA(VLOOKUP(F114,BEGIN_CURRENT_HEALTH:END_CURRENT_HEALTH,CURRENT_COL_EO_count,FALSE),"")</f>
        <v/>
      </c>
      <c r="F115" s="408" t="str">
        <f ca="1">_xlfn.IFNA(VLOOKUP(F114,BEGIN_CURRENT_HEALTH:END_CURRENT_HEALTH,CURRENT_COL_EO,FALSE),"")</f>
        <v/>
      </c>
      <c r="G115" s="468" t="str">
        <f ca="1" t="shared" si="10" ref="G115:G118">IF(F115="","",H115/F115)</f>
        <v/>
      </c>
      <c r="H115" s="408" t="str">
        <f ca="1">_xlfn.IFNA(VLOOKUP(F114,BEGIN_CURRENT_HEALTH:END_CURRENT_HEALTH,CURRENT_COL_EOContrib,FALSE),"")</f>
        <v/>
      </c>
      <c r="I115" s="409" t="str">
        <f ca="1">IFERROR(F115-H115,"")</f>
        <v/>
      </c>
      <c r="J115" s="410" t="str">
        <f ca="1">IF(F115="","",H115*E115)</f>
        <v/>
      </c>
      <c r="K115" s="411"/>
      <c r="L115" s="408" t="str" cm="1">
        <f t="array" ca="1" aca="1" ref="L115">_xlfn.IFNA(VLOOKUP(INDIRECT("L"&amp;ROW()-1)&amp;"_"&amp;$D$12,BEGIN_RENEW_HEALTH:END_RENEW_HEALTH,RENEW_COL_EO,FALSE),"")</f>
        <v/>
      </c>
      <c r="M115" s="412" t="str">
        <f ca="1">IF(E115="","",E115)</f>
        <v/>
      </c>
      <c r="N115" s="413"/>
      <c r="O115" s="414"/>
      <c r="P115" s="415" t="str">
        <f>IFERROR(IF($N114="Keep Contribution Same",H115,IF($N114="Enter Percentages",IF(N115="","",N115*L115),IF($N114="Keep Percentage Same",IF(G115="","",G115*L115),IF($N114="Enter Dollar Amount",IF(O115="","",O115),"")))),"")</f>
        <v/>
      </c>
      <c r="Q115" s="408" t="str">
        <f ca="1">IFERROR(L115-P115,"")</f>
        <v/>
      </c>
      <c r="R115" s="410" t="str">
        <f>IFERROR(IF(P115="","",M115*P115),"")</f>
        <v/>
      </c>
      <c r="S115" s="411"/>
      <c r="T115" s="408" t="str" cm="1">
        <f t="array" ca="1" aca="1" ref="T115">_xlfn.IFNA(VLOOKUP(INDIRECT("T"&amp;ROW()-1)&amp;"_"&amp;$D$12,BEGIN_RENEW_HEALTH:END_RENEW_HEALTH,RENEW_COL_EO,FALSE),"")</f>
        <v/>
      </c>
      <c r="U115" s="412" t="str">
        <f ca="1">IF(E115="","",E115)</f>
        <v/>
      </c>
      <c r="V115" s="413"/>
      <c r="W115" s="414"/>
      <c r="X115" s="415" t="str">
        <f>IFERROR(IF($V114="Keep Contribution Same",H115,IF($V114="Enter Percentages",IF(V115="","",V115*T115),IF($V114="Keep Percentage Same",IF(G115="","",G115*T115),IF($V114="Enter Dollar Amount",IF(W115="","",W115),"")))),"")</f>
        <v/>
      </c>
      <c r="Y115" s="408" t="str">
        <f ca="1">IFERROR(T115-X115,"")</f>
        <v/>
      </c>
      <c r="Z115" s="410" t="str">
        <f>IFERROR(IF(X115="","",U115*X115),"")</f>
        <v/>
      </c>
    </row>
    <row r="116" spans="1:26" ht="18.75" customHeight="1">
      <c r="A116" s="140"/>
      <c r="B116" s="140"/>
      <c r="D116" s="172" t="s">
        <v>239</v>
      </c>
      <c r="E116" s="407" t="str">
        <f ca="1">_xlfn.IFNA(VLOOKUP(F114,BEGIN_CURRENT_HEALTH:END_CURRENT_HEALTH,CURRENT_COL_ES_count,FALSE),"")</f>
        <v/>
      </c>
      <c r="F116" s="408" t="str">
        <f ca="1">_xlfn.IFNA(VLOOKUP(F114,BEGIN_CURRENT_HEALTH:END_CURRENT_HEALTH,CURRENT_COL_ES,FALSE),"")</f>
        <v/>
      </c>
      <c r="G116" s="468" t="str">
        <f t="shared" ca="1" si="10"/>
        <v/>
      </c>
      <c r="H116" s="408" t="str">
        <f ca="1">_xlfn.IFNA(VLOOKUP(F114,BEGIN_CURRENT_HEALTH:END_CURRENT_HEALTH,CURRENT_COL_ESContrib,FALSE),"")</f>
        <v/>
      </c>
      <c r="I116" s="409" t="str">
        <f ca="1" t="shared" si="11" ref="I116:I118">IFERROR(F116-H116,"")</f>
        <v/>
      </c>
      <c r="J116" s="410" t="str">
        <f ca="1">IF(F116="","",H116*E116)</f>
        <v/>
      </c>
      <c r="K116" s="411"/>
      <c r="L116" s="408" t="str" cm="1">
        <f t="array" ca="1" aca="1" ref="L116">_xlfn.IFNA(VLOOKUP(INDIRECT("L"&amp;ROW()-2)&amp;"_"&amp;$D$12,BEGIN_RENEW_HEALTH:END_RENEW_HEALTH,RENEW_COL_ES,FALSE),"")</f>
        <v/>
      </c>
      <c r="M116" s="412" t="str">
        <f ca="1">IF(E116="","",E116)</f>
        <v/>
      </c>
      <c r="N116" s="413"/>
      <c r="O116" s="414"/>
      <c r="P116" s="415" t="str">
        <f>IFERROR(IF($N114="Keep Contribution Same",H116,IF($N114="Enter Percentages",IF(N116="","",N116*L116),IF($N114="Keep Percentage Same",IF(G116="","",G116*L116),IF($N114="Enter Dollar Amount",IF(O116="","",O116),"")))),"")</f>
        <v/>
      </c>
      <c r="Q116" s="408" t="str">
        <f ca="1">IFERROR(L116-P116,"")</f>
        <v/>
      </c>
      <c r="R116" s="410" t="str">
        <f>IFERROR(IF(P116="","",M116*P116),"")</f>
        <v/>
      </c>
      <c r="S116" s="411"/>
      <c r="T116" s="408" t="str" cm="1">
        <f t="array" ca="1" aca="1" ref="T116">_xlfn.IFNA(VLOOKUP(INDIRECT("T"&amp;ROW()-2)&amp;"_"&amp;$D$12,BEGIN_RENEW_HEALTH:END_RENEW_HEALTH,RENEW_COL_ES,FALSE),"")</f>
        <v/>
      </c>
      <c r="U116" s="412" t="str">
        <f ca="1" t="shared" si="12" ref="U116:U118">IF(E116="","",E116)</f>
        <v/>
      </c>
      <c r="V116" s="413"/>
      <c r="W116" s="414"/>
      <c r="X116" s="415" t="str">
        <f>IFERROR(IF($V114="Keep Contribution Same",H116,IF($V114="Enter Percentages",IF(V116="","",V116*T116),IF($V114="Keep Percentage Same",IF(G116="","",G116*T116),IF($V114="Enter Dollar Amount",IF(W116="","",W116),"")))),"")</f>
        <v/>
      </c>
      <c r="Y116" s="408" t="str">
        <f ca="1" t="shared" si="13" ref="Y116:Y118">IFERROR(T116-X116,"")</f>
        <v/>
      </c>
      <c r="Z116" s="410" t="str">
        <f t="shared" si="14" ref="Z116:Z118">IFERROR(IF(X116="","",U116*X116),"")</f>
        <v/>
      </c>
    </row>
    <row r="117" spans="1:26" ht="18.75" customHeight="1">
      <c r="A117" s="140"/>
      <c r="B117" s="140"/>
      <c r="D117" s="172" t="s">
        <v>240</v>
      </c>
      <c r="E117" s="407" t="str">
        <f ca="1">_xlfn.IFNA(VLOOKUP(F114,BEGIN_CURRENT_HEALTH:END_CURRENT_HEALTH,CURRENT_COL_EC_count,FALSE),"")</f>
        <v/>
      </c>
      <c r="F117" s="408" t="str">
        <f ca="1">_xlfn.IFNA(VLOOKUP(F114,BEGIN_CURRENT_HEALTH:END_CURRENT_HEALTH,CURRENT_COL_EC,FALSE),"")</f>
        <v/>
      </c>
      <c r="G117" s="468" t="str">
        <f t="shared" ca="1" si="10"/>
        <v/>
      </c>
      <c r="H117" s="408" t="str">
        <f ca="1">_xlfn.IFNA(VLOOKUP(F114,BEGIN_CURRENT_HEALTH:END_CURRENT_HEALTH,CURRENT_COL_ECContrib,FALSE),"")</f>
        <v/>
      </c>
      <c r="I117" s="409" t="str">
        <f t="shared" ca="1" si="11"/>
        <v/>
      </c>
      <c r="J117" s="410" t="str">
        <f ca="1">IF(F117="","",H117*E117)</f>
        <v/>
      </c>
      <c r="K117" s="411"/>
      <c r="L117" s="408" t="str" cm="1">
        <f t="array" ca="1" aca="1" ref="L117">_xlfn.IFNA(VLOOKUP(INDIRECT("L"&amp;ROW()-3)&amp;"_"&amp;$D$12,BEGIN_RENEW_HEALTH:END_RENEW_HEALTH,RENEW_COL_EC,FALSE),"")</f>
        <v/>
      </c>
      <c r="M117" s="412" t="str">
        <f ca="1">IF(E117="","",E117)</f>
        <v/>
      </c>
      <c r="N117" s="413"/>
      <c r="O117" s="414"/>
      <c r="P117" s="415" t="str">
        <f>IFERROR(IF($N114="Keep Contribution Same",H117,IF($N114="Enter Percentages",IF(N117="","",N117*L117),IF($N114="Keep Percentage Same",IF(G117="","",G117*L117),IF($N114="Enter Dollar Amount",IF(O117="","",O117),"")))),"")</f>
        <v/>
      </c>
      <c r="Q117" s="408" t="str">
        <f ca="1">IFERROR(L117-P117,"")</f>
        <v/>
      </c>
      <c r="R117" s="410" t="str">
        <f>IFERROR(IF(P117="","",M117*P117),"")</f>
        <v/>
      </c>
      <c r="S117" s="411"/>
      <c r="T117" s="408" t="str" cm="1">
        <f t="array" ca="1" aca="1" ref="T117">_xlfn.IFNA(VLOOKUP(INDIRECT("T"&amp;ROW()-3)&amp;"_"&amp;$D$12,BEGIN_RENEW_HEALTH:END_RENEW_HEALTH,RENEW_COL_EC,FALSE),"")</f>
        <v/>
      </c>
      <c r="U117" s="412" t="str">
        <f t="shared" ca="1" si="12"/>
        <v/>
      </c>
      <c r="V117" s="413"/>
      <c r="W117" s="414"/>
      <c r="X117" s="415" t="str">
        <f>IFERROR(IF($V114="Keep Contribution Same",H117,IF($V114="Enter Percentages",IF(V117="","",V117*T117),IF($V114="Keep Percentage Same",IF(G117="","",G117*T117),IF($V114="Enter Dollar Amount",IF(W117="","",W117),"")))),"")</f>
        <v/>
      </c>
      <c r="Y117" s="408" t="str">
        <f t="shared" ca="1" si="13"/>
        <v/>
      </c>
      <c r="Z117" s="410" t="str">
        <f t="shared" si="14"/>
        <v/>
      </c>
    </row>
    <row r="118" spans="1:26" ht="18.75" customHeight="1" thickBot="1">
      <c r="A118" s="140"/>
      <c r="B118" s="140"/>
      <c r="D118" s="174" t="s">
        <v>241</v>
      </c>
      <c r="E118" s="416" t="str">
        <f ca="1">_xlfn.IFNA(VLOOKUP(F114,BEGIN_CURRENT_HEALTH:END_CURRENT_HEALTH,CURRENT_COL_FAM_count,FALSE),"")</f>
        <v/>
      </c>
      <c r="F118" s="417" t="str">
        <f ca="1">_xlfn.IFNA(VLOOKUP(F114,BEGIN_CURRENT_HEALTH:END_CURRENT_HEALTH,CURRENT_COL_FAM,FALSE),"")</f>
        <v/>
      </c>
      <c r="G118" s="469" t="str">
        <f t="shared" ca="1" si="10"/>
        <v/>
      </c>
      <c r="H118" s="417" t="str">
        <f ca="1">_xlfn.IFNA(VLOOKUP(F114,BEGIN_CURRENT_HEALTH:END_CURRENT_HEALTH,CURRENT_COL_FAMContrib,FALSE),"")</f>
        <v/>
      </c>
      <c r="I118" s="418" t="str">
        <f t="shared" ca="1" si="11"/>
        <v/>
      </c>
      <c r="J118" s="419" t="str">
        <f ca="1">IF(F118="","",H118*E118)</f>
        <v/>
      </c>
      <c r="K118" s="411"/>
      <c r="L118" s="417" t="str" cm="1">
        <f t="array" ca="1" aca="1" ref="L118">_xlfn.IFNA(VLOOKUP(INDIRECT("L"&amp;ROW()-4)&amp;"_"&amp;$D$12,BEGIN_RENEW_HEALTH:END_RENEW_HEALTH,RENEW_COL_FAM,FALSE),"")</f>
        <v/>
      </c>
      <c r="M118" s="412" t="str">
        <f ca="1">IF(E118="","",E118)</f>
        <v/>
      </c>
      <c r="N118" s="420"/>
      <c r="O118" s="421"/>
      <c r="P118" s="422" t="str">
        <f>IFERROR(IF($N114="Keep Contribution Same",H118,IF($N114="Enter Percentages",IF(N118="","",N118*L118),IF($N114="Keep Percentage Same",IF(G118="","",G118*L118),IF($N114="Enter Dollar Amount",IF(O118="","",O118),"")))),"")</f>
        <v/>
      </c>
      <c r="Q118" s="422" t="str">
        <f ca="1">IFERROR(L118-P118,"")</f>
        <v/>
      </c>
      <c r="R118" s="410" t="str">
        <f>IFERROR(IF(P118="","",M118*P118),"")</f>
        <v/>
      </c>
      <c r="S118" s="411"/>
      <c r="T118" s="417" t="str" cm="1">
        <f t="array" ca="1" aca="1" ref="T118">_xlfn.IFNA(VLOOKUP(INDIRECT("T"&amp;ROW()-4)&amp;"_"&amp;$D$12,BEGIN_RENEW_HEALTH:END_RENEW_HEALTH,RENEW_COL_FAM,FALSE),"")</f>
        <v/>
      </c>
      <c r="U118" s="423" t="str">
        <f t="shared" ca="1" si="12"/>
        <v/>
      </c>
      <c r="V118" s="420"/>
      <c r="W118" s="421"/>
      <c r="X118" s="422" t="str">
        <f>IFERROR(IF($V114="Keep Contribution Same",H118,IF($V114="Enter Percentages",IF(V118="","",V118*T118),IF($V114="Keep Percentage Same",IF(G118="","",G118*T118),IF($V114="Enter Dollar Amount",IF(W118="","",W118),"")))),"")</f>
        <v/>
      </c>
      <c r="Y118" s="417" t="str">
        <f t="shared" ca="1" si="13"/>
        <v/>
      </c>
      <c r="Z118" s="419" t="str">
        <f t="shared" si="14"/>
        <v/>
      </c>
    </row>
    <row r="119" spans="1:26" ht="18.75" customHeight="1" thickTop="1">
      <c r="A119" s="140"/>
      <c r="B119" s="140"/>
      <c r="D119" s="175" t="s">
        <v>242</v>
      </c>
      <c r="E119" s="424"/>
      <c r="F119" s="447" t="str">
        <f ca="1">IFERROR((F115*E115)+(F116*E116)+(F117*E117)+(F118*E118),"")</f>
        <v/>
      </c>
      <c r="G119" s="426"/>
      <c r="H119" s="427"/>
      <c r="I119" s="428"/>
      <c r="J119" s="429" t="str">
        <f ca="1">IFERROR(IF(J115="","",SUM(J115:J118)),0)</f>
        <v/>
      </c>
      <c r="K119" s="1"/>
      <c r="L119" s="430" t="str">
        <f ca="1">IFERROR((M115*L115)+(M116*L116)+(M117*L117)+(M118*L118),"")</f>
        <v/>
      </c>
      <c r="M119" s="427"/>
      <c r="N119" s="426"/>
      <c r="O119" s="427"/>
      <c r="P119" s="431"/>
      <c r="Q119" s="432"/>
      <c r="R119" s="429" t="str">
        <f>IFERROR(IF(R115="","",SUM(R115:R118)),0)</f>
        <v/>
      </c>
      <c r="T119" s="430" t="str">
        <f ca="1">IFERROR((U115*T115)+(U116*T116)+(U117*T117)+(U118*T118),"")</f>
        <v/>
      </c>
      <c r="U119" s="427"/>
      <c r="V119" s="426"/>
      <c r="W119" s="427"/>
      <c r="X119" s="431"/>
      <c r="Y119" s="432"/>
      <c r="Z119" s="429" t="str">
        <f>IFERROR(IF(Z115="","",SUM(Z115:Z118)),0)</f>
        <v/>
      </c>
    </row>
    <row r="120" spans="1:26" ht="18.75" customHeight="1">
      <c r="A120" s="140"/>
      <c r="B120" s="140"/>
      <c r="D120" s="177" t="s">
        <v>243</v>
      </c>
      <c r="E120" s="433"/>
      <c r="F120" s="448" t="str">
        <f ca="1">IFERROR(F119*12,"")</f>
        <v/>
      </c>
      <c r="G120" s="435"/>
      <c r="H120" s="436"/>
      <c r="I120" s="432"/>
      <c r="J120" s="437" t="str">
        <f ca="1">IF(J119="","",J119*12)</f>
        <v/>
      </c>
      <c r="K120" s="1"/>
      <c r="L120" s="438" t="str">
        <f ca="1">IFERROR(L119*12,"")</f>
        <v/>
      </c>
      <c r="M120" s="436"/>
      <c r="N120" s="435"/>
      <c r="O120" s="436"/>
      <c r="P120" s="432"/>
      <c r="Q120" s="432"/>
      <c r="R120" s="437" t="str">
        <f>IF(R119="","",R119*12)</f>
        <v/>
      </c>
      <c r="T120" s="438" t="str">
        <f ca="1">IFERROR(T119*12,"")</f>
        <v/>
      </c>
      <c r="U120" s="436"/>
      <c r="V120" s="435"/>
      <c r="W120" s="436"/>
      <c r="X120" s="432"/>
      <c r="Y120" s="432"/>
      <c r="Z120" s="437" t="str">
        <f>IF(Z119="","",Z119*12)</f>
        <v/>
      </c>
    </row>
    <row r="121" spans="1:26" ht="18" customHeight="1">
      <c r="A121" s="140"/>
      <c r="B121" s="140"/>
      <c r="D121" s="177" t="s">
        <v>244</v>
      </c>
      <c r="E121" s="433"/>
      <c r="F121" s="436"/>
      <c r="G121" s="435"/>
      <c r="H121" s="436"/>
      <c r="I121" s="432"/>
      <c r="J121" s="437"/>
      <c r="K121" s="1"/>
      <c r="L121" s="434" t="str">
        <f ca="1">IFERROR(L120-F120,"")</f>
        <v/>
      </c>
      <c r="M121" s="436"/>
      <c r="N121" s="435"/>
      <c r="O121" s="436"/>
      <c r="P121" s="432"/>
      <c r="Q121" s="432"/>
      <c r="R121" s="437" t="str">
        <f ca="1">IFERROR(IF(J120="","",R120-J120),0)</f>
        <v/>
      </c>
      <c r="T121" s="434" t="str">
        <f ca="1">IFERROR(T120-F120,"")</f>
        <v/>
      </c>
      <c r="U121" s="436"/>
      <c r="V121" s="435"/>
      <c r="W121" s="436"/>
      <c r="X121" s="432"/>
      <c r="Y121" s="432"/>
      <c r="Z121" s="437" t="str">
        <f>IFERROR(IF(R120="","",Z120-R120),0)</f>
        <v/>
      </c>
    </row>
    <row r="122" spans="1:26" ht="18" customHeight="1" thickBot="1">
      <c r="A122" s="140"/>
      <c r="B122" s="140"/>
      <c r="D122" s="180" t="s">
        <v>245</v>
      </c>
      <c r="E122" s="439"/>
      <c r="F122" s="440"/>
      <c r="G122" s="441"/>
      <c r="H122" s="440"/>
      <c r="I122" s="442"/>
      <c r="J122" s="443"/>
      <c r="K122" s="1"/>
      <c r="L122" s="444" t="str">
        <f ca="1">IFERROR(L120/F120-1,"")</f>
        <v/>
      </c>
      <c r="M122" s="440"/>
      <c r="N122" s="441"/>
      <c r="O122" s="440"/>
      <c r="P122" s="445"/>
      <c r="Q122" s="445"/>
      <c r="R122" s="446" t="str">
        <f ca="1">IFERROR(IF(J120="","",(R120/J120)-1),0)</f>
        <v/>
      </c>
      <c r="T122" s="444" t="str">
        <f ca="1">IFERROR(T120/F120-1,"")</f>
        <v/>
      </c>
      <c r="U122" s="440"/>
      <c r="V122" s="441"/>
      <c r="W122" s="440"/>
      <c r="X122" s="445"/>
      <c r="Y122" s="445"/>
      <c r="Z122" s="446" t="str">
        <f>IFERROR(IF(R120="","",(Z120/R120)-1),0)</f>
        <v/>
      </c>
    </row>
    <row r="123" spans="1:26" ht="18" customHeight="1">
      <c r="A123" s="140"/>
      <c r="B123" s="140"/>
      <c r="D123" s="181" t="s">
        <v>246</v>
      </c>
      <c r="E123" s="182"/>
      <c r="F123" s="182"/>
      <c r="G123" s="182"/>
      <c r="H123" s="182"/>
      <c r="I123" s="182"/>
      <c r="J123" s="183"/>
      <c r="K123"/>
      <c r="L123" s="184"/>
      <c r="M123" s="182"/>
      <c r="N123" s="182"/>
      <c r="O123" s="182"/>
      <c r="P123" s="182"/>
      <c r="Q123" s="182"/>
      <c r="R123" s="183"/>
      <c r="T123" s="184"/>
      <c r="U123" s="182"/>
      <c r="V123" s="182"/>
      <c r="W123" s="182"/>
      <c r="X123" s="182"/>
      <c r="Y123" s="182"/>
      <c r="Z123" s="183"/>
    </row>
    <row r="124" spans="1:26" ht="18" customHeight="1" hidden="1">
      <c r="A124" s="140"/>
      <c r="B124" s="140"/>
      <c r="D124" s="185" t="s">
        <v>247</v>
      </c>
      <c r="E124" s="186"/>
      <c r="F124" s="186"/>
      <c r="G124" s="186"/>
      <c r="H124" s="186"/>
      <c r="I124" s="186"/>
      <c r="J124" s="187"/>
      <c r="K124"/>
      <c r="L124" s="188"/>
      <c r="M124" s="186"/>
      <c r="N124" s="186"/>
      <c r="O124" s="186"/>
      <c r="P124" s="186"/>
      <c r="Q124" s="186"/>
      <c r="R124" s="187"/>
      <c r="T124" s="188"/>
      <c r="U124" s="186"/>
      <c r="V124" s="186"/>
      <c r="W124" s="186"/>
      <c r="X124" s="186"/>
      <c r="Y124" s="186"/>
      <c r="Z124" s="187"/>
    </row>
    <row r="125" spans="1:26" ht="18" customHeight="1" hidden="1">
      <c r="A125" s="140"/>
      <c r="B125" s="140"/>
      <c r="D125" s="189" t="s">
        <v>248</v>
      </c>
      <c r="E125" s="190" t="e">
        <f ca="1">D114&amp;"_"&amp;D12</f>
        <v>#N/A</v>
      </c>
      <c r="F125" s="191"/>
      <c r="G125" s="191"/>
      <c r="H125" s="191"/>
      <c r="I125" s="190"/>
      <c r="J125" s="192"/>
      <c r="K125"/>
      <c r="L125" s="193" t="str">
        <f ca="1">L114&amp;"_"&amp;D12</f>
        <v>SELECT PLAN_OWNERS</v>
      </c>
      <c r="M125" s="191"/>
      <c r="N125" s="191"/>
      <c r="O125" s="191"/>
      <c r="P125" s="190"/>
      <c r="Q125" s="191"/>
      <c r="R125" s="192"/>
      <c r="T125" s="193" t="str">
        <f>T114&amp;"_"&amp;D12</f>
        <v>SELECT PLAN_OWNERS</v>
      </c>
      <c r="U125" s="191"/>
      <c r="V125" s="191"/>
      <c r="W125" s="191"/>
      <c r="X125" s="190"/>
      <c r="Y125" s="191"/>
      <c r="Z125" s="192"/>
    </row>
    <row r="126" spans="1:26" ht="18" customHeight="1" hidden="1">
      <c r="A126" s="140"/>
      <c r="B126" s="140"/>
      <c r="D126" s="189" t="s">
        <v>249</v>
      </c>
      <c r="E126" s="191"/>
      <c r="F126" s="191"/>
      <c r="G126" s="191"/>
      <c r="H126" s="191"/>
      <c r="I126" s="191"/>
      <c r="J126" s="192"/>
      <c r="K126"/>
      <c r="L126" s="189"/>
      <c r="M126" s="191"/>
      <c r="N126" s="191"/>
      <c r="O126" s="191"/>
      <c r="P126" s="191"/>
      <c r="Q126" s="191"/>
      <c r="R126" s="192"/>
      <c r="T126" s="189"/>
      <c r="U126" s="191"/>
      <c r="V126" s="191"/>
      <c r="W126" s="191"/>
      <c r="X126" s="191"/>
      <c r="Y126" s="191"/>
      <c r="Z126" s="192"/>
    </row>
    <row r="127" spans="1:26" ht="28.5" customHeight="1" hidden="1">
      <c r="A127" s="140"/>
      <c r="B127" s="140"/>
      <c r="D127" s="194" t="s">
        <v>250</v>
      </c>
      <c r="E127" s="195"/>
      <c r="F127" s="195"/>
      <c r="G127" s="195"/>
      <c r="H127" s="195"/>
      <c r="I127" s="195"/>
      <c r="J127" s="196"/>
      <c r="K127"/>
      <c r="L127" s="197"/>
      <c r="M127" s="195"/>
      <c r="N127" s="195"/>
      <c r="O127" s="195"/>
      <c r="P127" s="195"/>
      <c r="Q127" s="195"/>
      <c r="R127" s="196"/>
      <c r="T127" s="197"/>
      <c r="U127" s="195"/>
      <c r="V127" s="195"/>
      <c r="W127" s="195"/>
      <c r="X127" s="195"/>
      <c r="Y127" s="195"/>
      <c r="Z127" s="196"/>
    </row>
    <row r="128" spans="1:26" ht="18" customHeight="1" hidden="1">
      <c r="A128" s="140"/>
      <c r="B128" s="140"/>
      <c r="D128" s="198" t="s">
        <v>251</v>
      </c>
      <c r="E128" s="199" t="e">
        <f>_xlfn.XLOOKUP(E125,CurrentPlans!B:B,CurrentPlans!X:X,"NA",0,1)</f>
        <v>#N/A</v>
      </c>
      <c r="F128" s="200"/>
      <c r="G128" s="200"/>
      <c r="H128" s="200"/>
      <c r="I128" s="199"/>
      <c r="J128" s="201"/>
      <c r="K128"/>
      <c r="L128" s="202" t="str">
        <f ca="1">_xlfn.XLOOKUP(L125,RenewalPlans!B:B,RenewalPlans!AA:AA,"NA",0,1)</f>
        <v>NA</v>
      </c>
      <c r="M128" s="200"/>
      <c r="N128" s="200"/>
      <c r="O128" s="200"/>
      <c r="P128" s="199"/>
      <c r="Q128" s="200"/>
      <c r="R128" s="201"/>
      <c r="T128" s="202" t="str">
        <f>_xlfn.XLOOKUP(T125,RenewalPlans!B:B,RenewalPlans!AA:AA,"NA",0,1)</f>
        <v>NA</v>
      </c>
      <c r="U128" s="200"/>
      <c r="V128" s="200"/>
      <c r="W128" s="200"/>
      <c r="X128" s="199"/>
      <c r="Y128" s="200"/>
      <c r="Z128" s="201"/>
    </row>
    <row r="129" spans="1:26" ht="18" customHeight="1" hidden="1">
      <c r="A129" s="140"/>
      <c r="B129" s="140"/>
      <c r="D129" s="198" t="s">
        <v>252</v>
      </c>
      <c r="E129" s="199" t="e">
        <f>_xlfn.XLOOKUP(E125,CurrentPlans!B:B,CurrentPlans!Y:Y,"NA",0,1)</f>
        <v>#N/A</v>
      </c>
      <c r="F129" s="200"/>
      <c r="G129" s="200"/>
      <c r="H129" s="200"/>
      <c r="I129" s="199"/>
      <c r="J129" s="201"/>
      <c r="K129"/>
      <c r="L129" s="202" t="str">
        <f ca="1">_xlfn.XLOOKUP(L125,RenewalPlans!B:B,RenewalPlans!AB:AB,"NA",0,1)</f>
        <v>NA</v>
      </c>
      <c r="M129" s="200"/>
      <c r="N129" s="200"/>
      <c r="O129" s="200"/>
      <c r="P129" s="199"/>
      <c r="Q129" s="200"/>
      <c r="R129" s="201"/>
      <c r="T129" s="202" t="str">
        <f>_xlfn.XLOOKUP(T125,RenewalPlans!B:B,RenewalPlans!AB:AB,"NA",0,1)</f>
        <v>NA</v>
      </c>
      <c r="U129" s="200"/>
      <c r="V129" s="200"/>
      <c r="W129" s="200"/>
      <c r="X129" s="199"/>
      <c r="Y129" s="200"/>
      <c r="Z129" s="201"/>
    </row>
    <row r="130" spans="1:26" ht="18" customHeight="1" hidden="1">
      <c r="A130" s="140"/>
      <c r="B130" s="140"/>
      <c r="D130" s="120" t="s">
        <v>253</v>
      </c>
      <c r="E130" s="121" t="e">
        <f>_xlfn.XLOOKUP(E125,CurrentPlans!B:B,CurrentPlans!W:W,"NA",0,1)</f>
        <v>#N/A</v>
      </c>
      <c r="F130" s="122"/>
      <c r="G130" s="122"/>
      <c r="H130" s="122"/>
      <c r="I130" s="121"/>
      <c r="J130" s="123"/>
      <c r="K130"/>
      <c r="L130" s="124" t="str">
        <f ca="1">_xlfn.XLOOKUP(L125,RenewalPlans!B:B,RenewalPlans!Z:Z,"NA",0,1)</f>
        <v>NA</v>
      </c>
      <c r="M130" s="122"/>
      <c r="N130" s="122"/>
      <c r="O130" s="122"/>
      <c r="P130" s="121"/>
      <c r="Q130" s="122"/>
      <c r="R130" s="123"/>
      <c r="T130" s="124" t="str">
        <f>_xlfn.XLOOKUP(T125,RenewalPlans!B:B,RenewalPlans!Z:Z,"NA",0,1)</f>
        <v>NA</v>
      </c>
      <c r="U130" s="122"/>
      <c r="V130" s="122"/>
      <c r="W130" s="122"/>
      <c r="X130" s="121"/>
      <c r="Y130" s="122"/>
      <c r="Z130" s="123"/>
    </row>
    <row r="131" spans="1:26" ht="18" customHeight="1" hidden="1">
      <c r="A131" s="140"/>
      <c r="B131" s="140"/>
      <c r="D131" s="203" t="s">
        <v>254</v>
      </c>
      <c r="E131" s="204"/>
      <c r="F131" s="205"/>
      <c r="G131" s="205"/>
      <c r="H131" s="205"/>
      <c r="I131" s="204"/>
      <c r="J131" s="206"/>
      <c r="K131"/>
      <c r="L131" s="207"/>
      <c r="M131" s="205"/>
      <c r="N131" s="205"/>
      <c r="O131" s="205"/>
      <c r="P131" s="204"/>
      <c r="Q131" s="205"/>
      <c r="R131" s="206"/>
      <c r="T131" s="207"/>
      <c r="U131" s="205"/>
      <c r="V131" s="205"/>
      <c r="W131" s="205"/>
      <c r="X131" s="204"/>
      <c r="Y131" s="205"/>
      <c r="Z131" s="206"/>
    </row>
    <row r="132" spans="1:26" ht="18" customHeight="1" hidden="1">
      <c r="A132" s="140"/>
      <c r="B132" s="140"/>
      <c r="D132" s="125" t="s">
        <v>255</v>
      </c>
      <c r="E132" s="126" t="e">
        <f>_xlfn.XLOOKUP(E125,CurrentPlans!B:B,CurrentPlans!Z:Z,"NA",0,1)</f>
        <v>#N/A</v>
      </c>
      <c r="F132" s="127"/>
      <c r="G132" s="127"/>
      <c r="H132" s="127"/>
      <c r="I132" s="126"/>
      <c r="J132" s="128"/>
      <c r="K132"/>
      <c r="L132" s="129" t="str">
        <f ca="1">_xlfn.XLOOKUP(L125,RenewalPlans!B:B,RenewalPlans!AC:AC,"NA",0,1)</f>
        <v>NA</v>
      </c>
      <c r="M132" s="127"/>
      <c r="N132" s="127"/>
      <c r="O132" s="127"/>
      <c r="P132" s="126"/>
      <c r="Q132" s="127"/>
      <c r="R132" s="128"/>
      <c r="T132" s="129" t="str">
        <f>_xlfn.XLOOKUP(T125,RenewalPlans!B:B,RenewalPlans!AC:AC,"NA",0,1)</f>
        <v>NA</v>
      </c>
      <c r="U132" s="127"/>
      <c r="V132" s="127"/>
      <c r="W132" s="127"/>
      <c r="X132" s="126"/>
      <c r="Y132" s="127"/>
      <c r="Z132" s="128"/>
    </row>
    <row r="133" spans="1:26" ht="18" customHeight="1" hidden="1">
      <c r="A133" s="140"/>
      <c r="B133" s="140"/>
      <c r="D133" s="198" t="s">
        <v>256</v>
      </c>
      <c r="E133" s="208" t="e">
        <f>_xlfn.XLOOKUP(E125,CurrentPlans!B:B,CurrentPlans!AA:AA,"NA",0,1)</f>
        <v>#N/A</v>
      </c>
      <c r="F133" s="200"/>
      <c r="G133" s="200"/>
      <c r="H133" s="200"/>
      <c r="I133" s="208"/>
      <c r="J133" s="201"/>
      <c r="K133"/>
      <c r="L133" s="209" t="str">
        <f ca="1">_xlfn.XLOOKUP(L125,RenewalPlans!B:B,RenewalPlans!AD:AD,"NA",0,1)</f>
        <v>NA</v>
      </c>
      <c r="M133" s="200"/>
      <c r="N133" s="200"/>
      <c r="O133" s="200"/>
      <c r="P133" s="208"/>
      <c r="Q133" s="200"/>
      <c r="R133" s="201"/>
      <c r="T133" s="209" t="str">
        <f>_xlfn.XLOOKUP(T125,RenewalPlans!B:B,RenewalPlans!AD:AD,"NA",0,1)</f>
        <v>NA</v>
      </c>
      <c r="U133" s="200"/>
      <c r="V133" s="200"/>
      <c r="W133" s="200"/>
      <c r="X133" s="208"/>
      <c r="Y133" s="200"/>
      <c r="Z133" s="201"/>
    </row>
    <row r="134" spans="1:26" ht="18" customHeight="1" hidden="1">
      <c r="A134" s="140"/>
      <c r="B134" s="140"/>
      <c r="D134" s="203" t="s">
        <v>257</v>
      </c>
      <c r="E134" s="204"/>
      <c r="F134" s="205"/>
      <c r="G134" s="205"/>
      <c r="H134" s="205"/>
      <c r="I134" s="204"/>
      <c r="J134" s="206"/>
      <c r="K134"/>
      <c r="L134" s="207"/>
      <c r="M134" s="205"/>
      <c r="N134" s="205"/>
      <c r="O134" s="205"/>
      <c r="P134" s="204"/>
      <c r="Q134" s="205"/>
      <c r="R134" s="206"/>
      <c r="T134" s="207"/>
      <c r="U134" s="205"/>
      <c r="V134" s="205"/>
      <c r="W134" s="205"/>
      <c r="X134" s="204"/>
      <c r="Y134" s="205"/>
      <c r="Z134" s="206"/>
    </row>
    <row r="135" spans="1:26" ht="18" customHeight="1" hidden="1">
      <c r="A135" s="140"/>
      <c r="B135" s="140"/>
      <c r="D135" s="198" t="s">
        <v>258</v>
      </c>
      <c r="E135" s="208" t="e">
        <f>_xlfn.XLOOKUP(E125,CurrentPlans!B:B,CurrentPlans!AB:AB,"NA",0,1)</f>
        <v>#N/A</v>
      </c>
      <c r="F135" s="200"/>
      <c r="G135" s="200"/>
      <c r="H135" s="200"/>
      <c r="I135" s="208"/>
      <c r="J135" s="201"/>
      <c r="K135"/>
      <c r="L135" s="209" t="str">
        <f ca="1">_xlfn.XLOOKUP(L125,RenewalPlans!B:B,RenewalPlans!AE:AE,"NA",0,1)</f>
        <v>NA</v>
      </c>
      <c r="M135" s="200"/>
      <c r="N135" s="200"/>
      <c r="O135" s="200"/>
      <c r="P135" s="208"/>
      <c r="Q135" s="200"/>
      <c r="R135" s="201"/>
      <c r="T135" s="209" t="str">
        <f>_xlfn.XLOOKUP(T125,RenewalPlans!B:B,RenewalPlans!AE:AE,"NA",0,1)</f>
        <v>NA</v>
      </c>
      <c r="U135" s="200"/>
      <c r="V135" s="200"/>
      <c r="W135" s="200"/>
      <c r="X135" s="208"/>
      <c r="Y135" s="200"/>
      <c r="Z135" s="201"/>
    </row>
    <row r="136" spans="1:26" ht="18" customHeight="1" hidden="1">
      <c r="A136" s="140"/>
      <c r="B136" s="140"/>
      <c r="D136" s="198" t="s">
        <v>259</v>
      </c>
      <c r="E136" s="208" t="e">
        <f>_xlfn.XLOOKUP(E125,CurrentPlans!B:B,CurrentPlans!AC:AC,"NA",0,1)</f>
        <v>#N/A</v>
      </c>
      <c r="F136" s="200"/>
      <c r="G136" s="200"/>
      <c r="H136" s="200"/>
      <c r="I136" s="208"/>
      <c r="J136" s="201"/>
      <c r="K136"/>
      <c r="L136" s="209" t="str">
        <f ca="1">_xlfn.XLOOKUP(L125,RenewalPlans!B:B,RenewalPlans!AF:AF,"NA",0,1)</f>
        <v>NA</v>
      </c>
      <c r="M136" s="200"/>
      <c r="N136" s="200"/>
      <c r="O136" s="200"/>
      <c r="P136" s="208"/>
      <c r="Q136" s="200"/>
      <c r="R136" s="201"/>
      <c r="T136" s="209" t="str">
        <f>_xlfn.XLOOKUP(T125,RenewalPlans!B:B,RenewalPlans!AF:AF,"NA",0,1)</f>
        <v>NA</v>
      </c>
      <c r="U136" s="200"/>
      <c r="V136" s="200"/>
      <c r="W136" s="200"/>
      <c r="X136" s="208"/>
      <c r="Y136" s="200"/>
      <c r="Z136" s="201"/>
    </row>
    <row r="137" spans="1:26" ht="18" customHeight="1" hidden="1">
      <c r="A137" s="140"/>
      <c r="B137" s="140"/>
      <c r="D137" s="210"/>
      <c r="E137" s="211"/>
      <c r="F137" s="211"/>
      <c r="G137" s="211"/>
      <c r="H137" s="211"/>
      <c r="I137" s="211"/>
      <c r="J137" s="212"/>
      <c r="K137"/>
      <c r="L137" s="210"/>
      <c r="M137" s="211"/>
      <c r="N137" s="211"/>
      <c r="O137" s="211"/>
      <c r="P137" s="211"/>
      <c r="Q137" s="211"/>
      <c r="R137" s="212"/>
      <c r="T137" s="210"/>
      <c r="U137" s="211"/>
      <c r="V137" s="211"/>
      <c r="W137" s="211"/>
      <c r="X137" s="211"/>
      <c r="Y137" s="211"/>
      <c r="Z137" s="212"/>
    </row>
    <row r="138" spans="1:26" ht="18" customHeight="1" hidden="1">
      <c r="A138" s="140"/>
      <c r="B138" s="140"/>
      <c r="D138" s="185" t="s">
        <v>260</v>
      </c>
      <c r="E138" s="186"/>
      <c r="F138" s="186"/>
      <c r="G138" s="186"/>
      <c r="H138" s="186"/>
      <c r="I138" s="186"/>
      <c r="J138" s="187"/>
      <c r="K138"/>
      <c r="L138" s="188"/>
      <c r="M138" s="186"/>
      <c r="N138" s="186"/>
      <c r="O138" s="186"/>
      <c r="P138" s="186"/>
      <c r="Q138" s="186"/>
      <c r="R138" s="187"/>
      <c r="T138" s="188"/>
      <c r="U138" s="186"/>
      <c r="V138" s="186"/>
      <c r="W138" s="186"/>
      <c r="X138" s="186"/>
      <c r="Y138" s="186"/>
      <c r="Z138" s="187"/>
    </row>
    <row r="139" spans="1:26" ht="18" customHeight="1" hidden="1">
      <c r="A139" s="140"/>
      <c r="B139" s="140"/>
      <c r="D139" s="213" t="s">
        <v>261</v>
      </c>
      <c r="E139" s="130" t="e">
        <f>_xlfn.XLOOKUP(E125,CurrentPlans!B:B,CurrentPlans!AJ:AJ,"NA",0,1)</f>
        <v>#N/A</v>
      </c>
      <c r="F139" s="214"/>
      <c r="G139" s="214"/>
      <c r="H139" s="214"/>
      <c r="I139" s="130"/>
      <c r="J139" s="215"/>
      <c r="K139"/>
      <c r="L139" s="131" t="str">
        <f ca="1">_xlfn.XLOOKUP(L125,RenewalPlans!B:B,RenewalPlans!AM:AM,"NA",0,1)</f>
        <v>NA</v>
      </c>
      <c r="M139" s="214"/>
      <c r="N139" s="214"/>
      <c r="O139" s="214"/>
      <c r="P139" s="130"/>
      <c r="Q139" s="214"/>
      <c r="R139" s="215"/>
      <c r="T139" s="131" t="str">
        <f>_xlfn.XLOOKUP(T125,RenewalPlans!B:B,RenewalPlans!AM:AM,"NA",0,1)</f>
        <v>NA</v>
      </c>
      <c r="U139" s="214"/>
      <c r="V139" s="214"/>
      <c r="W139" s="214"/>
      <c r="X139" s="130"/>
      <c r="Y139" s="214"/>
      <c r="Z139" s="215"/>
    </row>
    <row r="140" spans="1:26" ht="18" customHeight="1" hidden="1">
      <c r="A140" s="140"/>
      <c r="B140" s="140"/>
      <c r="D140" s="198" t="s">
        <v>262</v>
      </c>
      <c r="E140" s="130" t="e">
        <f>_xlfn.XLOOKUP(E125,CurrentPlans!B:B,CurrentPlans!AM:AM,"NA",0,1)</f>
        <v>#N/A</v>
      </c>
      <c r="F140" s="200"/>
      <c r="G140" s="200"/>
      <c r="H140" s="200"/>
      <c r="I140" s="130"/>
      <c r="J140" s="201"/>
      <c r="K140"/>
      <c r="L140" s="131" t="str">
        <f ca="1">_xlfn.XLOOKUP(L125,RenewalPlans!B:B,RenewalPlans!AP:AP,"NA",0,1)</f>
        <v>NA</v>
      </c>
      <c r="M140" s="200"/>
      <c r="N140" s="200"/>
      <c r="O140" s="200"/>
      <c r="P140" s="130"/>
      <c r="Q140" s="200"/>
      <c r="R140" s="201"/>
      <c r="T140" s="131" t="str">
        <f>_xlfn.XLOOKUP(T125,RenewalPlans!B:B,RenewalPlans!AP:AP,"NA",0,1)</f>
        <v>NA</v>
      </c>
      <c r="U140" s="200"/>
      <c r="V140" s="200"/>
      <c r="W140" s="200"/>
      <c r="X140" s="130"/>
      <c r="Y140" s="200"/>
      <c r="Z140" s="201"/>
    </row>
    <row r="141" spans="1:26" ht="18" customHeight="1" hidden="1">
      <c r="A141" s="140"/>
      <c r="B141" s="140"/>
      <c r="D141" s="198" t="s">
        <v>263</v>
      </c>
      <c r="E141" s="130" t="e">
        <f>_xlfn.XLOOKUP(E125,CurrentPlans!B:B,CurrentPlans!AI:AI,"NA",0,1)</f>
        <v>#N/A</v>
      </c>
      <c r="F141" s="200"/>
      <c r="G141" s="200"/>
      <c r="H141" s="200"/>
      <c r="I141" s="130"/>
      <c r="J141" s="201"/>
      <c r="K141"/>
      <c r="L141" s="131" t="str">
        <f ca="1">_xlfn.XLOOKUP(L125,RenewalPlans!B:B,RenewalPlans!AL:AL,"NA",0,1)</f>
        <v>NA</v>
      </c>
      <c r="M141" s="200"/>
      <c r="N141" s="200"/>
      <c r="O141" s="200"/>
      <c r="P141" s="130"/>
      <c r="Q141" s="200"/>
      <c r="R141" s="201"/>
      <c r="T141" s="131" t="str">
        <f>_xlfn.XLOOKUP(T125,RenewalPlans!B:B,RenewalPlans!AL:AL,"NA",0,1)</f>
        <v>NA</v>
      </c>
      <c r="U141" s="200"/>
      <c r="V141" s="200"/>
      <c r="W141" s="200"/>
      <c r="X141" s="130"/>
      <c r="Y141" s="200"/>
      <c r="Z141" s="201"/>
    </row>
    <row r="142" spans="1:26" ht="18" customHeight="1" hidden="1">
      <c r="A142" s="140"/>
      <c r="B142" s="140"/>
      <c r="D142" s="198" t="s">
        <v>264</v>
      </c>
      <c r="E142" s="208" t="e">
        <f>_xlfn.XLOOKUP(E125,CurrentPlans!B:B,CurrentPlans!AN:AN,"NA",0,1)</f>
        <v>#N/A</v>
      </c>
      <c r="F142" s="200"/>
      <c r="G142" s="200"/>
      <c r="H142" s="200"/>
      <c r="I142" s="208"/>
      <c r="J142" s="201"/>
      <c r="K142"/>
      <c r="L142" s="209" t="str">
        <f ca="1">_xlfn.XLOOKUP(L125,RenewalPlans!B:B,RenewalPlans!AQ:AQ,"NA",0,1)</f>
        <v>NA</v>
      </c>
      <c r="M142" s="200"/>
      <c r="N142" s="200"/>
      <c r="O142" s="200"/>
      <c r="P142" s="208"/>
      <c r="Q142" s="200"/>
      <c r="R142" s="201"/>
      <c r="T142" s="209" t="str">
        <f>_xlfn.XLOOKUP(T125,RenewalPlans!B:B,RenewalPlans!AQ:AQ,"NA",0,1)</f>
        <v>NA</v>
      </c>
      <c r="U142" s="200"/>
      <c r="V142" s="200"/>
      <c r="W142" s="200"/>
      <c r="X142" s="208"/>
      <c r="Y142" s="200"/>
      <c r="Z142" s="201"/>
    </row>
    <row r="143" spans="1:26" ht="18" customHeight="1" hidden="1">
      <c r="A143" s="140"/>
      <c r="B143" s="140"/>
      <c r="D143" s="210"/>
      <c r="E143" s="211"/>
      <c r="F143" s="211"/>
      <c r="G143" s="211"/>
      <c r="H143" s="211"/>
      <c r="I143" s="211"/>
      <c r="J143" s="212"/>
      <c r="K143"/>
      <c r="L143" s="210"/>
      <c r="M143" s="211"/>
      <c r="N143" s="211"/>
      <c r="O143" s="211"/>
      <c r="P143" s="211"/>
      <c r="Q143" s="211"/>
      <c r="R143" s="212"/>
      <c r="T143" s="210"/>
      <c r="U143" s="211"/>
      <c r="V143" s="211"/>
      <c r="W143" s="211"/>
      <c r="X143" s="211"/>
      <c r="Y143" s="211"/>
      <c r="Z143" s="212"/>
    </row>
    <row r="144" spans="1:26" ht="18" customHeight="1" hidden="1">
      <c r="A144" s="140"/>
      <c r="B144" s="140"/>
      <c r="D144" s="185" t="s">
        <v>265</v>
      </c>
      <c r="E144" s="186"/>
      <c r="F144" s="186"/>
      <c r="G144" s="186"/>
      <c r="H144" s="186"/>
      <c r="I144" s="186"/>
      <c r="J144" s="187"/>
      <c r="K144"/>
      <c r="L144" s="188"/>
      <c r="M144" s="186"/>
      <c r="N144" s="186"/>
      <c r="O144" s="186"/>
      <c r="P144" s="186"/>
      <c r="Q144" s="186"/>
      <c r="R144" s="187"/>
      <c r="T144" s="188"/>
      <c r="U144" s="186"/>
      <c r="V144" s="186"/>
      <c r="W144" s="186"/>
      <c r="X144" s="186"/>
      <c r="Y144" s="186"/>
      <c r="Z144" s="187"/>
    </row>
    <row r="145" spans="1:26" ht="18" customHeight="1" hidden="1">
      <c r="A145" s="140"/>
      <c r="B145" s="140"/>
      <c r="D145" s="132" t="s">
        <v>266</v>
      </c>
      <c r="E145" s="133" t="e">
        <f>_xlfn.XLOOKUP(E125,CurrentPlans!B:B,CurrentPlans!AE:AE,"NA",0,1)</f>
        <v>#N/A</v>
      </c>
      <c r="F145" s="134"/>
      <c r="G145" s="134"/>
      <c r="H145" s="134"/>
      <c r="I145" s="133"/>
      <c r="J145" s="135"/>
      <c r="K145"/>
      <c r="L145" s="136" t="str">
        <f ca="1">_xlfn.XLOOKUP(L125,RenewalPlans!B:B,RenewalPlans!AH:AH,"NA",0,1)</f>
        <v>NA</v>
      </c>
      <c r="M145" s="134"/>
      <c r="N145" s="134"/>
      <c r="O145" s="134"/>
      <c r="P145" s="133"/>
      <c r="Q145" s="134"/>
      <c r="R145" s="135"/>
      <c r="T145" s="136" t="str">
        <f>_xlfn.XLOOKUP(T125,RenewalPlans!B:B,RenewalPlans!AH:AH,"NA",0,1)</f>
        <v>NA</v>
      </c>
      <c r="U145" s="134"/>
      <c r="V145" s="134"/>
      <c r="W145" s="134"/>
      <c r="X145" s="133"/>
      <c r="Y145" s="134"/>
      <c r="Z145" s="135"/>
    </row>
    <row r="146" spans="1:26" ht="18" customHeight="1" hidden="1">
      <c r="A146" s="140"/>
      <c r="B146" s="140"/>
      <c r="D146" s="120" t="s">
        <v>267</v>
      </c>
      <c r="E146" s="130" t="e">
        <f>_xlfn.XLOOKUP(E125,CurrentPlans!B:B,CurrentPlans!AF:AF,"NA",0,1)</f>
        <v>#N/A</v>
      </c>
      <c r="F146" s="122"/>
      <c r="G146" s="122"/>
      <c r="H146" s="122"/>
      <c r="I146" s="130"/>
      <c r="J146" s="123"/>
      <c r="K146"/>
      <c r="L146" s="131" t="str">
        <f ca="1">_xlfn.XLOOKUP(L125,RenewalPlans!B:B,RenewalPlans!AI:AI,"NA",0,1)</f>
        <v>NA</v>
      </c>
      <c r="M146" s="122"/>
      <c r="N146" s="122"/>
      <c r="O146" s="122"/>
      <c r="P146" s="130"/>
      <c r="Q146" s="122"/>
      <c r="R146" s="123"/>
      <c r="T146" s="131" t="str">
        <f>_xlfn.XLOOKUP(T125,RenewalPlans!B:B,RenewalPlans!AI:AI,"NA",0,1)</f>
        <v>NA</v>
      </c>
      <c r="U146" s="122"/>
      <c r="V146" s="122"/>
      <c r="W146" s="122"/>
      <c r="X146" s="130"/>
      <c r="Y146" s="122"/>
      <c r="Z146" s="123"/>
    </row>
    <row r="147" spans="1:26" ht="18" customHeight="1" hidden="1">
      <c r="A147" s="140"/>
      <c r="B147" s="140"/>
      <c r="D147" s="198" t="s">
        <v>268</v>
      </c>
      <c r="E147" s="130" t="e">
        <f>_xlfn.XLOOKUP(E125,CurrentPlans!B:B,CurrentPlans!AH:AH,"NA",0,1)</f>
        <v>#N/A</v>
      </c>
      <c r="F147" s="200"/>
      <c r="G147" s="200"/>
      <c r="H147" s="200"/>
      <c r="I147" s="130"/>
      <c r="J147" s="201"/>
      <c r="K147"/>
      <c r="L147" s="131" t="str">
        <f ca="1">_xlfn.XLOOKUP(L125,RenewalPlans!B:B,RenewalPlans!AK:AK,"NA",0,1)</f>
        <v>NA</v>
      </c>
      <c r="M147" s="200"/>
      <c r="N147" s="200"/>
      <c r="O147" s="200"/>
      <c r="P147" s="130"/>
      <c r="Q147" s="200"/>
      <c r="R147" s="201"/>
      <c r="T147" s="131" t="str">
        <f>_xlfn.XLOOKUP(T125,RenewalPlans!B:B,RenewalPlans!AK:AK,"NA",0,1)</f>
        <v>NA</v>
      </c>
      <c r="U147" s="200"/>
      <c r="V147" s="200"/>
      <c r="W147" s="200"/>
      <c r="X147" s="130"/>
      <c r="Y147" s="200"/>
      <c r="Z147" s="201"/>
    </row>
    <row r="148" spans="1:26" ht="18" customHeight="1" hidden="1">
      <c r="A148" s="140"/>
      <c r="B148" s="140"/>
      <c r="D148" s="198" t="s">
        <v>269</v>
      </c>
      <c r="E148" s="130" t="e">
        <f>_xlfn.XLOOKUP(E125,CurrentPlans!B:B,CurrentPlans!AG:AG,"NA",0,1)</f>
        <v>#N/A</v>
      </c>
      <c r="F148" s="200"/>
      <c r="G148" s="200"/>
      <c r="H148" s="200"/>
      <c r="I148" s="130"/>
      <c r="J148" s="201"/>
      <c r="K148"/>
      <c r="L148" s="131" t="str">
        <f ca="1">_xlfn.XLOOKUP(L125,RenewalPlans!B:B,RenewalPlans!AJ:AJ,"NA",0,1)</f>
        <v>NA</v>
      </c>
      <c r="M148" s="200"/>
      <c r="N148" s="200"/>
      <c r="O148" s="200"/>
      <c r="P148" s="130"/>
      <c r="Q148" s="200"/>
      <c r="R148" s="201"/>
      <c r="T148" s="131" t="str">
        <f>_xlfn.XLOOKUP(T125,RenewalPlans!B:B,RenewalPlans!AJ:AJ,"NA",0,1)</f>
        <v>NA</v>
      </c>
      <c r="U148" s="200"/>
      <c r="V148" s="200"/>
      <c r="W148" s="200"/>
      <c r="X148" s="130"/>
      <c r="Y148" s="200"/>
      <c r="Z148" s="201"/>
    </row>
    <row r="149" spans="1:26" ht="18" customHeight="1" hidden="1">
      <c r="A149" s="140"/>
      <c r="B149" s="140"/>
      <c r="D149" s="213" t="s">
        <v>270</v>
      </c>
      <c r="E149" s="216" t="e">
        <f>_xlfn.XLOOKUP(E125,CurrentPlans!B:B,CurrentPlans!AU:AU,"NA",0,1)</f>
        <v>#N/A</v>
      </c>
      <c r="F149" s="214"/>
      <c r="G149" s="214"/>
      <c r="H149" s="214"/>
      <c r="I149" s="217"/>
      <c r="J149" s="215"/>
      <c r="K149"/>
      <c r="L149" s="218" t="str">
        <f ca="1">_xlfn.XLOOKUP(L125,RenewalPlans!B:B,RenewalPlans!AX:AX,"NA",0,1)</f>
        <v>NA</v>
      </c>
      <c r="M149" s="214"/>
      <c r="N149" s="214"/>
      <c r="O149" s="214"/>
      <c r="P149" s="217"/>
      <c r="Q149" s="214"/>
      <c r="R149" s="215"/>
      <c r="T149" s="218" t="str">
        <f>_xlfn.XLOOKUP(T125,RenewalPlans!B:B,RenewalPlans!AX:AX,"NA",0,1)</f>
        <v>NA</v>
      </c>
      <c r="U149" s="214"/>
      <c r="V149" s="214"/>
      <c r="W149" s="214"/>
      <c r="X149" s="217"/>
      <c r="Y149" s="214"/>
      <c r="Z149" s="215"/>
    </row>
    <row r="150" spans="1:26" ht="18" customHeight="1" hidden="1">
      <c r="A150" s="140"/>
      <c r="B150" s="140"/>
      <c r="D150" s="213" t="s">
        <v>271</v>
      </c>
      <c r="E150" s="216" t="e">
        <f>_xlfn.XLOOKUP(E125,CurrentPlans!B:B,CurrentPlans!AT:AT,"NA",0,1)</f>
        <v>#N/A</v>
      </c>
      <c r="F150" s="214"/>
      <c r="G150" s="214"/>
      <c r="H150" s="214"/>
      <c r="I150" s="217"/>
      <c r="J150" s="215"/>
      <c r="K150"/>
      <c r="L150" s="218" t="str">
        <f ca="1">_xlfn.XLOOKUP(L125,RenewalPlans!B:B,RenewalPlans!AW:AW,"NA",0,1)</f>
        <v>NA</v>
      </c>
      <c r="M150" s="214"/>
      <c r="N150" s="214"/>
      <c r="O150" s="214"/>
      <c r="P150" s="217"/>
      <c r="Q150" s="214"/>
      <c r="R150" s="215"/>
      <c r="T150" s="218" t="str">
        <f>_xlfn.XLOOKUP(T125,RenewalPlans!B:B,RenewalPlans!AW:AW,"NA",0,1)</f>
        <v>NA</v>
      </c>
      <c r="U150" s="214"/>
      <c r="V150" s="214"/>
      <c r="W150" s="214"/>
      <c r="X150" s="217"/>
      <c r="Y150" s="214"/>
      <c r="Z150" s="215"/>
    </row>
    <row r="151" spans="1:26" ht="18" customHeight="1" hidden="1">
      <c r="A151" s="140"/>
      <c r="B151" s="140"/>
      <c r="D151" s="198" t="s">
        <v>272</v>
      </c>
      <c r="E151" s="130" t="e">
        <f>_xlfn.XLOOKUP(E125,CurrentPlans!B:B,CurrentPlans!AD:AD,"NA",0,1)</f>
        <v>#N/A</v>
      </c>
      <c r="F151" s="200"/>
      <c r="G151" s="200"/>
      <c r="H151" s="200"/>
      <c r="I151" s="130"/>
      <c r="J151" s="201"/>
      <c r="K151"/>
      <c r="L151" s="131" t="str">
        <f ca="1">_xlfn.XLOOKUP(L125,RenewalPlans!B:B,RenewalPlans!AG:AG,"NA",0,1)</f>
        <v>NA</v>
      </c>
      <c r="M151" s="200"/>
      <c r="N151" s="200"/>
      <c r="O151" s="200"/>
      <c r="P151" s="130"/>
      <c r="Q151" s="200"/>
      <c r="R151" s="201"/>
      <c r="T151" s="131" t="str">
        <f>_xlfn.XLOOKUP(T125,RenewalPlans!B:B,RenewalPlans!AG:AG,"NA",0,1)</f>
        <v>NA</v>
      </c>
      <c r="U151" s="200"/>
      <c r="V151" s="200"/>
      <c r="W151" s="200"/>
      <c r="X151" s="130"/>
      <c r="Y151" s="200"/>
      <c r="Z151" s="201"/>
    </row>
    <row r="152" spans="1:26" ht="18" customHeight="1" hidden="1">
      <c r="A152" s="140"/>
      <c r="B152" s="140"/>
      <c r="D152" s="198" t="s">
        <v>273</v>
      </c>
      <c r="E152" s="200"/>
      <c r="F152" s="200"/>
      <c r="G152" s="200"/>
      <c r="H152" s="200"/>
      <c r="I152" s="200"/>
      <c r="J152" s="201"/>
      <c r="K152"/>
      <c r="L152" s="198"/>
      <c r="M152" s="200"/>
      <c r="N152" s="200"/>
      <c r="O152" s="200"/>
      <c r="P152" s="200"/>
      <c r="Q152" s="200"/>
      <c r="R152" s="201"/>
      <c r="T152" s="198"/>
      <c r="U152" s="200"/>
      <c r="V152" s="200"/>
      <c r="W152" s="200"/>
      <c r="X152" s="200"/>
      <c r="Y152" s="200"/>
      <c r="Z152" s="201"/>
    </row>
    <row r="153" spans="1:26" ht="18" customHeight="1" hidden="1">
      <c r="A153" s="140"/>
      <c r="B153" s="140"/>
      <c r="D153" s="210"/>
      <c r="E153" s="211"/>
      <c r="F153" s="211"/>
      <c r="G153" s="211"/>
      <c r="H153" s="211"/>
      <c r="I153" s="211"/>
      <c r="J153" s="212"/>
      <c r="K153"/>
      <c r="L153" s="210"/>
      <c r="M153" s="211"/>
      <c r="N153" s="211"/>
      <c r="O153" s="211"/>
      <c r="P153" s="211"/>
      <c r="Q153" s="211"/>
      <c r="R153" s="212"/>
      <c r="T153" s="210"/>
      <c r="U153" s="211"/>
      <c r="V153" s="211"/>
      <c r="W153" s="211"/>
      <c r="X153" s="211"/>
      <c r="Y153" s="211"/>
      <c r="Z153" s="212"/>
    </row>
    <row r="154" spans="1:26" ht="18" customHeight="1" hidden="1">
      <c r="A154" s="140"/>
      <c r="B154" s="140"/>
      <c r="D154" s="219" t="s">
        <v>274</v>
      </c>
      <c r="E154" s="220"/>
      <c r="F154" s="220"/>
      <c r="G154" s="220"/>
      <c r="H154" s="220"/>
      <c r="I154" s="220"/>
      <c r="J154" s="221"/>
      <c r="K154"/>
      <c r="L154" s="222"/>
      <c r="M154" s="220"/>
      <c r="N154" s="220"/>
      <c r="O154" s="220"/>
      <c r="P154" s="220"/>
      <c r="Q154" s="220"/>
      <c r="R154" s="221"/>
      <c r="T154" s="222"/>
      <c r="U154" s="220"/>
      <c r="V154" s="220"/>
      <c r="W154" s="220"/>
      <c r="X154" s="220"/>
      <c r="Y154" s="220"/>
      <c r="Z154" s="221"/>
    </row>
    <row r="155" spans="1:26" ht="18" customHeight="1" hidden="1">
      <c r="A155" s="140"/>
      <c r="B155" s="140"/>
      <c r="D155" s="223" t="s">
        <v>250</v>
      </c>
      <c r="E155" s="205"/>
      <c r="F155" s="205"/>
      <c r="G155" s="205"/>
      <c r="H155" s="205"/>
      <c r="I155" s="205"/>
      <c r="J155" s="206"/>
      <c r="K155"/>
      <c r="L155" s="203"/>
      <c r="M155" s="205"/>
      <c r="N155" s="205"/>
      <c r="O155" s="205"/>
      <c r="P155" s="205"/>
      <c r="Q155" s="205"/>
      <c r="R155" s="206"/>
      <c r="T155" s="203"/>
      <c r="U155" s="205"/>
      <c r="V155" s="205"/>
      <c r="W155" s="205"/>
      <c r="X155" s="205"/>
      <c r="Y155" s="205"/>
      <c r="Z155" s="206"/>
    </row>
    <row r="156" spans="1:26" ht="18" customHeight="1" hidden="1">
      <c r="A156" s="140"/>
      <c r="B156" s="140"/>
      <c r="D156" s="198" t="s">
        <v>251</v>
      </c>
      <c r="E156" s="130" t="e">
        <f>_xlfn.XLOOKUP(E125,CurrentPlans!B:B,CurrentPlans!AP:AP,"NA",0,1)</f>
        <v>#N/A</v>
      </c>
      <c r="F156" s="200"/>
      <c r="G156" s="200"/>
      <c r="H156" s="200"/>
      <c r="I156" s="130"/>
      <c r="J156" s="201"/>
      <c r="K156"/>
      <c r="L156" s="131" t="str">
        <f ca="1">_xlfn.XLOOKUP(L125,RenewalPlans!B:B,RenewalPlans!AS:AS,"NA",0,1)</f>
        <v>NA</v>
      </c>
      <c r="M156" s="200"/>
      <c r="N156" s="200"/>
      <c r="O156" s="200"/>
      <c r="P156" s="130"/>
      <c r="Q156" s="200"/>
      <c r="R156" s="201"/>
      <c r="T156" s="131" t="str">
        <f>_xlfn.XLOOKUP(T125,RenewalPlans!B:B,RenewalPlans!AS:AS,"NA",0,1)</f>
        <v>NA</v>
      </c>
      <c r="U156" s="200"/>
      <c r="V156" s="200"/>
      <c r="W156" s="200"/>
      <c r="X156" s="130"/>
      <c r="Y156" s="200"/>
      <c r="Z156" s="201"/>
    </row>
    <row r="157" spans="1:26" ht="18" customHeight="1" hidden="1">
      <c r="A157" s="140"/>
      <c r="B157" s="140"/>
      <c r="D157" s="198" t="s">
        <v>252</v>
      </c>
      <c r="E157" s="130" t="e">
        <f>_xlfn.XLOOKUP(E125,CurrentPlans!B:B,CurrentPlans!AQ:AQ,"NA",0,1)</f>
        <v>#N/A</v>
      </c>
      <c r="F157" s="200"/>
      <c r="G157" s="200"/>
      <c r="H157" s="200"/>
      <c r="I157" s="130"/>
      <c r="J157" s="201"/>
      <c r="K157"/>
      <c r="L157" s="131" t="str">
        <f ca="1">_xlfn.XLOOKUP(L125,RenewalPlans!B:B,RenewalPlans!AT:AT,"NA",0,1)</f>
        <v>NA</v>
      </c>
      <c r="M157" s="200"/>
      <c r="N157" s="200"/>
      <c r="O157" s="200"/>
      <c r="P157" s="130"/>
      <c r="Q157" s="200"/>
      <c r="R157" s="201"/>
      <c r="T157" s="131" t="str">
        <f>_xlfn.XLOOKUP(T125,RenewalPlans!B:B,RenewalPlans!AT:AT,"NA",0,1)</f>
        <v>NA</v>
      </c>
      <c r="U157" s="200"/>
      <c r="V157" s="200"/>
      <c r="W157" s="200"/>
      <c r="X157" s="130"/>
      <c r="Y157" s="200"/>
      <c r="Z157" s="201"/>
    </row>
    <row r="158" spans="1:26" ht="18" customHeight="1" hidden="1">
      <c r="A158" s="140"/>
      <c r="B158" s="140"/>
      <c r="D158" s="120" t="s">
        <v>253</v>
      </c>
      <c r="E158" s="133" t="e">
        <f>_xlfn.XLOOKUP(E125,CurrentPlans!B:B,CurrentPlans!AO:AO,"NA",0,1)</f>
        <v>#N/A</v>
      </c>
      <c r="F158" s="122"/>
      <c r="G158" s="122"/>
      <c r="H158" s="122"/>
      <c r="I158" s="133"/>
      <c r="J158" s="123"/>
      <c r="K158"/>
      <c r="L158" s="136" t="str">
        <f ca="1">_xlfn.XLOOKUP(L125,RenewalPlans!B:B,RenewalPlans!AR:AR,"NA",0,1)</f>
        <v>NA</v>
      </c>
      <c r="M158" s="122"/>
      <c r="N158" s="122"/>
      <c r="O158" s="122"/>
      <c r="P158" s="133"/>
      <c r="Q158" s="122"/>
      <c r="R158" s="123"/>
      <c r="T158" s="136" t="str">
        <f>_xlfn.XLOOKUP(T125,RenewalPlans!B:B,RenewalPlans!AR:AR,"NA",0,1)</f>
        <v>NA</v>
      </c>
      <c r="U158" s="122"/>
      <c r="V158" s="122"/>
      <c r="W158" s="122"/>
      <c r="X158" s="133"/>
      <c r="Y158" s="122"/>
      <c r="Z158" s="123"/>
    </row>
    <row r="159" spans="1:26" ht="18" customHeight="1" hidden="1">
      <c r="A159" s="140"/>
      <c r="B159" s="140"/>
      <c r="D159" s="223" t="s">
        <v>254</v>
      </c>
      <c r="E159" s="205"/>
      <c r="F159" s="205"/>
      <c r="G159" s="205"/>
      <c r="H159" s="205"/>
      <c r="I159" s="205"/>
      <c r="J159" s="206"/>
      <c r="K159"/>
      <c r="L159" s="203"/>
      <c r="M159" s="205"/>
      <c r="N159" s="205"/>
      <c r="O159" s="205"/>
      <c r="P159" s="205"/>
      <c r="Q159" s="205"/>
      <c r="R159" s="206"/>
      <c r="T159" s="203"/>
      <c r="U159" s="205"/>
      <c r="V159" s="205"/>
      <c r="W159" s="205"/>
      <c r="X159" s="205"/>
      <c r="Y159" s="205"/>
      <c r="Z159" s="206"/>
    </row>
    <row r="160" spans="1:26" ht="18" customHeight="1" hidden="1">
      <c r="A160" s="140"/>
      <c r="B160" s="140"/>
      <c r="D160" s="198" t="s">
        <v>255</v>
      </c>
      <c r="E160" s="130" t="e">
        <f>_xlfn.XLOOKUP(E125,CurrentPlans!B:B,CurrentPlans!AR:AR,"NA",0,1)</f>
        <v>#N/A</v>
      </c>
      <c r="F160" s="200"/>
      <c r="G160" s="200"/>
      <c r="H160" s="200"/>
      <c r="I160" s="130"/>
      <c r="J160" s="201"/>
      <c r="K160"/>
      <c r="L160" s="131" t="str">
        <f ca="1">_xlfn.XLOOKUP(L125,RenewalPlans!B:B,RenewalPlans!AU:AU,"NA",0,1)</f>
        <v>NA</v>
      </c>
      <c r="M160" s="200"/>
      <c r="N160" s="200"/>
      <c r="O160" s="200"/>
      <c r="P160" s="130"/>
      <c r="Q160" s="200"/>
      <c r="R160" s="201"/>
      <c r="T160" s="131" t="str">
        <f>_xlfn.XLOOKUP(T125,RenewalPlans!B:B,RenewalPlans!AU:AU,"NA",0,1)</f>
        <v>NA</v>
      </c>
      <c r="U160" s="200"/>
      <c r="V160" s="200"/>
      <c r="W160" s="200"/>
      <c r="X160" s="130"/>
      <c r="Y160" s="200"/>
      <c r="Z160" s="201"/>
    </row>
    <row r="161" spans="1:26" ht="18" customHeight="1" hidden="1" thickBot="1">
      <c r="A161" s="140"/>
      <c r="B161" s="140"/>
      <c r="D161" s="224" t="s">
        <v>256</v>
      </c>
      <c r="E161" s="137" t="e">
        <f>_xlfn.XLOOKUP(E125,CurrentPlans!B:B,CurrentPlans!AS:AS,"NA",0,1)</f>
        <v>#N/A</v>
      </c>
      <c r="F161" s="225"/>
      <c r="G161" s="225"/>
      <c r="H161" s="225"/>
      <c r="I161" s="137"/>
      <c r="J161" s="226"/>
      <c r="K161"/>
      <c r="L161" s="138" t="str">
        <f ca="1">_xlfn.XLOOKUP(L125,RenewalPlans!B:B,RenewalPlans!AV:AV,"NA",0,1)</f>
        <v>NA</v>
      </c>
      <c r="M161" s="225"/>
      <c r="N161" s="225"/>
      <c r="O161" s="225"/>
      <c r="P161" s="137"/>
      <c r="Q161" s="225"/>
      <c r="R161" s="226"/>
      <c r="T161" s="138" t="str">
        <f>_xlfn.XLOOKUP(T125,RenewalPlans!B:B,RenewalPlans!AV:AV,"NA",0,1)</f>
        <v>NA</v>
      </c>
      <c r="U161" s="225"/>
      <c r="V161" s="225"/>
      <c r="W161" s="225"/>
      <c r="X161" s="137"/>
      <c r="Y161" s="225"/>
      <c r="Z161" s="226"/>
    </row>
    <row r="162" spans="1:26" ht="18" customHeight="1">
      <c r="A162" s="140"/>
      <c r="B162" s="140"/>
      <c r="D162" s="227"/>
      <c r="E162" s="176"/>
      <c r="F162" s="178"/>
      <c r="G162" s="179"/>
      <c r="H162" s="178"/>
      <c r="I162" s="176"/>
      <c r="J162" s="228"/>
      <c r="K162"/>
      <c r="L162" s="178"/>
      <c r="M162" s="176"/>
      <c r="N162" s="139"/>
      <c r="O162" s="178"/>
      <c r="P162" s="178"/>
      <c r="Q162" s="178"/>
      <c r="R162" s="228"/>
      <c r="T162" s="178"/>
      <c r="U162" s="176"/>
      <c r="V162" s="139"/>
      <c r="W162" s="178"/>
      <c r="X162" s="178"/>
      <c r="Y162" s="178"/>
      <c r="Z162" s="228"/>
    </row>
    <row r="163" spans="1:26" ht="5.25" customHeight="1" thickBot="1">
      <c r="A163" s="140"/>
      <c r="B163" s="140"/>
      <c r="D163" s="229"/>
      <c r="E163" s="229"/>
      <c r="F163" s="230"/>
      <c r="G163" s="231"/>
      <c r="H163" s="232"/>
      <c r="I163" s="233"/>
      <c r="J163" s="233"/>
      <c r="K163"/>
      <c r="L163" s="233"/>
      <c r="M163" s="233"/>
      <c r="N163" s="233"/>
      <c r="O163" s="233"/>
      <c r="P163" s="233"/>
      <c r="Q163" s="233"/>
      <c r="R163" s="233"/>
      <c r="T163" s="233"/>
      <c r="U163" s="233"/>
      <c r="V163" s="233"/>
      <c r="W163" s="233"/>
      <c r="X163" s="233"/>
      <c r="Y163" s="233"/>
      <c r="Z163" s="233"/>
    </row>
    <row r="164" spans="1:26" ht="50.15" customHeight="1">
      <c r="A164" s="140">
        <v>4</v>
      </c>
      <c r="B164" s="140">
        <f>IF(A164&gt;Class2_CurrentHealthCount,"DELETE",Class2_CurrentHealthStart+A164)</f>
        <v>36</v>
      </c>
      <c r="C164" s="164" t="s">
        <v>277</v>
      </c>
      <c r="D164" s="273" t="e">
        <f ca="1">IF(B164="Delete","",VLOOKUP(F164,BEGIN_CURRENT_HEALTH:END_CURRENT_HEALTH,3,FALSE))</f>
        <v>#N/A</v>
      </c>
      <c r="E164" s="165"/>
      <c r="F164" s="272" cm="1">
        <f t="array" ca="1" aca="1" ref="F164">IF(B164="Delete","",INDIRECT("CurrentPlans!A"&amp;B164,TRUE))</f>
        <v>0</v>
      </c>
      <c r="G164" s="166"/>
      <c r="H164" s="167"/>
      <c r="I164" s="168"/>
      <c r="J164" s="169"/>
      <c r="K164"/>
      <c r="L164" s="274" t="str">
        <f ca="1">_xlfn.IFNA(VLOOKUP(F164,BEGIN_RENEWEDFROM_HEALTH:ROW_RenewHealth_PlanID,3,FALSE),"SELECT PLAN")</f>
        <v>SELECT PLAN</v>
      </c>
      <c r="M164" s="170"/>
      <c r="N164" s="274" t="s">
        <v>237</v>
      </c>
      <c r="O164" s="171"/>
      <c r="P164" s="171"/>
      <c r="Q164" s="171"/>
      <c r="R164" s="169"/>
      <c r="T164" s="274" t="s">
        <v>38</v>
      </c>
      <c r="U164" s="170"/>
      <c r="V164" s="274" t="s">
        <v>237</v>
      </c>
      <c r="W164" s="171"/>
      <c r="X164" s="171"/>
      <c r="Y164" s="171"/>
      <c r="Z164" s="169"/>
    </row>
    <row r="165" spans="1:26" ht="18.75" customHeight="1">
      <c r="A165" s="140"/>
      <c r="B165" s="140"/>
      <c r="D165" s="172" t="s">
        <v>238</v>
      </c>
      <c r="E165" s="407" t="str">
        <f ca="1">_xlfn.IFNA(VLOOKUP(F164,BEGIN_CURRENT_HEALTH:END_CURRENT_HEALTH,CURRENT_COL_EO_count,FALSE),"")</f>
        <v/>
      </c>
      <c r="F165" s="408" t="str">
        <f ca="1">_xlfn.IFNA(VLOOKUP(F164,BEGIN_CURRENT_HEALTH:END_CURRENT_HEALTH,CURRENT_COL_EO,FALSE),"")</f>
        <v/>
      </c>
      <c r="G165" s="468" t="str">
        <f ca="1" t="shared" si="15" ref="G165:G168">IF(F165="","",H165/F165)</f>
        <v/>
      </c>
      <c r="H165" s="408" t="str">
        <f ca="1">_xlfn.IFNA(VLOOKUP(F164,BEGIN_CURRENT_HEALTH:END_CURRENT_HEALTH,CURRENT_COL_EOContrib,FALSE),"")</f>
        <v/>
      </c>
      <c r="I165" s="409" t="str">
        <f ca="1">IFERROR(F165-H165,"")</f>
        <v/>
      </c>
      <c r="J165" s="410" t="str">
        <f ca="1">IF(F165="","",H165*E165)</f>
        <v/>
      </c>
      <c r="K165" s="411"/>
      <c r="L165" s="408" t="str" cm="1">
        <f t="array" ca="1" aca="1" ref="L165">_xlfn.IFNA(VLOOKUP(INDIRECT("L"&amp;ROW()-1)&amp;"_"&amp;$D$12,BEGIN_RENEW_HEALTH:END_RENEW_HEALTH,RENEW_COL_EO,FALSE),"")</f>
        <v/>
      </c>
      <c r="M165" s="412" t="str">
        <f ca="1">IF(E165="","",E165)</f>
        <v/>
      </c>
      <c r="N165" s="413"/>
      <c r="O165" s="414"/>
      <c r="P165" s="415" t="str">
        <f>IFERROR(IF($N164="Keep Contribution Same",H165,IF($N164="Enter Percentages",IF(N165="","",N165*L165),IF($N164="Keep Percentage Same",IF(G165="","",G165*L165),IF($N164="Enter Dollar Amount",IF(O165="","",O165),"")))),"")</f>
        <v/>
      </c>
      <c r="Q165" s="408" t="str">
        <f ca="1">IFERROR(L165-P165,"")</f>
        <v/>
      </c>
      <c r="R165" s="410" t="str">
        <f>IFERROR(IF(P165="","",M165*P165),"")</f>
        <v/>
      </c>
      <c r="S165" s="411"/>
      <c r="T165" s="408" t="str" cm="1">
        <f t="array" ca="1" aca="1" ref="T165">_xlfn.IFNA(VLOOKUP(INDIRECT("T"&amp;ROW()-1)&amp;"_"&amp;$D$12,BEGIN_RENEW_HEALTH:END_RENEW_HEALTH,RENEW_COL_EO,FALSE),"")</f>
        <v/>
      </c>
      <c r="U165" s="412" t="str">
        <f ca="1">IF(E165="","",E165)</f>
        <v/>
      </c>
      <c r="V165" s="413"/>
      <c r="W165" s="414"/>
      <c r="X165" s="415" t="str">
        <f>IFERROR(IF($V164="Keep Contribution Same",H165,IF($V164="Enter Percentages",IF(V165="","",V165*T165),IF($V164="Keep Percentage Same",IF(G165="","",G165*T165),IF($V164="Enter Dollar Amount",IF(W165="","",W165),"")))),"")</f>
        <v/>
      </c>
      <c r="Y165" s="408" t="str">
        <f ca="1">IFERROR(T165-X165,"")</f>
        <v/>
      </c>
      <c r="Z165" s="410" t="str">
        <f>IFERROR(IF(X165="","",U165*X165),"")</f>
        <v/>
      </c>
    </row>
    <row r="166" spans="1:26" ht="18.75" customHeight="1">
      <c r="A166" s="140"/>
      <c r="B166" s="140"/>
      <c r="D166" s="172" t="s">
        <v>239</v>
      </c>
      <c r="E166" s="407" t="str">
        <f ca="1">_xlfn.IFNA(VLOOKUP(F164,BEGIN_CURRENT_HEALTH:END_CURRENT_HEALTH,CURRENT_COL_ES_count,FALSE),"")</f>
        <v/>
      </c>
      <c r="F166" s="408" t="str">
        <f ca="1">_xlfn.IFNA(VLOOKUP(F164,BEGIN_CURRENT_HEALTH:END_CURRENT_HEALTH,CURRENT_COL_ES,FALSE),"")</f>
        <v/>
      </c>
      <c r="G166" s="468" t="str">
        <f t="shared" ca="1" si="15"/>
        <v/>
      </c>
      <c r="H166" s="408" t="str">
        <f ca="1">_xlfn.IFNA(VLOOKUP(F164,BEGIN_CURRENT_HEALTH:END_CURRENT_HEALTH,CURRENT_COL_ESContrib,FALSE),"")</f>
        <v/>
      </c>
      <c r="I166" s="409" t="str">
        <f ca="1" t="shared" si="16" ref="I166:I168">IFERROR(F166-H166,"")</f>
        <v/>
      </c>
      <c r="J166" s="410" t="str">
        <f ca="1">IF(F166="","",H166*E166)</f>
        <v/>
      </c>
      <c r="K166" s="411"/>
      <c r="L166" s="408" t="str" cm="1">
        <f t="array" ca="1" aca="1" ref="L166">_xlfn.IFNA(VLOOKUP(INDIRECT("L"&amp;ROW()-2)&amp;"_"&amp;$D$12,BEGIN_RENEW_HEALTH:END_RENEW_HEALTH,RENEW_COL_ES,FALSE),"")</f>
        <v/>
      </c>
      <c r="M166" s="412" t="str">
        <f ca="1">IF(E166="","",E166)</f>
        <v/>
      </c>
      <c r="N166" s="413"/>
      <c r="O166" s="414"/>
      <c r="P166" s="415" t="str">
        <f>IFERROR(IF($N164="Keep Contribution Same",H166,IF($N164="Enter Percentages",IF(N166="","",N166*L166),IF($N164="Keep Percentage Same",IF(G166="","",G166*L166),IF($N164="Enter Dollar Amount",IF(O166="","",O166),"")))),"")</f>
        <v/>
      </c>
      <c r="Q166" s="408" t="str">
        <f ca="1">IFERROR(L166-P166,"")</f>
        <v/>
      </c>
      <c r="R166" s="410" t="str">
        <f>IFERROR(IF(P166="","",M166*P166),"")</f>
        <v/>
      </c>
      <c r="S166" s="411"/>
      <c r="T166" s="408" t="str" cm="1">
        <f t="array" ca="1" aca="1" ref="T166">_xlfn.IFNA(VLOOKUP(INDIRECT("T"&amp;ROW()-2)&amp;"_"&amp;$D$12,BEGIN_RENEW_HEALTH:END_RENEW_HEALTH,RENEW_COL_ES,FALSE),"")</f>
        <v/>
      </c>
      <c r="U166" s="412" t="str">
        <f ca="1" t="shared" si="17" ref="U166:U168">IF(E166="","",E166)</f>
        <v/>
      </c>
      <c r="V166" s="413"/>
      <c r="W166" s="414"/>
      <c r="X166" s="415" t="str">
        <f>IFERROR(IF($V164="Keep Contribution Same",H166,IF($V164="Enter Percentages",IF(V166="","",V166*T166),IF($V164="Keep Percentage Same",IF(G166="","",G166*T166),IF($V164="Enter Dollar Amount",IF(W166="","",W166),"")))),"")</f>
        <v/>
      </c>
      <c r="Y166" s="408" t="str">
        <f ca="1" t="shared" si="18" ref="Y166:Y168">IFERROR(T166-X166,"")</f>
        <v/>
      </c>
      <c r="Z166" s="410" t="str">
        <f t="shared" si="19" ref="Z166:Z168">IFERROR(IF(X166="","",U166*X166),"")</f>
        <v/>
      </c>
    </row>
    <row r="167" spans="1:26" ht="18.75" customHeight="1">
      <c r="A167" s="140"/>
      <c r="B167" s="140"/>
      <c r="D167" s="172" t="s">
        <v>240</v>
      </c>
      <c r="E167" s="407" t="str">
        <f ca="1">_xlfn.IFNA(VLOOKUP(F164,BEGIN_CURRENT_HEALTH:END_CURRENT_HEALTH,CURRENT_COL_EC_count,FALSE),"")</f>
        <v/>
      </c>
      <c r="F167" s="408" t="str">
        <f ca="1">_xlfn.IFNA(VLOOKUP(F164,BEGIN_CURRENT_HEALTH:END_CURRENT_HEALTH,CURRENT_COL_EC,FALSE),"")</f>
        <v/>
      </c>
      <c r="G167" s="468" t="str">
        <f t="shared" ca="1" si="15"/>
        <v/>
      </c>
      <c r="H167" s="408" t="str">
        <f ca="1">_xlfn.IFNA(VLOOKUP(F164,BEGIN_CURRENT_HEALTH:END_CURRENT_HEALTH,CURRENT_COL_ECContrib,FALSE),"")</f>
        <v/>
      </c>
      <c r="I167" s="409" t="str">
        <f t="shared" ca="1" si="16"/>
        <v/>
      </c>
      <c r="J167" s="410" t="str">
        <f ca="1">IF(F167="","",H167*E167)</f>
        <v/>
      </c>
      <c r="K167" s="411"/>
      <c r="L167" s="408" t="str" cm="1">
        <f t="array" ca="1" aca="1" ref="L167">_xlfn.IFNA(VLOOKUP(INDIRECT("L"&amp;ROW()-3)&amp;"_"&amp;$D$12,BEGIN_RENEW_HEALTH:END_RENEW_HEALTH,RENEW_COL_EC,FALSE),"")</f>
        <v/>
      </c>
      <c r="M167" s="412" t="str">
        <f ca="1">IF(E167="","",E167)</f>
        <v/>
      </c>
      <c r="N167" s="413"/>
      <c r="O167" s="414"/>
      <c r="P167" s="415" t="str">
        <f>IFERROR(IF($N164="Keep Contribution Same",H167,IF($N164="Enter Percentages",IF(N167="","",N167*L167),IF($N164="Keep Percentage Same",IF(G167="","",G167*L167),IF($N164="Enter Dollar Amount",IF(O167="","",O167),"")))),"")</f>
        <v/>
      </c>
      <c r="Q167" s="408" t="str">
        <f ca="1">IFERROR(L167-P167,"")</f>
        <v/>
      </c>
      <c r="R167" s="410" t="str">
        <f>IFERROR(IF(P167="","",M167*P167),"")</f>
        <v/>
      </c>
      <c r="S167" s="411"/>
      <c r="T167" s="408" t="str" cm="1">
        <f t="array" ca="1" aca="1" ref="T167">_xlfn.IFNA(VLOOKUP(INDIRECT("T"&amp;ROW()-3)&amp;"_"&amp;$D$12,BEGIN_RENEW_HEALTH:END_RENEW_HEALTH,RENEW_COL_EC,FALSE),"")</f>
        <v/>
      </c>
      <c r="U167" s="412" t="str">
        <f t="shared" ca="1" si="17"/>
        <v/>
      </c>
      <c r="V167" s="413"/>
      <c r="W167" s="414"/>
      <c r="X167" s="415" t="str">
        <f>IFERROR(IF($V164="Keep Contribution Same",H167,IF($V164="Enter Percentages",IF(V167="","",V167*T167),IF($V164="Keep Percentage Same",IF(G167="","",G167*T167),IF($V164="Enter Dollar Amount",IF(W167="","",W167),"")))),"")</f>
        <v/>
      </c>
      <c r="Y167" s="408" t="str">
        <f t="shared" ca="1" si="18"/>
        <v/>
      </c>
      <c r="Z167" s="410" t="str">
        <f t="shared" si="19"/>
        <v/>
      </c>
    </row>
    <row r="168" spans="1:26" ht="18.75" customHeight="1" thickBot="1">
      <c r="A168" s="140"/>
      <c r="B168" s="140"/>
      <c r="D168" s="174" t="s">
        <v>241</v>
      </c>
      <c r="E168" s="416" t="str">
        <f ca="1">_xlfn.IFNA(VLOOKUP(F164,BEGIN_CURRENT_HEALTH:END_CURRENT_HEALTH,CURRENT_COL_FAM_count,FALSE),"")</f>
        <v/>
      </c>
      <c r="F168" s="417" t="str">
        <f ca="1">_xlfn.IFNA(VLOOKUP(F164,BEGIN_CURRENT_HEALTH:END_CURRENT_HEALTH,CURRENT_COL_FAM,FALSE),"")</f>
        <v/>
      </c>
      <c r="G168" s="469" t="str">
        <f t="shared" ca="1" si="15"/>
        <v/>
      </c>
      <c r="H168" s="417" t="str">
        <f ca="1">_xlfn.IFNA(VLOOKUP(F164,BEGIN_CURRENT_HEALTH:END_CURRENT_HEALTH,CURRENT_COL_FAMContrib,FALSE),"")</f>
        <v/>
      </c>
      <c r="I168" s="418" t="str">
        <f t="shared" ca="1" si="16"/>
        <v/>
      </c>
      <c r="J168" s="419" t="str">
        <f ca="1">IF(F168="","",H168*E168)</f>
        <v/>
      </c>
      <c r="K168" s="411"/>
      <c r="L168" s="417" t="str" cm="1">
        <f t="array" ca="1" aca="1" ref="L168">_xlfn.IFNA(VLOOKUP(INDIRECT("L"&amp;ROW()-4)&amp;"_"&amp;$D$12,BEGIN_RENEW_HEALTH:END_RENEW_HEALTH,RENEW_COL_FAM,FALSE),"")</f>
        <v/>
      </c>
      <c r="M168" s="412" t="str">
        <f ca="1">IF(E168="","",E168)</f>
        <v/>
      </c>
      <c r="N168" s="420"/>
      <c r="O168" s="421"/>
      <c r="P168" s="422" t="str">
        <f>IFERROR(IF($N164="Keep Contribution Same",H168,IF($N164="Enter Percentages",IF(N168="","",N168*L168),IF($N164="Keep Percentage Same",IF(G168="","",G168*L168),IF($N164="Enter Dollar Amount",IF(O168="","",O168),"")))),"")</f>
        <v/>
      </c>
      <c r="Q168" s="422" t="str">
        <f ca="1">IFERROR(L168-P168,"")</f>
        <v/>
      </c>
      <c r="R168" s="410" t="str">
        <f>IFERROR(IF(P168="","",M168*P168),"")</f>
        <v/>
      </c>
      <c r="S168" s="411"/>
      <c r="T168" s="417" t="str" cm="1">
        <f t="array" ca="1" aca="1" ref="T168">_xlfn.IFNA(VLOOKUP(INDIRECT("T"&amp;ROW()-4)&amp;"_"&amp;$D$12,BEGIN_RENEW_HEALTH:END_RENEW_HEALTH,RENEW_COL_FAM,FALSE),"")</f>
        <v/>
      </c>
      <c r="U168" s="423" t="str">
        <f t="shared" ca="1" si="17"/>
        <v/>
      </c>
      <c r="V168" s="420"/>
      <c r="W168" s="421"/>
      <c r="X168" s="422" t="str">
        <f>IFERROR(IF($V164="Keep Contribution Same",H168,IF($V164="Enter Percentages",IF(V168="","",V168*T168),IF($V164="Keep Percentage Same",IF(G168="","",G168*T168),IF($V164="Enter Dollar Amount",IF(W168="","",W168),"")))),"")</f>
        <v/>
      </c>
      <c r="Y168" s="417" t="str">
        <f t="shared" ca="1" si="18"/>
        <v/>
      </c>
      <c r="Z168" s="419" t="str">
        <f t="shared" si="19"/>
        <v/>
      </c>
    </row>
    <row r="169" spans="1:26" ht="18.75" customHeight="1" thickTop="1">
      <c r="A169" s="140"/>
      <c r="B169" s="140"/>
      <c r="D169" s="175" t="s">
        <v>242</v>
      </c>
      <c r="E169" s="424"/>
      <c r="F169" s="447" t="str">
        <f ca="1">IFERROR((F165*E165)+(F166*E166)+(F167*E167)+(F168*E168),"")</f>
        <v/>
      </c>
      <c r="G169" s="426"/>
      <c r="H169" s="427"/>
      <c r="I169" s="428"/>
      <c r="J169" s="429" t="str">
        <f ca="1">IFERROR(IF(J165="","",SUM(J165:J168)),0)</f>
        <v/>
      </c>
      <c r="K169" s="1"/>
      <c r="L169" s="430" t="str">
        <f ca="1">IFERROR((M165*L165)+(M166*L166)+(M167*L167)+(M168*L168),"")</f>
        <v/>
      </c>
      <c r="M169" s="427"/>
      <c r="N169" s="426"/>
      <c r="O169" s="427"/>
      <c r="P169" s="431"/>
      <c r="Q169" s="432"/>
      <c r="R169" s="429" t="str">
        <f>IFERROR(IF(R165="","",SUM(R165:R168)),0)</f>
        <v/>
      </c>
      <c r="T169" s="430" t="str">
        <f ca="1">IFERROR((U165*T165)+(U166*T166)+(U167*T167)+(U168*T168),"")</f>
        <v/>
      </c>
      <c r="U169" s="427"/>
      <c r="V169" s="426"/>
      <c r="W169" s="427"/>
      <c r="X169" s="431"/>
      <c r="Y169" s="432"/>
      <c r="Z169" s="429" t="str">
        <f>IFERROR(IF(Z165="","",SUM(Z165:Z168)),0)</f>
        <v/>
      </c>
    </row>
    <row r="170" spans="1:26" ht="18.75" customHeight="1">
      <c r="A170" s="140"/>
      <c r="B170" s="140"/>
      <c r="D170" s="177" t="s">
        <v>243</v>
      </c>
      <c r="E170" s="433"/>
      <c r="F170" s="448" t="str">
        <f ca="1">IFERROR(F169*12,"")</f>
        <v/>
      </c>
      <c r="G170" s="435"/>
      <c r="H170" s="436"/>
      <c r="I170" s="432"/>
      <c r="J170" s="437" t="str">
        <f ca="1">IF(J169="","",J169*12)</f>
        <v/>
      </c>
      <c r="K170" s="1"/>
      <c r="L170" s="438" t="str">
        <f ca="1">IFERROR(L169*12,"")</f>
        <v/>
      </c>
      <c r="M170" s="436"/>
      <c r="N170" s="435"/>
      <c r="O170" s="436"/>
      <c r="P170" s="432"/>
      <c r="Q170" s="432"/>
      <c r="R170" s="437" t="str">
        <f>IF(R169="","",R169*12)</f>
        <v/>
      </c>
      <c r="T170" s="438" t="str">
        <f ca="1">IFERROR(T169*12,"")</f>
        <v/>
      </c>
      <c r="U170" s="436"/>
      <c r="V170" s="435"/>
      <c r="W170" s="436"/>
      <c r="X170" s="432"/>
      <c r="Y170" s="432"/>
      <c r="Z170" s="437" t="str">
        <f>IF(Z169="","",Z169*12)</f>
        <v/>
      </c>
    </row>
    <row r="171" spans="1:26" ht="18" customHeight="1">
      <c r="A171" s="140"/>
      <c r="B171" s="140"/>
      <c r="D171" s="177" t="s">
        <v>244</v>
      </c>
      <c r="E171" s="433"/>
      <c r="F171" s="436"/>
      <c r="G171" s="435"/>
      <c r="H171" s="436"/>
      <c r="I171" s="432"/>
      <c r="J171" s="437"/>
      <c r="K171" s="1"/>
      <c r="L171" s="434" t="str">
        <f ca="1">IFERROR(L170-F170,"")</f>
        <v/>
      </c>
      <c r="M171" s="436"/>
      <c r="N171" s="435"/>
      <c r="O171" s="436"/>
      <c r="P171" s="432"/>
      <c r="Q171" s="432"/>
      <c r="R171" s="437" t="str">
        <f ca="1">IFERROR(IF(J170="","",R170-J170),0)</f>
        <v/>
      </c>
      <c r="T171" s="434" t="str">
        <f ca="1">IFERROR(T170-F170,"")</f>
        <v/>
      </c>
      <c r="U171" s="436"/>
      <c r="V171" s="435"/>
      <c r="W171" s="436"/>
      <c r="X171" s="432"/>
      <c r="Y171" s="432"/>
      <c r="Z171" s="437" t="str">
        <f>IFERROR(IF(R170="","",Z170-R170),0)</f>
        <v/>
      </c>
    </row>
    <row r="172" spans="1:26" ht="18" customHeight="1" thickBot="1">
      <c r="A172" s="140"/>
      <c r="B172" s="140"/>
      <c r="D172" s="180" t="s">
        <v>245</v>
      </c>
      <c r="E172" s="439"/>
      <c r="F172" s="440"/>
      <c r="G172" s="441"/>
      <c r="H172" s="440"/>
      <c r="I172" s="442"/>
      <c r="J172" s="443"/>
      <c r="K172" s="1"/>
      <c r="L172" s="444" t="str">
        <f ca="1">IFERROR(L170/F170-1,"")</f>
        <v/>
      </c>
      <c r="M172" s="440"/>
      <c r="N172" s="441"/>
      <c r="O172" s="440"/>
      <c r="P172" s="445"/>
      <c r="Q172" s="445"/>
      <c r="R172" s="446" t="str">
        <f ca="1">IFERROR(IF(J170="","",(R170/J170)-1),0)</f>
        <v/>
      </c>
      <c r="T172" s="444" t="str">
        <f ca="1">IFERROR(T170/F170-1,"")</f>
        <v/>
      </c>
      <c r="U172" s="440"/>
      <c r="V172" s="441"/>
      <c r="W172" s="440"/>
      <c r="X172" s="445"/>
      <c r="Y172" s="445"/>
      <c r="Z172" s="446" t="str">
        <f>IFERROR(IF(R170="","",(Z170/R170)-1),0)</f>
        <v/>
      </c>
    </row>
    <row r="173" spans="4:26" ht="18" customHeight="1">
      <c r="D173" s="181" t="s">
        <v>246</v>
      </c>
      <c r="E173" s="182"/>
      <c r="F173" s="182"/>
      <c r="G173" s="182"/>
      <c r="H173" s="182"/>
      <c r="I173" s="182"/>
      <c r="J173" s="183"/>
      <c r="K173"/>
      <c r="L173" s="184"/>
      <c r="M173" s="182"/>
      <c r="N173" s="182"/>
      <c r="O173" s="182"/>
      <c r="P173" s="182"/>
      <c r="Q173" s="182"/>
      <c r="R173" s="183"/>
      <c r="T173" s="184"/>
      <c r="U173" s="182"/>
      <c r="V173" s="182"/>
      <c r="W173" s="182"/>
      <c r="X173" s="182"/>
      <c r="Y173" s="182"/>
      <c r="Z173" s="183"/>
    </row>
    <row r="174" spans="4:26" ht="18" customHeight="1" hidden="1">
      <c r="D174" s="185" t="s">
        <v>247</v>
      </c>
      <c r="E174" s="186"/>
      <c r="F174" s="186"/>
      <c r="G174" s="186"/>
      <c r="H174" s="186"/>
      <c r="I174" s="186"/>
      <c r="J174" s="187"/>
      <c r="K174"/>
      <c r="L174" s="188"/>
      <c r="M174" s="186"/>
      <c r="N174" s="186"/>
      <c r="O174" s="186"/>
      <c r="P174" s="186"/>
      <c r="Q174" s="186"/>
      <c r="R174" s="187"/>
      <c r="T174" s="188"/>
      <c r="U174" s="186"/>
      <c r="V174" s="186"/>
      <c r="W174" s="186"/>
      <c r="X174" s="186"/>
      <c r="Y174" s="186"/>
      <c r="Z174" s="187"/>
    </row>
    <row r="175" spans="4:26" ht="18" customHeight="1" hidden="1">
      <c r="D175" s="189" t="s">
        <v>248</v>
      </c>
      <c r="E175" s="190" t="e">
        <f ca="1">D164&amp;"_"&amp;D12</f>
        <v>#N/A</v>
      </c>
      <c r="F175" s="191"/>
      <c r="G175" s="191"/>
      <c r="H175" s="191"/>
      <c r="I175" s="190"/>
      <c r="J175" s="192"/>
      <c r="K175"/>
      <c r="L175" s="193" t="str">
        <f ca="1">L164&amp;"_"&amp;D12</f>
        <v>SELECT PLAN_OWNERS</v>
      </c>
      <c r="M175" s="191"/>
      <c r="N175" s="191"/>
      <c r="O175" s="191"/>
      <c r="P175" s="190"/>
      <c r="Q175" s="191"/>
      <c r="R175" s="192"/>
      <c r="T175" s="193" t="str">
        <f>T164&amp;"_"&amp;D12</f>
        <v>SELECT PLAN_OWNERS</v>
      </c>
      <c r="U175" s="191"/>
      <c r="V175" s="191"/>
      <c r="W175" s="191"/>
      <c r="X175" s="190"/>
      <c r="Y175" s="191"/>
      <c r="Z175" s="192"/>
    </row>
    <row r="176" spans="4:26" ht="18" customHeight="1" hidden="1">
      <c r="D176" s="189" t="s">
        <v>249</v>
      </c>
      <c r="E176" s="191"/>
      <c r="F176" s="191"/>
      <c r="G176" s="191"/>
      <c r="H176" s="191"/>
      <c r="I176" s="191"/>
      <c r="J176" s="192"/>
      <c r="K176"/>
      <c r="L176" s="189"/>
      <c r="M176" s="191"/>
      <c r="N176" s="191"/>
      <c r="O176" s="191"/>
      <c r="P176" s="191"/>
      <c r="Q176" s="191"/>
      <c r="R176" s="192"/>
      <c r="T176" s="189"/>
      <c r="U176" s="191"/>
      <c r="V176" s="191"/>
      <c r="W176" s="191"/>
      <c r="X176" s="191"/>
      <c r="Y176" s="191"/>
      <c r="Z176" s="192"/>
    </row>
    <row r="177" spans="4:26" ht="18" customHeight="1" hidden="1">
      <c r="D177" s="194" t="s">
        <v>250</v>
      </c>
      <c r="E177" s="195"/>
      <c r="F177" s="195"/>
      <c r="G177" s="195"/>
      <c r="H177" s="195"/>
      <c r="I177" s="195"/>
      <c r="J177" s="196"/>
      <c r="K177"/>
      <c r="L177" s="197"/>
      <c r="M177" s="195"/>
      <c r="N177" s="195"/>
      <c r="O177" s="195"/>
      <c r="P177" s="195"/>
      <c r="Q177" s="195"/>
      <c r="R177" s="196"/>
      <c r="T177" s="197"/>
      <c r="U177" s="195"/>
      <c r="V177" s="195"/>
      <c r="W177" s="195"/>
      <c r="X177" s="195"/>
      <c r="Y177" s="195"/>
      <c r="Z177" s="196"/>
    </row>
    <row r="178" spans="4:26" ht="18" customHeight="1" hidden="1">
      <c r="D178" s="198" t="s">
        <v>251</v>
      </c>
      <c r="E178" s="199" t="e">
        <f>_xlfn.XLOOKUP(E175,CurrentPlans!B:B,CurrentPlans!X:X,"NA",0,1)</f>
        <v>#N/A</v>
      </c>
      <c r="F178" s="200"/>
      <c r="G178" s="200"/>
      <c r="H178" s="200"/>
      <c r="I178" s="199"/>
      <c r="J178" s="201"/>
      <c r="K178"/>
      <c r="L178" s="202" t="str">
        <f ca="1">_xlfn.XLOOKUP(L175,RenewalPlans!B:B,RenewalPlans!AA:AA,"NA",0,1)</f>
        <v>NA</v>
      </c>
      <c r="M178" s="200"/>
      <c r="N178" s="200"/>
      <c r="O178" s="200"/>
      <c r="P178" s="199"/>
      <c r="Q178" s="200"/>
      <c r="R178" s="201"/>
      <c r="T178" s="202" t="str">
        <f>_xlfn.XLOOKUP(T175,RenewalPlans!B:B,RenewalPlans!AA:AA,"NA",0,1)</f>
        <v>NA</v>
      </c>
      <c r="U178" s="200"/>
      <c r="V178" s="200"/>
      <c r="W178" s="200"/>
      <c r="X178" s="199"/>
      <c r="Y178" s="200"/>
      <c r="Z178" s="201"/>
    </row>
    <row r="179" spans="4:26" ht="18" customHeight="1" hidden="1">
      <c r="D179" s="198" t="s">
        <v>252</v>
      </c>
      <c r="E179" s="199" t="e">
        <f>_xlfn.XLOOKUP(E175,CurrentPlans!B:B,CurrentPlans!Y:Y,"NA",0,1)</f>
        <v>#N/A</v>
      </c>
      <c r="F179" s="200"/>
      <c r="G179" s="200"/>
      <c r="H179" s="200"/>
      <c r="I179" s="199"/>
      <c r="J179" s="201"/>
      <c r="K179"/>
      <c r="L179" s="202" t="str">
        <f ca="1">_xlfn.XLOOKUP(L175,RenewalPlans!B:B,RenewalPlans!AB:AB,"NA",0,1)</f>
        <v>NA</v>
      </c>
      <c r="M179" s="200"/>
      <c r="N179" s="200"/>
      <c r="O179" s="200"/>
      <c r="P179" s="199"/>
      <c r="Q179" s="200"/>
      <c r="R179" s="201"/>
      <c r="T179" s="202" t="str">
        <f>_xlfn.XLOOKUP(T175,RenewalPlans!B:B,RenewalPlans!AB:AB,"NA",0,1)</f>
        <v>NA</v>
      </c>
      <c r="U179" s="200"/>
      <c r="V179" s="200"/>
      <c r="W179" s="200"/>
      <c r="X179" s="199"/>
      <c r="Y179" s="200"/>
      <c r="Z179" s="201"/>
    </row>
    <row r="180" spans="4:26" ht="18" customHeight="1" hidden="1">
      <c r="D180" s="120" t="s">
        <v>253</v>
      </c>
      <c r="E180" s="121" t="e">
        <f>_xlfn.XLOOKUP(E175,CurrentPlans!B:B,CurrentPlans!W:W,"NA",0,1)</f>
        <v>#N/A</v>
      </c>
      <c r="F180" s="122"/>
      <c r="G180" s="122"/>
      <c r="H180" s="122"/>
      <c r="I180" s="121"/>
      <c r="J180" s="123"/>
      <c r="K180"/>
      <c r="L180" s="124" t="str">
        <f ca="1">_xlfn.XLOOKUP(L175,RenewalPlans!B:B,RenewalPlans!Z:Z,"NA",0,1)</f>
        <v>NA</v>
      </c>
      <c r="M180" s="122"/>
      <c r="N180" s="122"/>
      <c r="O180" s="122"/>
      <c r="P180" s="121"/>
      <c r="Q180" s="122"/>
      <c r="R180" s="123"/>
      <c r="T180" s="124" t="str">
        <f>_xlfn.XLOOKUP(T175,RenewalPlans!B:B,RenewalPlans!Z:Z,"NA",0,1)</f>
        <v>NA</v>
      </c>
      <c r="U180" s="122"/>
      <c r="V180" s="122"/>
      <c r="W180" s="122"/>
      <c r="X180" s="121"/>
      <c r="Y180" s="122"/>
      <c r="Z180" s="123"/>
    </row>
    <row r="181" spans="4:26" ht="18" customHeight="1" hidden="1">
      <c r="D181" s="203" t="s">
        <v>254</v>
      </c>
      <c r="E181" s="204"/>
      <c r="F181" s="205"/>
      <c r="G181" s="205"/>
      <c r="H181" s="205"/>
      <c r="I181" s="204"/>
      <c r="J181" s="206"/>
      <c r="K181"/>
      <c r="L181" s="207"/>
      <c r="M181" s="205"/>
      <c r="N181" s="205"/>
      <c r="O181" s="205"/>
      <c r="P181" s="204"/>
      <c r="Q181" s="205"/>
      <c r="R181" s="206"/>
      <c r="T181" s="207"/>
      <c r="U181" s="205"/>
      <c r="V181" s="205"/>
      <c r="W181" s="205"/>
      <c r="X181" s="204"/>
      <c r="Y181" s="205"/>
      <c r="Z181" s="206"/>
    </row>
    <row r="182" spans="4:26" ht="18" customHeight="1" hidden="1">
      <c r="D182" s="125" t="s">
        <v>255</v>
      </c>
      <c r="E182" s="126" t="e">
        <f>_xlfn.XLOOKUP(E175,CurrentPlans!B:B,CurrentPlans!Z:Z,"NA",0,1)</f>
        <v>#N/A</v>
      </c>
      <c r="F182" s="127"/>
      <c r="G182" s="127"/>
      <c r="H182" s="127"/>
      <c r="I182" s="126"/>
      <c r="J182" s="128"/>
      <c r="K182"/>
      <c r="L182" s="129" t="str">
        <f ca="1">_xlfn.XLOOKUP(L175,RenewalPlans!B:B,RenewalPlans!AC:AC,"NA",0,1)</f>
        <v>NA</v>
      </c>
      <c r="M182" s="127"/>
      <c r="N182" s="127"/>
      <c r="O182" s="127"/>
      <c r="P182" s="126"/>
      <c r="Q182" s="127"/>
      <c r="R182" s="128"/>
      <c r="T182" s="129" t="str">
        <f>_xlfn.XLOOKUP(T175,RenewalPlans!B:B,RenewalPlans!AC:AC,"NA",0,1)</f>
        <v>NA</v>
      </c>
      <c r="U182" s="127"/>
      <c r="V182" s="127"/>
      <c r="W182" s="127"/>
      <c r="X182" s="126"/>
      <c r="Y182" s="127"/>
      <c r="Z182" s="128"/>
    </row>
    <row r="183" spans="4:26" ht="18" customHeight="1" hidden="1">
      <c r="D183" s="198" t="s">
        <v>256</v>
      </c>
      <c r="E183" s="208" t="e">
        <f>_xlfn.XLOOKUP(E175,CurrentPlans!B:B,CurrentPlans!AA:AA,"NA",0,1)</f>
        <v>#N/A</v>
      </c>
      <c r="F183" s="200"/>
      <c r="G183" s="200"/>
      <c r="H183" s="200"/>
      <c r="I183" s="208"/>
      <c r="J183" s="201"/>
      <c r="K183"/>
      <c r="L183" s="209" t="str">
        <f ca="1">_xlfn.XLOOKUP(L175,RenewalPlans!B:B,RenewalPlans!AD:AD,"NA",0,1)</f>
        <v>NA</v>
      </c>
      <c r="M183" s="200"/>
      <c r="N183" s="200"/>
      <c r="O183" s="200"/>
      <c r="P183" s="208"/>
      <c r="Q183" s="200"/>
      <c r="R183" s="201"/>
      <c r="T183" s="209" t="str">
        <f>_xlfn.XLOOKUP(T175,RenewalPlans!B:B,RenewalPlans!AD:AD,"NA",0,1)</f>
        <v>NA</v>
      </c>
      <c r="U183" s="200"/>
      <c r="V183" s="200"/>
      <c r="W183" s="200"/>
      <c r="X183" s="208"/>
      <c r="Y183" s="200"/>
      <c r="Z183" s="201"/>
    </row>
    <row r="184" spans="4:26" ht="18" customHeight="1" hidden="1">
      <c r="D184" s="203" t="s">
        <v>257</v>
      </c>
      <c r="E184" s="204"/>
      <c r="F184" s="205"/>
      <c r="G184" s="205"/>
      <c r="H184" s="205"/>
      <c r="I184" s="204"/>
      <c r="J184" s="206"/>
      <c r="K184"/>
      <c r="L184" s="207"/>
      <c r="M184" s="205"/>
      <c r="N184" s="205"/>
      <c r="O184" s="205"/>
      <c r="P184" s="204"/>
      <c r="Q184" s="205"/>
      <c r="R184" s="206"/>
      <c r="T184" s="207"/>
      <c r="U184" s="205"/>
      <c r="V184" s="205"/>
      <c r="W184" s="205"/>
      <c r="X184" s="204"/>
      <c r="Y184" s="205"/>
      <c r="Z184" s="206"/>
    </row>
    <row r="185" spans="4:26" ht="18" customHeight="1" hidden="1">
      <c r="D185" s="198" t="s">
        <v>258</v>
      </c>
      <c r="E185" s="208" t="e">
        <f>_xlfn.XLOOKUP(E175,CurrentPlans!B:B,CurrentPlans!AB:AB,"NA",0,1)</f>
        <v>#N/A</v>
      </c>
      <c r="F185" s="200"/>
      <c r="G185" s="200"/>
      <c r="H185" s="200"/>
      <c r="I185" s="208"/>
      <c r="J185" s="201"/>
      <c r="K185"/>
      <c r="L185" s="209" t="str">
        <f ca="1">_xlfn.XLOOKUP(L175,RenewalPlans!B:B,RenewalPlans!AE:AE,"NA",0,1)</f>
        <v>NA</v>
      </c>
      <c r="M185" s="200"/>
      <c r="N185" s="200"/>
      <c r="O185" s="200"/>
      <c r="P185" s="208"/>
      <c r="Q185" s="200"/>
      <c r="R185" s="201"/>
      <c r="T185" s="209" t="str">
        <f>_xlfn.XLOOKUP(T175,RenewalPlans!B:B,RenewalPlans!AE:AE,"NA",0,1)</f>
        <v>NA</v>
      </c>
      <c r="U185" s="200"/>
      <c r="V185" s="200"/>
      <c r="W185" s="200"/>
      <c r="X185" s="208"/>
      <c r="Y185" s="200"/>
      <c r="Z185" s="201"/>
    </row>
    <row r="186" spans="4:26" ht="18" customHeight="1" hidden="1">
      <c r="D186" s="198" t="s">
        <v>259</v>
      </c>
      <c r="E186" s="208" t="e">
        <f>_xlfn.XLOOKUP(E175,CurrentPlans!B:B,CurrentPlans!AC:AC,"NA",0,1)</f>
        <v>#N/A</v>
      </c>
      <c r="F186" s="200"/>
      <c r="G186" s="200"/>
      <c r="H186" s="200"/>
      <c r="I186" s="208"/>
      <c r="J186" s="201"/>
      <c r="K186"/>
      <c r="L186" s="209" t="str">
        <f ca="1">_xlfn.XLOOKUP(L175,RenewalPlans!B:B,RenewalPlans!AF:AF,"NA",0,1)</f>
        <v>NA</v>
      </c>
      <c r="M186" s="200"/>
      <c r="N186" s="200"/>
      <c r="O186" s="200"/>
      <c r="P186" s="208"/>
      <c r="Q186" s="200"/>
      <c r="R186" s="201"/>
      <c r="T186" s="209" t="str">
        <f>_xlfn.XLOOKUP(T175,RenewalPlans!B:B,RenewalPlans!AF:AF,"NA",0,1)</f>
        <v>NA</v>
      </c>
      <c r="U186" s="200"/>
      <c r="V186" s="200"/>
      <c r="W186" s="200"/>
      <c r="X186" s="208"/>
      <c r="Y186" s="200"/>
      <c r="Z186" s="201"/>
    </row>
    <row r="187" spans="4:26" ht="18" customHeight="1" hidden="1">
      <c r="D187" s="210"/>
      <c r="E187" s="211"/>
      <c r="F187" s="211"/>
      <c r="G187" s="211"/>
      <c r="H187" s="211"/>
      <c r="I187" s="211"/>
      <c r="J187" s="212"/>
      <c r="K187"/>
      <c r="L187" s="210"/>
      <c r="M187" s="211"/>
      <c r="N187" s="211"/>
      <c r="O187" s="211"/>
      <c r="P187" s="211"/>
      <c r="Q187" s="211"/>
      <c r="R187" s="212"/>
      <c r="T187" s="210"/>
      <c r="U187" s="211"/>
      <c r="V187" s="211"/>
      <c r="W187" s="211"/>
      <c r="X187" s="211"/>
      <c r="Y187" s="211"/>
      <c r="Z187" s="212"/>
    </row>
    <row r="188" spans="4:26" ht="18" customHeight="1" hidden="1">
      <c r="D188" s="185" t="s">
        <v>260</v>
      </c>
      <c r="E188" s="186"/>
      <c r="F188" s="186"/>
      <c r="G188" s="186"/>
      <c r="H188" s="186"/>
      <c r="I188" s="186"/>
      <c r="J188" s="187"/>
      <c r="K188"/>
      <c r="L188" s="188"/>
      <c r="M188" s="186"/>
      <c r="N188" s="186"/>
      <c r="O188" s="186"/>
      <c r="P188" s="186"/>
      <c r="Q188" s="186"/>
      <c r="R188" s="187"/>
      <c r="T188" s="188"/>
      <c r="U188" s="186"/>
      <c r="V188" s="186"/>
      <c r="W188" s="186"/>
      <c r="X188" s="186"/>
      <c r="Y188" s="186"/>
      <c r="Z188" s="187"/>
    </row>
    <row r="189" spans="4:26" ht="18" customHeight="1" hidden="1">
      <c r="D189" s="213" t="s">
        <v>261</v>
      </c>
      <c r="E189" s="130" t="e">
        <f>_xlfn.XLOOKUP(E175,CurrentPlans!B:B,CurrentPlans!AJ:AJ,"NA",0,1)</f>
        <v>#N/A</v>
      </c>
      <c r="F189" s="214"/>
      <c r="G189" s="214"/>
      <c r="H189" s="214"/>
      <c r="I189" s="130"/>
      <c r="J189" s="215"/>
      <c r="K189"/>
      <c r="L189" s="131" t="str">
        <f ca="1">_xlfn.XLOOKUP(L175,RenewalPlans!B:B,RenewalPlans!AM:AM,"NA",0,1)</f>
        <v>NA</v>
      </c>
      <c r="M189" s="214"/>
      <c r="N189" s="214"/>
      <c r="O189" s="214"/>
      <c r="P189" s="130"/>
      <c r="Q189" s="214"/>
      <c r="R189" s="215"/>
      <c r="T189" s="131" t="str">
        <f>_xlfn.XLOOKUP(T175,RenewalPlans!B:B,RenewalPlans!AM:AM,"NA",0,1)</f>
        <v>NA</v>
      </c>
      <c r="U189" s="214"/>
      <c r="V189" s="214"/>
      <c r="W189" s="214"/>
      <c r="X189" s="130"/>
      <c r="Y189" s="214"/>
      <c r="Z189" s="215"/>
    </row>
    <row r="190" spans="4:26" ht="18" customHeight="1" hidden="1">
      <c r="D190" s="198" t="s">
        <v>262</v>
      </c>
      <c r="E190" s="130" t="e">
        <f>_xlfn.XLOOKUP(E175,CurrentPlans!B:B,CurrentPlans!AM:AM,"NA",0,1)</f>
        <v>#N/A</v>
      </c>
      <c r="F190" s="200"/>
      <c r="G190" s="200"/>
      <c r="H190" s="200"/>
      <c r="I190" s="130"/>
      <c r="J190" s="201"/>
      <c r="K190"/>
      <c r="L190" s="131" t="str">
        <f ca="1">_xlfn.XLOOKUP(L175,RenewalPlans!B:B,RenewalPlans!AP:AP,"NA",0,1)</f>
        <v>NA</v>
      </c>
      <c r="M190" s="200"/>
      <c r="N190" s="200"/>
      <c r="O190" s="200"/>
      <c r="P190" s="130"/>
      <c r="Q190" s="200"/>
      <c r="R190" s="201"/>
      <c r="T190" s="131" t="str">
        <f>_xlfn.XLOOKUP(T175,RenewalPlans!B:B,RenewalPlans!AP:AP,"NA",0,1)</f>
        <v>NA</v>
      </c>
      <c r="U190" s="200"/>
      <c r="V190" s="200"/>
      <c r="W190" s="200"/>
      <c r="X190" s="130"/>
      <c r="Y190" s="200"/>
      <c r="Z190" s="201"/>
    </row>
    <row r="191" spans="4:26" ht="18" customHeight="1" hidden="1">
      <c r="D191" s="198" t="s">
        <v>263</v>
      </c>
      <c r="E191" s="130" t="e">
        <f>_xlfn.XLOOKUP(E175,CurrentPlans!B:B,CurrentPlans!AI:AI,"NA",0,1)</f>
        <v>#N/A</v>
      </c>
      <c r="F191" s="200"/>
      <c r="G191" s="200"/>
      <c r="H191" s="200"/>
      <c r="I191" s="130"/>
      <c r="J191" s="201"/>
      <c r="K191"/>
      <c r="L191" s="131" t="str">
        <f ca="1">_xlfn.XLOOKUP(L175,RenewalPlans!B:B,RenewalPlans!AL:AL,"NA",0,1)</f>
        <v>NA</v>
      </c>
      <c r="M191" s="200"/>
      <c r="N191" s="200"/>
      <c r="O191" s="200"/>
      <c r="P191" s="130"/>
      <c r="Q191" s="200"/>
      <c r="R191" s="201"/>
      <c r="T191" s="131" t="str">
        <f>_xlfn.XLOOKUP(T175,RenewalPlans!B:B,RenewalPlans!AL:AL,"NA",0,1)</f>
        <v>NA</v>
      </c>
      <c r="U191" s="200"/>
      <c r="V191" s="200"/>
      <c r="W191" s="200"/>
      <c r="X191" s="130"/>
      <c r="Y191" s="200"/>
      <c r="Z191" s="201"/>
    </row>
    <row r="192" spans="4:26" ht="18" customHeight="1" hidden="1">
      <c r="D192" s="198" t="s">
        <v>264</v>
      </c>
      <c r="E192" s="208" t="e">
        <f>_xlfn.XLOOKUP(E175,CurrentPlans!B:B,CurrentPlans!AN:AN,"NA",0,1)</f>
        <v>#N/A</v>
      </c>
      <c r="F192" s="200"/>
      <c r="G192" s="200"/>
      <c r="H192" s="200"/>
      <c r="I192" s="208"/>
      <c r="J192" s="201"/>
      <c r="K192"/>
      <c r="L192" s="209" t="str">
        <f ca="1">_xlfn.XLOOKUP(L175,RenewalPlans!B:B,RenewalPlans!AQ:AQ,"NA",0,1)</f>
        <v>NA</v>
      </c>
      <c r="M192" s="200"/>
      <c r="N192" s="200"/>
      <c r="O192" s="200"/>
      <c r="P192" s="208"/>
      <c r="Q192" s="200"/>
      <c r="R192" s="201"/>
      <c r="T192" s="209" t="str">
        <f>_xlfn.XLOOKUP(T175,RenewalPlans!B:B,RenewalPlans!AQ:AQ,"NA",0,1)</f>
        <v>NA</v>
      </c>
      <c r="U192" s="200"/>
      <c r="V192" s="200"/>
      <c r="W192" s="200"/>
      <c r="X192" s="208"/>
      <c r="Y192" s="200"/>
      <c r="Z192" s="201"/>
    </row>
    <row r="193" spans="4:26" ht="18" customHeight="1" hidden="1">
      <c r="D193" s="210"/>
      <c r="E193" s="211"/>
      <c r="F193" s="211"/>
      <c r="G193" s="211"/>
      <c r="H193" s="211"/>
      <c r="I193" s="211"/>
      <c r="J193" s="212"/>
      <c r="K193"/>
      <c r="L193" s="210"/>
      <c r="M193" s="211"/>
      <c r="N193" s="211"/>
      <c r="O193" s="211"/>
      <c r="P193" s="211"/>
      <c r="Q193" s="211"/>
      <c r="R193" s="212"/>
      <c r="T193" s="210"/>
      <c r="U193" s="211"/>
      <c r="V193" s="211"/>
      <c r="W193" s="211"/>
      <c r="X193" s="211"/>
      <c r="Y193" s="211"/>
      <c r="Z193" s="212"/>
    </row>
    <row r="194" spans="4:26" ht="18" customHeight="1" hidden="1">
      <c r="D194" s="185" t="s">
        <v>265</v>
      </c>
      <c r="E194" s="186"/>
      <c r="F194" s="186"/>
      <c r="G194" s="186"/>
      <c r="H194" s="186"/>
      <c r="I194" s="186"/>
      <c r="J194" s="187"/>
      <c r="K194"/>
      <c r="L194" s="188"/>
      <c r="M194" s="186"/>
      <c r="N194" s="186"/>
      <c r="O194" s="186"/>
      <c r="P194" s="186"/>
      <c r="Q194" s="186"/>
      <c r="R194" s="187"/>
      <c r="T194" s="188"/>
      <c r="U194" s="186"/>
      <c r="V194" s="186"/>
      <c r="W194" s="186"/>
      <c r="X194" s="186"/>
      <c r="Y194" s="186"/>
      <c r="Z194" s="187"/>
    </row>
    <row r="195" spans="4:26" ht="18" customHeight="1" hidden="1">
      <c r="D195" s="132" t="s">
        <v>266</v>
      </c>
      <c r="E195" s="133" t="e">
        <f>_xlfn.XLOOKUP(E175,CurrentPlans!B:B,CurrentPlans!AE:AE,"NA",0,1)</f>
        <v>#N/A</v>
      </c>
      <c r="F195" s="134"/>
      <c r="G195" s="134"/>
      <c r="H195" s="134"/>
      <c r="I195" s="133"/>
      <c r="J195" s="135"/>
      <c r="K195"/>
      <c r="L195" s="136" t="str">
        <f ca="1">_xlfn.XLOOKUP(L175,RenewalPlans!B:B,RenewalPlans!AH:AH,"NA",0,1)</f>
        <v>NA</v>
      </c>
      <c r="M195" s="134"/>
      <c r="N195" s="134"/>
      <c r="O195" s="134"/>
      <c r="P195" s="133"/>
      <c r="Q195" s="134"/>
      <c r="R195" s="135"/>
      <c r="T195" s="136" t="str">
        <f>_xlfn.XLOOKUP(T175,RenewalPlans!B:B,RenewalPlans!AH:AH,"NA",0,1)</f>
        <v>NA</v>
      </c>
      <c r="U195" s="134"/>
      <c r="V195" s="134"/>
      <c r="W195" s="134"/>
      <c r="X195" s="133"/>
      <c r="Y195" s="134"/>
      <c r="Z195" s="135"/>
    </row>
    <row r="196" spans="4:26" ht="18" customHeight="1" hidden="1">
      <c r="D196" s="120" t="s">
        <v>267</v>
      </c>
      <c r="E196" s="130" t="e">
        <f>_xlfn.XLOOKUP(E175,CurrentPlans!B:B,CurrentPlans!AF:AF,"NA",0,1)</f>
        <v>#N/A</v>
      </c>
      <c r="F196" s="122"/>
      <c r="G196" s="122"/>
      <c r="H196" s="122"/>
      <c r="I196" s="130"/>
      <c r="J196" s="123"/>
      <c r="K196"/>
      <c r="L196" s="131" t="str">
        <f ca="1">_xlfn.XLOOKUP(L175,RenewalPlans!B:B,RenewalPlans!AI:AI,"NA",0,1)</f>
        <v>NA</v>
      </c>
      <c r="M196" s="122"/>
      <c r="N196" s="122"/>
      <c r="O196" s="122"/>
      <c r="P196" s="130"/>
      <c r="Q196" s="122"/>
      <c r="R196" s="123"/>
      <c r="T196" s="131" t="str">
        <f>_xlfn.XLOOKUP(T175,RenewalPlans!B:B,RenewalPlans!AI:AI,"NA",0,1)</f>
        <v>NA</v>
      </c>
      <c r="U196" s="122"/>
      <c r="V196" s="122"/>
      <c r="W196" s="122"/>
      <c r="X196" s="130"/>
      <c r="Y196" s="122"/>
      <c r="Z196" s="123"/>
    </row>
    <row r="197" spans="4:26" ht="18" customHeight="1" hidden="1">
      <c r="D197" s="198" t="s">
        <v>268</v>
      </c>
      <c r="E197" s="130" t="e">
        <f>_xlfn.XLOOKUP(E175,CurrentPlans!B:B,CurrentPlans!AH:AH,"NA",0,1)</f>
        <v>#N/A</v>
      </c>
      <c r="F197" s="200"/>
      <c r="G197" s="200"/>
      <c r="H197" s="200"/>
      <c r="I197" s="130"/>
      <c r="J197" s="201"/>
      <c r="K197"/>
      <c r="L197" s="131" t="str">
        <f ca="1">_xlfn.XLOOKUP(L175,RenewalPlans!B:B,RenewalPlans!AK:AK,"NA",0,1)</f>
        <v>NA</v>
      </c>
      <c r="M197" s="200"/>
      <c r="N197" s="200"/>
      <c r="O197" s="200"/>
      <c r="P197" s="130"/>
      <c r="Q197" s="200"/>
      <c r="R197" s="201"/>
      <c r="T197" s="131" t="str">
        <f>_xlfn.XLOOKUP(T175,RenewalPlans!B:B,RenewalPlans!AK:AK,"NA",0,1)</f>
        <v>NA</v>
      </c>
      <c r="U197" s="200"/>
      <c r="V197" s="200"/>
      <c r="W197" s="200"/>
      <c r="X197" s="130"/>
      <c r="Y197" s="200"/>
      <c r="Z197" s="201"/>
    </row>
    <row r="198" spans="4:26" ht="18" customHeight="1" hidden="1">
      <c r="D198" s="198" t="s">
        <v>269</v>
      </c>
      <c r="E198" s="130" t="e">
        <f>_xlfn.XLOOKUP(E175,CurrentPlans!B:B,CurrentPlans!AG:AG,"NA",0,1)</f>
        <v>#N/A</v>
      </c>
      <c r="F198" s="200"/>
      <c r="G198" s="200"/>
      <c r="H198" s="200"/>
      <c r="I198" s="130"/>
      <c r="J198" s="201"/>
      <c r="K198"/>
      <c r="L198" s="131" t="str">
        <f ca="1">_xlfn.XLOOKUP(L175,RenewalPlans!B:B,RenewalPlans!AJ:AJ,"NA",0,1)</f>
        <v>NA</v>
      </c>
      <c r="M198" s="200"/>
      <c r="N198" s="200"/>
      <c r="O198" s="200"/>
      <c r="P198" s="130"/>
      <c r="Q198" s="200"/>
      <c r="R198" s="201"/>
      <c r="T198" s="131" t="str">
        <f>_xlfn.XLOOKUP(T175,RenewalPlans!B:B,RenewalPlans!AJ:AJ,"NA",0,1)</f>
        <v>NA</v>
      </c>
      <c r="U198" s="200"/>
      <c r="V198" s="200"/>
      <c r="W198" s="200"/>
      <c r="X198" s="130"/>
      <c r="Y198" s="200"/>
      <c r="Z198" s="201"/>
    </row>
    <row r="199" spans="4:26" ht="18" customHeight="1" hidden="1">
      <c r="D199" s="213" t="s">
        <v>270</v>
      </c>
      <c r="E199" s="216" t="e">
        <f>_xlfn.XLOOKUP(E175,CurrentPlans!B:B,CurrentPlans!AU:AU,"NA",0,1)</f>
        <v>#N/A</v>
      </c>
      <c r="F199" s="214"/>
      <c r="G199" s="214"/>
      <c r="H199" s="214"/>
      <c r="I199" s="217"/>
      <c r="J199" s="215"/>
      <c r="K199"/>
      <c r="L199" s="218" t="str">
        <f ca="1">_xlfn.XLOOKUP(L175,RenewalPlans!B:B,RenewalPlans!AX:AX,"NA",0,1)</f>
        <v>NA</v>
      </c>
      <c r="M199" s="214"/>
      <c r="N199" s="214"/>
      <c r="O199" s="214"/>
      <c r="P199" s="217"/>
      <c r="Q199" s="214"/>
      <c r="R199" s="215"/>
      <c r="T199" s="218" t="str">
        <f>_xlfn.XLOOKUP(T175,RenewalPlans!B:B,RenewalPlans!AX:AX,"NA",0,1)</f>
        <v>NA</v>
      </c>
      <c r="U199" s="214"/>
      <c r="V199" s="214"/>
      <c r="W199" s="214"/>
      <c r="X199" s="217"/>
      <c r="Y199" s="214"/>
      <c r="Z199" s="215"/>
    </row>
    <row r="200" spans="4:26" ht="18" customHeight="1" hidden="1">
      <c r="D200" s="213" t="s">
        <v>271</v>
      </c>
      <c r="E200" s="216" t="e">
        <f>_xlfn.XLOOKUP(E175,CurrentPlans!B:B,CurrentPlans!AT:AT,"NA",0,1)</f>
        <v>#N/A</v>
      </c>
      <c r="F200" s="214"/>
      <c r="G200" s="214"/>
      <c r="H200" s="214"/>
      <c r="I200" s="217"/>
      <c r="J200" s="215"/>
      <c r="K200"/>
      <c r="L200" s="218" t="str">
        <f ca="1">_xlfn.XLOOKUP(L175,RenewalPlans!B:B,RenewalPlans!AW:AW,"NA",0,1)</f>
        <v>NA</v>
      </c>
      <c r="M200" s="214"/>
      <c r="N200" s="214"/>
      <c r="O200" s="214"/>
      <c r="P200" s="217"/>
      <c r="Q200" s="214"/>
      <c r="R200" s="215"/>
      <c r="T200" s="218" t="str">
        <f>_xlfn.XLOOKUP(T175,RenewalPlans!B:B,RenewalPlans!AW:AW,"NA",0,1)</f>
        <v>NA</v>
      </c>
      <c r="U200" s="214"/>
      <c r="V200" s="214"/>
      <c r="W200" s="214"/>
      <c r="X200" s="217"/>
      <c r="Y200" s="214"/>
      <c r="Z200" s="215"/>
    </row>
    <row r="201" spans="4:26" ht="18" customHeight="1" hidden="1">
      <c r="D201" s="198" t="s">
        <v>272</v>
      </c>
      <c r="E201" s="130" t="e">
        <f>_xlfn.XLOOKUP(E175,CurrentPlans!B:B,CurrentPlans!AD:AD,"NA",0,1)</f>
        <v>#N/A</v>
      </c>
      <c r="F201" s="200"/>
      <c r="G201" s="200"/>
      <c r="H201" s="200"/>
      <c r="I201" s="130"/>
      <c r="J201" s="201"/>
      <c r="K201"/>
      <c r="L201" s="131" t="str">
        <f ca="1">_xlfn.XLOOKUP(L175,RenewalPlans!B:B,RenewalPlans!AG:AG,"NA",0,1)</f>
        <v>NA</v>
      </c>
      <c r="M201" s="200"/>
      <c r="N201" s="200"/>
      <c r="O201" s="200"/>
      <c r="P201" s="130"/>
      <c r="Q201" s="200"/>
      <c r="R201" s="201"/>
      <c r="T201" s="131" t="str">
        <f>_xlfn.XLOOKUP(T175,RenewalPlans!B:B,RenewalPlans!AG:AG,"NA",0,1)</f>
        <v>NA</v>
      </c>
      <c r="U201" s="200"/>
      <c r="V201" s="200"/>
      <c r="W201" s="200"/>
      <c r="X201" s="130"/>
      <c r="Y201" s="200"/>
      <c r="Z201" s="201"/>
    </row>
    <row r="202" spans="4:26" ht="18" customHeight="1" hidden="1">
      <c r="D202" s="198" t="s">
        <v>273</v>
      </c>
      <c r="E202" s="200"/>
      <c r="F202" s="200"/>
      <c r="G202" s="200"/>
      <c r="H202" s="200"/>
      <c r="I202" s="200"/>
      <c r="J202" s="201"/>
      <c r="K202"/>
      <c r="L202" s="198"/>
      <c r="M202" s="200"/>
      <c r="N202" s="200"/>
      <c r="O202" s="200"/>
      <c r="P202" s="200"/>
      <c r="Q202" s="200"/>
      <c r="R202" s="201"/>
      <c r="T202" s="198"/>
      <c r="U202" s="200"/>
      <c r="V202" s="200"/>
      <c r="W202" s="200"/>
      <c r="X202" s="200"/>
      <c r="Y202" s="200"/>
      <c r="Z202" s="201"/>
    </row>
    <row r="203" spans="4:26" ht="18" customHeight="1" hidden="1">
      <c r="D203" s="210"/>
      <c r="E203" s="211"/>
      <c r="F203" s="211"/>
      <c r="G203" s="211"/>
      <c r="H203" s="211"/>
      <c r="I203" s="211"/>
      <c r="J203" s="212"/>
      <c r="K203"/>
      <c r="L203" s="210"/>
      <c r="M203" s="211"/>
      <c r="N203" s="211"/>
      <c r="O203" s="211"/>
      <c r="P203" s="211"/>
      <c r="Q203" s="211"/>
      <c r="R203" s="212"/>
      <c r="T203" s="210"/>
      <c r="U203" s="211"/>
      <c r="V203" s="211"/>
      <c r="W203" s="211"/>
      <c r="X203" s="211"/>
      <c r="Y203" s="211"/>
      <c r="Z203" s="212"/>
    </row>
    <row r="204" spans="4:26" ht="18" customHeight="1" hidden="1">
      <c r="D204" s="219" t="s">
        <v>274</v>
      </c>
      <c r="E204" s="220"/>
      <c r="F204" s="220"/>
      <c r="G204" s="220"/>
      <c r="H204" s="220"/>
      <c r="I204" s="220"/>
      <c r="J204" s="221"/>
      <c r="K204"/>
      <c r="L204" s="222"/>
      <c r="M204" s="220"/>
      <c r="N204" s="220"/>
      <c r="O204" s="220"/>
      <c r="P204" s="220"/>
      <c r="Q204" s="220"/>
      <c r="R204" s="221"/>
      <c r="T204" s="222"/>
      <c r="U204" s="220"/>
      <c r="V204" s="220"/>
      <c r="W204" s="220"/>
      <c r="X204" s="220"/>
      <c r="Y204" s="220"/>
      <c r="Z204" s="221"/>
    </row>
    <row r="205" spans="4:26" ht="18" customHeight="1" hidden="1">
      <c r="D205" s="223" t="s">
        <v>250</v>
      </c>
      <c r="E205" s="205"/>
      <c r="F205" s="205"/>
      <c r="G205" s="205"/>
      <c r="H205" s="205"/>
      <c r="I205" s="205"/>
      <c r="J205" s="206"/>
      <c r="K205"/>
      <c r="L205" s="203"/>
      <c r="M205" s="205"/>
      <c r="N205" s="205"/>
      <c r="O205" s="205"/>
      <c r="P205" s="205"/>
      <c r="Q205" s="205"/>
      <c r="R205" s="206"/>
      <c r="T205" s="203"/>
      <c r="U205" s="205"/>
      <c r="V205" s="205"/>
      <c r="W205" s="205"/>
      <c r="X205" s="205"/>
      <c r="Y205" s="205"/>
      <c r="Z205" s="206"/>
    </row>
    <row r="206" spans="4:26" ht="18" customHeight="1" hidden="1">
      <c r="D206" s="198" t="s">
        <v>251</v>
      </c>
      <c r="E206" s="130" t="e">
        <f>_xlfn.XLOOKUP(E175,CurrentPlans!B:B,CurrentPlans!AP:AP,"NA",0,1)</f>
        <v>#N/A</v>
      </c>
      <c r="F206" s="200"/>
      <c r="G206" s="200"/>
      <c r="H206" s="200"/>
      <c r="I206" s="130"/>
      <c r="J206" s="201"/>
      <c r="K206"/>
      <c r="L206" s="131" t="str">
        <f ca="1">_xlfn.XLOOKUP(L175,RenewalPlans!B:B,RenewalPlans!AS:AS,"NA",0,1)</f>
        <v>NA</v>
      </c>
      <c r="M206" s="200"/>
      <c r="N206" s="200"/>
      <c r="O206" s="200"/>
      <c r="P206" s="130"/>
      <c r="Q206" s="200"/>
      <c r="R206" s="201"/>
      <c r="T206" s="131" t="str">
        <f>_xlfn.XLOOKUP(T175,RenewalPlans!B:B,RenewalPlans!AS:AS,"NA",0,1)</f>
        <v>NA</v>
      </c>
      <c r="U206" s="200"/>
      <c r="V206" s="200"/>
      <c r="W206" s="200"/>
      <c r="X206" s="130"/>
      <c r="Y206" s="200"/>
      <c r="Z206" s="201"/>
    </row>
    <row r="207" spans="4:26" ht="18" customHeight="1" hidden="1">
      <c r="D207" s="198" t="s">
        <v>252</v>
      </c>
      <c r="E207" s="130" t="e">
        <f>_xlfn.XLOOKUP(E175,CurrentPlans!B:B,CurrentPlans!AQ:AQ,"NA",0,1)</f>
        <v>#N/A</v>
      </c>
      <c r="F207" s="200"/>
      <c r="G207" s="200"/>
      <c r="H207" s="200"/>
      <c r="I207" s="130"/>
      <c r="J207" s="201"/>
      <c r="K207"/>
      <c r="L207" s="131" t="str">
        <f ca="1">_xlfn.XLOOKUP(L175,RenewalPlans!B:B,RenewalPlans!AT:AT,"NA",0,1)</f>
        <v>NA</v>
      </c>
      <c r="M207" s="200"/>
      <c r="N207" s="200"/>
      <c r="O207" s="200"/>
      <c r="P207" s="130"/>
      <c r="Q207" s="200"/>
      <c r="R207" s="201"/>
      <c r="T207" s="131" t="str">
        <f>_xlfn.XLOOKUP(T175,RenewalPlans!B:B,RenewalPlans!AT:AT,"NA",0,1)</f>
        <v>NA</v>
      </c>
      <c r="U207" s="200"/>
      <c r="V207" s="200"/>
      <c r="W207" s="200"/>
      <c r="X207" s="130"/>
      <c r="Y207" s="200"/>
      <c r="Z207" s="201"/>
    </row>
    <row r="208" spans="4:26" ht="18" customHeight="1" hidden="1">
      <c r="D208" s="120" t="s">
        <v>253</v>
      </c>
      <c r="E208" s="133" t="e">
        <f>_xlfn.XLOOKUP(E175,CurrentPlans!B:B,CurrentPlans!AO:AO,"NA",0,1)</f>
        <v>#N/A</v>
      </c>
      <c r="F208" s="122"/>
      <c r="G208" s="122"/>
      <c r="H208" s="122"/>
      <c r="I208" s="133"/>
      <c r="J208" s="123"/>
      <c r="K208"/>
      <c r="L208" s="136" t="str">
        <f ca="1">_xlfn.XLOOKUP(L175,RenewalPlans!B:B,RenewalPlans!AR:AR,"NA",0,1)</f>
        <v>NA</v>
      </c>
      <c r="M208" s="122"/>
      <c r="N208" s="122"/>
      <c r="O208" s="122"/>
      <c r="P208" s="133"/>
      <c r="Q208" s="122"/>
      <c r="R208" s="123"/>
      <c r="T208" s="136" t="str">
        <f>_xlfn.XLOOKUP(T175,RenewalPlans!B:B,RenewalPlans!AR:AR,"NA",0,1)</f>
        <v>NA</v>
      </c>
      <c r="U208" s="122"/>
      <c r="V208" s="122"/>
      <c r="W208" s="122"/>
      <c r="X208" s="133"/>
      <c r="Y208" s="122"/>
      <c r="Z208" s="123"/>
    </row>
    <row r="209" spans="4:26" ht="18" customHeight="1" hidden="1">
      <c r="D209" s="223" t="s">
        <v>254</v>
      </c>
      <c r="E209" s="205"/>
      <c r="F209" s="205"/>
      <c r="G209" s="205"/>
      <c r="H209" s="205"/>
      <c r="I209" s="205"/>
      <c r="J209" s="206"/>
      <c r="K209"/>
      <c r="L209" s="203"/>
      <c r="M209" s="205"/>
      <c r="N209" s="205"/>
      <c r="O209" s="205"/>
      <c r="P209" s="205"/>
      <c r="Q209" s="205"/>
      <c r="R209" s="206"/>
      <c r="T209" s="203"/>
      <c r="U209" s="205"/>
      <c r="V209" s="205"/>
      <c r="W209" s="205"/>
      <c r="X209" s="205"/>
      <c r="Y209" s="205"/>
      <c r="Z209" s="206"/>
    </row>
    <row r="210" spans="4:26" ht="18" customHeight="1" hidden="1">
      <c r="D210" s="198" t="s">
        <v>255</v>
      </c>
      <c r="E210" s="130" t="e">
        <f>_xlfn.XLOOKUP(E175,CurrentPlans!B:B,CurrentPlans!AR:AR,"NA",0,1)</f>
        <v>#N/A</v>
      </c>
      <c r="F210" s="200"/>
      <c r="G210" s="200"/>
      <c r="H210" s="200"/>
      <c r="I210" s="130"/>
      <c r="J210" s="201"/>
      <c r="K210"/>
      <c r="L210" s="131" t="str">
        <f ca="1">_xlfn.XLOOKUP(L175,RenewalPlans!B:B,RenewalPlans!AU:AU,"NA",0,1)</f>
        <v>NA</v>
      </c>
      <c r="M210" s="200"/>
      <c r="N210" s="200"/>
      <c r="O210" s="200"/>
      <c r="P210" s="130"/>
      <c r="Q210" s="200"/>
      <c r="R210" s="201"/>
      <c r="T210" s="131" t="str">
        <f>_xlfn.XLOOKUP(T175,RenewalPlans!B:B,RenewalPlans!AU:AU,"NA",0,1)</f>
        <v>NA</v>
      </c>
      <c r="U210" s="200"/>
      <c r="V210" s="200"/>
      <c r="W210" s="200"/>
      <c r="X210" s="130"/>
      <c r="Y210" s="200"/>
      <c r="Z210" s="201"/>
    </row>
    <row r="211" spans="4:26" ht="18" customHeight="1" hidden="1" thickBot="1">
      <c r="D211" s="224" t="s">
        <v>256</v>
      </c>
      <c r="E211" s="137" t="e">
        <f>_xlfn.XLOOKUP(E175,CurrentPlans!B:B,CurrentPlans!AS:AS,"NA",0,1)</f>
        <v>#N/A</v>
      </c>
      <c r="F211" s="225"/>
      <c r="G211" s="225"/>
      <c r="H211" s="225"/>
      <c r="I211" s="137"/>
      <c r="J211" s="226"/>
      <c r="K211"/>
      <c r="L211" s="138" t="str">
        <f ca="1">_xlfn.XLOOKUP(L175,RenewalPlans!B:B,RenewalPlans!AV:AV,"NA",0,1)</f>
        <v>NA</v>
      </c>
      <c r="M211" s="225"/>
      <c r="N211" s="225"/>
      <c r="O211" s="225"/>
      <c r="P211" s="137"/>
      <c r="Q211" s="225"/>
      <c r="R211" s="226"/>
      <c r="T211" s="138" t="str">
        <f>_xlfn.XLOOKUP(T175,RenewalPlans!B:B,RenewalPlans!AV:AV,"NA",0,1)</f>
        <v>NA</v>
      </c>
      <c r="U211" s="225"/>
      <c r="V211" s="225"/>
      <c r="W211" s="225"/>
      <c r="X211" s="137"/>
      <c r="Y211" s="225"/>
      <c r="Z211" s="226"/>
    </row>
    <row r="212" spans="1:26" ht="18" customHeight="1">
      <c r="A212" s="140"/>
      <c r="B212" s="140"/>
      <c r="D212" s="227"/>
      <c r="E212" s="176"/>
      <c r="F212" s="178"/>
      <c r="G212" s="179"/>
      <c r="H212" s="178"/>
      <c r="I212" s="176"/>
      <c r="J212" s="228"/>
      <c r="K212"/>
      <c r="L212" s="178"/>
      <c r="M212" s="176"/>
      <c r="N212" s="139"/>
      <c r="O212" s="178"/>
      <c r="P212" s="178"/>
      <c r="Q212" s="178"/>
      <c r="R212" s="228"/>
      <c r="T212" s="178"/>
      <c r="U212" s="176"/>
      <c r="V212" s="139"/>
      <c r="W212" s="178"/>
      <c r="X212" s="178"/>
      <c r="Y212" s="178"/>
      <c r="Z212" s="228"/>
    </row>
    <row r="213" spans="1:26" ht="5.25" customHeight="1" thickBot="1">
      <c r="A213" s="140"/>
      <c r="B213" s="140"/>
      <c r="D213" s="229"/>
      <c r="E213" s="229"/>
      <c r="F213" s="230"/>
      <c r="G213" s="231"/>
      <c r="H213" s="232"/>
      <c r="I213" s="233"/>
      <c r="J213" s="233"/>
      <c r="K213"/>
      <c r="L213" s="233"/>
      <c r="M213" s="233"/>
      <c r="N213" s="233"/>
      <c r="O213" s="233"/>
      <c r="P213" s="233"/>
      <c r="Q213" s="233"/>
      <c r="R213" s="233"/>
      <c r="T213" s="233"/>
      <c r="U213" s="233"/>
      <c r="V213" s="233"/>
      <c r="W213" s="233"/>
      <c r="X213" s="233"/>
      <c r="Y213" s="233"/>
      <c r="Z213" s="233"/>
    </row>
    <row r="214" spans="1:26" ht="50.15" customHeight="1">
      <c r="A214" s="140">
        <v>5</v>
      </c>
      <c r="B214" s="140">
        <f>IF(A214&gt;Class2_CurrentHealthCount,"DELETE",Class2_CurrentHealthStart+A214)</f>
        <v>37</v>
      </c>
      <c r="C214" s="164" t="s">
        <v>278</v>
      </c>
      <c r="D214" s="273" t="e">
        <f ca="1">IF(B214="Delete","",VLOOKUP(F214,BEGIN_CURRENT_HEALTH:END_CURRENT_HEALTH,3,FALSE))</f>
        <v>#N/A</v>
      </c>
      <c r="E214" s="165"/>
      <c r="F214" s="272" cm="1">
        <f t="array" ca="1" aca="1" ref="F214">IF(B214="Delete","",INDIRECT("CurrentPlans!A"&amp;B214,TRUE))</f>
        <v>0</v>
      </c>
      <c r="G214" s="166"/>
      <c r="H214" s="167"/>
      <c r="I214" s="168"/>
      <c r="J214" s="169"/>
      <c r="K214"/>
      <c r="L214" s="274" t="str">
        <f ca="1">_xlfn.IFNA(VLOOKUP(F214,BEGIN_RENEWEDFROM_HEALTH:ROW_RenewHealth_PlanID,3,FALSE),"SELECT PLAN")</f>
        <v>SELECT PLAN</v>
      </c>
      <c r="M214" s="170"/>
      <c r="N214" s="274" t="s">
        <v>237</v>
      </c>
      <c r="O214" s="171"/>
      <c r="P214" s="171"/>
      <c r="Q214" s="171"/>
      <c r="R214" s="169"/>
      <c r="T214" s="274" t="s">
        <v>38</v>
      </c>
      <c r="U214" s="170"/>
      <c r="V214" s="274" t="s">
        <v>237</v>
      </c>
      <c r="W214" s="171"/>
      <c r="X214" s="171"/>
      <c r="Y214" s="171"/>
      <c r="Z214" s="169"/>
    </row>
    <row r="215" spans="1:26" ht="18.75" customHeight="1">
      <c r="A215" s="140"/>
      <c r="B215" s="140"/>
      <c r="D215" s="172" t="s">
        <v>238</v>
      </c>
      <c r="E215" s="407" t="str">
        <f ca="1">_xlfn.IFNA(VLOOKUP(F214,BEGIN_CURRENT_HEALTH:END_CURRENT_HEALTH,CURRENT_COL_EO_count,FALSE),"")</f>
        <v/>
      </c>
      <c r="F215" s="408" t="str">
        <f ca="1">_xlfn.IFNA(VLOOKUP(F214,BEGIN_CURRENT_HEALTH:END_CURRENT_HEALTH,CURRENT_COL_EO,FALSE),"")</f>
        <v/>
      </c>
      <c r="G215" s="468" t="str">
        <f ca="1" t="shared" si="20" ref="G215:G218">IF(F215="","",H215/F215)</f>
        <v/>
      </c>
      <c r="H215" s="408" t="str">
        <f ca="1">_xlfn.IFNA(VLOOKUP(F214,BEGIN_CURRENT_HEALTH:END_CURRENT_HEALTH,CURRENT_COL_EOContrib,FALSE),"")</f>
        <v/>
      </c>
      <c r="I215" s="409" t="str">
        <f ca="1">IFERROR(F215-H215,"")</f>
        <v/>
      </c>
      <c r="J215" s="410" t="str">
        <f ca="1">IF(F215="","",H215*E215)</f>
        <v/>
      </c>
      <c r="K215" s="411"/>
      <c r="L215" s="408" t="str" cm="1">
        <f t="array" ca="1" aca="1" ref="L215">_xlfn.IFNA(VLOOKUP(INDIRECT("L"&amp;ROW()-1)&amp;"_"&amp;$D$12,BEGIN_RENEW_HEALTH:END_RENEW_HEALTH,RENEW_COL_EO,FALSE),"")</f>
        <v/>
      </c>
      <c r="M215" s="412" t="str">
        <f ca="1">IF(E215="","",E215)</f>
        <v/>
      </c>
      <c r="N215" s="413"/>
      <c r="O215" s="414"/>
      <c r="P215" s="415" t="str">
        <f>IFERROR(IF($N214="Keep Contribution Same",H215,IF($N214="Enter Percentages",IF(N215="","",N215*L215),IF($N214="Keep Percentage Same",IF(G215="","",G215*L215),IF($N214="Enter Dollar Amount",IF(O215="","",O215),"")))),"")</f>
        <v/>
      </c>
      <c r="Q215" s="408" t="str">
        <f ca="1">IFERROR(L215-P215,"")</f>
        <v/>
      </c>
      <c r="R215" s="410" t="str">
        <f>IFERROR(IF(P215="","",M215*P215),"")</f>
        <v/>
      </c>
      <c r="S215" s="411"/>
      <c r="T215" s="408" t="str" cm="1">
        <f t="array" ca="1" aca="1" ref="T215">_xlfn.IFNA(VLOOKUP(INDIRECT("T"&amp;ROW()-1)&amp;"_"&amp;$D$12,BEGIN_RENEW_HEALTH:END_RENEW_HEALTH,RENEW_COL_EO,FALSE),"")</f>
        <v/>
      </c>
      <c r="U215" s="412" t="str">
        <f ca="1">IF(E215="","",E215)</f>
        <v/>
      </c>
      <c r="V215" s="413"/>
      <c r="W215" s="414"/>
      <c r="X215" s="415" t="str">
        <f>IFERROR(IF($V214="Keep Contribution Same",H215,IF($V214="Enter Percentages",IF(V215="","",V215*T215),IF($V214="Keep Percentage Same",IF(G215="","",G215*T215),IF($V214="Enter Dollar Amount",IF(W215="","",W215),"")))),"")</f>
        <v/>
      </c>
      <c r="Y215" s="408" t="str">
        <f ca="1">IFERROR(T215-X215,"")</f>
        <v/>
      </c>
      <c r="Z215" s="410" t="str">
        <f>IFERROR(IF(X215="","",U215*X215),"")</f>
        <v/>
      </c>
    </row>
    <row r="216" spans="1:26" ht="18.75" customHeight="1">
      <c r="A216" s="140"/>
      <c r="B216" s="140"/>
      <c r="D216" s="172" t="s">
        <v>239</v>
      </c>
      <c r="E216" s="407" t="str">
        <f ca="1">_xlfn.IFNA(VLOOKUP(F214,BEGIN_CURRENT_HEALTH:END_CURRENT_HEALTH,CURRENT_COL_ES_count,FALSE),"")</f>
        <v/>
      </c>
      <c r="F216" s="408" t="str">
        <f ca="1">_xlfn.IFNA(VLOOKUP(F214,BEGIN_CURRENT_HEALTH:END_CURRENT_HEALTH,CURRENT_COL_ES,FALSE),"")</f>
        <v/>
      </c>
      <c r="G216" s="468" t="str">
        <f t="shared" ca="1" si="20"/>
        <v/>
      </c>
      <c r="H216" s="408" t="str">
        <f ca="1">_xlfn.IFNA(VLOOKUP(F214,BEGIN_CURRENT_HEALTH:END_CURRENT_HEALTH,CURRENT_COL_ESContrib,FALSE),"")</f>
        <v/>
      </c>
      <c r="I216" s="409" t="str">
        <f ca="1" t="shared" si="21" ref="I216:I218">IFERROR(F216-H216,"")</f>
        <v/>
      </c>
      <c r="J216" s="410" t="str">
        <f ca="1">IF(F216="","",H216*E216)</f>
        <v/>
      </c>
      <c r="K216" s="411"/>
      <c r="L216" s="408" t="str" cm="1">
        <f t="array" ca="1" aca="1" ref="L216">_xlfn.IFNA(VLOOKUP(INDIRECT("L"&amp;ROW()-2)&amp;"_"&amp;$D$12,BEGIN_RENEW_HEALTH:END_RENEW_HEALTH,RENEW_COL_ES,FALSE),"")</f>
        <v/>
      </c>
      <c r="M216" s="412" t="str">
        <f ca="1">IF(E216="","",E216)</f>
        <v/>
      </c>
      <c r="N216" s="413"/>
      <c r="O216" s="414"/>
      <c r="P216" s="415" t="str">
        <f>IFERROR(IF($N214="Keep Contribution Same",H216,IF($N214="Enter Percentages",IF(N216="","",N216*L216),IF($N214="Keep Percentage Same",IF(G216="","",G216*L216),IF($N214="Enter Dollar Amount",IF(O216="","",O216),"")))),"")</f>
        <v/>
      </c>
      <c r="Q216" s="408" t="str">
        <f ca="1">IFERROR(L216-P216,"")</f>
        <v/>
      </c>
      <c r="R216" s="410" t="str">
        <f>IFERROR(IF(P216="","",M216*P216),"")</f>
        <v/>
      </c>
      <c r="S216" s="411"/>
      <c r="T216" s="408" t="str" cm="1">
        <f t="array" ca="1" aca="1" ref="T216">_xlfn.IFNA(VLOOKUP(INDIRECT("T"&amp;ROW()-2)&amp;"_"&amp;$D$12,BEGIN_RENEW_HEALTH:END_RENEW_HEALTH,RENEW_COL_ES,FALSE),"")</f>
        <v/>
      </c>
      <c r="U216" s="412" t="str">
        <f ca="1" t="shared" si="22" ref="U216:U218">IF(E216="","",E216)</f>
        <v/>
      </c>
      <c r="V216" s="413"/>
      <c r="W216" s="414"/>
      <c r="X216" s="415" t="str">
        <f>IFERROR(IF($V214="Keep Contribution Same",H216,IF($V214="Enter Percentages",IF(V216="","",V216*T216),IF($V214="Keep Percentage Same",IF(G216="","",G216*T216),IF($V214="Enter Dollar Amount",IF(W216="","",W216),"")))),"")</f>
        <v/>
      </c>
      <c r="Y216" s="408" t="str">
        <f ca="1" t="shared" si="23" ref="Y216:Y218">IFERROR(T216-X216,"")</f>
        <v/>
      </c>
      <c r="Z216" s="410" t="str">
        <f t="shared" si="24" ref="Z216:Z218">IFERROR(IF(X216="","",U216*X216),"")</f>
        <v/>
      </c>
    </row>
    <row r="217" spans="1:26" ht="18.75" customHeight="1">
      <c r="A217" s="140"/>
      <c r="B217" s="140"/>
      <c r="D217" s="172" t="s">
        <v>240</v>
      </c>
      <c r="E217" s="407" t="str">
        <f ca="1">_xlfn.IFNA(VLOOKUP(F214,BEGIN_CURRENT_HEALTH:END_CURRENT_HEALTH,CURRENT_COL_EC_count,FALSE),"")</f>
        <v/>
      </c>
      <c r="F217" s="408" t="str">
        <f ca="1">_xlfn.IFNA(VLOOKUP(F214,BEGIN_CURRENT_HEALTH:END_CURRENT_HEALTH,CURRENT_COL_EC,FALSE),"")</f>
        <v/>
      </c>
      <c r="G217" s="468" t="str">
        <f t="shared" ca="1" si="20"/>
        <v/>
      </c>
      <c r="H217" s="408" t="str">
        <f ca="1">_xlfn.IFNA(VLOOKUP(F214,BEGIN_CURRENT_HEALTH:END_CURRENT_HEALTH,CURRENT_COL_ECContrib,FALSE),"")</f>
        <v/>
      </c>
      <c r="I217" s="409" t="str">
        <f t="shared" ca="1" si="21"/>
        <v/>
      </c>
      <c r="J217" s="410" t="str">
        <f ca="1">IF(F217="","",H217*E217)</f>
        <v/>
      </c>
      <c r="K217" s="411"/>
      <c r="L217" s="408" t="str" cm="1">
        <f t="array" ca="1" aca="1" ref="L217">_xlfn.IFNA(VLOOKUP(INDIRECT("L"&amp;ROW()-3)&amp;"_"&amp;$D$12,BEGIN_RENEW_HEALTH:END_RENEW_HEALTH,RENEW_COL_EC,FALSE),"")</f>
        <v/>
      </c>
      <c r="M217" s="412" t="str">
        <f ca="1">IF(E217="","",E217)</f>
        <v/>
      </c>
      <c r="N217" s="413"/>
      <c r="O217" s="414"/>
      <c r="P217" s="415" t="str">
        <f>IFERROR(IF($N214="Keep Contribution Same",H217,IF($N214="Enter Percentages",IF(N217="","",N217*L217),IF($N214="Keep Percentage Same",IF(G217="","",G217*L217),IF($N214="Enter Dollar Amount",IF(O217="","",O217),"")))),"")</f>
        <v/>
      </c>
      <c r="Q217" s="408" t="str">
        <f ca="1">IFERROR(L217-P217,"")</f>
        <v/>
      </c>
      <c r="R217" s="410" t="str">
        <f>IFERROR(IF(P217="","",M217*P217),"")</f>
        <v/>
      </c>
      <c r="S217" s="411"/>
      <c r="T217" s="408" t="str" cm="1">
        <f t="array" ca="1" aca="1" ref="T217">_xlfn.IFNA(VLOOKUP(INDIRECT("T"&amp;ROW()-3)&amp;"_"&amp;$D$12,BEGIN_RENEW_HEALTH:END_RENEW_HEALTH,RENEW_COL_EC,FALSE),"")</f>
        <v/>
      </c>
      <c r="U217" s="412" t="str">
        <f t="shared" ca="1" si="22"/>
        <v/>
      </c>
      <c r="V217" s="413"/>
      <c r="W217" s="414"/>
      <c r="X217" s="415" t="str">
        <f>IFERROR(IF($V214="Keep Contribution Same",H217,IF($V214="Enter Percentages",IF(V217="","",V217*T217),IF($V214="Keep Percentage Same",IF(G217="","",G217*T217),IF($V214="Enter Dollar Amount",IF(W217="","",W217),"")))),"")</f>
        <v/>
      </c>
      <c r="Y217" s="408" t="str">
        <f t="shared" ca="1" si="23"/>
        <v/>
      </c>
      <c r="Z217" s="410" t="str">
        <f t="shared" si="24"/>
        <v/>
      </c>
    </row>
    <row r="218" spans="1:26" ht="18.75" customHeight="1" thickBot="1">
      <c r="A218" s="140"/>
      <c r="B218" s="140"/>
      <c r="D218" s="174" t="s">
        <v>241</v>
      </c>
      <c r="E218" s="416" t="str">
        <f ca="1">_xlfn.IFNA(VLOOKUP(F214,BEGIN_CURRENT_HEALTH:END_CURRENT_HEALTH,CURRENT_COL_FAM_count,FALSE),"")</f>
        <v/>
      </c>
      <c r="F218" s="417" t="str">
        <f ca="1">_xlfn.IFNA(VLOOKUP(F214,BEGIN_CURRENT_HEALTH:END_CURRENT_HEALTH,CURRENT_COL_FAM,FALSE),"")</f>
        <v/>
      </c>
      <c r="G218" s="469" t="str">
        <f t="shared" ca="1" si="20"/>
        <v/>
      </c>
      <c r="H218" s="417" t="str">
        <f ca="1">_xlfn.IFNA(VLOOKUP(F214,BEGIN_CURRENT_HEALTH:END_CURRENT_HEALTH,CURRENT_COL_FAMContrib,FALSE),"")</f>
        <v/>
      </c>
      <c r="I218" s="418" t="str">
        <f t="shared" ca="1" si="21"/>
        <v/>
      </c>
      <c r="J218" s="419" t="str">
        <f ca="1">IF(F218="","",H218*E218)</f>
        <v/>
      </c>
      <c r="K218" s="411"/>
      <c r="L218" s="417" t="str" cm="1">
        <f t="array" ca="1" aca="1" ref="L218">_xlfn.IFNA(VLOOKUP(INDIRECT("L"&amp;ROW()-4)&amp;"_"&amp;$D$12,BEGIN_RENEW_HEALTH:END_RENEW_HEALTH,RENEW_COL_FAM,FALSE),"")</f>
        <v/>
      </c>
      <c r="M218" s="412" t="str">
        <f ca="1">IF(E218="","",E218)</f>
        <v/>
      </c>
      <c r="N218" s="420"/>
      <c r="O218" s="421"/>
      <c r="P218" s="422" t="str">
        <f>IFERROR(IF($N214="Keep Contribution Same",H218,IF($N214="Enter Percentages",IF(N218="","",N218*L218),IF($N214="Keep Percentage Same",IF(G218="","",G218*L218),IF($N214="Enter Dollar Amount",IF(O218="","",O218),"")))),"")</f>
        <v/>
      </c>
      <c r="Q218" s="422" t="str">
        <f ca="1">IFERROR(L218-P218,"")</f>
        <v/>
      </c>
      <c r="R218" s="410" t="str">
        <f>IFERROR(IF(P218="","",M218*P218),"")</f>
        <v/>
      </c>
      <c r="S218" s="411"/>
      <c r="T218" s="417" t="str" cm="1">
        <f t="array" ca="1" aca="1" ref="T218">_xlfn.IFNA(VLOOKUP(INDIRECT("T"&amp;ROW()-4)&amp;"_"&amp;$D$12,BEGIN_RENEW_HEALTH:END_RENEW_HEALTH,RENEW_COL_FAM,FALSE),"")</f>
        <v/>
      </c>
      <c r="U218" s="423" t="str">
        <f t="shared" ca="1" si="22"/>
        <v/>
      </c>
      <c r="V218" s="420"/>
      <c r="W218" s="421"/>
      <c r="X218" s="422" t="str">
        <f>IFERROR(IF($V214="Keep Contribution Same",H218,IF($V214="Enter Percentages",IF(V218="","",V218*T218),IF($V214="Keep Percentage Same",IF(G218="","",G218*T218),IF($V214="Enter Dollar Amount",IF(W218="","",W218),"")))),"")</f>
        <v/>
      </c>
      <c r="Y218" s="417" t="str">
        <f t="shared" ca="1" si="23"/>
        <v/>
      </c>
      <c r="Z218" s="419" t="str">
        <f t="shared" si="24"/>
        <v/>
      </c>
    </row>
    <row r="219" spans="1:26" ht="18.75" customHeight="1" thickTop="1">
      <c r="A219" s="140"/>
      <c r="B219" s="140"/>
      <c r="D219" s="175" t="s">
        <v>242</v>
      </c>
      <c r="E219" s="424"/>
      <c r="F219" s="447" t="str">
        <f ca="1">IFERROR((F215*E215)+(F216*E216)+(F217*E217)+(F218*E218),"")</f>
        <v/>
      </c>
      <c r="G219" s="426"/>
      <c r="H219" s="427"/>
      <c r="I219" s="428"/>
      <c r="J219" s="429" t="str">
        <f ca="1">IFERROR(IF(J215="","",SUM(J215:J218)),0)</f>
        <v/>
      </c>
      <c r="K219" s="1"/>
      <c r="L219" s="430" t="str">
        <f ca="1">IFERROR((M215*L215)+(M216*L216)+(M217*L217)+(M218*L218),"")</f>
        <v/>
      </c>
      <c r="M219" s="427"/>
      <c r="N219" s="426"/>
      <c r="O219" s="427"/>
      <c r="P219" s="431"/>
      <c r="Q219" s="432"/>
      <c r="R219" s="429" t="str">
        <f>IFERROR(IF(R215="","",SUM(R215:R218)),0)</f>
        <v/>
      </c>
      <c r="T219" s="430" t="str">
        <f ca="1">IFERROR((U215*T215)+(U216*T216)+(U217*T217)+(U218*T218),"")</f>
        <v/>
      </c>
      <c r="U219" s="427"/>
      <c r="V219" s="426"/>
      <c r="W219" s="427"/>
      <c r="X219" s="431"/>
      <c r="Y219" s="432"/>
      <c r="Z219" s="429" t="str">
        <f>IFERROR(IF(Z215="","",SUM(Z215:Z218)),0)</f>
        <v/>
      </c>
    </row>
    <row r="220" spans="1:26" ht="18.75" customHeight="1">
      <c r="A220" s="140"/>
      <c r="B220" s="140"/>
      <c r="D220" s="177" t="s">
        <v>243</v>
      </c>
      <c r="E220" s="433"/>
      <c r="F220" s="448" t="str">
        <f ca="1">IFERROR(F219*12,"")</f>
        <v/>
      </c>
      <c r="G220" s="435"/>
      <c r="H220" s="436"/>
      <c r="I220" s="432"/>
      <c r="J220" s="437" t="str">
        <f ca="1">IF(J219="","",J219*12)</f>
        <v/>
      </c>
      <c r="K220" s="1"/>
      <c r="L220" s="438" t="str">
        <f ca="1">IFERROR(L219*12,"")</f>
        <v/>
      </c>
      <c r="M220" s="436"/>
      <c r="N220" s="435"/>
      <c r="O220" s="436"/>
      <c r="P220" s="432"/>
      <c r="Q220" s="432"/>
      <c r="R220" s="437" t="str">
        <f>IF(R219="","",R219*12)</f>
        <v/>
      </c>
      <c r="T220" s="438" t="str">
        <f ca="1">IFERROR(T219*12,"")</f>
        <v/>
      </c>
      <c r="U220" s="436"/>
      <c r="V220" s="435"/>
      <c r="W220" s="436"/>
      <c r="X220" s="432"/>
      <c r="Y220" s="432"/>
      <c r="Z220" s="437" t="str">
        <f>IF(Z219="","",Z219*12)</f>
        <v/>
      </c>
    </row>
    <row r="221" spans="1:26" ht="18" customHeight="1">
      <c r="A221" s="140"/>
      <c r="B221" s="140"/>
      <c r="D221" s="177" t="s">
        <v>244</v>
      </c>
      <c r="E221" s="433"/>
      <c r="F221" s="436"/>
      <c r="G221" s="435"/>
      <c r="H221" s="436"/>
      <c r="I221" s="432"/>
      <c r="J221" s="437"/>
      <c r="K221" s="1"/>
      <c r="L221" s="434" t="str">
        <f ca="1">IFERROR(L220-F220,"")</f>
        <v/>
      </c>
      <c r="M221" s="436"/>
      <c r="N221" s="435"/>
      <c r="O221" s="436"/>
      <c r="P221" s="432"/>
      <c r="Q221" s="432"/>
      <c r="R221" s="437" t="str">
        <f ca="1">IFERROR(IF(J220="","",R220-J220),0)</f>
        <v/>
      </c>
      <c r="T221" s="434" t="str">
        <f ca="1">IFERROR(T220-F220,"")</f>
        <v/>
      </c>
      <c r="U221" s="436"/>
      <c r="V221" s="435"/>
      <c r="W221" s="436"/>
      <c r="X221" s="432"/>
      <c r="Y221" s="432"/>
      <c r="Z221" s="437" t="str">
        <f>IFERROR(IF(R220="","",Z220-R220),0)</f>
        <v/>
      </c>
    </row>
    <row r="222" spans="1:26" ht="18" customHeight="1" thickBot="1">
      <c r="A222" s="140"/>
      <c r="B222" s="140"/>
      <c r="D222" s="180" t="s">
        <v>245</v>
      </c>
      <c r="E222" s="439"/>
      <c r="F222" s="440"/>
      <c r="G222" s="441"/>
      <c r="H222" s="440"/>
      <c r="I222" s="442"/>
      <c r="J222" s="443"/>
      <c r="K222" s="1"/>
      <c r="L222" s="444" t="str">
        <f ca="1">IFERROR(L220/F220-1,"")</f>
        <v/>
      </c>
      <c r="M222" s="440"/>
      <c r="N222" s="441"/>
      <c r="O222" s="440"/>
      <c r="P222" s="445"/>
      <c r="Q222" s="445"/>
      <c r="R222" s="446" t="str">
        <f ca="1">IFERROR(IF(J220="","",(R220/J220)-1),0)</f>
        <v/>
      </c>
      <c r="T222" s="444" t="str">
        <f ca="1">IFERROR(T220/F220-1,"")</f>
        <v/>
      </c>
      <c r="U222" s="440"/>
      <c r="V222" s="441"/>
      <c r="W222" s="440"/>
      <c r="X222" s="445"/>
      <c r="Y222" s="445"/>
      <c r="Z222" s="446" t="str">
        <f>IFERROR(IF(R220="","",(Z220/R220)-1),0)</f>
        <v/>
      </c>
    </row>
    <row r="223" spans="4:26" ht="18" customHeight="1">
      <c r="D223" s="181" t="s">
        <v>246</v>
      </c>
      <c r="E223" s="182"/>
      <c r="F223" s="182"/>
      <c r="G223" s="182"/>
      <c r="H223" s="182"/>
      <c r="I223" s="182"/>
      <c r="J223" s="183"/>
      <c r="K223"/>
      <c r="L223" s="184"/>
      <c r="M223" s="182"/>
      <c r="N223" s="182"/>
      <c r="O223" s="182"/>
      <c r="P223" s="182"/>
      <c r="Q223" s="182"/>
      <c r="R223" s="183"/>
      <c r="T223" s="184"/>
      <c r="U223" s="182"/>
      <c r="V223" s="182"/>
      <c r="W223" s="182"/>
      <c r="X223" s="182"/>
      <c r="Y223" s="182"/>
      <c r="Z223" s="183"/>
    </row>
    <row r="224" spans="4:26" ht="18" customHeight="1" hidden="1">
      <c r="D224" s="185" t="s">
        <v>247</v>
      </c>
      <c r="E224" s="186"/>
      <c r="F224" s="186"/>
      <c r="G224" s="186"/>
      <c r="H224" s="186"/>
      <c r="I224" s="186"/>
      <c r="J224" s="187"/>
      <c r="K224"/>
      <c r="L224" s="188"/>
      <c r="M224" s="186"/>
      <c r="N224" s="186"/>
      <c r="O224" s="186"/>
      <c r="P224" s="186"/>
      <c r="Q224" s="186"/>
      <c r="R224" s="187"/>
      <c r="T224" s="188"/>
      <c r="U224" s="186"/>
      <c r="V224" s="186"/>
      <c r="W224" s="186"/>
      <c r="X224" s="186"/>
      <c r="Y224" s="186"/>
      <c r="Z224" s="187"/>
    </row>
    <row r="225" spans="4:26" ht="18" customHeight="1" hidden="1">
      <c r="D225" s="189" t="s">
        <v>248</v>
      </c>
      <c r="E225" s="190" t="e">
        <f ca="1">D214&amp;"_"&amp;D12</f>
        <v>#N/A</v>
      </c>
      <c r="F225" s="191"/>
      <c r="G225" s="191"/>
      <c r="H225" s="191"/>
      <c r="I225" s="190"/>
      <c r="J225" s="192"/>
      <c r="K225"/>
      <c r="L225" s="193" t="str">
        <f ca="1">L214&amp;"_"&amp;D12</f>
        <v>SELECT PLAN_OWNERS</v>
      </c>
      <c r="M225" s="191"/>
      <c r="N225" s="191"/>
      <c r="O225" s="191"/>
      <c r="P225" s="190"/>
      <c r="Q225" s="191"/>
      <c r="R225" s="192"/>
      <c r="T225" s="193" t="str">
        <f>T214&amp;"_"&amp;D12</f>
        <v>SELECT PLAN_OWNERS</v>
      </c>
      <c r="U225" s="191"/>
      <c r="V225" s="191"/>
      <c r="W225" s="191"/>
      <c r="X225" s="190"/>
      <c r="Y225" s="191"/>
      <c r="Z225" s="192"/>
    </row>
    <row r="226" spans="4:26" ht="18" customHeight="1" hidden="1">
      <c r="D226" s="189" t="s">
        <v>249</v>
      </c>
      <c r="E226" s="191"/>
      <c r="F226" s="191"/>
      <c r="G226" s="191"/>
      <c r="H226" s="191"/>
      <c r="I226" s="191"/>
      <c r="J226" s="192"/>
      <c r="K226"/>
      <c r="L226" s="189"/>
      <c r="M226" s="191"/>
      <c r="N226" s="191"/>
      <c r="O226" s="191"/>
      <c r="P226" s="191"/>
      <c r="Q226" s="191"/>
      <c r="R226" s="192"/>
      <c r="T226" s="189"/>
      <c r="U226" s="191"/>
      <c r="V226" s="191"/>
      <c r="W226" s="191"/>
      <c r="X226" s="191"/>
      <c r="Y226" s="191"/>
      <c r="Z226" s="192"/>
    </row>
    <row r="227" spans="4:26" ht="18" customHeight="1" hidden="1">
      <c r="D227" s="194" t="s">
        <v>250</v>
      </c>
      <c r="E227" s="195"/>
      <c r="F227" s="195"/>
      <c r="G227" s="195"/>
      <c r="H227" s="195"/>
      <c r="I227" s="195"/>
      <c r="J227" s="196"/>
      <c r="K227"/>
      <c r="L227" s="197"/>
      <c r="M227" s="195"/>
      <c r="N227" s="195"/>
      <c r="O227" s="195"/>
      <c r="P227" s="195"/>
      <c r="Q227" s="195"/>
      <c r="R227" s="196"/>
      <c r="T227" s="197"/>
      <c r="U227" s="195"/>
      <c r="V227" s="195"/>
      <c r="W227" s="195"/>
      <c r="X227" s="195"/>
      <c r="Y227" s="195"/>
      <c r="Z227" s="196"/>
    </row>
    <row r="228" spans="4:26" ht="18" customHeight="1" hidden="1">
      <c r="D228" s="198" t="s">
        <v>251</v>
      </c>
      <c r="E228" s="199" t="e">
        <f>_xlfn.XLOOKUP(E225,CurrentPlans!B:B,CurrentPlans!X:X,"NA",0,1)</f>
        <v>#N/A</v>
      </c>
      <c r="F228" s="200"/>
      <c r="G228" s="200"/>
      <c r="H228" s="200"/>
      <c r="I228" s="199"/>
      <c r="J228" s="201"/>
      <c r="K228"/>
      <c r="L228" s="202" t="str">
        <f ca="1">_xlfn.XLOOKUP(L225,RenewalPlans!B:B,RenewalPlans!AA:AA,"NA",0,1)</f>
        <v>NA</v>
      </c>
      <c r="M228" s="200"/>
      <c r="N228" s="200"/>
      <c r="O228" s="200"/>
      <c r="P228" s="199"/>
      <c r="Q228" s="200"/>
      <c r="R228" s="201"/>
      <c r="T228" s="202" t="str">
        <f>_xlfn.XLOOKUP(T225,RenewalPlans!B:B,RenewalPlans!AA:AA,"NA",0,1)</f>
        <v>NA</v>
      </c>
      <c r="U228" s="200"/>
      <c r="V228" s="200"/>
      <c r="W228" s="200"/>
      <c r="X228" s="199"/>
      <c r="Y228" s="200"/>
      <c r="Z228" s="201"/>
    </row>
    <row r="229" spans="4:26" ht="18" customHeight="1" hidden="1">
      <c r="D229" s="198" t="s">
        <v>252</v>
      </c>
      <c r="E229" s="199" t="e">
        <f>_xlfn.XLOOKUP(E225,CurrentPlans!B:B,CurrentPlans!Y:Y,"NA",0,1)</f>
        <v>#N/A</v>
      </c>
      <c r="F229" s="200"/>
      <c r="G229" s="200"/>
      <c r="H229" s="200"/>
      <c r="I229" s="199"/>
      <c r="J229" s="201"/>
      <c r="K229"/>
      <c r="L229" s="202" t="str">
        <f ca="1">_xlfn.XLOOKUP(L225,RenewalPlans!B:B,RenewalPlans!AB:AB,"NA",0,1)</f>
        <v>NA</v>
      </c>
      <c r="M229" s="200"/>
      <c r="N229" s="200"/>
      <c r="O229" s="200"/>
      <c r="P229" s="199"/>
      <c r="Q229" s="200"/>
      <c r="R229" s="201"/>
      <c r="T229" s="202" t="str">
        <f>_xlfn.XLOOKUP(T225,RenewalPlans!B:B,RenewalPlans!AB:AB,"NA",0,1)</f>
        <v>NA</v>
      </c>
      <c r="U229" s="200"/>
      <c r="V229" s="200"/>
      <c r="W229" s="200"/>
      <c r="X229" s="199"/>
      <c r="Y229" s="200"/>
      <c r="Z229" s="201"/>
    </row>
    <row r="230" spans="4:26" ht="18" customHeight="1" hidden="1">
      <c r="D230" s="120" t="s">
        <v>253</v>
      </c>
      <c r="E230" s="121" t="e">
        <f>_xlfn.XLOOKUP(E225,CurrentPlans!B:B,CurrentPlans!W:W,"NA",0,1)</f>
        <v>#N/A</v>
      </c>
      <c r="F230" s="122"/>
      <c r="G230" s="122"/>
      <c r="H230" s="122"/>
      <c r="I230" s="121"/>
      <c r="J230" s="123"/>
      <c r="K230"/>
      <c r="L230" s="124" t="str">
        <f ca="1">_xlfn.XLOOKUP(L225,RenewalPlans!B:B,RenewalPlans!Z:Z,"NA",0,1)</f>
        <v>NA</v>
      </c>
      <c r="M230" s="122"/>
      <c r="N230" s="122"/>
      <c r="O230" s="122"/>
      <c r="P230" s="121"/>
      <c r="Q230" s="122"/>
      <c r="R230" s="123"/>
      <c r="T230" s="124" t="str">
        <f>_xlfn.XLOOKUP(T225,RenewalPlans!B:B,RenewalPlans!Z:Z,"NA",0,1)</f>
        <v>NA</v>
      </c>
      <c r="U230" s="122"/>
      <c r="V230" s="122"/>
      <c r="W230" s="122"/>
      <c r="X230" s="121"/>
      <c r="Y230" s="122"/>
      <c r="Z230" s="123"/>
    </row>
    <row r="231" spans="4:26" ht="18" customHeight="1" hidden="1">
      <c r="D231" s="203" t="s">
        <v>254</v>
      </c>
      <c r="E231" s="204"/>
      <c r="F231" s="205"/>
      <c r="G231" s="205"/>
      <c r="H231" s="205"/>
      <c r="I231" s="204"/>
      <c r="J231" s="206"/>
      <c r="K231"/>
      <c r="L231" s="207"/>
      <c r="M231" s="205"/>
      <c r="N231" s="205"/>
      <c r="O231" s="205"/>
      <c r="P231" s="204"/>
      <c r="Q231" s="205"/>
      <c r="R231" s="206"/>
      <c r="T231" s="207"/>
      <c r="U231" s="205"/>
      <c r="V231" s="205"/>
      <c r="W231" s="205"/>
      <c r="X231" s="204"/>
      <c r="Y231" s="205"/>
      <c r="Z231" s="206"/>
    </row>
    <row r="232" spans="4:26" ht="18" customHeight="1" hidden="1">
      <c r="D232" s="125" t="s">
        <v>255</v>
      </c>
      <c r="E232" s="126" t="e">
        <f>_xlfn.XLOOKUP(E225,CurrentPlans!B:B,CurrentPlans!Z:Z,"NA",0,1)</f>
        <v>#N/A</v>
      </c>
      <c r="F232" s="127"/>
      <c r="G232" s="127"/>
      <c r="H232" s="127"/>
      <c r="I232" s="126"/>
      <c r="J232" s="128"/>
      <c r="K232"/>
      <c r="L232" s="129" t="str">
        <f ca="1">_xlfn.XLOOKUP(L225,RenewalPlans!B:B,RenewalPlans!AC:AC,"NA",0,1)</f>
        <v>NA</v>
      </c>
      <c r="M232" s="127"/>
      <c r="N232" s="127"/>
      <c r="O232" s="127"/>
      <c r="P232" s="126"/>
      <c r="Q232" s="127"/>
      <c r="R232" s="128"/>
      <c r="T232" s="129" t="str">
        <f>_xlfn.XLOOKUP(T225,RenewalPlans!B:B,RenewalPlans!AC:AC,"NA",0,1)</f>
        <v>NA</v>
      </c>
      <c r="U232" s="127"/>
      <c r="V232" s="127"/>
      <c r="W232" s="127"/>
      <c r="X232" s="126"/>
      <c r="Y232" s="127"/>
      <c r="Z232" s="128"/>
    </row>
    <row r="233" spans="4:26" ht="18" customHeight="1" hidden="1">
      <c r="D233" s="198" t="s">
        <v>256</v>
      </c>
      <c r="E233" s="208" t="e">
        <f>_xlfn.XLOOKUP(E225,CurrentPlans!B:B,CurrentPlans!AA:AA,"NA",0,1)</f>
        <v>#N/A</v>
      </c>
      <c r="F233" s="200"/>
      <c r="G233" s="200"/>
      <c r="H233" s="200"/>
      <c r="I233" s="208"/>
      <c r="J233" s="201"/>
      <c r="K233"/>
      <c r="L233" s="209" t="str">
        <f ca="1">_xlfn.XLOOKUP(L225,RenewalPlans!B:B,RenewalPlans!AD:AD,"NA",0,1)</f>
        <v>NA</v>
      </c>
      <c r="M233" s="200"/>
      <c r="N233" s="200"/>
      <c r="O233" s="200"/>
      <c r="P233" s="208"/>
      <c r="Q233" s="200"/>
      <c r="R233" s="201"/>
      <c r="T233" s="209" t="str">
        <f>_xlfn.XLOOKUP(T225,RenewalPlans!B:B,RenewalPlans!AD:AD,"NA",0,1)</f>
        <v>NA</v>
      </c>
      <c r="U233" s="200"/>
      <c r="V233" s="200"/>
      <c r="W233" s="200"/>
      <c r="X233" s="208"/>
      <c r="Y233" s="200"/>
      <c r="Z233" s="201"/>
    </row>
    <row r="234" spans="4:26" ht="18" customHeight="1" hidden="1">
      <c r="D234" s="203" t="s">
        <v>257</v>
      </c>
      <c r="E234" s="204"/>
      <c r="F234" s="205"/>
      <c r="G234" s="205"/>
      <c r="H234" s="205"/>
      <c r="I234" s="204"/>
      <c r="J234" s="206"/>
      <c r="K234"/>
      <c r="L234" s="207"/>
      <c r="M234" s="205"/>
      <c r="N234" s="205"/>
      <c r="O234" s="205"/>
      <c r="P234" s="204"/>
      <c r="Q234" s="205"/>
      <c r="R234" s="206"/>
      <c r="T234" s="207"/>
      <c r="U234" s="205"/>
      <c r="V234" s="205"/>
      <c r="W234" s="205"/>
      <c r="X234" s="204"/>
      <c r="Y234" s="205"/>
      <c r="Z234" s="206"/>
    </row>
    <row r="235" spans="4:26" ht="18" customHeight="1" hidden="1">
      <c r="D235" s="198" t="s">
        <v>258</v>
      </c>
      <c r="E235" s="208" t="e">
        <f>_xlfn.XLOOKUP(E225,CurrentPlans!B:B,CurrentPlans!AB:AB,"NA",0,1)</f>
        <v>#N/A</v>
      </c>
      <c r="F235" s="200"/>
      <c r="G235" s="200"/>
      <c r="H235" s="200"/>
      <c r="I235" s="208"/>
      <c r="J235" s="201"/>
      <c r="K235"/>
      <c r="L235" s="209" t="str">
        <f ca="1">_xlfn.XLOOKUP(L225,RenewalPlans!B:B,RenewalPlans!AE:AE,"NA",0,1)</f>
        <v>NA</v>
      </c>
      <c r="M235" s="200"/>
      <c r="N235" s="200"/>
      <c r="O235" s="200"/>
      <c r="P235" s="208"/>
      <c r="Q235" s="200"/>
      <c r="R235" s="201"/>
      <c r="T235" s="209" t="str">
        <f>_xlfn.XLOOKUP(T225,RenewalPlans!B:B,RenewalPlans!AE:AE,"NA",0,1)</f>
        <v>NA</v>
      </c>
      <c r="U235" s="200"/>
      <c r="V235" s="200"/>
      <c r="W235" s="200"/>
      <c r="X235" s="208"/>
      <c r="Y235" s="200"/>
      <c r="Z235" s="201"/>
    </row>
    <row r="236" spans="4:26" ht="18" customHeight="1" hidden="1">
      <c r="D236" s="198" t="s">
        <v>259</v>
      </c>
      <c r="E236" s="208" t="e">
        <f>_xlfn.XLOOKUP(E225,CurrentPlans!B:B,CurrentPlans!AC:AC,"NA",0,1)</f>
        <v>#N/A</v>
      </c>
      <c r="F236" s="200"/>
      <c r="G236" s="200"/>
      <c r="H236" s="200"/>
      <c r="I236" s="208"/>
      <c r="J236" s="201"/>
      <c r="K236"/>
      <c r="L236" s="209" t="str">
        <f ca="1">_xlfn.XLOOKUP(L225,RenewalPlans!B:B,RenewalPlans!AF:AF,"NA",0,1)</f>
        <v>NA</v>
      </c>
      <c r="M236" s="200"/>
      <c r="N236" s="200"/>
      <c r="O236" s="200"/>
      <c r="P236" s="208"/>
      <c r="Q236" s="200"/>
      <c r="R236" s="201"/>
      <c r="T236" s="209" t="str">
        <f>_xlfn.XLOOKUP(T225,RenewalPlans!B:B,RenewalPlans!AF:AF,"NA",0,1)</f>
        <v>NA</v>
      </c>
      <c r="U236" s="200"/>
      <c r="V236" s="200"/>
      <c r="W236" s="200"/>
      <c r="X236" s="208"/>
      <c r="Y236" s="200"/>
      <c r="Z236" s="201"/>
    </row>
    <row r="237" spans="4:26" ht="18" customHeight="1" hidden="1">
      <c r="D237" s="210"/>
      <c r="E237" s="211"/>
      <c r="F237" s="211"/>
      <c r="G237" s="211"/>
      <c r="H237" s="211"/>
      <c r="I237" s="211"/>
      <c r="J237" s="212"/>
      <c r="K237"/>
      <c r="L237" s="210"/>
      <c r="M237" s="211"/>
      <c r="N237" s="211"/>
      <c r="O237" s="211"/>
      <c r="P237" s="211"/>
      <c r="Q237" s="211"/>
      <c r="R237" s="212"/>
      <c r="T237" s="210"/>
      <c r="U237" s="211"/>
      <c r="V237" s="211"/>
      <c r="W237" s="211"/>
      <c r="X237" s="211"/>
      <c r="Y237" s="211"/>
      <c r="Z237" s="212"/>
    </row>
    <row r="238" spans="4:26" ht="18" customHeight="1" hidden="1">
      <c r="D238" s="185" t="s">
        <v>260</v>
      </c>
      <c r="E238" s="186"/>
      <c r="F238" s="186"/>
      <c r="G238" s="186"/>
      <c r="H238" s="186"/>
      <c r="I238" s="186"/>
      <c r="J238" s="187"/>
      <c r="K238"/>
      <c r="L238" s="188"/>
      <c r="M238" s="186"/>
      <c r="N238" s="186"/>
      <c r="O238" s="186"/>
      <c r="P238" s="186"/>
      <c r="Q238" s="186"/>
      <c r="R238" s="187"/>
      <c r="T238" s="188"/>
      <c r="U238" s="186"/>
      <c r="V238" s="186"/>
      <c r="W238" s="186"/>
      <c r="X238" s="186"/>
      <c r="Y238" s="186"/>
      <c r="Z238" s="187"/>
    </row>
    <row r="239" spans="4:26" ht="18" customHeight="1" hidden="1">
      <c r="D239" s="213" t="s">
        <v>261</v>
      </c>
      <c r="E239" s="130" t="e">
        <f>_xlfn.XLOOKUP(E225,CurrentPlans!B:B,CurrentPlans!AJ:AJ,"NA",0,1)</f>
        <v>#N/A</v>
      </c>
      <c r="F239" s="214"/>
      <c r="G239" s="214"/>
      <c r="H239" s="214"/>
      <c r="I239" s="130"/>
      <c r="J239" s="215"/>
      <c r="K239"/>
      <c r="L239" s="131" t="str">
        <f ca="1">_xlfn.XLOOKUP(L225,RenewalPlans!B:B,RenewalPlans!AM:AM,"NA",0,1)</f>
        <v>NA</v>
      </c>
      <c r="M239" s="214"/>
      <c r="N239" s="214"/>
      <c r="O239" s="214"/>
      <c r="P239" s="130"/>
      <c r="Q239" s="214"/>
      <c r="R239" s="215"/>
      <c r="T239" s="131" t="str">
        <f>_xlfn.XLOOKUP(T225,RenewalPlans!B:B,RenewalPlans!AM:AM,"NA",0,1)</f>
        <v>NA</v>
      </c>
      <c r="U239" s="214"/>
      <c r="V239" s="214"/>
      <c r="W239" s="214"/>
      <c r="X239" s="130"/>
      <c r="Y239" s="214"/>
      <c r="Z239" s="215"/>
    </row>
    <row r="240" spans="4:26" ht="18" customHeight="1" hidden="1">
      <c r="D240" s="198" t="s">
        <v>262</v>
      </c>
      <c r="E240" s="130" t="e">
        <f>_xlfn.XLOOKUP(E225,CurrentPlans!B:B,CurrentPlans!AM:AM,"NA",0,1)</f>
        <v>#N/A</v>
      </c>
      <c r="F240" s="200"/>
      <c r="G240" s="200"/>
      <c r="H240" s="200"/>
      <c r="I240" s="130"/>
      <c r="J240" s="201"/>
      <c r="K240"/>
      <c r="L240" s="131" t="str">
        <f ca="1">_xlfn.XLOOKUP(L225,RenewalPlans!B:B,RenewalPlans!AP:AP,"NA",0,1)</f>
        <v>NA</v>
      </c>
      <c r="M240" s="200"/>
      <c r="N240" s="200"/>
      <c r="O240" s="200"/>
      <c r="P240" s="130"/>
      <c r="Q240" s="200"/>
      <c r="R240" s="201"/>
      <c r="T240" s="131" t="str">
        <f>_xlfn.XLOOKUP(T225,RenewalPlans!B:B,RenewalPlans!AP:AP,"NA",0,1)</f>
        <v>NA</v>
      </c>
      <c r="U240" s="200"/>
      <c r="V240" s="200"/>
      <c r="W240" s="200"/>
      <c r="X240" s="130"/>
      <c r="Y240" s="200"/>
      <c r="Z240" s="201"/>
    </row>
    <row r="241" spans="4:26" ht="18" customHeight="1" hidden="1">
      <c r="D241" s="198" t="s">
        <v>263</v>
      </c>
      <c r="E241" s="130" t="e">
        <f>_xlfn.XLOOKUP(E225,CurrentPlans!B:B,CurrentPlans!AI:AI,"NA",0,1)</f>
        <v>#N/A</v>
      </c>
      <c r="F241" s="200"/>
      <c r="G241" s="200"/>
      <c r="H241" s="200"/>
      <c r="I241" s="130"/>
      <c r="J241" s="201"/>
      <c r="K241"/>
      <c r="L241" s="131" t="str">
        <f ca="1">_xlfn.XLOOKUP(L225,RenewalPlans!B:B,RenewalPlans!AL:AL,"NA",0,1)</f>
        <v>NA</v>
      </c>
      <c r="M241" s="200"/>
      <c r="N241" s="200"/>
      <c r="O241" s="200"/>
      <c r="P241" s="130"/>
      <c r="Q241" s="200"/>
      <c r="R241" s="201"/>
      <c r="T241" s="131" t="str">
        <f>_xlfn.XLOOKUP(T225,RenewalPlans!B:B,RenewalPlans!AL:AL,"NA",0,1)</f>
        <v>NA</v>
      </c>
      <c r="U241" s="200"/>
      <c r="V241" s="200"/>
      <c r="W241" s="200"/>
      <c r="X241" s="130"/>
      <c r="Y241" s="200"/>
      <c r="Z241" s="201"/>
    </row>
    <row r="242" spans="4:26" ht="18" customHeight="1" hidden="1">
      <c r="D242" s="198" t="s">
        <v>264</v>
      </c>
      <c r="E242" s="208" t="e">
        <f>_xlfn.XLOOKUP(E225,CurrentPlans!B:B,CurrentPlans!AN:AN,"NA",0,1)</f>
        <v>#N/A</v>
      </c>
      <c r="F242" s="200"/>
      <c r="G242" s="200"/>
      <c r="H242" s="200"/>
      <c r="I242" s="208"/>
      <c r="J242" s="201"/>
      <c r="K242"/>
      <c r="L242" s="209" t="str">
        <f ca="1">_xlfn.XLOOKUP(L225,RenewalPlans!B:B,RenewalPlans!AQ:AQ,"NA",0,1)</f>
        <v>NA</v>
      </c>
      <c r="M242" s="200"/>
      <c r="N242" s="200"/>
      <c r="O242" s="200"/>
      <c r="P242" s="208"/>
      <c r="Q242" s="200"/>
      <c r="R242" s="201"/>
      <c r="T242" s="209" t="str">
        <f>_xlfn.XLOOKUP(T225,RenewalPlans!B:B,RenewalPlans!AQ:AQ,"NA",0,1)</f>
        <v>NA</v>
      </c>
      <c r="U242" s="200"/>
      <c r="V242" s="200"/>
      <c r="W242" s="200"/>
      <c r="X242" s="208"/>
      <c r="Y242" s="200"/>
      <c r="Z242" s="201"/>
    </row>
    <row r="243" spans="4:26" ht="18" customHeight="1" hidden="1">
      <c r="D243" s="210"/>
      <c r="E243" s="211"/>
      <c r="F243" s="211"/>
      <c r="G243" s="211"/>
      <c r="H243" s="211"/>
      <c r="I243" s="211"/>
      <c r="J243" s="212"/>
      <c r="K243"/>
      <c r="L243" s="210"/>
      <c r="M243" s="211"/>
      <c r="N243" s="211"/>
      <c r="O243" s="211"/>
      <c r="P243" s="211"/>
      <c r="Q243" s="211"/>
      <c r="R243" s="212"/>
      <c r="T243" s="210"/>
      <c r="U243" s="211"/>
      <c r="V243" s="211"/>
      <c r="W243" s="211"/>
      <c r="X243" s="211"/>
      <c r="Y243" s="211"/>
      <c r="Z243" s="212"/>
    </row>
    <row r="244" spans="4:26" ht="18" customHeight="1" hidden="1">
      <c r="D244" s="185" t="s">
        <v>265</v>
      </c>
      <c r="E244" s="186"/>
      <c r="F244" s="186"/>
      <c r="G244" s="186"/>
      <c r="H244" s="186"/>
      <c r="I244" s="186"/>
      <c r="J244" s="187"/>
      <c r="K244"/>
      <c r="L244" s="188"/>
      <c r="M244" s="186"/>
      <c r="N244" s="186"/>
      <c r="O244" s="186"/>
      <c r="P244" s="186"/>
      <c r="Q244" s="186"/>
      <c r="R244" s="187"/>
      <c r="T244" s="188"/>
      <c r="U244" s="186"/>
      <c r="V244" s="186"/>
      <c r="W244" s="186"/>
      <c r="X244" s="186"/>
      <c r="Y244" s="186"/>
      <c r="Z244" s="187"/>
    </row>
    <row r="245" spans="4:26" ht="18" customHeight="1" hidden="1">
      <c r="D245" s="132" t="s">
        <v>266</v>
      </c>
      <c r="E245" s="133" t="e">
        <f>_xlfn.XLOOKUP(E225,CurrentPlans!B:B,CurrentPlans!AE:AE,"NA",0,1)</f>
        <v>#N/A</v>
      </c>
      <c r="F245" s="134"/>
      <c r="G245" s="134"/>
      <c r="H245" s="134"/>
      <c r="I245" s="133"/>
      <c r="J245" s="135"/>
      <c r="K245"/>
      <c r="L245" s="136" t="str">
        <f ca="1">_xlfn.XLOOKUP(L225,RenewalPlans!B:B,RenewalPlans!AH:AH,"NA",0,1)</f>
        <v>NA</v>
      </c>
      <c r="M245" s="134"/>
      <c r="N245" s="134"/>
      <c r="O245" s="134"/>
      <c r="P245" s="133"/>
      <c r="Q245" s="134"/>
      <c r="R245" s="135"/>
      <c r="T245" s="136" t="str">
        <f>_xlfn.XLOOKUP(T225,RenewalPlans!B:B,RenewalPlans!AH:AH,"NA",0,1)</f>
        <v>NA</v>
      </c>
      <c r="U245" s="134"/>
      <c r="V245" s="134"/>
      <c r="W245" s="134"/>
      <c r="X245" s="133"/>
      <c r="Y245" s="134"/>
      <c r="Z245" s="135"/>
    </row>
    <row r="246" spans="4:26" ht="18" customHeight="1" hidden="1">
      <c r="D246" s="120" t="s">
        <v>267</v>
      </c>
      <c r="E246" s="130" t="e">
        <f>_xlfn.XLOOKUP(E225,CurrentPlans!B:B,CurrentPlans!AF:AF,"NA",0,1)</f>
        <v>#N/A</v>
      </c>
      <c r="F246" s="122"/>
      <c r="G246" s="122"/>
      <c r="H246" s="122"/>
      <c r="I246" s="130"/>
      <c r="J246" s="123"/>
      <c r="K246"/>
      <c r="L246" s="131" t="str">
        <f ca="1">_xlfn.XLOOKUP(L225,RenewalPlans!B:B,RenewalPlans!AI:AI,"NA",0,1)</f>
        <v>NA</v>
      </c>
      <c r="M246" s="122"/>
      <c r="N246" s="122"/>
      <c r="O246" s="122"/>
      <c r="P246" s="130"/>
      <c r="Q246" s="122"/>
      <c r="R246" s="123"/>
      <c r="T246" s="131" t="str">
        <f>_xlfn.XLOOKUP(T225,RenewalPlans!B:B,RenewalPlans!AI:AI,"NA",0,1)</f>
        <v>NA</v>
      </c>
      <c r="U246" s="122"/>
      <c r="V246" s="122"/>
      <c r="W246" s="122"/>
      <c r="X246" s="130"/>
      <c r="Y246" s="122"/>
      <c r="Z246" s="123"/>
    </row>
    <row r="247" spans="4:26" ht="18" customHeight="1" hidden="1">
      <c r="D247" s="198" t="s">
        <v>268</v>
      </c>
      <c r="E247" s="130" t="e">
        <f>_xlfn.XLOOKUP(E225,CurrentPlans!B:B,CurrentPlans!AH:AH,"NA",0,1)</f>
        <v>#N/A</v>
      </c>
      <c r="F247" s="200"/>
      <c r="G247" s="200"/>
      <c r="H247" s="200"/>
      <c r="I247" s="130"/>
      <c r="J247" s="201"/>
      <c r="K247"/>
      <c r="L247" s="131" t="str">
        <f ca="1">_xlfn.XLOOKUP(L225,RenewalPlans!B:B,RenewalPlans!AK:AK,"NA",0,1)</f>
        <v>NA</v>
      </c>
      <c r="M247" s="200"/>
      <c r="N247" s="200"/>
      <c r="O247" s="200"/>
      <c r="P247" s="130"/>
      <c r="Q247" s="200"/>
      <c r="R247" s="201"/>
      <c r="T247" s="131" t="str">
        <f>_xlfn.XLOOKUP(T225,RenewalPlans!B:B,RenewalPlans!AK:AK,"NA",0,1)</f>
        <v>NA</v>
      </c>
      <c r="U247" s="200"/>
      <c r="V247" s="200"/>
      <c r="W247" s="200"/>
      <c r="X247" s="130"/>
      <c r="Y247" s="200"/>
      <c r="Z247" s="201"/>
    </row>
    <row r="248" spans="4:26" ht="18" customHeight="1" hidden="1">
      <c r="D248" s="198" t="s">
        <v>269</v>
      </c>
      <c r="E248" s="130" t="e">
        <f>_xlfn.XLOOKUP(E225,CurrentPlans!B:B,CurrentPlans!AG:AG,"NA",0,1)</f>
        <v>#N/A</v>
      </c>
      <c r="F248" s="200"/>
      <c r="G248" s="200"/>
      <c r="H248" s="200"/>
      <c r="I248" s="130"/>
      <c r="J248" s="201"/>
      <c r="K248"/>
      <c r="L248" s="131" t="str">
        <f ca="1">_xlfn.XLOOKUP(L225,RenewalPlans!B:B,RenewalPlans!AJ:AJ,"NA",0,1)</f>
        <v>NA</v>
      </c>
      <c r="M248" s="200"/>
      <c r="N248" s="200"/>
      <c r="O248" s="200"/>
      <c r="P248" s="130"/>
      <c r="Q248" s="200"/>
      <c r="R248" s="201"/>
      <c r="T248" s="131" t="str">
        <f>_xlfn.XLOOKUP(T225,RenewalPlans!B:B,RenewalPlans!AJ:AJ,"NA",0,1)</f>
        <v>NA</v>
      </c>
      <c r="U248" s="200"/>
      <c r="V248" s="200"/>
      <c r="W248" s="200"/>
      <c r="X248" s="130"/>
      <c r="Y248" s="200"/>
      <c r="Z248" s="201"/>
    </row>
    <row r="249" spans="4:26" ht="18" customHeight="1" hidden="1">
      <c r="D249" s="213" t="s">
        <v>270</v>
      </c>
      <c r="E249" s="216" t="e">
        <f>_xlfn.XLOOKUP(E225,CurrentPlans!B:B,CurrentPlans!AU:AU,"NA",0,1)</f>
        <v>#N/A</v>
      </c>
      <c r="F249" s="214"/>
      <c r="G249" s="214"/>
      <c r="H249" s="214"/>
      <c r="I249" s="217"/>
      <c r="J249" s="215"/>
      <c r="K249"/>
      <c r="L249" s="218" t="str">
        <f ca="1">_xlfn.XLOOKUP(L225,RenewalPlans!B:B,RenewalPlans!AX:AX,"NA",0,1)</f>
        <v>NA</v>
      </c>
      <c r="M249" s="214"/>
      <c r="N249" s="214"/>
      <c r="O249" s="214"/>
      <c r="P249" s="217"/>
      <c r="Q249" s="214"/>
      <c r="R249" s="215"/>
      <c r="T249" s="218" t="str">
        <f>_xlfn.XLOOKUP(T225,RenewalPlans!B:B,RenewalPlans!AX:AX,"NA",0,1)</f>
        <v>NA</v>
      </c>
      <c r="U249" s="214"/>
      <c r="V249" s="214"/>
      <c r="W249" s="214"/>
      <c r="X249" s="217"/>
      <c r="Y249" s="214"/>
      <c r="Z249" s="215"/>
    </row>
    <row r="250" spans="4:26" ht="18" customHeight="1" hidden="1">
      <c r="D250" s="213" t="s">
        <v>271</v>
      </c>
      <c r="E250" s="216" t="e">
        <f>_xlfn.XLOOKUP(E225,CurrentPlans!B:B,CurrentPlans!AT:AT,"NA",0,1)</f>
        <v>#N/A</v>
      </c>
      <c r="F250" s="214"/>
      <c r="G250" s="214"/>
      <c r="H250" s="214"/>
      <c r="I250" s="217"/>
      <c r="J250" s="215"/>
      <c r="K250"/>
      <c r="L250" s="218" t="str">
        <f ca="1">_xlfn.XLOOKUP(L225,RenewalPlans!B:B,RenewalPlans!AW:AW,"NA",0,1)</f>
        <v>NA</v>
      </c>
      <c r="M250" s="214"/>
      <c r="N250" s="214"/>
      <c r="O250" s="214"/>
      <c r="P250" s="217"/>
      <c r="Q250" s="214"/>
      <c r="R250" s="215"/>
      <c r="T250" s="218" t="str">
        <f>_xlfn.XLOOKUP(T225,RenewalPlans!B:B,RenewalPlans!AW:AW,"NA",0,1)</f>
        <v>NA</v>
      </c>
      <c r="U250" s="214"/>
      <c r="V250" s="214"/>
      <c r="W250" s="214"/>
      <c r="X250" s="217"/>
      <c r="Y250" s="214"/>
      <c r="Z250" s="215"/>
    </row>
    <row r="251" spans="4:26" ht="18" customHeight="1" hidden="1">
      <c r="D251" s="198" t="s">
        <v>272</v>
      </c>
      <c r="E251" s="130" t="e">
        <f>_xlfn.XLOOKUP(E225,CurrentPlans!B:B,CurrentPlans!AD:AD,"NA",0,1)</f>
        <v>#N/A</v>
      </c>
      <c r="F251" s="200"/>
      <c r="G251" s="200"/>
      <c r="H251" s="200"/>
      <c r="I251" s="130"/>
      <c r="J251" s="201"/>
      <c r="K251"/>
      <c r="L251" s="131" t="str">
        <f ca="1">_xlfn.XLOOKUP(L225,RenewalPlans!B:B,RenewalPlans!AG:AG,"NA",0,1)</f>
        <v>NA</v>
      </c>
      <c r="M251" s="200"/>
      <c r="N251" s="200"/>
      <c r="O251" s="200"/>
      <c r="P251" s="130"/>
      <c r="Q251" s="200"/>
      <c r="R251" s="201"/>
      <c r="T251" s="131" t="str">
        <f>_xlfn.XLOOKUP(T225,RenewalPlans!B:B,RenewalPlans!AG:AG,"NA",0,1)</f>
        <v>NA</v>
      </c>
      <c r="U251" s="200"/>
      <c r="V251" s="200"/>
      <c r="W251" s="200"/>
      <c r="X251" s="130"/>
      <c r="Y251" s="200"/>
      <c r="Z251" s="201"/>
    </row>
    <row r="252" spans="4:26" ht="18" customHeight="1" hidden="1">
      <c r="D252" s="198" t="s">
        <v>273</v>
      </c>
      <c r="E252" s="200"/>
      <c r="F252" s="200"/>
      <c r="G252" s="200"/>
      <c r="H252" s="200"/>
      <c r="I252" s="200"/>
      <c r="J252" s="201"/>
      <c r="K252"/>
      <c r="L252" s="198"/>
      <c r="M252" s="200"/>
      <c r="N252" s="200"/>
      <c r="O252" s="200"/>
      <c r="P252" s="200"/>
      <c r="Q252" s="200"/>
      <c r="R252" s="201"/>
      <c r="T252" s="198"/>
      <c r="U252" s="200"/>
      <c r="V252" s="200"/>
      <c r="W252" s="200"/>
      <c r="X252" s="200"/>
      <c r="Y252" s="200"/>
      <c r="Z252" s="201"/>
    </row>
    <row r="253" spans="4:26" ht="18" customHeight="1" hidden="1">
      <c r="D253" s="210"/>
      <c r="E253" s="211"/>
      <c r="F253" s="211"/>
      <c r="G253" s="211"/>
      <c r="H253" s="211"/>
      <c r="I253" s="211"/>
      <c r="J253" s="212"/>
      <c r="K253"/>
      <c r="L253" s="210"/>
      <c r="M253" s="211"/>
      <c r="N253" s="211"/>
      <c r="O253" s="211"/>
      <c r="P253" s="211"/>
      <c r="Q253" s="211"/>
      <c r="R253" s="212"/>
      <c r="T253" s="210"/>
      <c r="U253" s="211"/>
      <c r="V253" s="211"/>
      <c r="W253" s="211"/>
      <c r="X253" s="211"/>
      <c r="Y253" s="211"/>
      <c r="Z253" s="212"/>
    </row>
    <row r="254" spans="4:26" ht="18" customHeight="1" hidden="1">
      <c r="D254" s="219" t="s">
        <v>274</v>
      </c>
      <c r="E254" s="220"/>
      <c r="F254" s="220"/>
      <c r="G254" s="220"/>
      <c r="H254" s="220"/>
      <c r="I254" s="220"/>
      <c r="J254" s="221"/>
      <c r="K254"/>
      <c r="L254" s="222"/>
      <c r="M254" s="220"/>
      <c r="N254" s="220"/>
      <c r="O254" s="220"/>
      <c r="P254" s="220"/>
      <c r="Q254" s="220"/>
      <c r="R254" s="221"/>
      <c r="T254" s="222"/>
      <c r="U254" s="220"/>
      <c r="V254" s="220"/>
      <c r="W254" s="220"/>
      <c r="X254" s="220"/>
      <c r="Y254" s="220"/>
      <c r="Z254" s="221"/>
    </row>
    <row r="255" spans="4:26" ht="18" customHeight="1" hidden="1">
      <c r="D255" s="223" t="s">
        <v>250</v>
      </c>
      <c r="E255" s="205"/>
      <c r="F255" s="205"/>
      <c r="G255" s="205"/>
      <c r="H255" s="205"/>
      <c r="I255" s="205"/>
      <c r="J255" s="206"/>
      <c r="K255"/>
      <c r="L255" s="203"/>
      <c r="M255" s="205"/>
      <c r="N255" s="205"/>
      <c r="O255" s="205"/>
      <c r="P255" s="205"/>
      <c r="Q255" s="205"/>
      <c r="R255" s="206"/>
      <c r="T255" s="203"/>
      <c r="U255" s="205"/>
      <c r="V255" s="205"/>
      <c r="W255" s="205"/>
      <c r="X255" s="205"/>
      <c r="Y255" s="205"/>
      <c r="Z255" s="206"/>
    </row>
    <row r="256" spans="4:26" ht="18" customHeight="1" hidden="1">
      <c r="D256" s="198" t="s">
        <v>251</v>
      </c>
      <c r="E256" s="130" t="e">
        <f>_xlfn.XLOOKUP(E225,CurrentPlans!B:B,CurrentPlans!AP:AP,"NA",0,1)</f>
        <v>#N/A</v>
      </c>
      <c r="F256" s="200"/>
      <c r="G256" s="200"/>
      <c r="H256" s="200"/>
      <c r="I256" s="130"/>
      <c r="J256" s="201"/>
      <c r="K256"/>
      <c r="L256" s="131" t="str">
        <f ca="1">_xlfn.XLOOKUP(L225,RenewalPlans!B:B,RenewalPlans!AS:AS,"NA",0,1)</f>
        <v>NA</v>
      </c>
      <c r="M256" s="200"/>
      <c r="N256" s="200"/>
      <c r="O256" s="200"/>
      <c r="P256" s="130"/>
      <c r="Q256" s="200"/>
      <c r="R256" s="201"/>
      <c r="T256" s="131" t="str">
        <f>_xlfn.XLOOKUP(T225,RenewalPlans!B:B,RenewalPlans!AS:AS,"NA",0,1)</f>
        <v>NA</v>
      </c>
      <c r="U256" s="200"/>
      <c r="V256" s="200"/>
      <c r="W256" s="200"/>
      <c r="X256" s="130"/>
      <c r="Y256" s="200"/>
      <c r="Z256" s="201"/>
    </row>
    <row r="257" spans="4:26" ht="18" customHeight="1" hidden="1">
      <c r="D257" s="198" t="s">
        <v>252</v>
      </c>
      <c r="E257" s="130" t="e">
        <f>_xlfn.XLOOKUP(E225,CurrentPlans!B:B,CurrentPlans!AQ:AQ,"NA",0,1)</f>
        <v>#N/A</v>
      </c>
      <c r="F257" s="200"/>
      <c r="G257" s="200"/>
      <c r="H257" s="200"/>
      <c r="I257" s="130"/>
      <c r="J257" s="201"/>
      <c r="K257"/>
      <c r="L257" s="131" t="str">
        <f ca="1">_xlfn.XLOOKUP(L225,RenewalPlans!B:B,RenewalPlans!AT:AT,"NA",0,1)</f>
        <v>NA</v>
      </c>
      <c r="M257" s="200"/>
      <c r="N257" s="200"/>
      <c r="O257" s="200"/>
      <c r="P257" s="130"/>
      <c r="Q257" s="200"/>
      <c r="R257" s="201"/>
      <c r="T257" s="131" t="str">
        <f>_xlfn.XLOOKUP(T225,RenewalPlans!B:B,RenewalPlans!AT:AT,"NA",0,1)</f>
        <v>NA</v>
      </c>
      <c r="U257" s="200"/>
      <c r="V257" s="200"/>
      <c r="W257" s="200"/>
      <c r="X257" s="130"/>
      <c r="Y257" s="200"/>
      <c r="Z257" s="201"/>
    </row>
    <row r="258" spans="4:26" ht="18" customHeight="1" hidden="1">
      <c r="D258" s="120" t="s">
        <v>253</v>
      </c>
      <c r="E258" s="133" t="e">
        <f>_xlfn.XLOOKUP(E225,CurrentPlans!B:B,CurrentPlans!AO:AO,"NA",0,1)</f>
        <v>#N/A</v>
      </c>
      <c r="F258" s="122"/>
      <c r="G258" s="122"/>
      <c r="H258" s="122"/>
      <c r="I258" s="133"/>
      <c r="J258" s="123"/>
      <c r="K258"/>
      <c r="L258" s="136" t="str">
        <f ca="1">_xlfn.XLOOKUP(L225,RenewalPlans!B:B,RenewalPlans!AR:AR,"NA",0,1)</f>
        <v>NA</v>
      </c>
      <c r="M258" s="122"/>
      <c r="N258" s="122"/>
      <c r="O258" s="122"/>
      <c r="P258" s="133"/>
      <c r="Q258" s="122"/>
      <c r="R258" s="123"/>
      <c r="T258" s="136" t="str">
        <f>_xlfn.XLOOKUP(T225,RenewalPlans!B:B,RenewalPlans!AR:AR,"NA",0,1)</f>
        <v>NA</v>
      </c>
      <c r="U258" s="122"/>
      <c r="V258" s="122"/>
      <c r="W258" s="122"/>
      <c r="X258" s="133"/>
      <c r="Y258" s="122"/>
      <c r="Z258" s="123"/>
    </row>
    <row r="259" spans="4:26" ht="18" customHeight="1" hidden="1">
      <c r="D259" s="223" t="s">
        <v>254</v>
      </c>
      <c r="E259" s="205"/>
      <c r="F259" s="205"/>
      <c r="G259" s="205"/>
      <c r="H259" s="205"/>
      <c r="I259" s="205"/>
      <c r="J259" s="206"/>
      <c r="K259"/>
      <c r="L259" s="203"/>
      <c r="M259" s="205"/>
      <c r="N259" s="205"/>
      <c r="O259" s="205"/>
      <c r="P259" s="205"/>
      <c r="Q259" s="205"/>
      <c r="R259" s="206"/>
      <c r="T259" s="203"/>
      <c r="U259" s="205"/>
      <c r="V259" s="205"/>
      <c r="W259" s="205"/>
      <c r="X259" s="205"/>
      <c r="Y259" s="205"/>
      <c r="Z259" s="206"/>
    </row>
    <row r="260" spans="4:26" ht="18" customHeight="1" hidden="1">
      <c r="D260" s="198" t="s">
        <v>255</v>
      </c>
      <c r="E260" s="130" t="e">
        <f>_xlfn.XLOOKUP(E225,CurrentPlans!B:B,CurrentPlans!AR:AR,"NA",0,1)</f>
        <v>#N/A</v>
      </c>
      <c r="F260" s="200"/>
      <c r="G260" s="200"/>
      <c r="H260" s="200"/>
      <c r="I260" s="130"/>
      <c r="J260" s="201"/>
      <c r="K260"/>
      <c r="L260" s="131" t="str">
        <f ca="1">_xlfn.XLOOKUP(L225,RenewalPlans!B:B,RenewalPlans!AU:AU,"NA",0,1)</f>
        <v>NA</v>
      </c>
      <c r="M260" s="200"/>
      <c r="N260" s="200"/>
      <c r="O260" s="200"/>
      <c r="P260" s="130"/>
      <c r="Q260" s="200"/>
      <c r="R260" s="201"/>
      <c r="T260" s="131" t="str">
        <f>_xlfn.XLOOKUP(T225,RenewalPlans!B:B,RenewalPlans!AU:AU,"NA",0,1)</f>
        <v>NA</v>
      </c>
      <c r="U260" s="200"/>
      <c r="V260" s="200"/>
      <c r="W260" s="200"/>
      <c r="X260" s="130"/>
      <c r="Y260" s="200"/>
      <c r="Z260" s="201"/>
    </row>
    <row r="261" spans="4:26" ht="18" customHeight="1" hidden="1" thickBot="1">
      <c r="D261" s="224" t="s">
        <v>256</v>
      </c>
      <c r="E261" s="137" t="e">
        <f>_xlfn.XLOOKUP(E225,CurrentPlans!B:B,CurrentPlans!AS:AS,"NA",0,1)</f>
        <v>#N/A</v>
      </c>
      <c r="F261" s="225"/>
      <c r="G261" s="225"/>
      <c r="H261" s="225"/>
      <c r="I261" s="137"/>
      <c r="J261" s="226"/>
      <c r="K261"/>
      <c r="L261" s="138" t="str">
        <f ca="1">_xlfn.XLOOKUP(L225,RenewalPlans!B:B,RenewalPlans!AV:AV,"NA",0,1)</f>
        <v>NA</v>
      </c>
      <c r="M261" s="225"/>
      <c r="N261" s="225"/>
      <c r="O261" s="225"/>
      <c r="P261" s="137"/>
      <c r="Q261" s="225"/>
      <c r="R261" s="226"/>
      <c r="T261" s="138" t="str">
        <f>_xlfn.XLOOKUP(T225,RenewalPlans!B:B,RenewalPlans!AV:AV,"NA",0,1)</f>
        <v>NA</v>
      </c>
      <c r="U261" s="225"/>
      <c r="V261" s="225"/>
      <c r="W261" s="225"/>
      <c r="X261" s="137"/>
      <c r="Y261" s="225"/>
      <c r="Z261" s="226"/>
    </row>
    <row r="262" spans="4:26" ht="18" customHeight="1">
      <c r="D262" s="227"/>
      <c r="E262" s="176"/>
      <c r="F262" s="178"/>
      <c r="G262" s="179"/>
      <c r="H262" s="178"/>
      <c r="I262" s="176"/>
      <c r="J262" s="228"/>
      <c r="K262"/>
      <c r="L262" s="178"/>
      <c r="M262" s="176"/>
      <c r="N262" s="139"/>
      <c r="O262" s="178"/>
      <c r="P262" s="178"/>
      <c r="Q262" s="178"/>
      <c r="R262" s="228"/>
      <c r="T262" s="178"/>
      <c r="U262" s="176"/>
      <c r="V262" s="139"/>
      <c r="W262" s="178"/>
      <c r="X262" s="178"/>
      <c r="Y262" s="178"/>
      <c r="Z262" s="228"/>
    </row>
    <row r="263" spans="1:26" ht="5.25" customHeight="1" thickBot="1">
      <c r="A263" s="140"/>
      <c r="B263" s="140"/>
      <c r="D263" s="229"/>
      <c r="E263" s="229"/>
      <c r="F263" s="230"/>
      <c r="G263" s="231"/>
      <c r="H263" s="232"/>
      <c r="I263" s="233"/>
      <c r="J263" s="233"/>
      <c r="K263"/>
      <c r="L263" s="233"/>
      <c r="M263" s="233"/>
      <c r="N263" s="233"/>
      <c r="O263" s="233"/>
      <c r="P263" s="233"/>
      <c r="Q263" s="233"/>
      <c r="R263" s="233"/>
      <c r="T263" s="233"/>
      <c r="U263" s="233"/>
      <c r="V263" s="233"/>
      <c r="W263" s="233"/>
      <c r="X263" s="233"/>
      <c r="Y263" s="233"/>
      <c r="Z263" s="233"/>
    </row>
    <row r="264" spans="1:26" ht="50.15" customHeight="1">
      <c r="A264" s="140">
        <v>6</v>
      </c>
      <c r="B264" s="140">
        <f>IF(A264&gt;Class2_CurrentHealthCount,"DELETE",Class2_CurrentHealthStart+A264)</f>
        <v>38</v>
      </c>
      <c r="C264" s="164" t="s">
        <v>279</v>
      </c>
      <c r="D264" s="273" t="e">
        <f ca="1">IF(B264="Delete","",VLOOKUP(F264,BEGIN_CURRENT_HEALTH:END_CURRENT_HEALTH,3,FALSE))</f>
        <v>#N/A</v>
      </c>
      <c r="E264" s="165"/>
      <c r="F264" s="272" cm="1">
        <f t="array" ca="1" aca="1" ref="F264">IF(B264="Delete","",INDIRECT("CurrentPlans!A"&amp;B264,TRUE))</f>
        <v>0</v>
      </c>
      <c r="G264" s="166"/>
      <c r="H264" s="167"/>
      <c r="I264" s="168"/>
      <c r="J264" s="169"/>
      <c r="K264"/>
      <c r="L264" s="274" t="str">
        <f ca="1">_xlfn.IFNA(VLOOKUP(F264,BEGIN_RENEWEDFROM_HEALTH:ROW_RenewHealth_PlanID,3,FALSE),"SELECT PLAN")</f>
        <v>SELECT PLAN</v>
      </c>
      <c r="M264" s="170"/>
      <c r="N264" s="274" t="s">
        <v>237</v>
      </c>
      <c r="O264" s="171"/>
      <c r="P264" s="171"/>
      <c r="Q264" s="171"/>
      <c r="R264" s="169"/>
      <c r="T264" s="274" t="s">
        <v>38</v>
      </c>
      <c r="U264" s="170"/>
      <c r="V264" s="274" t="s">
        <v>237</v>
      </c>
      <c r="W264" s="171"/>
      <c r="X264" s="171"/>
      <c r="Y264" s="171"/>
      <c r="Z264" s="169"/>
    </row>
    <row r="265" spans="1:26" ht="18.75" customHeight="1">
      <c r="A265" s="140"/>
      <c r="B265" s="140"/>
      <c r="D265" s="172" t="s">
        <v>238</v>
      </c>
      <c r="E265" s="407" t="str">
        <f ca="1">_xlfn.IFNA(VLOOKUP(F264,BEGIN_CURRENT_HEALTH:END_CURRENT_HEALTH,CURRENT_COL_EO_count,FALSE),"")</f>
        <v/>
      </c>
      <c r="F265" s="408" t="str">
        <f ca="1">_xlfn.IFNA(VLOOKUP(F264,BEGIN_CURRENT_HEALTH:END_CURRENT_HEALTH,CURRENT_COL_EO,FALSE),"")</f>
        <v/>
      </c>
      <c r="G265" s="468" t="str">
        <f ca="1" t="shared" si="25" ref="G265:G268">IF(F265="","",H265/F265)</f>
        <v/>
      </c>
      <c r="H265" s="408" t="str">
        <f ca="1">_xlfn.IFNA(VLOOKUP(F264,BEGIN_CURRENT_HEALTH:END_CURRENT_HEALTH,CURRENT_COL_EOContrib,FALSE),"")</f>
        <v/>
      </c>
      <c r="I265" s="409" t="str">
        <f ca="1">IFERROR(F265-H265,"")</f>
        <v/>
      </c>
      <c r="J265" s="410" t="str">
        <f ca="1">IF(F265="","",H265*E265)</f>
        <v/>
      </c>
      <c r="K265" s="411"/>
      <c r="L265" s="408" t="str" cm="1">
        <f t="array" ca="1" aca="1" ref="L265">_xlfn.IFNA(VLOOKUP(INDIRECT("L"&amp;ROW()-1)&amp;"_"&amp;$D$12,BEGIN_RENEW_HEALTH:END_RENEW_HEALTH,RENEW_COL_EO,FALSE),"")</f>
        <v/>
      </c>
      <c r="M265" s="412" t="str">
        <f ca="1">IF(E265="","",E265)</f>
        <v/>
      </c>
      <c r="N265" s="413"/>
      <c r="O265" s="414"/>
      <c r="P265" s="415" t="str">
        <f>IFERROR(IF($N264="Keep Contribution Same",H265,IF($N264="Enter Percentages",IF(N265="","",N265*L265),IF($N264="Keep Percentage Same",IF(G265="","",G265*L265),IF($N264="Enter Dollar Amount",IF(O265="","",O265),"")))),"")</f>
        <v/>
      </c>
      <c r="Q265" s="408" t="str">
        <f ca="1">IFERROR(L265-P265,"")</f>
        <v/>
      </c>
      <c r="R265" s="410" t="str">
        <f>IFERROR(IF(P265="","",M265*P265),"")</f>
        <v/>
      </c>
      <c r="S265" s="411"/>
      <c r="T265" s="408" t="str" cm="1">
        <f t="array" ca="1" aca="1" ref="T265">_xlfn.IFNA(VLOOKUP(INDIRECT("T"&amp;ROW()-1)&amp;"_"&amp;$D$12,BEGIN_RENEW_HEALTH:END_RENEW_HEALTH,RENEW_COL_EO,FALSE),"")</f>
        <v/>
      </c>
      <c r="U265" s="412" t="str">
        <f ca="1">IF(E265="","",E265)</f>
        <v/>
      </c>
      <c r="V265" s="413"/>
      <c r="W265" s="414"/>
      <c r="X265" s="415" t="str">
        <f>IFERROR(IF($V264="Keep Contribution Same",H265,IF($V264="Enter Percentages",IF(V265="","",V265*T265),IF($V264="Keep Percentage Same",IF(G265="","",G265*T265),IF($V264="Enter Dollar Amount",IF(W265="","",W265),"")))),"")</f>
        <v/>
      </c>
      <c r="Y265" s="408" t="str">
        <f ca="1">IFERROR(T265-X265,"")</f>
        <v/>
      </c>
      <c r="Z265" s="410" t="str">
        <f>IFERROR(IF(X265="","",U265*X265),"")</f>
        <v/>
      </c>
    </row>
    <row r="266" spans="1:26" ht="18.75" customHeight="1">
      <c r="A266" s="140"/>
      <c r="B266" s="140"/>
      <c r="D266" s="172" t="s">
        <v>239</v>
      </c>
      <c r="E266" s="407" t="str">
        <f ca="1">_xlfn.IFNA(VLOOKUP(F264,BEGIN_CURRENT_HEALTH:END_CURRENT_HEALTH,CURRENT_COL_ES_count,FALSE),"")</f>
        <v/>
      </c>
      <c r="F266" s="408" t="str">
        <f ca="1">_xlfn.IFNA(VLOOKUP(F264,BEGIN_CURRENT_HEALTH:END_CURRENT_HEALTH,CURRENT_COL_ES,FALSE),"")</f>
        <v/>
      </c>
      <c r="G266" s="468" t="str">
        <f t="shared" ca="1" si="25"/>
        <v/>
      </c>
      <c r="H266" s="408" t="str">
        <f ca="1">_xlfn.IFNA(VLOOKUP(F264,BEGIN_CURRENT_HEALTH:END_CURRENT_HEALTH,CURRENT_COL_ESContrib,FALSE),"")</f>
        <v/>
      </c>
      <c r="I266" s="409" t="str">
        <f ca="1" t="shared" si="26" ref="I266:I268">IFERROR(F266-H266,"")</f>
        <v/>
      </c>
      <c r="J266" s="410" t="str">
        <f ca="1">IF(F266="","",H266*E266)</f>
        <v/>
      </c>
      <c r="K266" s="411"/>
      <c r="L266" s="408" t="str" cm="1">
        <f t="array" ca="1" aca="1" ref="L266">_xlfn.IFNA(VLOOKUP(INDIRECT("L"&amp;ROW()-2)&amp;"_"&amp;$D$12,BEGIN_RENEW_HEALTH:END_RENEW_HEALTH,RENEW_COL_ES,FALSE),"")</f>
        <v/>
      </c>
      <c r="M266" s="412" t="str">
        <f ca="1">IF(E266="","",E266)</f>
        <v/>
      </c>
      <c r="N266" s="413"/>
      <c r="O266" s="414"/>
      <c r="P266" s="415" t="str">
        <f>IFERROR(IF($N264="Keep Contribution Same",H266,IF($N264="Enter Percentages",IF(N266="","",N266*L266),IF($N264="Keep Percentage Same",IF(G266="","",G266*L266),IF($N264="Enter Dollar Amount",IF(O266="","",O266),"")))),"")</f>
        <v/>
      </c>
      <c r="Q266" s="408" t="str">
        <f ca="1">IFERROR(L266-P266,"")</f>
        <v/>
      </c>
      <c r="R266" s="410" t="str">
        <f>IFERROR(IF(P266="","",M266*P266),"")</f>
        <v/>
      </c>
      <c r="S266" s="411"/>
      <c r="T266" s="408" t="str" cm="1">
        <f t="array" ca="1" aca="1" ref="T266">_xlfn.IFNA(VLOOKUP(INDIRECT("T"&amp;ROW()-2)&amp;"_"&amp;$D$12,BEGIN_RENEW_HEALTH:END_RENEW_HEALTH,RENEW_COL_ES,FALSE),"")</f>
        <v/>
      </c>
      <c r="U266" s="412" t="str">
        <f ca="1" t="shared" si="27" ref="U266:U268">IF(E266="","",E266)</f>
        <v/>
      </c>
      <c r="V266" s="413"/>
      <c r="W266" s="414"/>
      <c r="X266" s="415" t="str">
        <f>IFERROR(IF($V264="Keep Contribution Same",H266,IF($V264="Enter Percentages",IF(V266="","",V266*T266),IF($V264="Keep Percentage Same",IF(G266="","",G266*T266),IF($V264="Enter Dollar Amount",IF(W266="","",W266),"")))),"")</f>
        <v/>
      </c>
      <c r="Y266" s="408" t="str">
        <f ca="1" t="shared" si="28" ref="Y266:Y268">IFERROR(T266-X266,"")</f>
        <v/>
      </c>
      <c r="Z266" s="410" t="str">
        <f t="shared" si="29" ref="Z266:Z268">IFERROR(IF(X266="","",U266*X266),"")</f>
        <v/>
      </c>
    </row>
    <row r="267" spans="1:26" ht="18.75" customHeight="1">
      <c r="A267" s="140"/>
      <c r="B267" s="140"/>
      <c r="D267" s="172" t="s">
        <v>240</v>
      </c>
      <c r="E267" s="407" t="str">
        <f ca="1">_xlfn.IFNA(VLOOKUP(F264,BEGIN_CURRENT_HEALTH:END_CURRENT_HEALTH,CURRENT_COL_EC_count,FALSE),"")</f>
        <v/>
      </c>
      <c r="F267" s="408" t="str">
        <f ca="1">_xlfn.IFNA(VLOOKUP(F264,BEGIN_CURRENT_HEALTH:END_CURRENT_HEALTH,CURRENT_COL_EC,FALSE),"")</f>
        <v/>
      </c>
      <c r="G267" s="468" t="str">
        <f t="shared" ca="1" si="25"/>
        <v/>
      </c>
      <c r="H267" s="408" t="str">
        <f ca="1">_xlfn.IFNA(VLOOKUP(F264,BEGIN_CURRENT_HEALTH:END_CURRENT_HEALTH,CURRENT_COL_ECContrib,FALSE),"")</f>
        <v/>
      </c>
      <c r="I267" s="409" t="str">
        <f t="shared" ca="1" si="26"/>
        <v/>
      </c>
      <c r="J267" s="410" t="str">
        <f ca="1">IF(F267="","",H267*E267)</f>
        <v/>
      </c>
      <c r="K267" s="411"/>
      <c r="L267" s="408" t="str" cm="1">
        <f t="array" ca="1" aca="1" ref="L267">_xlfn.IFNA(VLOOKUP(INDIRECT("L"&amp;ROW()-3)&amp;"_"&amp;$D$12,BEGIN_RENEW_HEALTH:END_RENEW_HEALTH,RENEW_COL_EC,FALSE),"")</f>
        <v/>
      </c>
      <c r="M267" s="412" t="str">
        <f ca="1">IF(E267="","",E267)</f>
        <v/>
      </c>
      <c r="N267" s="413"/>
      <c r="O267" s="414"/>
      <c r="P267" s="415" t="str">
        <f>IFERROR(IF($N264="Keep Contribution Same",H267,IF($N264="Enter Percentages",IF(N267="","",N267*L267),IF($N264="Keep Percentage Same",IF(G267="","",G267*L267),IF($N264="Enter Dollar Amount",IF(O267="","",O267),"")))),"")</f>
        <v/>
      </c>
      <c r="Q267" s="408" t="str">
        <f ca="1">IFERROR(L267-P267,"")</f>
        <v/>
      </c>
      <c r="R267" s="410" t="str">
        <f>IFERROR(IF(P267="","",M267*P267),"")</f>
        <v/>
      </c>
      <c r="S267" s="411"/>
      <c r="T267" s="408" t="str" cm="1">
        <f t="array" ca="1" aca="1" ref="T267">_xlfn.IFNA(VLOOKUP(INDIRECT("T"&amp;ROW()-3)&amp;"_"&amp;$D$12,BEGIN_RENEW_HEALTH:END_RENEW_HEALTH,RENEW_COL_EC,FALSE),"")</f>
        <v/>
      </c>
      <c r="U267" s="412" t="str">
        <f t="shared" ca="1" si="27"/>
        <v/>
      </c>
      <c r="V267" s="413"/>
      <c r="W267" s="414"/>
      <c r="X267" s="415" t="str">
        <f>IFERROR(IF($V264="Keep Contribution Same",H267,IF($V264="Enter Percentages",IF(V267="","",V267*T267),IF($V264="Keep Percentage Same",IF(G267="","",G267*T267),IF($V264="Enter Dollar Amount",IF(W267="","",W267),"")))),"")</f>
        <v/>
      </c>
      <c r="Y267" s="408" t="str">
        <f t="shared" ca="1" si="28"/>
        <v/>
      </c>
      <c r="Z267" s="410" t="str">
        <f t="shared" si="29"/>
        <v/>
      </c>
    </row>
    <row r="268" spans="1:26" ht="18.75" customHeight="1" thickBot="1">
      <c r="A268" s="140"/>
      <c r="B268" s="140"/>
      <c r="D268" s="174" t="s">
        <v>241</v>
      </c>
      <c r="E268" s="416" t="str">
        <f ca="1">_xlfn.IFNA(VLOOKUP(F264,BEGIN_CURRENT_HEALTH:END_CURRENT_HEALTH,CURRENT_COL_FAM_count,FALSE),"")</f>
        <v/>
      </c>
      <c r="F268" s="417" t="str">
        <f ca="1">_xlfn.IFNA(VLOOKUP(F264,BEGIN_CURRENT_HEALTH:END_CURRENT_HEALTH,CURRENT_COL_FAM,FALSE),"")</f>
        <v/>
      </c>
      <c r="G268" s="469" t="str">
        <f t="shared" ca="1" si="25"/>
        <v/>
      </c>
      <c r="H268" s="417" t="str">
        <f ca="1">_xlfn.IFNA(VLOOKUP(F264,BEGIN_CURRENT_HEALTH:END_CURRENT_HEALTH,CURRENT_COL_FAMContrib,FALSE),"")</f>
        <v/>
      </c>
      <c r="I268" s="418" t="str">
        <f t="shared" ca="1" si="26"/>
        <v/>
      </c>
      <c r="J268" s="419" t="str">
        <f ca="1">IF(F268="","",H268*E268)</f>
        <v/>
      </c>
      <c r="K268" s="411"/>
      <c r="L268" s="417" t="str" cm="1">
        <f t="array" ca="1" aca="1" ref="L268">_xlfn.IFNA(VLOOKUP(INDIRECT("L"&amp;ROW()-4)&amp;"_"&amp;$D$12,BEGIN_RENEW_HEALTH:END_RENEW_HEALTH,RENEW_COL_FAM,FALSE),"")</f>
        <v/>
      </c>
      <c r="M268" s="412" t="str">
        <f ca="1">IF(E268="","",E268)</f>
        <v/>
      </c>
      <c r="N268" s="420"/>
      <c r="O268" s="421"/>
      <c r="P268" s="422" t="str">
        <f>IFERROR(IF($N264="Keep Contribution Same",H268,IF($N264="Enter Percentages",IF(N268="","",N268*L268),IF($N264="Keep Percentage Same",IF(G268="","",G268*L268),IF($N264="Enter Dollar Amount",IF(O268="","",O268),"")))),"")</f>
        <v/>
      </c>
      <c r="Q268" s="422" t="str">
        <f ca="1">IFERROR(L268-P268,"")</f>
        <v/>
      </c>
      <c r="R268" s="410" t="str">
        <f>IFERROR(IF(P268="","",M268*P268),"")</f>
        <v/>
      </c>
      <c r="S268" s="411"/>
      <c r="T268" s="417" t="str" cm="1">
        <f t="array" ca="1" aca="1" ref="T268">_xlfn.IFNA(VLOOKUP(INDIRECT("T"&amp;ROW()-4)&amp;"_"&amp;$D$12,BEGIN_RENEW_HEALTH:END_RENEW_HEALTH,RENEW_COL_FAM,FALSE),"")</f>
        <v/>
      </c>
      <c r="U268" s="423" t="str">
        <f t="shared" ca="1" si="27"/>
        <v/>
      </c>
      <c r="V268" s="420"/>
      <c r="W268" s="421"/>
      <c r="X268" s="422" t="str">
        <f>IFERROR(IF($V264="Keep Contribution Same",H268,IF($V264="Enter Percentages",IF(V268="","",V268*T268),IF($V264="Keep Percentage Same",IF(G268="","",G268*T268),IF($V264="Enter Dollar Amount",IF(W268="","",W268),"")))),"")</f>
        <v/>
      </c>
      <c r="Y268" s="417" t="str">
        <f t="shared" ca="1" si="28"/>
        <v/>
      </c>
      <c r="Z268" s="419" t="str">
        <f t="shared" si="29"/>
        <v/>
      </c>
    </row>
    <row r="269" spans="1:26" ht="18.75" customHeight="1" thickTop="1">
      <c r="A269" s="140"/>
      <c r="B269" s="140"/>
      <c r="D269" s="175" t="s">
        <v>242</v>
      </c>
      <c r="E269" s="424"/>
      <c r="F269" s="447" t="str">
        <f ca="1">IFERROR((F265*E265)+(F266*E266)+(F267*E267)+(F268*E268),"")</f>
        <v/>
      </c>
      <c r="G269" s="426"/>
      <c r="H269" s="427"/>
      <c r="I269" s="428"/>
      <c r="J269" s="429" t="str">
        <f ca="1">IFERROR(IF(J265="","",SUM(J265:J268)),0)</f>
        <v/>
      </c>
      <c r="K269" s="1"/>
      <c r="L269" s="430" t="str">
        <f ca="1">IFERROR((M265*L265)+(M266*L266)+(M267*L267)+(M268*L268),"")</f>
        <v/>
      </c>
      <c r="M269" s="427"/>
      <c r="N269" s="426"/>
      <c r="O269" s="427"/>
      <c r="P269" s="431"/>
      <c r="Q269" s="432"/>
      <c r="R269" s="429" t="str">
        <f>IFERROR(IF(R265="","",SUM(R265:R268)),0)</f>
        <v/>
      </c>
      <c r="T269" s="430" t="str">
        <f ca="1">IFERROR((U265*T265)+(U266*T266)+(U267*T267)+(U268*T268),"")</f>
        <v/>
      </c>
      <c r="U269" s="427"/>
      <c r="V269" s="426"/>
      <c r="W269" s="427"/>
      <c r="X269" s="431"/>
      <c r="Y269" s="432"/>
      <c r="Z269" s="429" t="str">
        <f>IFERROR(IF(Z265="","",SUM(Z265:Z268)),0)</f>
        <v/>
      </c>
    </row>
    <row r="270" spans="1:26" ht="18.75" customHeight="1">
      <c r="A270" s="140"/>
      <c r="B270" s="140"/>
      <c r="D270" s="177" t="s">
        <v>243</v>
      </c>
      <c r="E270" s="433"/>
      <c r="F270" s="448" t="str">
        <f ca="1">IFERROR(F269*12,"")</f>
        <v/>
      </c>
      <c r="G270" s="435"/>
      <c r="H270" s="436"/>
      <c r="I270" s="432"/>
      <c r="J270" s="437" t="str">
        <f ca="1">IF(J269="","",J269*12)</f>
        <v/>
      </c>
      <c r="K270" s="1"/>
      <c r="L270" s="438" t="str">
        <f ca="1">IFERROR(L269*12,"")</f>
        <v/>
      </c>
      <c r="M270" s="436"/>
      <c r="N270" s="435"/>
      <c r="O270" s="436"/>
      <c r="P270" s="432"/>
      <c r="Q270" s="432"/>
      <c r="R270" s="437" t="str">
        <f>IF(R269="","",R269*12)</f>
        <v/>
      </c>
      <c r="T270" s="438" t="str">
        <f ca="1">IFERROR(T269*12,"")</f>
        <v/>
      </c>
      <c r="U270" s="436"/>
      <c r="V270" s="435"/>
      <c r="W270" s="436"/>
      <c r="X270" s="432"/>
      <c r="Y270" s="432"/>
      <c r="Z270" s="437" t="str">
        <f>IF(Z269="","",Z269*12)</f>
        <v/>
      </c>
    </row>
    <row r="271" spans="1:26" ht="18" customHeight="1">
      <c r="A271" s="140"/>
      <c r="B271" s="140"/>
      <c r="D271" s="177" t="s">
        <v>244</v>
      </c>
      <c r="E271" s="433"/>
      <c r="F271" s="436"/>
      <c r="G271" s="435"/>
      <c r="H271" s="436"/>
      <c r="I271" s="432"/>
      <c r="J271" s="437"/>
      <c r="K271" s="1"/>
      <c r="L271" s="434" t="str">
        <f ca="1">IFERROR(L270-F270,"")</f>
        <v/>
      </c>
      <c r="M271" s="436"/>
      <c r="N271" s="435"/>
      <c r="O271" s="436"/>
      <c r="P271" s="432"/>
      <c r="Q271" s="432"/>
      <c r="R271" s="437" t="str">
        <f ca="1">IFERROR(IF(J270="","",R270-J270),0)</f>
        <v/>
      </c>
      <c r="T271" s="434" t="str">
        <f ca="1">IFERROR(T270-F270,"")</f>
        <v/>
      </c>
      <c r="U271" s="436"/>
      <c r="V271" s="435"/>
      <c r="W271" s="436"/>
      <c r="X271" s="432"/>
      <c r="Y271" s="432"/>
      <c r="Z271" s="437" t="str">
        <f>IFERROR(IF(R270="","",Z270-R270),0)</f>
        <v/>
      </c>
    </row>
    <row r="272" spans="1:26" ht="18" customHeight="1" thickBot="1">
      <c r="A272" s="140"/>
      <c r="B272" s="140"/>
      <c r="D272" s="180" t="s">
        <v>245</v>
      </c>
      <c r="E272" s="439"/>
      <c r="F272" s="440"/>
      <c r="G272" s="441"/>
      <c r="H272" s="440"/>
      <c r="I272" s="442"/>
      <c r="J272" s="443"/>
      <c r="K272" s="1"/>
      <c r="L272" s="444" t="str">
        <f ca="1">IFERROR(L270/F270-1,"")</f>
        <v/>
      </c>
      <c r="M272" s="440"/>
      <c r="N272" s="441"/>
      <c r="O272" s="440"/>
      <c r="P272" s="445"/>
      <c r="Q272" s="445"/>
      <c r="R272" s="446" t="str">
        <f ca="1">IFERROR(IF(J270="","",(R270/J270)-1),0)</f>
        <v/>
      </c>
      <c r="T272" s="444" t="str">
        <f ca="1">IFERROR(T270/F270-1,"")</f>
        <v/>
      </c>
      <c r="U272" s="440"/>
      <c r="V272" s="441"/>
      <c r="W272" s="440"/>
      <c r="X272" s="445"/>
      <c r="Y272" s="445"/>
      <c r="Z272" s="446" t="str">
        <f>IFERROR(IF(R270="","",(Z270/R270)-1),0)</f>
        <v/>
      </c>
    </row>
    <row r="273" spans="1:26" ht="18" customHeight="1">
      <c r="A273" s="140"/>
      <c r="B273" s="140"/>
      <c r="D273" s="181" t="s">
        <v>246</v>
      </c>
      <c r="E273" s="182"/>
      <c r="F273" s="182"/>
      <c r="G273" s="182"/>
      <c r="H273" s="182"/>
      <c r="I273" s="182"/>
      <c r="J273" s="183"/>
      <c r="K273"/>
      <c r="L273" s="184"/>
      <c r="M273" s="182"/>
      <c r="N273" s="182"/>
      <c r="O273" s="182"/>
      <c r="P273" s="182"/>
      <c r="Q273" s="182"/>
      <c r="R273" s="183"/>
      <c r="T273" s="184"/>
      <c r="U273" s="182"/>
      <c r="V273" s="182"/>
      <c r="W273" s="182"/>
      <c r="X273" s="182"/>
      <c r="Y273" s="182"/>
      <c r="Z273" s="183"/>
    </row>
    <row r="274" spans="1:26" ht="18" customHeight="1" hidden="1">
      <c r="A274" s="140"/>
      <c r="B274" s="140"/>
      <c r="D274" s="185" t="s">
        <v>247</v>
      </c>
      <c r="E274" s="186"/>
      <c r="F274" s="186"/>
      <c r="G274" s="186"/>
      <c r="H274" s="186"/>
      <c r="I274" s="186"/>
      <c r="J274" s="187"/>
      <c r="K274"/>
      <c r="L274" s="188"/>
      <c r="M274" s="186"/>
      <c r="N274" s="186"/>
      <c r="O274" s="186"/>
      <c r="P274" s="186"/>
      <c r="Q274" s="186"/>
      <c r="R274" s="187"/>
      <c r="T274" s="188"/>
      <c r="U274" s="186"/>
      <c r="V274" s="186"/>
      <c r="W274" s="186"/>
      <c r="X274" s="186"/>
      <c r="Y274" s="186"/>
      <c r="Z274" s="187"/>
    </row>
    <row r="275" spans="1:26" ht="18" customHeight="1" hidden="1">
      <c r="A275" s="140"/>
      <c r="B275" s="140"/>
      <c r="D275" s="189" t="s">
        <v>248</v>
      </c>
      <c r="E275" s="190" t="e">
        <f ca="1">D264&amp;"_"&amp;D12</f>
        <v>#N/A</v>
      </c>
      <c r="F275" s="191"/>
      <c r="G275" s="191"/>
      <c r="H275" s="191"/>
      <c r="I275" s="190"/>
      <c r="J275" s="192"/>
      <c r="K275"/>
      <c r="L275" s="193" t="str">
        <f ca="1">L264&amp;"_"&amp;D12</f>
        <v>SELECT PLAN_OWNERS</v>
      </c>
      <c r="M275" s="191"/>
      <c r="N275" s="191"/>
      <c r="O275" s="191"/>
      <c r="P275" s="190"/>
      <c r="Q275" s="191"/>
      <c r="R275" s="192"/>
      <c r="T275" s="193" t="str">
        <f>T264&amp;"_"&amp;D12</f>
        <v>SELECT PLAN_OWNERS</v>
      </c>
      <c r="U275" s="191"/>
      <c r="V275" s="191"/>
      <c r="W275" s="191"/>
      <c r="X275" s="190"/>
      <c r="Y275" s="191"/>
      <c r="Z275" s="192"/>
    </row>
    <row r="276" spans="1:26" ht="18" customHeight="1" hidden="1">
      <c r="A276" s="140"/>
      <c r="B276" s="140"/>
      <c r="D276" s="189" t="s">
        <v>249</v>
      </c>
      <c r="E276" s="191"/>
      <c r="F276" s="191"/>
      <c r="G276" s="191"/>
      <c r="H276" s="191"/>
      <c r="I276" s="191"/>
      <c r="J276" s="192"/>
      <c r="K276"/>
      <c r="L276" s="189"/>
      <c r="M276" s="191"/>
      <c r="N276" s="191"/>
      <c r="O276" s="191"/>
      <c r="P276" s="191"/>
      <c r="Q276" s="191"/>
      <c r="R276" s="192"/>
      <c r="T276" s="189"/>
      <c r="U276" s="191"/>
      <c r="V276" s="191"/>
      <c r="W276" s="191"/>
      <c r="X276" s="191"/>
      <c r="Y276" s="191"/>
      <c r="Z276" s="192"/>
    </row>
    <row r="277" spans="1:26" ht="18" customHeight="1" hidden="1">
      <c r="A277" s="140"/>
      <c r="B277" s="140"/>
      <c r="D277" s="194" t="s">
        <v>250</v>
      </c>
      <c r="E277" s="195"/>
      <c r="F277" s="195"/>
      <c r="G277" s="195"/>
      <c r="H277" s="195"/>
      <c r="I277" s="195"/>
      <c r="J277" s="196"/>
      <c r="K277"/>
      <c r="L277" s="197"/>
      <c r="M277" s="195"/>
      <c r="N277" s="195"/>
      <c r="O277" s="195"/>
      <c r="P277" s="195"/>
      <c r="Q277" s="195"/>
      <c r="R277" s="196"/>
      <c r="T277" s="197"/>
      <c r="U277" s="195"/>
      <c r="V277" s="195"/>
      <c r="W277" s="195"/>
      <c r="X277" s="195"/>
      <c r="Y277" s="195"/>
      <c r="Z277" s="196"/>
    </row>
    <row r="278" spans="1:26" ht="18" customHeight="1" hidden="1">
      <c r="A278" s="140"/>
      <c r="B278" s="140"/>
      <c r="D278" s="198" t="s">
        <v>251</v>
      </c>
      <c r="E278" s="199" t="e">
        <f>_xlfn.XLOOKUP(E275,CurrentPlans!B:B,CurrentPlans!X:X,"NA",0,1)</f>
        <v>#N/A</v>
      </c>
      <c r="F278" s="200"/>
      <c r="G278" s="200"/>
      <c r="H278" s="200"/>
      <c r="I278" s="199"/>
      <c r="J278" s="201"/>
      <c r="K278"/>
      <c r="L278" s="202" t="str">
        <f ca="1">_xlfn.XLOOKUP(L275,RenewalPlans!B:B,RenewalPlans!AA:AA,"NA",0,1)</f>
        <v>NA</v>
      </c>
      <c r="M278" s="200"/>
      <c r="N278" s="200"/>
      <c r="O278" s="200"/>
      <c r="P278" s="199"/>
      <c r="Q278" s="200"/>
      <c r="R278" s="201"/>
      <c r="T278" s="202" t="str">
        <f>_xlfn.XLOOKUP(T275,RenewalPlans!B:B,RenewalPlans!AA:AA,"NA",0,1)</f>
        <v>NA</v>
      </c>
      <c r="U278" s="200"/>
      <c r="V278" s="200"/>
      <c r="W278" s="200"/>
      <c r="X278" s="199"/>
      <c r="Y278" s="200"/>
      <c r="Z278" s="201"/>
    </row>
    <row r="279" spans="1:26" ht="18" customHeight="1" hidden="1">
      <c r="A279" s="140"/>
      <c r="B279" s="140"/>
      <c r="D279" s="198" t="s">
        <v>252</v>
      </c>
      <c r="E279" s="199" t="e">
        <f>_xlfn.XLOOKUP(E275,CurrentPlans!B:B,CurrentPlans!Y:Y,"NA",0,1)</f>
        <v>#N/A</v>
      </c>
      <c r="F279" s="200"/>
      <c r="G279" s="200"/>
      <c r="H279" s="200"/>
      <c r="I279" s="199"/>
      <c r="J279" s="201"/>
      <c r="K279"/>
      <c r="L279" s="202" t="str">
        <f ca="1">_xlfn.XLOOKUP(L275,RenewalPlans!B:B,RenewalPlans!AB:AB,"NA",0,1)</f>
        <v>NA</v>
      </c>
      <c r="M279" s="200"/>
      <c r="N279" s="200"/>
      <c r="O279" s="200"/>
      <c r="P279" s="199"/>
      <c r="Q279" s="200"/>
      <c r="R279" s="201"/>
      <c r="T279" s="202" t="str">
        <f>_xlfn.XLOOKUP(T275,RenewalPlans!B:B,RenewalPlans!AB:AB,"NA",0,1)</f>
        <v>NA</v>
      </c>
      <c r="U279" s="200"/>
      <c r="V279" s="200"/>
      <c r="W279" s="200"/>
      <c r="X279" s="199"/>
      <c r="Y279" s="200"/>
      <c r="Z279" s="201"/>
    </row>
    <row r="280" spans="1:26" ht="18" customHeight="1" hidden="1">
      <c r="A280" s="140"/>
      <c r="B280" s="140"/>
      <c r="D280" s="120" t="s">
        <v>253</v>
      </c>
      <c r="E280" s="121" t="e">
        <f>_xlfn.XLOOKUP(E275,CurrentPlans!B:B,CurrentPlans!W:W,"NA",0,1)</f>
        <v>#N/A</v>
      </c>
      <c r="F280" s="122"/>
      <c r="G280" s="122"/>
      <c r="H280" s="122"/>
      <c r="I280" s="121"/>
      <c r="J280" s="123"/>
      <c r="K280"/>
      <c r="L280" s="124" t="str">
        <f ca="1">_xlfn.XLOOKUP(L275,RenewalPlans!B:B,RenewalPlans!Z:Z,"NA",0,1)</f>
        <v>NA</v>
      </c>
      <c r="M280" s="122"/>
      <c r="N280" s="122"/>
      <c r="O280" s="122"/>
      <c r="P280" s="121"/>
      <c r="Q280" s="122"/>
      <c r="R280" s="123"/>
      <c r="T280" s="124" t="str">
        <f>_xlfn.XLOOKUP(T275,RenewalPlans!B:B,RenewalPlans!Z:Z,"NA",0,1)</f>
        <v>NA</v>
      </c>
      <c r="U280" s="122"/>
      <c r="V280" s="122"/>
      <c r="W280" s="122"/>
      <c r="X280" s="121"/>
      <c r="Y280" s="122"/>
      <c r="Z280" s="123"/>
    </row>
    <row r="281" spans="1:26" ht="18" customHeight="1" hidden="1">
      <c r="A281" s="140"/>
      <c r="B281" s="140"/>
      <c r="D281" s="203" t="s">
        <v>254</v>
      </c>
      <c r="E281" s="204"/>
      <c r="F281" s="205"/>
      <c r="G281" s="205"/>
      <c r="H281" s="205"/>
      <c r="I281" s="204"/>
      <c r="J281" s="206"/>
      <c r="K281"/>
      <c r="L281" s="207"/>
      <c r="M281" s="205"/>
      <c r="N281" s="205"/>
      <c r="O281" s="205"/>
      <c r="P281" s="204"/>
      <c r="Q281" s="205"/>
      <c r="R281" s="206"/>
      <c r="T281" s="207"/>
      <c r="U281" s="205"/>
      <c r="V281" s="205"/>
      <c r="W281" s="205"/>
      <c r="X281" s="204"/>
      <c r="Y281" s="205"/>
      <c r="Z281" s="206"/>
    </row>
    <row r="282" spans="1:26" ht="18" customHeight="1" hidden="1">
      <c r="A282" s="140"/>
      <c r="B282" s="140"/>
      <c r="D282" s="125" t="s">
        <v>255</v>
      </c>
      <c r="E282" s="126" t="e">
        <f>_xlfn.XLOOKUP(E275,CurrentPlans!B:B,CurrentPlans!Z:Z,"NA",0,1)</f>
        <v>#N/A</v>
      </c>
      <c r="F282" s="127"/>
      <c r="G282" s="127"/>
      <c r="H282" s="127"/>
      <c r="I282" s="126"/>
      <c r="J282" s="128"/>
      <c r="K282"/>
      <c r="L282" s="129" t="str">
        <f ca="1">_xlfn.XLOOKUP(L275,RenewalPlans!B:B,RenewalPlans!AC:AC,"NA",0,1)</f>
        <v>NA</v>
      </c>
      <c r="M282" s="127"/>
      <c r="N282" s="127"/>
      <c r="O282" s="127"/>
      <c r="P282" s="126"/>
      <c r="Q282" s="127"/>
      <c r="R282" s="128"/>
      <c r="T282" s="129" t="str">
        <f>_xlfn.XLOOKUP(T275,RenewalPlans!B:B,RenewalPlans!AC:AC,"NA",0,1)</f>
        <v>NA</v>
      </c>
      <c r="U282" s="127"/>
      <c r="V282" s="127"/>
      <c r="W282" s="127"/>
      <c r="X282" s="126"/>
      <c r="Y282" s="127"/>
      <c r="Z282" s="128"/>
    </row>
    <row r="283" spans="1:26" ht="18" customHeight="1" hidden="1">
      <c r="A283" s="140"/>
      <c r="B283" s="140"/>
      <c r="D283" s="198" t="s">
        <v>256</v>
      </c>
      <c r="E283" s="208" t="e">
        <f>_xlfn.XLOOKUP(E275,CurrentPlans!B:B,CurrentPlans!AA:AA,"NA",0,1)</f>
        <v>#N/A</v>
      </c>
      <c r="F283" s="200"/>
      <c r="G283" s="200"/>
      <c r="H283" s="200"/>
      <c r="I283" s="208"/>
      <c r="J283" s="201"/>
      <c r="K283"/>
      <c r="L283" s="209" t="str">
        <f ca="1">_xlfn.XLOOKUP(L275,RenewalPlans!B:B,RenewalPlans!AD:AD,"NA",0,1)</f>
        <v>NA</v>
      </c>
      <c r="M283" s="200"/>
      <c r="N283" s="200"/>
      <c r="O283" s="200"/>
      <c r="P283" s="208"/>
      <c r="Q283" s="200"/>
      <c r="R283" s="201"/>
      <c r="T283" s="209" t="str">
        <f>_xlfn.XLOOKUP(T275,RenewalPlans!B:B,RenewalPlans!AD:AD,"NA",0,1)</f>
        <v>NA</v>
      </c>
      <c r="U283" s="200"/>
      <c r="V283" s="200"/>
      <c r="W283" s="200"/>
      <c r="X283" s="208"/>
      <c r="Y283" s="200"/>
      <c r="Z283" s="201"/>
    </row>
    <row r="284" spans="1:26" ht="18" customHeight="1" hidden="1">
      <c r="A284" s="140"/>
      <c r="B284" s="140"/>
      <c r="D284" s="203" t="s">
        <v>257</v>
      </c>
      <c r="E284" s="204"/>
      <c r="F284" s="205"/>
      <c r="G284" s="205"/>
      <c r="H284" s="205"/>
      <c r="I284" s="204"/>
      <c r="J284" s="206"/>
      <c r="K284"/>
      <c r="L284" s="207"/>
      <c r="M284" s="205"/>
      <c r="N284" s="205"/>
      <c r="O284" s="205"/>
      <c r="P284" s="204"/>
      <c r="Q284" s="205"/>
      <c r="R284" s="206"/>
      <c r="T284" s="207"/>
      <c r="U284" s="205"/>
      <c r="V284" s="205"/>
      <c r="W284" s="205"/>
      <c r="X284" s="204"/>
      <c r="Y284" s="205"/>
      <c r="Z284" s="206"/>
    </row>
    <row r="285" spans="1:26" ht="18" customHeight="1" hidden="1">
      <c r="A285" s="140"/>
      <c r="B285" s="140"/>
      <c r="D285" s="198" t="s">
        <v>258</v>
      </c>
      <c r="E285" s="208" t="e">
        <f>_xlfn.XLOOKUP(E275,CurrentPlans!B:B,CurrentPlans!AB:AB,"NA",0,1)</f>
        <v>#N/A</v>
      </c>
      <c r="F285" s="200"/>
      <c r="G285" s="200"/>
      <c r="H285" s="200"/>
      <c r="I285" s="208"/>
      <c r="J285" s="201"/>
      <c r="K285"/>
      <c r="L285" s="209" t="str">
        <f ca="1">_xlfn.XLOOKUP(L275,RenewalPlans!B:B,RenewalPlans!AE:AE,"NA",0,1)</f>
        <v>NA</v>
      </c>
      <c r="M285" s="200"/>
      <c r="N285" s="200"/>
      <c r="O285" s="200"/>
      <c r="P285" s="208"/>
      <c r="Q285" s="200"/>
      <c r="R285" s="201"/>
      <c r="T285" s="209" t="str">
        <f>_xlfn.XLOOKUP(T275,RenewalPlans!B:B,RenewalPlans!AE:AE,"NA",0,1)</f>
        <v>NA</v>
      </c>
      <c r="U285" s="200"/>
      <c r="V285" s="200"/>
      <c r="W285" s="200"/>
      <c r="X285" s="208"/>
      <c r="Y285" s="200"/>
      <c r="Z285" s="201"/>
    </row>
    <row r="286" spans="1:26" ht="18" customHeight="1" hidden="1">
      <c r="A286" s="140"/>
      <c r="B286" s="140"/>
      <c r="D286" s="198" t="s">
        <v>259</v>
      </c>
      <c r="E286" s="208" t="e">
        <f>_xlfn.XLOOKUP(E275,CurrentPlans!B:B,CurrentPlans!AC:AC,"NA",0,1)</f>
        <v>#N/A</v>
      </c>
      <c r="F286" s="200"/>
      <c r="G286" s="200"/>
      <c r="H286" s="200"/>
      <c r="I286" s="208"/>
      <c r="J286" s="201"/>
      <c r="K286"/>
      <c r="L286" s="209" t="str">
        <f ca="1">_xlfn.XLOOKUP(L275,RenewalPlans!B:B,RenewalPlans!AF:AF,"NA",0,1)</f>
        <v>NA</v>
      </c>
      <c r="M286" s="200"/>
      <c r="N286" s="200"/>
      <c r="O286" s="200"/>
      <c r="P286" s="208"/>
      <c r="Q286" s="200"/>
      <c r="R286" s="201"/>
      <c r="T286" s="209" t="str">
        <f>_xlfn.XLOOKUP(T275,RenewalPlans!B:B,RenewalPlans!AF:AF,"NA",0,1)</f>
        <v>NA</v>
      </c>
      <c r="U286" s="200"/>
      <c r="V286" s="200"/>
      <c r="W286" s="200"/>
      <c r="X286" s="208"/>
      <c r="Y286" s="200"/>
      <c r="Z286" s="201"/>
    </row>
    <row r="287" spans="1:26" ht="18" customHeight="1" hidden="1">
      <c r="A287" s="140"/>
      <c r="B287" s="140"/>
      <c r="D287" s="210"/>
      <c r="E287" s="211"/>
      <c r="F287" s="211"/>
      <c r="G287" s="211"/>
      <c r="H287" s="211"/>
      <c r="I287" s="211"/>
      <c r="J287" s="212"/>
      <c r="K287"/>
      <c r="L287" s="210"/>
      <c r="M287" s="211"/>
      <c r="N287" s="211"/>
      <c r="O287" s="211"/>
      <c r="P287" s="211"/>
      <c r="Q287" s="211"/>
      <c r="R287" s="212"/>
      <c r="T287" s="210"/>
      <c r="U287" s="211"/>
      <c r="V287" s="211"/>
      <c r="W287" s="211"/>
      <c r="X287" s="211"/>
      <c r="Y287" s="211"/>
      <c r="Z287" s="212"/>
    </row>
    <row r="288" spans="1:26" ht="18" customHeight="1" hidden="1">
      <c r="A288" s="140"/>
      <c r="B288" s="140"/>
      <c r="D288" s="185" t="s">
        <v>260</v>
      </c>
      <c r="E288" s="186"/>
      <c r="F288" s="186"/>
      <c r="G288" s="186"/>
      <c r="H288" s="186"/>
      <c r="I288" s="186"/>
      <c r="J288" s="187"/>
      <c r="K288"/>
      <c r="L288" s="188"/>
      <c r="M288" s="186"/>
      <c r="N288" s="186"/>
      <c r="O288" s="186"/>
      <c r="P288" s="186"/>
      <c r="Q288" s="186"/>
      <c r="R288" s="187"/>
      <c r="T288" s="188"/>
      <c r="U288" s="186"/>
      <c r="V288" s="186"/>
      <c r="W288" s="186"/>
      <c r="X288" s="186"/>
      <c r="Y288" s="186"/>
      <c r="Z288" s="187"/>
    </row>
    <row r="289" spans="1:26" ht="18" customHeight="1" hidden="1">
      <c r="A289" s="140"/>
      <c r="B289" s="140"/>
      <c r="D289" s="213" t="s">
        <v>261</v>
      </c>
      <c r="E289" s="130" t="e">
        <f>_xlfn.XLOOKUP(E275,CurrentPlans!B:B,CurrentPlans!AJ:AJ,"NA",0,1)</f>
        <v>#N/A</v>
      </c>
      <c r="F289" s="214"/>
      <c r="G289" s="214"/>
      <c r="H289" s="214"/>
      <c r="I289" s="130"/>
      <c r="J289" s="215"/>
      <c r="K289"/>
      <c r="L289" s="131" t="str">
        <f ca="1">_xlfn.XLOOKUP(L275,RenewalPlans!B:B,RenewalPlans!AM:AM,"NA",0,1)</f>
        <v>NA</v>
      </c>
      <c r="M289" s="214"/>
      <c r="N289" s="214"/>
      <c r="O289" s="214"/>
      <c r="P289" s="130"/>
      <c r="Q289" s="214"/>
      <c r="R289" s="215"/>
      <c r="T289" s="131" t="str">
        <f>_xlfn.XLOOKUP(T275,RenewalPlans!B:B,RenewalPlans!AM:AM,"NA",0,1)</f>
        <v>NA</v>
      </c>
      <c r="U289" s="214"/>
      <c r="V289" s="214"/>
      <c r="W289" s="214"/>
      <c r="X289" s="130"/>
      <c r="Y289" s="214"/>
      <c r="Z289" s="215"/>
    </row>
    <row r="290" spans="1:26" ht="18" customHeight="1" hidden="1">
      <c r="A290" s="140"/>
      <c r="B290" s="140"/>
      <c r="D290" s="198" t="s">
        <v>262</v>
      </c>
      <c r="E290" s="130" t="e">
        <f>_xlfn.XLOOKUP(E275,CurrentPlans!B:B,CurrentPlans!AM:AM,"NA",0,1)</f>
        <v>#N/A</v>
      </c>
      <c r="F290" s="200"/>
      <c r="G290" s="200"/>
      <c r="H290" s="200"/>
      <c r="I290" s="130"/>
      <c r="J290" s="201"/>
      <c r="K290"/>
      <c r="L290" s="131" t="str">
        <f ca="1">_xlfn.XLOOKUP(L275,RenewalPlans!B:B,RenewalPlans!AP:AP,"NA",0,1)</f>
        <v>NA</v>
      </c>
      <c r="M290" s="200"/>
      <c r="N290" s="200"/>
      <c r="O290" s="200"/>
      <c r="P290" s="130"/>
      <c r="Q290" s="200"/>
      <c r="R290" s="201"/>
      <c r="T290" s="131" t="str">
        <f>_xlfn.XLOOKUP(T275,RenewalPlans!B:B,RenewalPlans!AP:AP,"NA",0,1)</f>
        <v>NA</v>
      </c>
      <c r="U290" s="200"/>
      <c r="V290" s="200"/>
      <c r="W290" s="200"/>
      <c r="X290" s="130"/>
      <c r="Y290" s="200"/>
      <c r="Z290" s="201"/>
    </row>
    <row r="291" spans="1:26" ht="18" customHeight="1" hidden="1">
      <c r="A291" s="140"/>
      <c r="B291" s="140"/>
      <c r="D291" s="198" t="s">
        <v>263</v>
      </c>
      <c r="E291" s="130" t="e">
        <f>_xlfn.XLOOKUP(E275,CurrentPlans!B:B,CurrentPlans!AI:AI,"NA",0,1)</f>
        <v>#N/A</v>
      </c>
      <c r="F291" s="200"/>
      <c r="G291" s="200"/>
      <c r="H291" s="200"/>
      <c r="I291" s="130"/>
      <c r="J291" s="201"/>
      <c r="K291"/>
      <c r="L291" s="131" t="str">
        <f ca="1">_xlfn.XLOOKUP(L275,RenewalPlans!B:B,RenewalPlans!AL:AL,"NA",0,1)</f>
        <v>NA</v>
      </c>
      <c r="M291" s="200"/>
      <c r="N291" s="200"/>
      <c r="O291" s="200"/>
      <c r="P291" s="130"/>
      <c r="Q291" s="200"/>
      <c r="R291" s="201"/>
      <c r="T291" s="131" t="str">
        <f>_xlfn.XLOOKUP(T275,RenewalPlans!B:B,RenewalPlans!AL:AL,"NA",0,1)</f>
        <v>NA</v>
      </c>
      <c r="U291" s="200"/>
      <c r="V291" s="200"/>
      <c r="W291" s="200"/>
      <c r="X291" s="130"/>
      <c r="Y291" s="200"/>
      <c r="Z291" s="201"/>
    </row>
    <row r="292" spans="1:26" ht="18" customHeight="1" hidden="1">
      <c r="A292" s="140"/>
      <c r="B292" s="140"/>
      <c r="D292" s="198" t="s">
        <v>264</v>
      </c>
      <c r="E292" s="208" t="e">
        <f>_xlfn.XLOOKUP(E275,CurrentPlans!B:B,CurrentPlans!AN:AN,"NA",0,1)</f>
        <v>#N/A</v>
      </c>
      <c r="F292" s="200"/>
      <c r="G292" s="200"/>
      <c r="H292" s="200"/>
      <c r="I292" s="208"/>
      <c r="J292" s="201"/>
      <c r="K292"/>
      <c r="L292" s="209" t="str">
        <f ca="1">_xlfn.XLOOKUP(L275,RenewalPlans!B:B,RenewalPlans!AQ:AQ,"NA",0,1)</f>
        <v>NA</v>
      </c>
      <c r="M292" s="200"/>
      <c r="N292" s="200"/>
      <c r="O292" s="200"/>
      <c r="P292" s="208"/>
      <c r="Q292" s="200"/>
      <c r="R292" s="201"/>
      <c r="T292" s="209" t="str">
        <f>_xlfn.XLOOKUP(T275,RenewalPlans!B:B,RenewalPlans!AQ:AQ,"NA",0,1)</f>
        <v>NA</v>
      </c>
      <c r="U292" s="200"/>
      <c r="V292" s="200"/>
      <c r="W292" s="200"/>
      <c r="X292" s="208"/>
      <c r="Y292" s="200"/>
      <c r="Z292" s="201"/>
    </row>
    <row r="293" spans="1:26" ht="18" customHeight="1" hidden="1">
      <c r="A293" s="140"/>
      <c r="B293" s="140"/>
      <c r="D293" s="210"/>
      <c r="E293" s="211"/>
      <c r="F293" s="211"/>
      <c r="G293" s="211"/>
      <c r="H293" s="211"/>
      <c r="I293" s="211"/>
      <c r="J293" s="212"/>
      <c r="K293"/>
      <c r="L293" s="210"/>
      <c r="M293" s="211"/>
      <c r="N293" s="211"/>
      <c r="O293" s="211"/>
      <c r="P293" s="211"/>
      <c r="Q293" s="211"/>
      <c r="R293" s="212"/>
      <c r="T293" s="210"/>
      <c r="U293" s="211"/>
      <c r="V293" s="211"/>
      <c r="W293" s="211"/>
      <c r="X293" s="211"/>
      <c r="Y293" s="211"/>
      <c r="Z293" s="212"/>
    </row>
    <row r="294" spans="1:26" ht="18" customHeight="1" hidden="1">
      <c r="A294" s="140"/>
      <c r="B294" s="140"/>
      <c r="D294" s="185" t="s">
        <v>265</v>
      </c>
      <c r="E294" s="186"/>
      <c r="F294" s="186"/>
      <c r="G294" s="186"/>
      <c r="H294" s="186"/>
      <c r="I294" s="186"/>
      <c r="J294" s="187"/>
      <c r="K294"/>
      <c r="L294" s="188"/>
      <c r="M294" s="186"/>
      <c r="N294" s="186"/>
      <c r="O294" s="186"/>
      <c r="P294" s="186"/>
      <c r="Q294" s="186"/>
      <c r="R294" s="187"/>
      <c r="T294" s="188"/>
      <c r="U294" s="186"/>
      <c r="V294" s="186"/>
      <c r="W294" s="186"/>
      <c r="X294" s="186"/>
      <c r="Y294" s="186"/>
      <c r="Z294" s="187"/>
    </row>
    <row r="295" spans="1:26" ht="18" customHeight="1" hidden="1">
      <c r="A295" s="140"/>
      <c r="B295" s="140"/>
      <c r="D295" s="132" t="s">
        <v>266</v>
      </c>
      <c r="E295" s="133" t="e">
        <f>_xlfn.XLOOKUP(E275,CurrentPlans!B:B,CurrentPlans!AE:AE,"NA",0,1)</f>
        <v>#N/A</v>
      </c>
      <c r="F295" s="134"/>
      <c r="G295" s="134"/>
      <c r="H295" s="134"/>
      <c r="I295" s="133"/>
      <c r="J295" s="135"/>
      <c r="K295"/>
      <c r="L295" s="136" t="str">
        <f ca="1">_xlfn.XLOOKUP(L275,RenewalPlans!B:B,RenewalPlans!AH:AH,"NA",0,1)</f>
        <v>NA</v>
      </c>
      <c r="M295" s="134"/>
      <c r="N295" s="134"/>
      <c r="O295" s="134"/>
      <c r="P295" s="133"/>
      <c r="Q295" s="134"/>
      <c r="R295" s="135"/>
      <c r="T295" s="136" t="str">
        <f>_xlfn.XLOOKUP(T275,RenewalPlans!B:B,RenewalPlans!AH:AH,"NA",0,1)</f>
        <v>NA</v>
      </c>
      <c r="U295" s="134"/>
      <c r="V295" s="134"/>
      <c r="W295" s="134"/>
      <c r="X295" s="133"/>
      <c r="Y295" s="134"/>
      <c r="Z295" s="135"/>
    </row>
    <row r="296" spans="1:26" ht="18" customHeight="1" hidden="1">
      <c r="A296" s="140"/>
      <c r="B296" s="140"/>
      <c r="D296" s="120" t="s">
        <v>267</v>
      </c>
      <c r="E296" s="130" t="e">
        <f>_xlfn.XLOOKUP(E275,CurrentPlans!B:B,CurrentPlans!AF:AF,"NA",0,1)</f>
        <v>#N/A</v>
      </c>
      <c r="F296" s="122"/>
      <c r="G296" s="122"/>
      <c r="H296" s="122"/>
      <c r="I296" s="130"/>
      <c r="J296" s="123"/>
      <c r="K296"/>
      <c r="L296" s="131" t="str">
        <f ca="1">_xlfn.XLOOKUP(L275,RenewalPlans!B:B,RenewalPlans!AI:AI,"NA",0,1)</f>
        <v>NA</v>
      </c>
      <c r="M296" s="122"/>
      <c r="N296" s="122"/>
      <c r="O296" s="122"/>
      <c r="P296" s="130"/>
      <c r="Q296" s="122"/>
      <c r="R296" s="123"/>
      <c r="T296" s="131" t="str">
        <f>_xlfn.XLOOKUP(T275,RenewalPlans!B:B,RenewalPlans!AI:AI,"NA",0,1)</f>
        <v>NA</v>
      </c>
      <c r="U296" s="122"/>
      <c r="V296" s="122"/>
      <c r="W296" s="122"/>
      <c r="X296" s="130"/>
      <c r="Y296" s="122"/>
      <c r="Z296" s="123"/>
    </row>
    <row r="297" spans="1:26" ht="18" customHeight="1" hidden="1">
      <c r="A297" s="140"/>
      <c r="B297" s="140"/>
      <c r="D297" s="198" t="s">
        <v>268</v>
      </c>
      <c r="E297" s="130" t="e">
        <f>_xlfn.XLOOKUP(E275,CurrentPlans!B:B,CurrentPlans!AH:AH,"NA",0,1)</f>
        <v>#N/A</v>
      </c>
      <c r="F297" s="200"/>
      <c r="G297" s="200"/>
      <c r="H297" s="200"/>
      <c r="I297" s="130"/>
      <c r="J297" s="201"/>
      <c r="K297"/>
      <c r="L297" s="131" t="str">
        <f ca="1">_xlfn.XLOOKUP(L275,RenewalPlans!B:B,RenewalPlans!AK:AK,"NA",0,1)</f>
        <v>NA</v>
      </c>
      <c r="M297" s="200"/>
      <c r="N297" s="200"/>
      <c r="O297" s="200"/>
      <c r="P297" s="130"/>
      <c r="Q297" s="200"/>
      <c r="R297" s="201"/>
      <c r="T297" s="131" t="str">
        <f>_xlfn.XLOOKUP(T275,RenewalPlans!B:B,RenewalPlans!AK:AK,"NA",0,1)</f>
        <v>NA</v>
      </c>
      <c r="U297" s="200"/>
      <c r="V297" s="200"/>
      <c r="W297" s="200"/>
      <c r="X297" s="130"/>
      <c r="Y297" s="200"/>
      <c r="Z297" s="201"/>
    </row>
    <row r="298" spans="1:26" ht="18" customHeight="1" hidden="1">
      <c r="A298" s="140"/>
      <c r="B298" s="140"/>
      <c r="D298" s="198" t="s">
        <v>269</v>
      </c>
      <c r="E298" s="130" t="e">
        <f>_xlfn.XLOOKUP(E275,CurrentPlans!B:B,CurrentPlans!AG:AG,"NA",0,1)</f>
        <v>#N/A</v>
      </c>
      <c r="F298" s="200"/>
      <c r="G298" s="200"/>
      <c r="H298" s="200"/>
      <c r="I298" s="130"/>
      <c r="J298" s="201"/>
      <c r="K298"/>
      <c r="L298" s="131" t="str">
        <f ca="1">_xlfn.XLOOKUP(L275,RenewalPlans!B:B,RenewalPlans!AJ:AJ,"NA",0,1)</f>
        <v>NA</v>
      </c>
      <c r="M298" s="200"/>
      <c r="N298" s="200"/>
      <c r="O298" s="200"/>
      <c r="P298" s="130"/>
      <c r="Q298" s="200"/>
      <c r="R298" s="201"/>
      <c r="T298" s="131" t="str">
        <f>_xlfn.XLOOKUP(T275,RenewalPlans!B:B,RenewalPlans!AJ:AJ,"NA",0,1)</f>
        <v>NA</v>
      </c>
      <c r="U298" s="200"/>
      <c r="V298" s="200"/>
      <c r="W298" s="200"/>
      <c r="X298" s="130"/>
      <c r="Y298" s="200"/>
      <c r="Z298" s="201"/>
    </row>
    <row r="299" spans="1:26" ht="18" customHeight="1" hidden="1">
      <c r="A299" s="140"/>
      <c r="B299" s="140"/>
      <c r="D299" s="213" t="s">
        <v>270</v>
      </c>
      <c r="E299" s="216" t="e">
        <f>_xlfn.XLOOKUP(E275,CurrentPlans!B:B,CurrentPlans!AU:AU,"NA",0,1)</f>
        <v>#N/A</v>
      </c>
      <c r="F299" s="214"/>
      <c r="G299" s="214"/>
      <c r="H299" s="214"/>
      <c r="I299" s="217"/>
      <c r="J299" s="215"/>
      <c r="K299"/>
      <c r="L299" s="218" t="str">
        <f ca="1">_xlfn.XLOOKUP(L275,RenewalPlans!B:B,RenewalPlans!AX:AX,"NA",0,1)</f>
        <v>NA</v>
      </c>
      <c r="M299" s="214"/>
      <c r="N299" s="214"/>
      <c r="O299" s="214"/>
      <c r="P299" s="217"/>
      <c r="Q299" s="214"/>
      <c r="R299" s="215"/>
      <c r="T299" s="218" t="str">
        <f>_xlfn.XLOOKUP(T275,RenewalPlans!B:B,RenewalPlans!AX:AX,"NA",0,1)</f>
        <v>NA</v>
      </c>
      <c r="U299" s="214"/>
      <c r="V299" s="214"/>
      <c r="W299" s="214"/>
      <c r="X299" s="217"/>
      <c r="Y299" s="214"/>
      <c r="Z299" s="215"/>
    </row>
    <row r="300" spans="1:26" ht="18" customHeight="1" hidden="1">
      <c r="A300" s="140"/>
      <c r="B300" s="140"/>
      <c r="D300" s="213" t="s">
        <v>271</v>
      </c>
      <c r="E300" s="216" t="e">
        <f>_xlfn.XLOOKUP(E275,CurrentPlans!B:B,CurrentPlans!AT:AT,"NA",0,1)</f>
        <v>#N/A</v>
      </c>
      <c r="F300" s="214"/>
      <c r="G300" s="214"/>
      <c r="H300" s="214"/>
      <c r="I300" s="217"/>
      <c r="J300" s="215"/>
      <c r="K300"/>
      <c r="L300" s="218" t="str">
        <f ca="1">_xlfn.XLOOKUP(L275,RenewalPlans!B:B,RenewalPlans!AW:AW,"NA",0,1)</f>
        <v>NA</v>
      </c>
      <c r="M300" s="214"/>
      <c r="N300" s="214"/>
      <c r="O300" s="214"/>
      <c r="P300" s="217"/>
      <c r="Q300" s="214"/>
      <c r="R300" s="215"/>
      <c r="T300" s="218" t="str">
        <f>_xlfn.XLOOKUP(T275,RenewalPlans!B:B,RenewalPlans!AW:AW,"NA",0,1)</f>
        <v>NA</v>
      </c>
      <c r="U300" s="214"/>
      <c r="V300" s="214"/>
      <c r="W300" s="214"/>
      <c r="X300" s="217"/>
      <c r="Y300" s="214"/>
      <c r="Z300" s="215"/>
    </row>
    <row r="301" spans="1:26" ht="18" customHeight="1" hidden="1">
      <c r="A301" s="140"/>
      <c r="B301" s="140"/>
      <c r="D301" s="198" t="s">
        <v>272</v>
      </c>
      <c r="E301" s="130" t="e">
        <f>_xlfn.XLOOKUP(E275,CurrentPlans!B:B,CurrentPlans!AD:AD,"NA",0,1)</f>
        <v>#N/A</v>
      </c>
      <c r="F301" s="200"/>
      <c r="G301" s="200"/>
      <c r="H301" s="200"/>
      <c r="I301" s="130"/>
      <c r="J301" s="201"/>
      <c r="K301"/>
      <c r="L301" s="131" t="str">
        <f ca="1">_xlfn.XLOOKUP(L275,RenewalPlans!B:B,RenewalPlans!AG:AG,"NA",0,1)</f>
        <v>NA</v>
      </c>
      <c r="M301" s="200"/>
      <c r="N301" s="200"/>
      <c r="O301" s="200"/>
      <c r="P301" s="130"/>
      <c r="Q301" s="200"/>
      <c r="R301" s="201"/>
      <c r="T301" s="131" t="str">
        <f>_xlfn.XLOOKUP(T275,RenewalPlans!B:B,RenewalPlans!AG:AG,"NA",0,1)</f>
        <v>NA</v>
      </c>
      <c r="U301" s="200"/>
      <c r="V301" s="200"/>
      <c r="W301" s="200"/>
      <c r="X301" s="130"/>
      <c r="Y301" s="200"/>
      <c r="Z301" s="201"/>
    </row>
    <row r="302" spans="1:26" ht="18" customHeight="1" hidden="1">
      <c r="A302" s="140"/>
      <c r="B302" s="140"/>
      <c r="D302" s="198" t="s">
        <v>273</v>
      </c>
      <c r="E302" s="200"/>
      <c r="F302" s="200"/>
      <c r="G302" s="200"/>
      <c r="H302" s="200"/>
      <c r="I302" s="200"/>
      <c r="J302" s="201"/>
      <c r="K302"/>
      <c r="L302" s="198"/>
      <c r="M302" s="200"/>
      <c r="N302" s="200"/>
      <c r="O302" s="200"/>
      <c r="P302" s="200"/>
      <c r="Q302" s="200"/>
      <c r="R302" s="201"/>
      <c r="T302" s="198"/>
      <c r="U302" s="200"/>
      <c r="V302" s="200"/>
      <c r="W302" s="200"/>
      <c r="X302" s="200"/>
      <c r="Y302" s="200"/>
      <c r="Z302" s="201"/>
    </row>
    <row r="303" spans="1:26" ht="18" customHeight="1" hidden="1">
      <c r="A303" s="140"/>
      <c r="B303" s="140"/>
      <c r="D303" s="210"/>
      <c r="E303" s="211"/>
      <c r="F303" s="211"/>
      <c r="G303" s="211"/>
      <c r="H303" s="211"/>
      <c r="I303" s="211"/>
      <c r="J303" s="212"/>
      <c r="K303"/>
      <c r="L303" s="210"/>
      <c r="M303" s="211"/>
      <c r="N303" s="211"/>
      <c r="O303" s="211"/>
      <c r="P303" s="211"/>
      <c r="Q303" s="211"/>
      <c r="R303" s="212"/>
      <c r="T303" s="210"/>
      <c r="U303" s="211"/>
      <c r="V303" s="211"/>
      <c r="W303" s="211"/>
      <c r="X303" s="211"/>
      <c r="Y303" s="211"/>
      <c r="Z303" s="212"/>
    </row>
    <row r="304" spans="1:26" ht="18" customHeight="1" hidden="1">
      <c r="A304" s="140"/>
      <c r="B304" s="140"/>
      <c r="D304" s="219" t="s">
        <v>274</v>
      </c>
      <c r="E304" s="220"/>
      <c r="F304" s="220"/>
      <c r="G304" s="220"/>
      <c r="H304" s="220"/>
      <c r="I304" s="220"/>
      <c r="J304" s="221"/>
      <c r="K304"/>
      <c r="L304" s="222"/>
      <c r="M304" s="220"/>
      <c r="N304" s="220"/>
      <c r="O304" s="220"/>
      <c r="P304" s="220"/>
      <c r="Q304" s="220"/>
      <c r="R304" s="221"/>
      <c r="T304" s="222"/>
      <c r="U304" s="220"/>
      <c r="V304" s="220"/>
      <c r="W304" s="220"/>
      <c r="X304" s="220"/>
      <c r="Y304" s="220"/>
      <c r="Z304" s="221"/>
    </row>
    <row r="305" spans="1:26" ht="18" customHeight="1" hidden="1">
      <c r="A305" s="140"/>
      <c r="B305" s="140"/>
      <c r="D305" s="223" t="s">
        <v>250</v>
      </c>
      <c r="E305" s="205"/>
      <c r="F305" s="205"/>
      <c r="G305" s="205"/>
      <c r="H305" s="205"/>
      <c r="I305" s="205"/>
      <c r="J305" s="206"/>
      <c r="K305"/>
      <c r="L305" s="203"/>
      <c r="M305" s="205"/>
      <c r="N305" s="205"/>
      <c r="O305" s="205"/>
      <c r="P305" s="205"/>
      <c r="Q305" s="205"/>
      <c r="R305" s="206"/>
      <c r="T305" s="203"/>
      <c r="U305" s="205"/>
      <c r="V305" s="205"/>
      <c r="W305" s="205"/>
      <c r="X305" s="205"/>
      <c r="Y305" s="205"/>
      <c r="Z305" s="206"/>
    </row>
    <row r="306" spans="1:26" ht="18" customHeight="1" hidden="1">
      <c r="A306" s="140"/>
      <c r="B306" s="140"/>
      <c r="D306" s="198" t="s">
        <v>251</v>
      </c>
      <c r="E306" s="130" t="e">
        <f>_xlfn.XLOOKUP(E275,CurrentPlans!B:B,CurrentPlans!AP:AP,"NA",0,1)</f>
        <v>#N/A</v>
      </c>
      <c r="F306" s="200"/>
      <c r="G306" s="200"/>
      <c r="H306" s="200"/>
      <c r="I306" s="130"/>
      <c r="J306" s="201"/>
      <c r="K306"/>
      <c r="L306" s="131" t="str">
        <f ca="1">_xlfn.XLOOKUP(L275,RenewalPlans!B:B,RenewalPlans!AS:AS,"NA",0,1)</f>
        <v>NA</v>
      </c>
      <c r="M306" s="200"/>
      <c r="N306" s="200"/>
      <c r="O306" s="200"/>
      <c r="P306" s="130"/>
      <c r="Q306" s="200"/>
      <c r="R306" s="201"/>
      <c r="T306" s="131" t="str">
        <f>_xlfn.XLOOKUP(T275,RenewalPlans!B:B,RenewalPlans!AS:AS,"NA",0,1)</f>
        <v>NA</v>
      </c>
      <c r="U306" s="200"/>
      <c r="V306" s="200"/>
      <c r="W306" s="200"/>
      <c r="X306" s="130"/>
      <c r="Y306" s="200"/>
      <c r="Z306" s="201"/>
    </row>
    <row r="307" spans="1:26" ht="18" customHeight="1" hidden="1">
      <c r="A307" s="140"/>
      <c r="B307" s="140"/>
      <c r="D307" s="198" t="s">
        <v>252</v>
      </c>
      <c r="E307" s="130" t="e">
        <f>_xlfn.XLOOKUP(E275,CurrentPlans!B:B,CurrentPlans!AQ:AQ,"NA",0,1)</f>
        <v>#N/A</v>
      </c>
      <c r="F307" s="200"/>
      <c r="G307" s="200"/>
      <c r="H307" s="200"/>
      <c r="I307" s="130"/>
      <c r="J307" s="201"/>
      <c r="K307"/>
      <c r="L307" s="131" t="str">
        <f ca="1">_xlfn.XLOOKUP(L275,RenewalPlans!B:B,RenewalPlans!AT:AT,"NA",0,1)</f>
        <v>NA</v>
      </c>
      <c r="M307" s="200"/>
      <c r="N307" s="200"/>
      <c r="O307" s="200"/>
      <c r="P307" s="130"/>
      <c r="Q307" s="200"/>
      <c r="R307" s="201"/>
      <c r="T307" s="131" t="str">
        <f>_xlfn.XLOOKUP(T275,RenewalPlans!B:B,RenewalPlans!AT:AT,"NA",0,1)</f>
        <v>NA</v>
      </c>
      <c r="U307" s="200"/>
      <c r="V307" s="200"/>
      <c r="W307" s="200"/>
      <c r="X307" s="130"/>
      <c r="Y307" s="200"/>
      <c r="Z307" s="201"/>
    </row>
    <row r="308" spans="1:26" ht="18" customHeight="1" hidden="1">
      <c r="A308" s="140"/>
      <c r="B308" s="140"/>
      <c r="D308" s="120" t="s">
        <v>253</v>
      </c>
      <c r="E308" s="133" t="e">
        <f>_xlfn.XLOOKUP(E275,CurrentPlans!B:B,CurrentPlans!AO:AO,"NA",0,1)</f>
        <v>#N/A</v>
      </c>
      <c r="F308" s="122"/>
      <c r="G308" s="122"/>
      <c r="H308" s="122"/>
      <c r="I308" s="133"/>
      <c r="J308" s="123"/>
      <c r="K308"/>
      <c r="L308" s="136" t="str">
        <f ca="1">_xlfn.XLOOKUP(L275,RenewalPlans!B:B,RenewalPlans!AR:AR,"NA",0,1)</f>
        <v>NA</v>
      </c>
      <c r="M308" s="122"/>
      <c r="N308" s="122"/>
      <c r="O308" s="122"/>
      <c r="P308" s="133"/>
      <c r="Q308" s="122"/>
      <c r="R308" s="123"/>
      <c r="T308" s="136" t="str">
        <f>_xlfn.XLOOKUP(T275,RenewalPlans!B:B,RenewalPlans!AR:AR,"NA",0,1)</f>
        <v>NA</v>
      </c>
      <c r="U308" s="122"/>
      <c r="V308" s="122"/>
      <c r="W308" s="122"/>
      <c r="X308" s="133"/>
      <c r="Y308" s="122"/>
      <c r="Z308" s="123"/>
    </row>
    <row r="309" spans="1:26" ht="18" customHeight="1" hidden="1">
      <c r="A309" s="140"/>
      <c r="B309" s="140"/>
      <c r="D309" s="223" t="s">
        <v>254</v>
      </c>
      <c r="E309" s="205"/>
      <c r="F309" s="205"/>
      <c r="G309" s="205"/>
      <c r="H309" s="205"/>
      <c r="I309" s="205"/>
      <c r="J309" s="206"/>
      <c r="K309"/>
      <c r="L309" s="203"/>
      <c r="M309" s="205"/>
      <c r="N309" s="205"/>
      <c r="O309" s="205"/>
      <c r="P309" s="205"/>
      <c r="Q309" s="205"/>
      <c r="R309" s="206"/>
      <c r="T309" s="203"/>
      <c r="U309" s="205"/>
      <c r="V309" s="205"/>
      <c r="W309" s="205"/>
      <c r="X309" s="205"/>
      <c r="Y309" s="205"/>
      <c r="Z309" s="206"/>
    </row>
    <row r="310" spans="1:26" ht="18" customHeight="1" hidden="1">
      <c r="A310" s="140"/>
      <c r="B310" s="140"/>
      <c r="D310" s="198" t="s">
        <v>255</v>
      </c>
      <c r="E310" s="130" t="e">
        <f>_xlfn.XLOOKUP(E275,CurrentPlans!B:B,CurrentPlans!AR:AR,"NA",0,1)</f>
        <v>#N/A</v>
      </c>
      <c r="F310" s="200"/>
      <c r="G310" s="200"/>
      <c r="H310" s="200"/>
      <c r="I310" s="130"/>
      <c r="J310" s="201"/>
      <c r="K310"/>
      <c r="L310" s="131" t="str">
        <f ca="1">_xlfn.XLOOKUP(L275,RenewalPlans!B:B,RenewalPlans!AU:AU,"NA",0,1)</f>
        <v>NA</v>
      </c>
      <c r="M310" s="200"/>
      <c r="N310" s="200"/>
      <c r="O310" s="200"/>
      <c r="P310" s="130"/>
      <c r="Q310" s="200"/>
      <c r="R310" s="201"/>
      <c r="T310" s="131" t="str">
        <f>_xlfn.XLOOKUP(T275,RenewalPlans!B:B,RenewalPlans!AU:AU,"NA",0,1)</f>
        <v>NA</v>
      </c>
      <c r="U310" s="200"/>
      <c r="V310" s="200"/>
      <c r="W310" s="200"/>
      <c r="X310" s="130"/>
      <c r="Y310" s="200"/>
      <c r="Z310" s="201"/>
    </row>
    <row r="311" spans="1:26" ht="18" customHeight="1" hidden="1" thickBot="1">
      <c r="A311" s="140"/>
      <c r="B311" s="140"/>
      <c r="D311" s="224" t="s">
        <v>256</v>
      </c>
      <c r="E311" s="137" t="e">
        <f>_xlfn.XLOOKUP(E275,CurrentPlans!B:B,CurrentPlans!AS:AS,"NA",0,1)</f>
        <v>#N/A</v>
      </c>
      <c r="F311" s="225"/>
      <c r="G311" s="225"/>
      <c r="H311" s="225"/>
      <c r="I311" s="137"/>
      <c r="J311" s="226"/>
      <c r="K311"/>
      <c r="L311" s="138" t="str">
        <f ca="1">_xlfn.XLOOKUP(L275,RenewalPlans!B:B,RenewalPlans!AV:AV,"NA",0,1)</f>
        <v>NA</v>
      </c>
      <c r="M311" s="225"/>
      <c r="N311" s="225"/>
      <c r="O311" s="225"/>
      <c r="P311" s="137"/>
      <c r="Q311" s="225"/>
      <c r="R311" s="226"/>
      <c r="T311" s="138" t="str">
        <f>_xlfn.XLOOKUP(T275,RenewalPlans!B:B,RenewalPlans!AV:AV,"NA",0,1)</f>
        <v>NA</v>
      </c>
      <c r="U311" s="225"/>
      <c r="V311" s="225"/>
      <c r="W311" s="225"/>
      <c r="X311" s="137"/>
      <c r="Y311" s="225"/>
      <c r="Z311" s="226"/>
    </row>
    <row r="312" spans="1:26" ht="18" customHeight="1">
      <c r="A312" s="140"/>
      <c r="B312" s="140"/>
      <c r="D312" s="227"/>
      <c r="E312" s="176"/>
      <c r="F312" s="178"/>
      <c r="G312" s="179"/>
      <c r="H312" s="178"/>
      <c r="I312" s="176"/>
      <c r="J312" s="228"/>
      <c r="K312"/>
      <c r="L312" s="178"/>
      <c r="M312" s="176"/>
      <c r="N312" s="139"/>
      <c r="O312" s="178"/>
      <c r="P312" s="178"/>
      <c r="Q312" s="178"/>
      <c r="R312" s="228"/>
      <c r="T312" s="178"/>
      <c r="U312" s="176"/>
      <c r="V312" s="139"/>
      <c r="W312" s="178"/>
      <c r="X312" s="178"/>
      <c r="Y312" s="178"/>
      <c r="Z312" s="228"/>
    </row>
    <row r="313" spans="1:26" ht="5.25" customHeight="1" thickBot="1">
      <c r="A313" s="140"/>
      <c r="B313" s="140"/>
      <c r="D313" s="229"/>
      <c r="E313" s="229"/>
      <c r="F313" s="230"/>
      <c r="G313" s="231"/>
      <c r="H313" s="232"/>
      <c r="I313" s="233"/>
      <c r="J313" s="233"/>
      <c r="K313"/>
      <c r="L313" s="233"/>
      <c r="M313" s="233"/>
      <c r="N313" s="233"/>
      <c r="O313" s="233"/>
      <c r="P313" s="233"/>
      <c r="Q313" s="233"/>
      <c r="R313" s="233"/>
      <c r="T313" s="233"/>
      <c r="U313" s="233"/>
      <c r="V313" s="233"/>
      <c r="W313" s="233"/>
      <c r="X313" s="233"/>
      <c r="Y313" s="233"/>
      <c r="Z313" s="233"/>
    </row>
    <row r="314" spans="1:26" ht="50.15" customHeight="1">
      <c r="A314" s="140">
        <v>7</v>
      </c>
      <c r="B314" s="140">
        <f>IF(A314&gt;Class2_CurrentHealthCount,"DELETE",Class2_CurrentHealthStart+A314)</f>
        <v>39</v>
      </c>
      <c r="C314" s="164" t="s">
        <v>280</v>
      </c>
      <c r="D314" s="273" t="e">
        <f ca="1">IF(B314="Delete","",VLOOKUP(F314,BEGIN_CURRENT_HEALTH:END_CURRENT_HEALTH,3,FALSE))</f>
        <v>#N/A</v>
      </c>
      <c r="E314" s="165"/>
      <c r="F314" s="272" cm="1">
        <f t="array" ca="1" aca="1" ref="F314">IF(B314="Delete","",INDIRECT("CurrentPlans!A"&amp;B314,TRUE))</f>
        <v>0</v>
      </c>
      <c r="G314" s="166"/>
      <c r="H314" s="167"/>
      <c r="I314" s="168"/>
      <c r="J314" s="169"/>
      <c r="K314"/>
      <c r="L314" s="274" t="str">
        <f ca="1">_xlfn.IFNA(VLOOKUP(F314,BEGIN_RENEWEDFROM_HEALTH:ROW_RenewHealth_PlanID,3,FALSE),"SELECT PLAN")</f>
        <v>SELECT PLAN</v>
      </c>
      <c r="M314" s="170"/>
      <c r="N314" s="274" t="s">
        <v>237</v>
      </c>
      <c r="O314" s="171"/>
      <c r="P314" s="171"/>
      <c r="Q314" s="171"/>
      <c r="R314" s="169"/>
      <c r="T314" s="274" t="s">
        <v>38</v>
      </c>
      <c r="U314" s="170"/>
      <c r="V314" s="274" t="s">
        <v>237</v>
      </c>
      <c r="W314" s="171"/>
      <c r="X314" s="171"/>
      <c r="Y314" s="171"/>
      <c r="Z314" s="169"/>
    </row>
    <row r="315" spans="1:26" ht="18.75" customHeight="1">
      <c r="A315" s="140"/>
      <c r="B315" s="140"/>
      <c r="D315" s="172" t="s">
        <v>238</v>
      </c>
      <c r="E315" s="407" t="str">
        <f ca="1">_xlfn.IFNA(VLOOKUP(F314,BEGIN_CURRENT_HEALTH:END_CURRENT_HEALTH,CURRENT_COL_EO_count,FALSE),"")</f>
        <v/>
      </c>
      <c r="F315" s="408" t="str">
        <f ca="1">_xlfn.IFNA(VLOOKUP(F314,BEGIN_CURRENT_HEALTH:END_CURRENT_HEALTH,CURRENT_COL_EO,FALSE),"")</f>
        <v/>
      </c>
      <c r="G315" s="468" t="str">
        <f ca="1" t="shared" si="30" ref="G315:G318">IF(F315="","",H315/F315)</f>
        <v/>
      </c>
      <c r="H315" s="408" t="str">
        <f ca="1">_xlfn.IFNA(VLOOKUP(F314,BEGIN_CURRENT_HEALTH:END_CURRENT_HEALTH,CURRENT_COL_EOContrib,FALSE),"")</f>
        <v/>
      </c>
      <c r="I315" s="409" t="str">
        <f ca="1">IFERROR(F315-H315,"")</f>
        <v/>
      </c>
      <c r="J315" s="410" t="str">
        <f ca="1">IF(F315="","",H315*E315)</f>
        <v/>
      </c>
      <c r="K315" s="411"/>
      <c r="L315" s="408" t="str" cm="1">
        <f t="array" ca="1" aca="1" ref="L315">_xlfn.IFNA(VLOOKUP(INDIRECT("L"&amp;ROW()-1)&amp;"_"&amp;$D$12,BEGIN_RENEW_HEALTH:END_RENEW_HEALTH,RENEW_COL_EO,FALSE),"")</f>
        <v/>
      </c>
      <c r="M315" s="412" t="str">
        <f ca="1">IF(E315="","",E315)</f>
        <v/>
      </c>
      <c r="N315" s="413"/>
      <c r="O315" s="414"/>
      <c r="P315" s="415" t="str">
        <f>IFERROR(IF($N314="Keep Contribution Same",H315,IF($N314="Enter Percentages",IF(N315="","",N315*L315),IF($N314="Keep Percentage Same",IF(G315="","",G315*L315),IF($N314="Enter Dollar Amount",IF(O315="","",O315),"")))),"")</f>
        <v/>
      </c>
      <c r="Q315" s="408" t="str">
        <f ca="1">IFERROR(L315-P315,"")</f>
        <v/>
      </c>
      <c r="R315" s="410" t="str">
        <f>IFERROR(IF(P315="","",M315*P315),"")</f>
        <v/>
      </c>
      <c r="S315" s="411"/>
      <c r="T315" s="408" t="str" cm="1">
        <f t="array" ca="1" aca="1" ref="T315">_xlfn.IFNA(VLOOKUP(INDIRECT("T"&amp;ROW()-1)&amp;"_"&amp;$D$12,BEGIN_RENEW_HEALTH:END_RENEW_HEALTH,RENEW_COL_EO,FALSE),"")</f>
        <v/>
      </c>
      <c r="U315" s="412" t="str">
        <f ca="1">IF(E315="","",E315)</f>
        <v/>
      </c>
      <c r="V315" s="413"/>
      <c r="W315" s="414"/>
      <c r="X315" s="415" t="str">
        <f>IFERROR(IF($V314="Keep Contribution Same",H315,IF($V314="Enter Percentages",IF(V315="","",V315*T315),IF($V314="Keep Percentage Same",IF(G315="","",G315*T315),IF($V314="Enter Dollar Amount",IF(W315="","",W315),"")))),"")</f>
        <v/>
      </c>
      <c r="Y315" s="408" t="str">
        <f ca="1">IFERROR(T315-X315,"")</f>
        <v/>
      </c>
      <c r="Z315" s="410" t="str">
        <f>IFERROR(IF(X315="","",U315*X315),"")</f>
        <v/>
      </c>
    </row>
    <row r="316" spans="1:26" ht="18.75" customHeight="1">
      <c r="A316" s="140"/>
      <c r="B316" s="140"/>
      <c r="D316" s="172" t="s">
        <v>239</v>
      </c>
      <c r="E316" s="407" t="str">
        <f ca="1">_xlfn.IFNA(VLOOKUP(F314,BEGIN_CURRENT_HEALTH:END_CURRENT_HEALTH,CURRENT_COL_ES_count,FALSE),"")</f>
        <v/>
      </c>
      <c r="F316" s="408" t="str">
        <f ca="1">_xlfn.IFNA(VLOOKUP(F314,BEGIN_CURRENT_HEALTH:END_CURRENT_HEALTH,CURRENT_COL_ES,FALSE),"")</f>
        <v/>
      </c>
      <c r="G316" s="468" t="str">
        <f t="shared" ca="1" si="30"/>
        <v/>
      </c>
      <c r="H316" s="408" t="str">
        <f ca="1">_xlfn.IFNA(VLOOKUP(F314,BEGIN_CURRENT_HEALTH:END_CURRENT_HEALTH,CURRENT_COL_ESContrib,FALSE),"")</f>
        <v/>
      </c>
      <c r="I316" s="409" t="str">
        <f ca="1" t="shared" si="31" ref="I316:I318">IFERROR(F316-H316,"")</f>
        <v/>
      </c>
      <c r="J316" s="410" t="str">
        <f ca="1">IF(F316="","",H316*E316)</f>
        <v/>
      </c>
      <c r="K316" s="411"/>
      <c r="L316" s="408" t="str" cm="1">
        <f t="array" ca="1" aca="1" ref="L316">_xlfn.IFNA(VLOOKUP(INDIRECT("L"&amp;ROW()-2)&amp;"_"&amp;$D$12,BEGIN_RENEW_HEALTH:END_RENEW_HEALTH,RENEW_COL_ES,FALSE),"")</f>
        <v/>
      </c>
      <c r="M316" s="412" t="str">
        <f ca="1">IF(E316="","",E316)</f>
        <v/>
      </c>
      <c r="N316" s="413"/>
      <c r="O316" s="414"/>
      <c r="P316" s="415" t="str">
        <f>IFERROR(IF($N314="Keep Contribution Same",H316,IF($N314="Enter Percentages",IF(N316="","",N316*L316),IF($N314="Keep Percentage Same",IF(G316="","",G316*L316),IF($N314="Enter Dollar Amount",IF(O316="","",O316),"")))),"")</f>
        <v/>
      </c>
      <c r="Q316" s="408" t="str">
        <f ca="1">IFERROR(L316-P316,"")</f>
        <v/>
      </c>
      <c r="R316" s="410" t="str">
        <f>IFERROR(IF(P316="","",M316*P316),"")</f>
        <v/>
      </c>
      <c r="S316" s="411"/>
      <c r="T316" s="408" t="str" cm="1">
        <f t="array" ca="1" aca="1" ref="T316">_xlfn.IFNA(VLOOKUP(INDIRECT("T"&amp;ROW()-2)&amp;"_"&amp;$D$12,BEGIN_RENEW_HEALTH:END_RENEW_HEALTH,RENEW_COL_ES,FALSE),"")</f>
        <v/>
      </c>
      <c r="U316" s="412" t="str">
        <f ca="1" t="shared" si="32" ref="U316:U318">IF(E316="","",E316)</f>
        <v/>
      </c>
      <c r="V316" s="413"/>
      <c r="W316" s="414"/>
      <c r="X316" s="415" t="str">
        <f>IFERROR(IF($V314="Keep Contribution Same",H316,IF($V314="Enter Percentages",IF(V316="","",V316*T316),IF($V314="Keep Percentage Same",IF(G316="","",G316*T316),IF($V314="Enter Dollar Amount",IF(W316="","",W316),"")))),"")</f>
        <v/>
      </c>
      <c r="Y316" s="408" t="str">
        <f ca="1" t="shared" si="33" ref="Y316:Y318">IFERROR(T316-X316,"")</f>
        <v/>
      </c>
      <c r="Z316" s="410" t="str">
        <f t="shared" si="34" ref="Z316:Z318">IFERROR(IF(X316="","",U316*X316),"")</f>
        <v/>
      </c>
    </row>
    <row r="317" spans="1:26" ht="18.75" customHeight="1">
      <c r="A317" s="140"/>
      <c r="B317" s="140"/>
      <c r="D317" s="172" t="s">
        <v>240</v>
      </c>
      <c r="E317" s="407" t="str">
        <f ca="1">_xlfn.IFNA(VLOOKUP(F314,BEGIN_CURRENT_HEALTH:END_CURRENT_HEALTH,CURRENT_COL_EC_count,FALSE),"")</f>
        <v/>
      </c>
      <c r="F317" s="408" t="str">
        <f ca="1">_xlfn.IFNA(VLOOKUP(F314,BEGIN_CURRENT_HEALTH:END_CURRENT_HEALTH,CURRENT_COL_EC,FALSE),"")</f>
        <v/>
      </c>
      <c r="G317" s="468" t="str">
        <f t="shared" ca="1" si="30"/>
        <v/>
      </c>
      <c r="H317" s="408" t="str">
        <f ca="1">_xlfn.IFNA(VLOOKUP(F314,BEGIN_CURRENT_HEALTH:END_CURRENT_HEALTH,CURRENT_COL_ECContrib,FALSE),"")</f>
        <v/>
      </c>
      <c r="I317" s="409" t="str">
        <f t="shared" ca="1" si="31"/>
        <v/>
      </c>
      <c r="J317" s="410" t="str">
        <f ca="1">IF(F317="","",H317*E317)</f>
        <v/>
      </c>
      <c r="K317" s="411"/>
      <c r="L317" s="408" t="str" cm="1">
        <f t="array" ca="1" aca="1" ref="L317">_xlfn.IFNA(VLOOKUP(INDIRECT("L"&amp;ROW()-3)&amp;"_"&amp;$D$12,BEGIN_RENEW_HEALTH:END_RENEW_HEALTH,RENEW_COL_EC,FALSE),"")</f>
        <v/>
      </c>
      <c r="M317" s="412" t="str">
        <f ca="1">IF(E317="","",E317)</f>
        <v/>
      </c>
      <c r="N317" s="413"/>
      <c r="O317" s="414"/>
      <c r="P317" s="415" t="str">
        <f>IFERROR(IF($N314="Keep Contribution Same",H317,IF($N314="Enter Percentages",IF(N317="","",N317*L317),IF($N314="Keep Percentage Same",IF(G317="","",G317*L317),IF($N314="Enter Dollar Amount",IF(O317="","",O317),"")))),"")</f>
        <v/>
      </c>
      <c r="Q317" s="408" t="str">
        <f ca="1">IFERROR(L317-P317,"")</f>
        <v/>
      </c>
      <c r="R317" s="410" t="str">
        <f>IFERROR(IF(P317="","",M317*P317),"")</f>
        <v/>
      </c>
      <c r="S317" s="411"/>
      <c r="T317" s="408" t="str" cm="1">
        <f t="array" ca="1" aca="1" ref="T317">_xlfn.IFNA(VLOOKUP(INDIRECT("T"&amp;ROW()-3)&amp;"_"&amp;$D$12,BEGIN_RENEW_HEALTH:END_RENEW_HEALTH,RENEW_COL_EC,FALSE),"")</f>
        <v/>
      </c>
      <c r="U317" s="412" t="str">
        <f t="shared" ca="1" si="32"/>
        <v/>
      </c>
      <c r="V317" s="413"/>
      <c r="W317" s="414"/>
      <c r="X317" s="415" t="str">
        <f>IFERROR(IF($V314="Keep Contribution Same",H317,IF($V314="Enter Percentages",IF(V317="","",V317*T317),IF($V314="Keep Percentage Same",IF(G317="","",G317*T317),IF($V314="Enter Dollar Amount",IF(W317="","",W317),"")))),"")</f>
        <v/>
      </c>
      <c r="Y317" s="408" t="str">
        <f t="shared" ca="1" si="33"/>
        <v/>
      </c>
      <c r="Z317" s="410" t="str">
        <f t="shared" si="34"/>
        <v/>
      </c>
    </row>
    <row r="318" spans="1:26" ht="18.75" customHeight="1" thickBot="1">
      <c r="A318" s="140"/>
      <c r="B318" s="140"/>
      <c r="D318" s="174" t="s">
        <v>241</v>
      </c>
      <c r="E318" s="416" t="str">
        <f ca="1">_xlfn.IFNA(VLOOKUP(F314,BEGIN_CURRENT_HEALTH:END_CURRENT_HEALTH,CURRENT_COL_FAM_count,FALSE),"")</f>
        <v/>
      </c>
      <c r="F318" s="417" t="str">
        <f ca="1">_xlfn.IFNA(VLOOKUP(F314,BEGIN_CURRENT_HEALTH:END_CURRENT_HEALTH,CURRENT_COL_FAM,FALSE),"")</f>
        <v/>
      </c>
      <c r="G318" s="469" t="str">
        <f t="shared" ca="1" si="30"/>
        <v/>
      </c>
      <c r="H318" s="417" t="str">
        <f ca="1">_xlfn.IFNA(VLOOKUP(F314,BEGIN_CURRENT_HEALTH:END_CURRENT_HEALTH,CURRENT_COL_FAMContrib,FALSE),"")</f>
        <v/>
      </c>
      <c r="I318" s="418" t="str">
        <f t="shared" ca="1" si="31"/>
        <v/>
      </c>
      <c r="J318" s="419" t="str">
        <f ca="1">IF(F318="","",H318*E318)</f>
        <v/>
      </c>
      <c r="K318" s="411"/>
      <c r="L318" s="417" t="str" cm="1">
        <f t="array" ca="1" aca="1" ref="L318">_xlfn.IFNA(VLOOKUP(INDIRECT("L"&amp;ROW()-4)&amp;"_"&amp;$D$12,BEGIN_RENEW_HEALTH:END_RENEW_HEALTH,RENEW_COL_FAM,FALSE),"")</f>
        <v/>
      </c>
      <c r="M318" s="412" t="str">
        <f ca="1">IF(E318="","",E318)</f>
        <v/>
      </c>
      <c r="N318" s="420"/>
      <c r="O318" s="421"/>
      <c r="P318" s="422" t="str">
        <f>IFERROR(IF($N314="Keep Contribution Same",H318,IF($N314="Enter Percentages",IF(N318="","",N318*L318),IF($N314="Keep Percentage Same",IF(G318="","",G318*L318),IF($N314="Enter Dollar Amount",IF(O318="","",O318),"")))),"")</f>
        <v/>
      </c>
      <c r="Q318" s="422" t="str">
        <f ca="1">IFERROR(L318-P318,"")</f>
        <v/>
      </c>
      <c r="R318" s="410" t="str">
        <f>IFERROR(IF(P318="","",M318*P318),"")</f>
        <v/>
      </c>
      <c r="S318" s="411"/>
      <c r="T318" s="417" t="str" cm="1">
        <f t="array" ca="1" aca="1" ref="T318">_xlfn.IFNA(VLOOKUP(INDIRECT("T"&amp;ROW()-4)&amp;"_"&amp;$D$12,BEGIN_RENEW_HEALTH:END_RENEW_HEALTH,RENEW_COL_FAM,FALSE),"")</f>
        <v/>
      </c>
      <c r="U318" s="423" t="str">
        <f t="shared" ca="1" si="32"/>
        <v/>
      </c>
      <c r="V318" s="420"/>
      <c r="W318" s="421"/>
      <c r="X318" s="422" t="str">
        <f>IFERROR(IF($V314="Keep Contribution Same",H318,IF($V314="Enter Percentages",IF(V318="","",V318*T318),IF($V314="Keep Percentage Same",IF(G318="","",G318*T318),IF($V314="Enter Dollar Amount",IF(W318="","",W318),"")))),"")</f>
        <v/>
      </c>
      <c r="Y318" s="417" t="str">
        <f t="shared" ca="1" si="33"/>
        <v/>
      </c>
      <c r="Z318" s="419" t="str">
        <f t="shared" si="34"/>
        <v/>
      </c>
    </row>
    <row r="319" spans="1:26" ht="18.75" customHeight="1" thickTop="1">
      <c r="A319" s="140"/>
      <c r="B319" s="140"/>
      <c r="D319" s="175" t="s">
        <v>242</v>
      </c>
      <c r="E319" s="424"/>
      <c r="F319" s="447" t="str">
        <f ca="1">IFERROR((F315*E315)+(F316*E316)+(F317*E317)+(F318*E318),"")</f>
        <v/>
      </c>
      <c r="G319" s="426"/>
      <c r="H319" s="427"/>
      <c r="I319" s="428"/>
      <c r="J319" s="429" t="str">
        <f ca="1">IFERROR(IF(J315="","",SUM(J315:J318)),0)</f>
        <v/>
      </c>
      <c r="K319" s="1"/>
      <c r="L319" s="430" t="str">
        <f ca="1">IFERROR((M315*L315)+(M316*L316)+(M317*L317)+(M318*L318),"")</f>
        <v/>
      </c>
      <c r="M319" s="427"/>
      <c r="N319" s="426"/>
      <c r="O319" s="427"/>
      <c r="P319" s="431"/>
      <c r="Q319" s="432"/>
      <c r="R319" s="429" t="str">
        <f>IFERROR(IF(R315="","",SUM(R315:R318)),0)</f>
        <v/>
      </c>
      <c r="T319" s="430" t="str">
        <f ca="1">IFERROR((U315*T315)+(U316*T316)+(U317*T317)+(U318*T318),"")</f>
        <v/>
      </c>
      <c r="U319" s="427"/>
      <c r="V319" s="426"/>
      <c r="W319" s="427"/>
      <c r="X319" s="431"/>
      <c r="Y319" s="432"/>
      <c r="Z319" s="429" t="str">
        <f>IFERROR(IF(Z315="","",SUM(Z315:Z318)),0)</f>
        <v/>
      </c>
    </row>
    <row r="320" spans="1:26" ht="18.75" customHeight="1">
      <c r="A320" s="140"/>
      <c r="B320" s="140"/>
      <c r="D320" s="177" t="s">
        <v>243</v>
      </c>
      <c r="E320" s="433"/>
      <c r="F320" s="448" t="str">
        <f ca="1">IFERROR(F319*12,"")</f>
        <v/>
      </c>
      <c r="G320" s="435"/>
      <c r="H320" s="436"/>
      <c r="I320" s="432"/>
      <c r="J320" s="437" t="str">
        <f ca="1">IF(J319="","",J319*12)</f>
        <v/>
      </c>
      <c r="K320" s="1"/>
      <c r="L320" s="438" t="str">
        <f ca="1">IFERROR(L319*12,"")</f>
        <v/>
      </c>
      <c r="M320" s="436"/>
      <c r="N320" s="435"/>
      <c r="O320" s="436"/>
      <c r="P320" s="432"/>
      <c r="Q320" s="432"/>
      <c r="R320" s="437" t="str">
        <f>IF(R319="","",R319*12)</f>
        <v/>
      </c>
      <c r="T320" s="438" t="str">
        <f ca="1">IFERROR(T319*12,"")</f>
        <v/>
      </c>
      <c r="U320" s="436"/>
      <c r="V320" s="435"/>
      <c r="W320" s="436"/>
      <c r="X320" s="432"/>
      <c r="Y320" s="432"/>
      <c r="Z320" s="437" t="str">
        <f>IF(Z319="","",Z319*12)</f>
        <v/>
      </c>
    </row>
    <row r="321" spans="1:26" ht="18" customHeight="1">
      <c r="A321" s="140"/>
      <c r="B321" s="140"/>
      <c r="D321" s="177" t="s">
        <v>244</v>
      </c>
      <c r="E321" s="433"/>
      <c r="F321" s="436"/>
      <c r="G321" s="435"/>
      <c r="H321" s="436"/>
      <c r="I321" s="432"/>
      <c r="J321" s="437"/>
      <c r="K321" s="1"/>
      <c r="L321" s="434" t="str">
        <f ca="1">IFERROR(L320-F320,"")</f>
        <v/>
      </c>
      <c r="M321" s="436"/>
      <c r="N321" s="435"/>
      <c r="O321" s="436"/>
      <c r="P321" s="432"/>
      <c r="Q321" s="432"/>
      <c r="R321" s="437" t="str">
        <f ca="1">IFERROR(IF(J320="","",R320-J320),0)</f>
        <v/>
      </c>
      <c r="T321" s="434" t="str">
        <f ca="1">IFERROR(T320-F320,"")</f>
        <v/>
      </c>
      <c r="U321" s="436"/>
      <c r="V321" s="435"/>
      <c r="W321" s="436"/>
      <c r="X321" s="432"/>
      <c r="Y321" s="432"/>
      <c r="Z321" s="437" t="str">
        <f>IFERROR(IF(R320="","",Z320-R320),0)</f>
        <v/>
      </c>
    </row>
    <row r="322" spans="1:26" ht="18" customHeight="1" thickBot="1">
      <c r="A322" s="140"/>
      <c r="B322" s="140"/>
      <c r="D322" s="180" t="s">
        <v>245</v>
      </c>
      <c r="E322" s="439"/>
      <c r="F322" s="440"/>
      <c r="G322" s="441"/>
      <c r="H322" s="440"/>
      <c r="I322" s="442"/>
      <c r="J322" s="443"/>
      <c r="K322" s="1"/>
      <c r="L322" s="444" t="str">
        <f ca="1">IFERROR(L320/F320-1,"")</f>
        <v/>
      </c>
      <c r="M322" s="440"/>
      <c r="N322" s="441"/>
      <c r="O322" s="440"/>
      <c r="P322" s="445"/>
      <c r="Q322" s="445"/>
      <c r="R322" s="446" t="str">
        <f ca="1">IFERROR(IF(J320="","",(R320/J320)-1),0)</f>
        <v/>
      </c>
      <c r="T322" s="444" t="str">
        <f ca="1">IFERROR(T320/F320-1,"")</f>
        <v/>
      </c>
      <c r="U322" s="440"/>
      <c r="V322" s="441"/>
      <c r="W322" s="440"/>
      <c r="X322" s="445"/>
      <c r="Y322" s="445"/>
      <c r="Z322" s="446" t="str">
        <f>IFERROR(IF(R320="","",(Z320/R320)-1),0)</f>
        <v/>
      </c>
    </row>
    <row r="323" spans="1:26" ht="18" customHeight="1">
      <c r="A323" s="140"/>
      <c r="B323" s="140"/>
      <c r="D323" s="181" t="s">
        <v>246</v>
      </c>
      <c r="E323" s="182"/>
      <c r="F323" s="182"/>
      <c r="G323" s="182"/>
      <c r="H323" s="182"/>
      <c r="I323" s="182"/>
      <c r="J323" s="183"/>
      <c r="K323"/>
      <c r="L323" s="184"/>
      <c r="M323" s="182"/>
      <c r="N323" s="182"/>
      <c r="O323" s="182"/>
      <c r="P323" s="182"/>
      <c r="Q323" s="182"/>
      <c r="R323" s="183"/>
      <c r="T323" s="184"/>
      <c r="U323" s="182"/>
      <c r="V323" s="182"/>
      <c r="W323" s="182"/>
      <c r="X323" s="182"/>
      <c r="Y323" s="182"/>
      <c r="Z323" s="183"/>
    </row>
    <row r="324" spans="1:26" ht="18" customHeight="1" hidden="1">
      <c r="A324" s="140"/>
      <c r="B324" s="140"/>
      <c r="D324" s="185" t="s">
        <v>247</v>
      </c>
      <c r="E324" s="186"/>
      <c r="F324" s="186"/>
      <c r="G324" s="186"/>
      <c r="H324" s="186"/>
      <c r="I324" s="186"/>
      <c r="J324" s="187"/>
      <c r="K324"/>
      <c r="L324" s="188"/>
      <c r="M324" s="186"/>
      <c r="N324" s="186"/>
      <c r="O324" s="186"/>
      <c r="P324" s="186"/>
      <c r="Q324" s="186"/>
      <c r="R324" s="187"/>
      <c r="T324" s="188"/>
      <c r="U324" s="186"/>
      <c r="V324" s="186"/>
      <c r="W324" s="186"/>
      <c r="X324" s="186"/>
      <c r="Y324" s="186"/>
      <c r="Z324" s="187"/>
    </row>
    <row r="325" spans="1:26" ht="18" customHeight="1" hidden="1">
      <c r="A325" s="140"/>
      <c r="B325" s="140"/>
      <c r="D325" s="189" t="s">
        <v>248</v>
      </c>
      <c r="E325" s="190" t="e">
        <f ca="1">D314&amp;"_"&amp;D12</f>
        <v>#N/A</v>
      </c>
      <c r="F325" s="191"/>
      <c r="G325" s="191"/>
      <c r="H325" s="191"/>
      <c r="I325" s="190"/>
      <c r="J325" s="192"/>
      <c r="K325"/>
      <c r="L325" s="193" t="str">
        <f ca="1">L314&amp;"_"&amp;D12</f>
        <v>SELECT PLAN_OWNERS</v>
      </c>
      <c r="M325" s="191"/>
      <c r="N325" s="191"/>
      <c r="O325" s="191"/>
      <c r="P325" s="190"/>
      <c r="Q325" s="191"/>
      <c r="R325" s="192"/>
      <c r="T325" s="193" t="str">
        <f>T314&amp;"_"&amp;D12</f>
        <v>SELECT PLAN_OWNERS</v>
      </c>
      <c r="U325" s="191"/>
      <c r="V325" s="191"/>
      <c r="W325" s="191"/>
      <c r="X325" s="190"/>
      <c r="Y325" s="191"/>
      <c r="Z325" s="192"/>
    </row>
    <row r="326" spans="1:26" ht="18" customHeight="1" hidden="1">
      <c r="A326" s="140"/>
      <c r="B326" s="140"/>
      <c r="D326" s="189" t="s">
        <v>249</v>
      </c>
      <c r="E326" s="191"/>
      <c r="F326" s="191"/>
      <c r="G326" s="191"/>
      <c r="H326" s="191"/>
      <c r="I326" s="191"/>
      <c r="J326" s="192"/>
      <c r="K326"/>
      <c r="L326" s="189"/>
      <c r="M326" s="191"/>
      <c r="N326" s="191"/>
      <c r="O326" s="191"/>
      <c r="P326" s="191"/>
      <c r="Q326" s="191"/>
      <c r="R326" s="192"/>
      <c r="T326" s="189"/>
      <c r="U326" s="191"/>
      <c r="V326" s="191"/>
      <c r="W326" s="191"/>
      <c r="X326" s="191"/>
      <c r="Y326" s="191"/>
      <c r="Z326" s="192"/>
    </row>
    <row r="327" spans="1:26" ht="18" customHeight="1" hidden="1">
      <c r="A327" s="140"/>
      <c r="B327" s="140"/>
      <c r="D327" s="194" t="s">
        <v>250</v>
      </c>
      <c r="E327" s="195"/>
      <c r="F327" s="195"/>
      <c r="G327" s="195"/>
      <c r="H327" s="195"/>
      <c r="I327" s="195"/>
      <c r="J327" s="196"/>
      <c r="K327"/>
      <c r="L327" s="197"/>
      <c r="M327" s="195"/>
      <c r="N327" s="195"/>
      <c r="O327" s="195"/>
      <c r="P327" s="195"/>
      <c r="Q327" s="195"/>
      <c r="R327" s="196"/>
      <c r="T327" s="197"/>
      <c r="U327" s="195"/>
      <c r="V327" s="195"/>
      <c r="W327" s="195"/>
      <c r="X327" s="195"/>
      <c r="Y327" s="195"/>
      <c r="Z327" s="196"/>
    </row>
    <row r="328" spans="1:26" ht="18" customHeight="1" hidden="1">
      <c r="A328" s="140"/>
      <c r="B328" s="140"/>
      <c r="D328" s="198" t="s">
        <v>251</v>
      </c>
      <c r="E328" s="199" t="e">
        <f>_xlfn.XLOOKUP(E325,CurrentPlans!B:B,CurrentPlans!X:X,"NA",0,1)</f>
        <v>#N/A</v>
      </c>
      <c r="F328" s="200"/>
      <c r="G328" s="200"/>
      <c r="H328" s="200"/>
      <c r="I328" s="199"/>
      <c r="J328" s="201"/>
      <c r="K328"/>
      <c r="L328" s="202" t="str">
        <f ca="1">_xlfn.XLOOKUP(L325,RenewalPlans!B:B,RenewalPlans!AA:AA,"NA",0,1)</f>
        <v>NA</v>
      </c>
      <c r="M328" s="200"/>
      <c r="N328" s="200"/>
      <c r="O328" s="200"/>
      <c r="P328" s="199"/>
      <c r="Q328" s="200"/>
      <c r="R328" s="201"/>
      <c r="T328" s="202" t="str">
        <f>_xlfn.XLOOKUP(T325,RenewalPlans!B:B,RenewalPlans!AA:AA,"NA",0,1)</f>
        <v>NA</v>
      </c>
      <c r="U328" s="200"/>
      <c r="V328" s="200"/>
      <c r="W328" s="200"/>
      <c r="X328" s="199"/>
      <c r="Y328" s="200"/>
      <c r="Z328" s="201"/>
    </row>
    <row r="329" spans="1:26" ht="18" customHeight="1" hidden="1">
      <c r="A329" s="140"/>
      <c r="B329" s="140"/>
      <c r="D329" s="198" t="s">
        <v>252</v>
      </c>
      <c r="E329" s="199" t="e">
        <f>_xlfn.XLOOKUP(E325,CurrentPlans!B:B,CurrentPlans!Y:Y,"NA",0,1)</f>
        <v>#N/A</v>
      </c>
      <c r="F329" s="200"/>
      <c r="G329" s="200"/>
      <c r="H329" s="200"/>
      <c r="I329" s="199"/>
      <c r="J329" s="201"/>
      <c r="K329"/>
      <c r="L329" s="202" t="str">
        <f ca="1">_xlfn.XLOOKUP(L325,RenewalPlans!B:B,RenewalPlans!AB:AB,"NA",0,1)</f>
        <v>NA</v>
      </c>
      <c r="M329" s="200"/>
      <c r="N329" s="200"/>
      <c r="O329" s="200"/>
      <c r="P329" s="199"/>
      <c r="Q329" s="200"/>
      <c r="R329" s="201"/>
      <c r="T329" s="202" t="str">
        <f>_xlfn.XLOOKUP(T325,RenewalPlans!B:B,RenewalPlans!AB:AB,"NA",0,1)</f>
        <v>NA</v>
      </c>
      <c r="U329" s="200"/>
      <c r="V329" s="200"/>
      <c r="W329" s="200"/>
      <c r="X329" s="199"/>
      <c r="Y329" s="200"/>
      <c r="Z329" s="201"/>
    </row>
    <row r="330" spans="1:26" ht="18" customHeight="1" hidden="1">
      <c r="A330" s="140"/>
      <c r="B330" s="140"/>
      <c r="D330" s="120" t="s">
        <v>253</v>
      </c>
      <c r="E330" s="121" t="e">
        <f>_xlfn.XLOOKUP(E325,CurrentPlans!B:B,CurrentPlans!W:W,"NA",0,1)</f>
        <v>#N/A</v>
      </c>
      <c r="F330" s="122"/>
      <c r="G330" s="122"/>
      <c r="H330" s="122"/>
      <c r="I330" s="121"/>
      <c r="J330" s="123"/>
      <c r="K330"/>
      <c r="L330" s="124" t="str">
        <f ca="1">_xlfn.XLOOKUP(L325,RenewalPlans!B:B,RenewalPlans!Z:Z,"NA",0,1)</f>
        <v>NA</v>
      </c>
      <c r="M330" s="122"/>
      <c r="N330" s="122"/>
      <c r="O330" s="122"/>
      <c r="P330" s="121"/>
      <c r="Q330" s="122"/>
      <c r="R330" s="123"/>
      <c r="T330" s="124" t="str">
        <f>_xlfn.XLOOKUP(T325,RenewalPlans!B:B,RenewalPlans!Z:Z,"NA",0,1)</f>
        <v>NA</v>
      </c>
      <c r="U330" s="122"/>
      <c r="V330" s="122"/>
      <c r="W330" s="122"/>
      <c r="X330" s="121"/>
      <c r="Y330" s="122"/>
      <c r="Z330" s="123"/>
    </row>
    <row r="331" spans="1:26" ht="18" customHeight="1" hidden="1">
      <c r="A331" s="140"/>
      <c r="B331" s="140"/>
      <c r="D331" s="203" t="s">
        <v>254</v>
      </c>
      <c r="E331" s="204"/>
      <c r="F331" s="205"/>
      <c r="G331" s="205"/>
      <c r="H331" s="205"/>
      <c r="I331" s="204"/>
      <c r="J331" s="206"/>
      <c r="K331"/>
      <c r="L331" s="207"/>
      <c r="M331" s="205"/>
      <c r="N331" s="205"/>
      <c r="O331" s="205"/>
      <c r="P331" s="204"/>
      <c r="Q331" s="205"/>
      <c r="R331" s="206"/>
      <c r="T331" s="207"/>
      <c r="U331" s="205"/>
      <c r="V331" s="205"/>
      <c r="W331" s="205"/>
      <c r="X331" s="204"/>
      <c r="Y331" s="205"/>
      <c r="Z331" s="206"/>
    </row>
    <row r="332" spans="1:26" ht="18" customHeight="1" hidden="1">
      <c r="A332" s="140"/>
      <c r="B332" s="140"/>
      <c r="D332" s="125" t="s">
        <v>255</v>
      </c>
      <c r="E332" s="126" t="e">
        <f>_xlfn.XLOOKUP(E325,CurrentPlans!B:B,CurrentPlans!Z:Z,"NA",0,1)</f>
        <v>#N/A</v>
      </c>
      <c r="F332" s="127"/>
      <c r="G332" s="127"/>
      <c r="H332" s="127"/>
      <c r="I332" s="126"/>
      <c r="J332" s="128"/>
      <c r="K332"/>
      <c r="L332" s="129" t="str">
        <f ca="1">_xlfn.XLOOKUP(L325,RenewalPlans!B:B,RenewalPlans!AC:AC,"NA",0,1)</f>
        <v>NA</v>
      </c>
      <c r="M332" s="127"/>
      <c r="N332" s="127"/>
      <c r="O332" s="127"/>
      <c r="P332" s="126"/>
      <c r="Q332" s="127"/>
      <c r="R332" s="128"/>
      <c r="T332" s="129" t="str">
        <f>_xlfn.XLOOKUP(T325,RenewalPlans!B:B,RenewalPlans!AC:AC,"NA",0,1)</f>
        <v>NA</v>
      </c>
      <c r="U332" s="127"/>
      <c r="V332" s="127"/>
      <c r="W332" s="127"/>
      <c r="X332" s="126"/>
      <c r="Y332" s="127"/>
      <c r="Z332" s="128"/>
    </row>
    <row r="333" spans="1:26" ht="18" customHeight="1" hidden="1">
      <c r="A333" s="140"/>
      <c r="B333" s="140"/>
      <c r="D333" s="198" t="s">
        <v>256</v>
      </c>
      <c r="E333" s="208" t="e">
        <f>_xlfn.XLOOKUP(E325,CurrentPlans!B:B,CurrentPlans!AA:AA,"NA",0,1)</f>
        <v>#N/A</v>
      </c>
      <c r="F333" s="200"/>
      <c r="G333" s="200"/>
      <c r="H333" s="200"/>
      <c r="I333" s="208"/>
      <c r="J333" s="201"/>
      <c r="K333"/>
      <c r="L333" s="209" t="str">
        <f ca="1">_xlfn.XLOOKUP(L325,RenewalPlans!B:B,RenewalPlans!AD:AD,"NA",0,1)</f>
        <v>NA</v>
      </c>
      <c r="M333" s="200"/>
      <c r="N333" s="200"/>
      <c r="O333" s="200"/>
      <c r="P333" s="208"/>
      <c r="Q333" s="200"/>
      <c r="R333" s="201"/>
      <c r="T333" s="209" t="str">
        <f>_xlfn.XLOOKUP(T325,RenewalPlans!B:B,RenewalPlans!AD:AD,"NA",0,1)</f>
        <v>NA</v>
      </c>
      <c r="U333" s="200"/>
      <c r="V333" s="200"/>
      <c r="W333" s="200"/>
      <c r="X333" s="208"/>
      <c r="Y333" s="200"/>
      <c r="Z333" s="201"/>
    </row>
    <row r="334" spans="1:26" ht="18" customHeight="1" hidden="1">
      <c r="A334" s="140"/>
      <c r="B334" s="140"/>
      <c r="D334" s="203" t="s">
        <v>257</v>
      </c>
      <c r="E334" s="204"/>
      <c r="F334" s="205"/>
      <c r="G334" s="205"/>
      <c r="H334" s="205"/>
      <c r="I334" s="204"/>
      <c r="J334" s="206"/>
      <c r="K334"/>
      <c r="L334" s="207"/>
      <c r="M334" s="205"/>
      <c r="N334" s="205"/>
      <c r="O334" s="205"/>
      <c r="P334" s="204"/>
      <c r="Q334" s="205"/>
      <c r="R334" s="206"/>
      <c r="T334" s="207"/>
      <c r="U334" s="205"/>
      <c r="V334" s="205"/>
      <c r="W334" s="205"/>
      <c r="X334" s="204"/>
      <c r="Y334" s="205"/>
      <c r="Z334" s="206"/>
    </row>
    <row r="335" spans="1:26" ht="18" customHeight="1" hidden="1">
      <c r="A335" s="140"/>
      <c r="B335" s="140"/>
      <c r="D335" s="198" t="s">
        <v>258</v>
      </c>
      <c r="E335" s="208" t="e">
        <f>_xlfn.XLOOKUP(E325,CurrentPlans!B:B,CurrentPlans!AB:AB,"NA",0,1)</f>
        <v>#N/A</v>
      </c>
      <c r="F335" s="200"/>
      <c r="G335" s="200"/>
      <c r="H335" s="200"/>
      <c r="I335" s="208"/>
      <c r="J335" s="201"/>
      <c r="K335"/>
      <c r="L335" s="209" t="str">
        <f ca="1">_xlfn.XLOOKUP(L325,RenewalPlans!B:B,RenewalPlans!AE:AE,"NA",0,1)</f>
        <v>NA</v>
      </c>
      <c r="M335" s="200"/>
      <c r="N335" s="200"/>
      <c r="O335" s="200"/>
      <c r="P335" s="208"/>
      <c r="Q335" s="200"/>
      <c r="R335" s="201"/>
      <c r="T335" s="209" t="str">
        <f>_xlfn.XLOOKUP(T325,RenewalPlans!B:B,RenewalPlans!AE:AE,"NA",0,1)</f>
        <v>NA</v>
      </c>
      <c r="U335" s="200"/>
      <c r="V335" s="200"/>
      <c r="W335" s="200"/>
      <c r="X335" s="208"/>
      <c r="Y335" s="200"/>
      <c r="Z335" s="201"/>
    </row>
    <row r="336" spans="1:26" ht="18" customHeight="1" hidden="1">
      <c r="A336" s="140"/>
      <c r="B336" s="140"/>
      <c r="D336" s="198" t="s">
        <v>259</v>
      </c>
      <c r="E336" s="208" t="e">
        <f>_xlfn.XLOOKUP(E325,CurrentPlans!B:B,CurrentPlans!AC:AC,"NA",0,1)</f>
        <v>#N/A</v>
      </c>
      <c r="F336" s="200"/>
      <c r="G336" s="200"/>
      <c r="H336" s="200"/>
      <c r="I336" s="208"/>
      <c r="J336" s="201"/>
      <c r="K336"/>
      <c r="L336" s="209" t="str">
        <f ca="1">_xlfn.XLOOKUP(L325,RenewalPlans!B:B,RenewalPlans!AF:AF,"NA",0,1)</f>
        <v>NA</v>
      </c>
      <c r="M336" s="200"/>
      <c r="N336" s="200"/>
      <c r="O336" s="200"/>
      <c r="P336" s="208"/>
      <c r="Q336" s="200"/>
      <c r="R336" s="201"/>
      <c r="T336" s="209" t="str">
        <f>_xlfn.XLOOKUP(T325,RenewalPlans!B:B,RenewalPlans!AF:AF,"NA",0,1)</f>
        <v>NA</v>
      </c>
      <c r="U336" s="200"/>
      <c r="V336" s="200"/>
      <c r="W336" s="200"/>
      <c r="X336" s="208"/>
      <c r="Y336" s="200"/>
      <c r="Z336" s="201"/>
    </row>
    <row r="337" spans="1:26" ht="18" customHeight="1" hidden="1">
      <c r="A337" s="140"/>
      <c r="B337" s="140"/>
      <c r="D337" s="210"/>
      <c r="E337" s="211"/>
      <c r="F337" s="211"/>
      <c r="G337" s="211"/>
      <c r="H337" s="211"/>
      <c r="I337" s="211"/>
      <c r="J337" s="212"/>
      <c r="K337"/>
      <c r="L337" s="210"/>
      <c r="M337" s="211"/>
      <c r="N337" s="211"/>
      <c r="O337" s="211"/>
      <c r="P337" s="211"/>
      <c r="Q337" s="211"/>
      <c r="R337" s="212"/>
      <c r="T337" s="210"/>
      <c r="U337" s="211"/>
      <c r="V337" s="211"/>
      <c r="W337" s="211"/>
      <c r="X337" s="211"/>
      <c r="Y337" s="211"/>
      <c r="Z337" s="212"/>
    </row>
    <row r="338" spans="1:26" ht="18" customHeight="1" hidden="1">
      <c r="A338" s="140"/>
      <c r="B338" s="140"/>
      <c r="D338" s="185" t="s">
        <v>260</v>
      </c>
      <c r="E338" s="186"/>
      <c r="F338" s="186"/>
      <c r="G338" s="186"/>
      <c r="H338" s="186"/>
      <c r="I338" s="186"/>
      <c r="J338" s="187"/>
      <c r="K338"/>
      <c r="L338" s="188"/>
      <c r="M338" s="186"/>
      <c r="N338" s="186"/>
      <c r="O338" s="186"/>
      <c r="P338" s="186"/>
      <c r="Q338" s="186"/>
      <c r="R338" s="187"/>
      <c r="T338" s="188"/>
      <c r="U338" s="186"/>
      <c r="V338" s="186"/>
      <c r="W338" s="186"/>
      <c r="X338" s="186"/>
      <c r="Y338" s="186"/>
      <c r="Z338" s="187"/>
    </row>
    <row r="339" spans="1:26" ht="18" customHeight="1" hidden="1">
      <c r="A339" s="140"/>
      <c r="B339" s="140"/>
      <c r="D339" s="213" t="s">
        <v>261</v>
      </c>
      <c r="E339" s="130" t="e">
        <f>_xlfn.XLOOKUP(E325,CurrentPlans!B:B,CurrentPlans!AJ:AJ,"NA",0,1)</f>
        <v>#N/A</v>
      </c>
      <c r="F339" s="214"/>
      <c r="G339" s="214"/>
      <c r="H339" s="214"/>
      <c r="I339" s="130"/>
      <c r="J339" s="215"/>
      <c r="K339"/>
      <c r="L339" s="131" t="str">
        <f ca="1">_xlfn.XLOOKUP(L325,RenewalPlans!B:B,RenewalPlans!AM:AM,"NA",0,1)</f>
        <v>NA</v>
      </c>
      <c r="M339" s="214"/>
      <c r="N339" s="214"/>
      <c r="O339" s="214"/>
      <c r="P339" s="130"/>
      <c r="Q339" s="214"/>
      <c r="R339" s="215"/>
      <c r="T339" s="131" t="str">
        <f>_xlfn.XLOOKUP(T325,RenewalPlans!B:B,RenewalPlans!AM:AM,"NA",0,1)</f>
        <v>NA</v>
      </c>
      <c r="U339" s="214"/>
      <c r="V339" s="214"/>
      <c r="W339" s="214"/>
      <c r="X339" s="130"/>
      <c r="Y339" s="214"/>
      <c r="Z339" s="215"/>
    </row>
    <row r="340" spans="1:26" ht="18" customHeight="1" hidden="1">
      <c r="A340" s="140"/>
      <c r="B340" s="140"/>
      <c r="D340" s="198" t="s">
        <v>262</v>
      </c>
      <c r="E340" s="130" t="e">
        <f>_xlfn.XLOOKUP(E325,CurrentPlans!B:B,CurrentPlans!AM:AM,"NA",0,1)</f>
        <v>#N/A</v>
      </c>
      <c r="F340" s="200"/>
      <c r="G340" s="200"/>
      <c r="H340" s="200"/>
      <c r="I340" s="130"/>
      <c r="J340" s="201"/>
      <c r="K340"/>
      <c r="L340" s="131" t="str">
        <f ca="1">_xlfn.XLOOKUP(L325,RenewalPlans!B:B,RenewalPlans!AP:AP,"NA",0,1)</f>
        <v>NA</v>
      </c>
      <c r="M340" s="200"/>
      <c r="N340" s="200"/>
      <c r="O340" s="200"/>
      <c r="P340" s="130"/>
      <c r="Q340" s="200"/>
      <c r="R340" s="201"/>
      <c r="T340" s="131" t="str">
        <f>_xlfn.XLOOKUP(T325,RenewalPlans!B:B,RenewalPlans!AP:AP,"NA",0,1)</f>
        <v>NA</v>
      </c>
      <c r="U340" s="200"/>
      <c r="V340" s="200"/>
      <c r="W340" s="200"/>
      <c r="X340" s="130"/>
      <c r="Y340" s="200"/>
      <c r="Z340" s="201"/>
    </row>
    <row r="341" spans="1:26" ht="18" customHeight="1" hidden="1">
      <c r="A341" s="140"/>
      <c r="B341" s="140"/>
      <c r="D341" s="198" t="s">
        <v>263</v>
      </c>
      <c r="E341" s="130" t="e">
        <f>_xlfn.XLOOKUP(E325,CurrentPlans!B:B,CurrentPlans!AI:AI,"NA",0,1)</f>
        <v>#N/A</v>
      </c>
      <c r="F341" s="200"/>
      <c r="G341" s="200"/>
      <c r="H341" s="200"/>
      <c r="I341" s="130"/>
      <c r="J341" s="201"/>
      <c r="K341"/>
      <c r="L341" s="131" t="str">
        <f ca="1">_xlfn.XLOOKUP(L325,RenewalPlans!B:B,RenewalPlans!AL:AL,"NA",0,1)</f>
        <v>NA</v>
      </c>
      <c r="M341" s="200"/>
      <c r="N341" s="200"/>
      <c r="O341" s="200"/>
      <c r="P341" s="130"/>
      <c r="Q341" s="200"/>
      <c r="R341" s="201"/>
      <c r="T341" s="131" t="str">
        <f>_xlfn.XLOOKUP(T325,RenewalPlans!B:B,RenewalPlans!AL:AL,"NA",0,1)</f>
        <v>NA</v>
      </c>
      <c r="U341" s="200"/>
      <c r="V341" s="200"/>
      <c r="W341" s="200"/>
      <c r="X341" s="130"/>
      <c r="Y341" s="200"/>
      <c r="Z341" s="201"/>
    </row>
    <row r="342" spans="1:26" ht="18" customHeight="1" hidden="1">
      <c r="A342" s="140"/>
      <c r="B342" s="140"/>
      <c r="D342" s="198" t="s">
        <v>264</v>
      </c>
      <c r="E342" s="208" t="e">
        <f>_xlfn.XLOOKUP(E325,CurrentPlans!B:B,CurrentPlans!AN:AN,"NA",0,1)</f>
        <v>#N/A</v>
      </c>
      <c r="F342" s="200"/>
      <c r="G342" s="200"/>
      <c r="H342" s="200"/>
      <c r="I342" s="208"/>
      <c r="J342" s="201"/>
      <c r="K342"/>
      <c r="L342" s="209" t="str">
        <f ca="1">_xlfn.XLOOKUP(L325,RenewalPlans!B:B,RenewalPlans!AQ:AQ,"NA",0,1)</f>
        <v>NA</v>
      </c>
      <c r="M342" s="200"/>
      <c r="N342" s="200"/>
      <c r="O342" s="200"/>
      <c r="P342" s="208"/>
      <c r="Q342" s="200"/>
      <c r="R342" s="201"/>
      <c r="T342" s="209" t="str">
        <f>_xlfn.XLOOKUP(T325,RenewalPlans!B:B,RenewalPlans!AQ:AQ,"NA",0,1)</f>
        <v>NA</v>
      </c>
      <c r="U342" s="200"/>
      <c r="V342" s="200"/>
      <c r="W342" s="200"/>
      <c r="X342" s="208"/>
      <c r="Y342" s="200"/>
      <c r="Z342" s="201"/>
    </row>
    <row r="343" spans="1:26" ht="18" customHeight="1" hidden="1">
      <c r="A343" s="140"/>
      <c r="B343" s="140"/>
      <c r="D343" s="210"/>
      <c r="E343" s="211"/>
      <c r="F343" s="211"/>
      <c r="G343" s="211"/>
      <c r="H343" s="211"/>
      <c r="I343" s="211"/>
      <c r="J343" s="212"/>
      <c r="K343"/>
      <c r="L343" s="210"/>
      <c r="M343" s="211"/>
      <c r="N343" s="211"/>
      <c r="O343" s="211"/>
      <c r="P343" s="211"/>
      <c r="Q343" s="211"/>
      <c r="R343" s="212"/>
      <c r="T343" s="210"/>
      <c r="U343" s="211"/>
      <c r="V343" s="211"/>
      <c r="W343" s="211"/>
      <c r="X343" s="211"/>
      <c r="Y343" s="211"/>
      <c r="Z343" s="212"/>
    </row>
    <row r="344" spans="1:26" ht="18" customHeight="1" hidden="1">
      <c r="A344" s="140"/>
      <c r="B344" s="140"/>
      <c r="D344" s="185" t="s">
        <v>265</v>
      </c>
      <c r="E344" s="186"/>
      <c r="F344" s="186"/>
      <c r="G344" s="186"/>
      <c r="H344" s="186"/>
      <c r="I344" s="186"/>
      <c r="J344" s="187"/>
      <c r="K344"/>
      <c r="L344" s="188"/>
      <c r="M344" s="186"/>
      <c r="N344" s="186"/>
      <c r="O344" s="186"/>
      <c r="P344" s="186"/>
      <c r="Q344" s="186"/>
      <c r="R344" s="187"/>
      <c r="T344" s="188"/>
      <c r="U344" s="186"/>
      <c r="V344" s="186"/>
      <c r="W344" s="186"/>
      <c r="X344" s="186"/>
      <c r="Y344" s="186"/>
      <c r="Z344" s="187"/>
    </row>
    <row r="345" spans="1:26" ht="18" customHeight="1" hidden="1">
      <c r="A345" s="140"/>
      <c r="B345" s="140"/>
      <c r="D345" s="132" t="s">
        <v>266</v>
      </c>
      <c r="E345" s="133" t="e">
        <f>_xlfn.XLOOKUP(E325,CurrentPlans!B:B,CurrentPlans!AE:AE,"NA",0,1)</f>
        <v>#N/A</v>
      </c>
      <c r="F345" s="134"/>
      <c r="G345" s="134"/>
      <c r="H345" s="134"/>
      <c r="I345" s="133"/>
      <c r="J345" s="135"/>
      <c r="K345"/>
      <c r="L345" s="136" t="str">
        <f ca="1">_xlfn.XLOOKUP(L325,RenewalPlans!B:B,RenewalPlans!AH:AH,"NA",0,1)</f>
        <v>NA</v>
      </c>
      <c r="M345" s="134"/>
      <c r="N345" s="134"/>
      <c r="O345" s="134"/>
      <c r="P345" s="133"/>
      <c r="Q345" s="134"/>
      <c r="R345" s="135"/>
      <c r="T345" s="136" t="str">
        <f>_xlfn.XLOOKUP(T325,RenewalPlans!B:B,RenewalPlans!AH:AH,"NA",0,1)</f>
        <v>NA</v>
      </c>
      <c r="U345" s="134"/>
      <c r="V345" s="134"/>
      <c r="W345" s="134"/>
      <c r="X345" s="133"/>
      <c r="Y345" s="134"/>
      <c r="Z345" s="135"/>
    </row>
    <row r="346" spans="1:26" ht="18" customHeight="1" hidden="1">
      <c r="A346" s="140"/>
      <c r="B346" s="140"/>
      <c r="D346" s="120" t="s">
        <v>267</v>
      </c>
      <c r="E346" s="130" t="e">
        <f>_xlfn.XLOOKUP(E325,CurrentPlans!B:B,CurrentPlans!AF:AF,"NA",0,1)</f>
        <v>#N/A</v>
      </c>
      <c r="F346" s="122"/>
      <c r="G346" s="122"/>
      <c r="H346" s="122"/>
      <c r="I346" s="130"/>
      <c r="J346" s="123"/>
      <c r="K346"/>
      <c r="L346" s="131" t="str">
        <f ca="1">_xlfn.XLOOKUP(L325,RenewalPlans!B:B,RenewalPlans!AI:AI,"NA",0,1)</f>
        <v>NA</v>
      </c>
      <c r="M346" s="122"/>
      <c r="N346" s="122"/>
      <c r="O346" s="122"/>
      <c r="P346" s="130"/>
      <c r="Q346" s="122"/>
      <c r="R346" s="123"/>
      <c r="T346" s="131" t="str">
        <f>_xlfn.XLOOKUP(T325,RenewalPlans!B:B,RenewalPlans!AI:AI,"NA",0,1)</f>
        <v>NA</v>
      </c>
      <c r="U346" s="122"/>
      <c r="V346" s="122"/>
      <c r="W346" s="122"/>
      <c r="X346" s="130"/>
      <c r="Y346" s="122"/>
      <c r="Z346" s="123"/>
    </row>
    <row r="347" spans="1:26" ht="18" customHeight="1" hidden="1">
      <c r="A347" s="140"/>
      <c r="B347" s="140"/>
      <c r="D347" s="198" t="s">
        <v>268</v>
      </c>
      <c r="E347" s="130" t="e">
        <f>_xlfn.XLOOKUP(E325,CurrentPlans!B:B,CurrentPlans!AH:AH,"NA",0,1)</f>
        <v>#N/A</v>
      </c>
      <c r="F347" s="200"/>
      <c r="G347" s="200"/>
      <c r="H347" s="200"/>
      <c r="I347" s="130"/>
      <c r="J347" s="201"/>
      <c r="K347"/>
      <c r="L347" s="131" t="str">
        <f ca="1">_xlfn.XLOOKUP(L325,RenewalPlans!B:B,RenewalPlans!AK:AK,"NA",0,1)</f>
        <v>NA</v>
      </c>
      <c r="M347" s="200"/>
      <c r="N347" s="200"/>
      <c r="O347" s="200"/>
      <c r="P347" s="130"/>
      <c r="Q347" s="200"/>
      <c r="R347" s="201"/>
      <c r="T347" s="131" t="str">
        <f>_xlfn.XLOOKUP(T325,RenewalPlans!B:B,RenewalPlans!AK:AK,"NA",0,1)</f>
        <v>NA</v>
      </c>
      <c r="U347" s="200"/>
      <c r="V347" s="200"/>
      <c r="W347" s="200"/>
      <c r="X347" s="130"/>
      <c r="Y347" s="200"/>
      <c r="Z347" s="201"/>
    </row>
    <row r="348" spans="1:26" ht="18" customHeight="1" hidden="1">
      <c r="A348" s="140"/>
      <c r="B348" s="140"/>
      <c r="D348" s="198" t="s">
        <v>269</v>
      </c>
      <c r="E348" s="130" t="e">
        <f>_xlfn.XLOOKUP(E325,CurrentPlans!B:B,CurrentPlans!AG:AG,"NA",0,1)</f>
        <v>#N/A</v>
      </c>
      <c r="F348" s="200"/>
      <c r="G348" s="200"/>
      <c r="H348" s="200"/>
      <c r="I348" s="130"/>
      <c r="J348" s="201"/>
      <c r="K348"/>
      <c r="L348" s="131" t="str">
        <f ca="1">_xlfn.XLOOKUP(L325,RenewalPlans!B:B,RenewalPlans!AJ:AJ,"NA",0,1)</f>
        <v>NA</v>
      </c>
      <c r="M348" s="200"/>
      <c r="N348" s="200"/>
      <c r="O348" s="200"/>
      <c r="P348" s="130"/>
      <c r="Q348" s="200"/>
      <c r="R348" s="201"/>
      <c r="T348" s="131" t="str">
        <f>_xlfn.XLOOKUP(T325,RenewalPlans!B:B,RenewalPlans!AJ:AJ,"NA",0,1)</f>
        <v>NA</v>
      </c>
      <c r="U348" s="200"/>
      <c r="V348" s="200"/>
      <c r="W348" s="200"/>
      <c r="X348" s="130"/>
      <c r="Y348" s="200"/>
      <c r="Z348" s="201"/>
    </row>
    <row r="349" spans="1:26" ht="18" customHeight="1" hidden="1">
      <c r="A349" s="140"/>
      <c r="B349" s="140"/>
      <c r="D349" s="213" t="s">
        <v>270</v>
      </c>
      <c r="E349" s="216" t="e">
        <f>_xlfn.XLOOKUP(E325,CurrentPlans!B:B,CurrentPlans!AU:AU,"NA",0,1)</f>
        <v>#N/A</v>
      </c>
      <c r="F349" s="214"/>
      <c r="G349" s="214"/>
      <c r="H349" s="214"/>
      <c r="I349" s="217"/>
      <c r="J349" s="215"/>
      <c r="K349"/>
      <c r="L349" s="218" t="str">
        <f ca="1">_xlfn.XLOOKUP(L325,RenewalPlans!B:B,RenewalPlans!AX:AX,"NA",0,1)</f>
        <v>NA</v>
      </c>
      <c r="M349" s="214"/>
      <c r="N349" s="214"/>
      <c r="O349" s="214"/>
      <c r="P349" s="217"/>
      <c r="Q349" s="214"/>
      <c r="R349" s="215"/>
      <c r="T349" s="218" t="str">
        <f>_xlfn.XLOOKUP(T325,RenewalPlans!B:B,RenewalPlans!AX:AX,"NA",0,1)</f>
        <v>NA</v>
      </c>
      <c r="U349" s="214"/>
      <c r="V349" s="214"/>
      <c r="W349" s="214"/>
      <c r="X349" s="217"/>
      <c r="Y349" s="214"/>
      <c r="Z349" s="215"/>
    </row>
    <row r="350" spans="1:26" ht="18" customHeight="1" hidden="1">
      <c r="A350" s="140"/>
      <c r="B350" s="140"/>
      <c r="D350" s="213" t="s">
        <v>271</v>
      </c>
      <c r="E350" s="216" t="e">
        <f>_xlfn.XLOOKUP(E325,CurrentPlans!B:B,CurrentPlans!AT:AT,"NA",0,1)</f>
        <v>#N/A</v>
      </c>
      <c r="F350" s="214"/>
      <c r="G350" s="214"/>
      <c r="H350" s="214"/>
      <c r="I350" s="217"/>
      <c r="J350" s="215"/>
      <c r="K350"/>
      <c r="L350" s="218" t="str">
        <f ca="1">_xlfn.XLOOKUP(L325,RenewalPlans!B:B,RenewalPlans!AW:AW,"NA",0,1)</f>
        <v>NA</v>
      </c>
      <c r="M350" s="214"/>
      <c r="N350" s="214"/>
      <c r="O350" s="214"/>
      <c r="P350" s="217"/>
      <c r="Q350" s="214"/>
      <c r="R350" s="215"/>
      <c r="T350" s="218" t="str">
        <f>_xlfn.XLOOKUP(T325,RenewalPlans!B:B,RenewalPlans!AW:AW,"NA",0,1)</f>
        <v>NA</v>
      </c>
      <c r="U350" s="214"/>
      <c r="V350" s="214"/>
      <c r="W350" s="214"/>
      <c r="X350" s="217"/>
      <c r="Y350" s="214"/>
      <c r="Z350" s="215"/>
    </row>
    <row r="351" spans="1:26" ht="18" customHeight="1" hidden="1">
      <c r="A351" s="140"/>
      <c r="B351" s="140"/>
      <c r="D351" s="198" t="s">
        <v>272</v>
      </c>
      <c r="E351" s="130" t="e">
        <f>_xlfn.XLOOKUP(E325,CurrentPlans!B:B,CurrentPlans!AD:AD,"NA",0,1)</f>
        <v>#N/A</v>
      </c>
      <c r="F351" s="200"/>
      <c r="G351" s="200"/>
      <c r="H351" s="200"/>
      <c r="I351" s="130"/>
      <c r="J351" s="201"/>
      <c r="K351"/>
      <c r="L351" s="131" t="str">
        <f ca="1">_xlfn.XLOOKUP(L325,RenewalPlans!B:B,RenewalPlans!AG:AG,"NA",0,1)</f>
        <v>NA</v>
      </c>
      <c r="M351" s="200"/>
      <c r="N351" s="200"/>
      <c r="O351" s="200"/>
      <c r="P351" s="130"/>
      <c r="Q351" s="200"/>
      <c r="R351" s="201"/>
      <c r="T351" s="131" t="str">
        <f>_xlfn.XLOOKUP(T325,RenewalPlans!B:B,RenewalPlans!AG:AG,"NA",0,1)</f>
        <v>NA</v>
      </c>
      <c r="U351" s="200"/>
      <c r="V351" s="200"/>
      <c r="W351" s="200"/>
      <c r="X351" s="130"/>
      <c r="Y351" s="200"/>
      <c r="Z351" s="201"/>
    </row>
    <row r="352" spans="1:26" ht="18" customHeight="1" hidden="1">
      <c r="A352" s="140"/>
      <c r="B352" s="140"/>
      <c r="D352" s="198" t="s">
        <v>273</v>
      </c>
      <c r="E352" s="200"/>
      <c r="F352" s="200"/>
      <c r="G352" s="200"/>
      <c r="H352" s="200"/>
      <c r="I352" s="200"/>
      <c r="J352" s="201"/>
      <c r="K352"/>
      <c r="L352" s="198"/>
      <c r="M352" s="200"/>
      <c r="N352" s="200"/>
      <c r="O352" s="200"/>
      <c r="P352" s="200"/>
      <c r="Q352" s="200"/>
      <c r="R352" s="201"/>
      <c r="T352" s="198"/>
      <c r="U352" s="200"/>
      <c r="V352" s="200"/>
      <c r="W352" s="200"/>
      <c r="X352" s="200"/>
      <c r="Y352" s="200"/>
      <c r="Z352" s="201"/>
    </row>
    <row r="353" spans="1:26" ht="18" customHeight="1" hidden="1">
      <c r="A353" s="140"/>
      <c r="B353" s="140"/>
      <c r="D353" s="210"/>
      <c r="E353" s="211"/>
      <c r="F353" s="211"/>
      <c r="G353" s="211"/>
      <c r="H353" s="211"/>
      <c r="I353" s="211"/>
      <c r="J353" s="212"/>
      <c r="K353"/>
      <c r="L353" s="210"/>
      <c r="M353" s="211"/>
      <c r="N353" s="211"/>
      <c r="O353" s="211"/>
      <c r="P353" s="211"/>
      <c r="Q353" s="211"/>
      <c r="R353" s="212"/>
      <c r="T353" s="210"/>
      <c r="U353" s="211"/>
      <c r="V353" s="211"/>
      <c r="W353" s="211"/>
      <c r="X353" s="211"/>
      <c r="Y353" s="211"/>
      <c r="Z353" s="212"/>
    </row>
    <row r="354" spans="1:26" ht="18" customHeight="1" hidden="1">
      <c r="A354" s="140"/>
      <c r="B354" s="140"/>
      <c r="D354" s="219" t="s">
        <v>274</v>
      </c>
      <c r="E354" s="220"/>
      <c r="F354" s="220"/>
      <c r="G354" s="220"/>
      <c r="H354" s="220"/>
      <c r="I354" s="220"/>
      <c r="J354" s="221"/>
      <c r="K354"/>
      <c r="L354" s="222"/>
      <c r="M354" s="220"/>
      <c r="N354" s="220"/>
      <c r="O354" s="220"/>
      <c r="P354" s="220"/>
      <c r="Q354" s="220"/>
      <c r="R354" s="221"/>
      <c r="T354" s="222"/>
      <c r="U354" s="220"/>
      <c r="V354" s="220"/>
      <c r="W354" s="220"/>
      <c r="X354" s="220"/>
      <c r="Y354" s="220"/>
      <c r="Z354" s="221"/>
    </row>
    <row r="355" spans="1:26" ht="18" customHeight="1" hidden="1">
      <c r="A355" s="140"/>
      <c r="B355" s="140"/>
      <c r="D355" s="223" t="s">
        <v>250</v>
      </c>
      <c r="E355" s="205"/>
      <c r="F355" s="205"/>
      <c r="G355" s="205"/>
      <c r="H355" s="205"/>
      <c r="I355" s="205"/>
      <c r="J355" s="206"/>
      <c r="K355"/>
      <c r="L355" s="203"/>
      <c r="M355" s="205"/>
      <c r="N355" s="205"/>
      <c r="O355" s="205"/>
      <c r="P355" s="205"/>
      <c r="Q355" s="205"/>
      <c r="R355" s="206"/>
      <c r="T355" s="203"/>
      <c r="U355" s="205"/>
      <c r="V355" s="205"/>
      <c r="W355" s="205"/>
      <c r="X355" s="205"/>
      <c r="Y355" s="205"/>
      <c r="Z355" s="206"/>
    </row>
    <row r="356" spans="1:26" ht="18" customHeight="1" hidden="1">
      <c r="A356" s="140"/>
      <c r="B356" s="140"/>
      <c r="D356" s="198" t="s">
        <v>251</v>
      </c>
      <c r="E356" s="130" t="e">
        <f>_xlfn.XLOOKUP(E325,CurrentPlans!B:B,CurrentPlans!AP:AP,"NA",0,1)</f>
        <v>#N/A</v>
      </c>
      <c r="F356" s="200"/>
      <c r="G356" s="200"/>
      <c r="H356" s="200"/>
      <c r="I356" s="130"/>
      <c r="J356" s="201"/>
      <c r="K356"/>
      <c r="L356" s="131" t="str">
        <f ca="1">_xlfn.XLOOKUP(L325,RenewalPlans!B:B,RenewalPlans!AS:AS,"NA",0,1)</f>
        <v>NA</v>
      </c>
      <c r="M356" s="200"/>
      <c r="N356" s="200"/>
      <c r="O356" s="200"/>
      <c r="P356" s="130"/>
      <c r="Q356" s="200"/>
      <c r="R356" s="201"/>
      <c r="T356" s="131" t="str">
        <f>_xlfn.XLOOKUP(T325,RenewalPlans!B:B,RenewalPlans!AS:AS,"NA",0,1)</f>
        <v>NA</v>
      </c>
      <c r="U356" s="200"/>
      <c r="V356" s="200"/>
      <c r="W356" s="200"/>
      <c r="X356" s="130"/>
      <c r="Y356" s="200"/>
      <c r="Z356" s="201"/>
    </row>
    <row r="357" spans="1:26" ht="18" customHeight="1" hidden="1">
      <c r="A357" s="140"/>
      <c r="B357" s="140"/>
      <c r="D357" s="198" t="s">
        <v>252</v>
      </c>
      <c r="E357" s="130" t="e">
        <f>_xlfn.XLOOKUP(E325,CurrentPlans!B:B,CurrentPlans!AQ:AQ,"NA",0,1)</f>
        <v>#N/A</v>
      </c>
      <c r="F357" s="200"/>
      <c r="G357" s="200"/>
      <c r="H357" s="200"/>
      <c r="I357" s="130"/>
      <c r="J357" s="201"/>
      <c r="K357"/>
      <c r="L357" s="131" t="str">
        <f ca="1">_xlfn.XLOOKUP(L325,RenewalPlans!B:B,RenewalPlans!AT:AT,"NA",0,1)</f>
        <v>NA</v>
      </c>
      <c r="M357" s="200"/>
      <c r="N357" s="200"/>
      <c r="O357" s="200"/>
      <c r="P357" s="130"/>
      <c r="Q357" s="200"/>
      <c r="R357" s="201"/>
      <c r="T357" s="131" t="str">
        <f>_xlfn.XLOOKUP(T325,RenewalPlans!B:B,RenewalPlans!AT:AT,"NA",0,1)</f>
        <v>NA</v>
      </c>
      <c r="U357" s="200"/>
      <c r="V357" s="200"/>
      <c r="W357" s="200"/>
      <c r="X357" s="130"/>
      <c r="Y357" s="200"/>
      <c r="Z357" s="201"/>
    </row>
    <row r="358" spans="1:26" ht="18" customHeight="1" hidden="1">
      <c r="A358" s="140"/>
      <c r="B358" s="140"/>
      <c r="D358" s="120" t="s">
        <v>253</v>
      </c>
      <c r="E358" s="133" t="e">
        <f>_xlfn.XLOOKUP(E325,CurrentPlans!B:B,CurrentPlans!AO:AO,"NA",0,1)</f>
        <v>#N/A</v>
      </c>
      <c r="F358" s="122"/>
      <c r="G358" s="122"/>
      <c r="H358" s="122"/>
      <c r="I358" s="133"/>
      <c r="J358" s="123"/>
      <c r="K358"/>
      <c r="L358" s="136" t="str">
        <f ca="1">_xlfn.XLOOKUP(L325,RenewalPlans!B:B,RenewalPlans!AR:AR,"NA",0,1)</f>
        <v>NA</v>
      </c>
      <c r="M358" s="122"/>
      <c r="N358" s="122"/>
      <c r="O358" s="122"/>
      <c r="P358" s="133"/>
      <c r="Q358" s="122"/>
      <c r="R358" s="123"/>
      <c r="T358" s="136" t="str">
        <f>_xlfn.XLOOKUP(T325,RenewalPlans!B:B,RenewalPlans!AR:AR,"NA",0,1)</f>
        <v>NA</v>
      </c>
      <c r="U358" s="122"/>
      <c r="V358" s="122"/>
      <c r="W358" s="122"/>
      <c r="X358" s="133"/>
      <c r="Y358" s="122"/>
      <c r="Z358" s="123"/>
    </row>
    <row r="359" spans="1:26" ht="18" customHeight="1" hidden="1">
      <c r="A359" s="140"/>
      <c r="B359" s="140"/>
      <c r="D359" s="223" t="s">
        <v>254</v>
      </c>
      <c r="E359" s="205"/>
      <c r="F359" s="205"/>
      <c r="G359" s="205"/>
      <c r="H359" s="205"/>
      <c r="I359" s="205"/>
      <c r="J359" s="206"/>
      <c r="K359"/>
      <c r="L359" s="203"/>
      <c r="M359" s="205"/>
      <c r="N359" s="205"/>
      <c r="O359" s="205"/>
      <c r="P359" s="205"/>
      <c r="Q359" s="205"/>
      <c r="R359" s="206"/>
      <c r="T359" s="203"/>
      <c r="U359" s="205"/>
      <c r="V359" s="205"/>
      <c r="W359" s="205"/>
      <c r="X359" s="205"/>
      <c r="Y359" s="205"/>
      <c r="Z359" s="206"/>
    </row>
    <row r="360" spans="1:26" ht="18" customHeight="1" hidden="1">
      <c r="A360" s="140"/>
      <c r="B360" s="140"/>
      <c r="D360" s="198" t="s">
        <v>255</v>
      </c>
      <c r="E360" s="130" t="e">
        <f>_xlfn.XLOOKUP(E325,CurrentPlans!B:B,CurrentPlans!AR:AR,"NA",0,1)</f>
        <v>#N/A</v>
      </c>
      <c r="F360" s="200"/>
      <c r="G360" s="200"/>
      <c r="H360" s="200"/>
      <c r="I360" s="130"/>
      <c r="J360" s="201"/>
      <c r="K360"/>
      <c r="L360" s="131" t="str">
        <f ca="1">_xlfn.XLOOKUP(L325,RenewalPlans!B:B,RenewalPlans!AU:AU,"NA",0,1)</f>
        <v>NA</v>
      </c>
      <c r="M360" s="200"/>
      <c r="N360" s="200"/>
      <c r="O360" s="200"/>
      <c r="P360" s="130"/>
      <c r="Q360" s="200"/>
      <c r="R360" s="201"/>
      <c r="T360" s="131" t="str">
        <f>_xlfn.XLOOKUP(T325,RenewalPlans!B:B,RenewalPlans!AU:AU,"NA",0,1)</f>
        <v>NA</v>
      </c>
      <c r="U360" s="200"/>
      <c r="V360" s="200"/>
      <c r="W360" s="200"/>
      <c r="X360" s="130"/>
      <c r="Y360" s="200"/>
      <c r="Z360" s="201"/>
    </row>
    <row r="361" spans="1:26" ht="18" customHeight="1" hidden="1" thickBot="1">
      <c r="A361" s="140"/>
      <c r="B361" s="140"/>
      <c r="D361" s="224" t="s">
        <v>256</v>
      </c>
      <c r="E361" s="137" t="e">
        <f>_xlfn.XLOOKUP(E325,CurrentPlans!B:B,CurrentPlans!AS:AS,"NA",0,1)</f>
        <v>#N/A</v>
      </c>
      <c r="F361" s="225"/>
      <c r="G361" s="225"/>
      <c r="H361" s="225"/>
      <c r="I361" s="137"/>
      <c r="J361" s="226"/>
      <c r="K361"/>
      <c r="L361" s="138" t="str">
        <f ca="1">_xlfn.XLOOKUP(L325,RenewalPlans!B:B,RenewalPlans!AV:AV,"NA",0,1)</f>
        <v>NA</v>
      </c>
      <c r="M361" s="225"/>
      <c r="N361" s="225"/>
      <c r="O361" s="225"/>
      <c r="P361" s="137"/>
      <c r="Q361" s="225"/>
      <c r="R361" s="226"/>
      <c r="T361" s="138" t="str">
        <f>_xlfn.XLOOKUP(T325,RenewalPlans!B:B,RenewalPlans!AV:AV,"NA",0,1)</f>
        <v>NA</v>
      </c>
      <c r="U361" s="225"/>
      <c r="V361" s="225"/>
      <c r="W361" s="225"/>
      <c r="X361" s="137"/>
      <c r="Y361" s="225"/>
      <c r="Z361" s="226"/>
    </row>
    <row r="362" spans="1:26" ht="18" customHeight="1">
      <c r="A362" s="140"/>
      <c r="B362" s="140"/>
      <c r="D362" s="227"/>
      <c r="E362" s="176"/>
      <c r="F362" s="178"/>
      <c r="G362" s="179"/>
      <c r="H362" s="178"/>
      <c r="I362" s="176"/>
      <c r="J362" s="228"/>
      <c r="K362"/>
      <c r="L362" s="178"/>
      <c r="M362" s="176"/>
      <c r="N362" s="139"/>
      <c r="O362" s="178"/>
      <c r="P362" s="178"/>
      <c r="Q362" s="178"/>
      <c r="R362" s="228"/>
      <c r="T362" s="178"/>
      <c r="U362" s="176"/>
      <c r="V362" s="139"/>
      <c r="W362" s="178"/>
      <c r="X362" s="178"/>
      <c r="Y362" s="178"/>
      <c r="Z362" s="228"/>
    </row>
    <row r="363" spans="1:26" ht="5.25" customHeight="1" thickBot="1">
      <c r="A363" s="140"/>
      <c r="B363" s="140"/>
      <c r="D363" s="229"/>
      <c r="E363" s="229"/>
      <c r="F363" s="230"/>
      <c r="G363" s="231"/>
      <c r="H363" s="232"/>
      <c r="I363" s="233"/>
      <c r="J363" s="233"/>
      <c r="K363"/>
      <c r="L363" s="233"/>
      <c r="M363" s="233"/>
      <c r="N363" s="233"/>
      <c r="O363" s="233"/>
      <c r="P363" s="233"/>
      <c r="Q363" s="233"/>
      <c r="R363" s="233"/>
      <c r="T363" s="233"/>
      <c r="U363" s="233"/>
      <c r="V363" s="233"/>
      <c r="W363" s="233"/>
      <c r="X363" s="233"/>
      <c r="Y363" s="233"/>
      <c r="Z363" s="233"/>
    </row>
    <row r="364" spans="1:26" ht="50.15" customHeight="1">
      <c r="A364" s="140">
        <v>8</v>
      </c>
      <c r="B364" s="140">
        <f>IF(A364&gt;Class2_CurrentHealthCount,"DELETE",Class2_CurrentHealthStart+A364)</f>
        <v>40</v>
      </c>
      <c r="C364" s="164" t="s">
        <v>281</v>
      </c>
      <c r="D364" s="273" t="e">
        <f ca="1">IF(B364="Delete","",VLOOKUP(F364,BEGIN_CURRENT_HEALTH:END_CURRENT_HEALTH,3,FALSE))</f>
        <v>#N/A</v>
      </c>
      <c r="E364" s="165"/>
      <c r="F364" s="272" cm="1">
        <f t="array" ca="1" aca="1" ref="F364">IF(B364="Delete","",INDIRECT("CurrentPlans!A"&amp;B364,TRUE))</f>
        <v>0</v>
      </c>
      <c r="G364" s="166"/>
      <c r="H364" s="167"/>
      <c r="I364" s="168"/>
      <c r="J364" s="169"/>
      <c r="K364"/>
      <c r="L364" s="274" t="str">
        <f ca="1">_xlfn.IFNA(VLOOKUP(F364,BEGIN_RENEWEDFROM_HEALTH:ROW_RenewHealth_PlanID,3,FALSE),"SELECT PLAN")</f>
        <v>SELECT PLAN</v>
      </c>
      <c r="M364" s="170"/>
      <c r="N364" s="274" t="s">
        <v>237</v>
      </c>
      <c r="O364" s="171"/>
      <c r="P364" s="171"/>
      <c r="Q364" s="171"/>
      <c r="R364" s="169"/>
      <c r="T364" s="274" t="s">
        <v>38</v>
      </c>
      <c r="U364" s="170"/>
      <c r="V364" s="274" t="s">
        <v>237</v>
      </c>
      <c r="W364" s="171"/>
      <c r="X364" s="171"/>
      <c r="Y364" s="171"/>
      <c r="Z364" s="169"/>
    </row>
    <row r="365" spans="1:26" ht="18.75" customHeight="1">
      <c r="A365" s="140"/>
      <c r="B365" s="140"/>
      <c r="D365" s="172" t="s">
        <v>238</v>
      </c>
      <c r="E365" s="407" t="str">
        <f ca="1">_xlfn.IFNA(VLOOKUP(F364,BEGIN_CURRENT_HEALTH:END_CURRENT_HEALTH,CURRENT_COL_EO_count,FALSE),"")</f>
        <v/>
      </c>
      <c r="F365" s="408" t="str">
        <f ca="1">_xlfn.IFNA(VLOOKUP(F364,BEGIN_CURRENT_HEALTH:END_CURRENT_HEALTH,CURRENT_COL_EO,FALSE),"")</f>
        <v/>
      </c>
      <c r="G365" s="468" t="str">
        <f ca="1" t="shared" si="35" ref="G365:G368">IF(F365="","",H365/F365)</f>
        <v/>
      </c>
      <c r="H365" s="408" t="str">
        <f ca="1">_xlfn.IFNA(VLOOKUP(F364,BEGIN_CURRENT_HEALTH:END_CURRENT_HEALTH,CURRENT_COL_EOContrib,FALSE),"")</f>
        <v/>
      </c>
      <c r="I365" s="409" t="str">
        <f ca="1">IFERROR(F365-H365,"")</f>
        <v/>
      </c>
      <c r="J365" s="410" t="str">
        <f ca="1">IF(F365="","",H365*E365)</f>
        <v/>
      </c>
      <c r="K365" s="411"/>
      <c r="L365" s="408" t="str" cm="1">
        <f t="array" ca="1" aca="1" ref="L365">_xlfn.IFNA(VLOOKUP(INDIRECT("L"&amp;ROW()-1)&amp;"_"&amp;$D$12,BEGIN_RENEW_HEALTH:END_RENEW_HEALTH,RENEW_COL_EO,FALSE),"")</f>
        <v/>
      </c>
      <c r="M365" s="412" t="str">
        <f ca="1">IF(E365="","",E365)</f>
        <v/>
      </c>
      <c r="N365" s="413"/>
      <c r="O365" s="414"/>
      <c r="P365" s="415" t="str">
        <f>IFERROR(IF($N364="Keep Contribution Same",H365,IF($N364="Enter Percentages",IF(N365="","",N365*L365),IF($N364="Keep Percentage Same",IF(G365="","",G365*L365),IF($N364="Enter Dollar Amount",IF(O365="","",O365),"")))),"")</f>
        <v/>
      </c>
      <c r="Q365" s="408" t="str">
        <f ca="1">IFERROR(L365-P365,"")</f>
        <v/>
      </c>
      <c r="R365" s="410" t="str">
        <f>IFERROR(IF(P365="","",M365*P365),"")</f>
        <v/>
      </c>
      <c r="S365" s="411"/>
      <c r="T365" s="408" t="str" cm="1">
        <f t="array" ca="1" aca="1" ref="T365">_xlfn.IFNA(VLOOKUP(INDIRECT("T"&amp;ROW()-1)&amp;"_"&amp;$D$12,BEGIN_RENEW_HEALTH:END_RENEW_HEALTH,RENEW_COL_EO,FALSE),"")</f>
        <v/>
      </c>
      <c r="U365" s="412" t="str">
        <f ca="1">IF(E365="","",E365)</f>
        <v/>
      </c>
      <c r="V365" s="413"/>
      <c r="W365" s="414"/>
      <c r="X365" s="415" t="str">
        <f>IFERROR(IF($V364="Keep Contribution Same",H365,IF($V364="Enter Percentages",IF(V365="","",V365*T365),IF($V364="Keep Percentage Same",IF(G365="","",G365*T365),IF($V364="Enter Dollar Amount",IF(W365="","",W365),"")))),"")</f>
        <v/>
      </c>
      <c r="Y365" s="408" t="str">
        <f ca="1">IFERROR(T365-X365,"")</f>
        <v/>
      </c>
      <c r="Z365" s="410" t="str">
        <f>IFERROR(IF(X365="","",U365*X365),"")</f>
        <v/>
      </c>
    </row>
    <row r="366" spans="1:26" ht="18.75" customHeight="1">
      <c r="A366" s="140"/>
      <c r="B366" s="140"/>
      <c r="D366" s="172" t="s">
        <v>239</v>
      </c>
      <c r="E366" s="407" t="str">
        <f ca="1">_xlfn.IFNA(VLOOKUP(F364,BEGIN_CURRENT_HEALTH:END_CURRENT_HEALTH,CURRENT_COL_ES_count,FALSE),"")</f>
        <v/>
      </c>
      <c r="F366" s="408" t="str">
        <f ca="1">_xlfn.IFNA(VLOOKUP(F364,BEGIN_CURRENT_HEALTH:END_CURRENT_HEALTH,CURRENT_COL_ES,FALSE),"")</f>
        <v/>
      </c>
      <c r="G366" s="468" t="str">
        <f t="shared" ca="1" si="35"/>
        <v/>
      </c>
      <c r="H366" s="408" t="str">
        <f ca="1">_xlfn.IFNA(VLOOKUP(F364,BEGIN_CURRENT_HEALTH:END_CURRENT_HEALTH,CURRENT_COL_ESContrib,FALSE),"")</f>
        <v/>
      </c>
      <c r="I366" s="409" t="str">
        <f ca="1" t="shared" si="36" ref="I366:I368">IFERROR(F366-H366,"")</f>
        <v/>
      </c>
      <c r="J366" s="410" t="str">
        <f ca="1">IF(F366="","",H366*E366)</f>
        <v/>
      </c>
      <c r="K366" s="411"/>
      <c r="L366" s="408" t="str" cm="1">
        <f t="array" ca="1" aca="1" ref="L366">_xlfn.IFNA(VLOOKUP(INDIRECT("L"&amp;ROW()-2)&amp;"_"&amp;$D$12,BEGIN_RENEW_HEALTH:END_RENEW_HEALTH,RENEW_COL_ES,FALSE),"")</f>
        <v/>
      </c>
      <c r="M366" s="412" t="str">
        <f ca="1">IF(E366="","",E366)</f>
        <v/>
      </c>
      <c r="N366" s="413"/>
      <c r="O366" s="414"/>
      <c r="P366" s="415" t="str">
        <f>IFERROR(IF($N364="Keep Contribution Same",H366,IF($N364="Enter Percentages",IF(N366="","",N366*L366),IF($N364="Keep Percentage Same",IF(G366="","",G366*L366),IF($N364="Enter Dollar Amount",IF(O366="","",O366),"")))),"")</f>
        <v/>
      </c>
      <c r="Q366" s="408" t="str">
        <f ca="1">IFERROR(L366-P366,"")</f>
        <v/>
      </c>
      <c r="R366" s="410" t="str">
        <f>IFERROR(IF(P366="","",M366*P366),"")</f>
        <v/>
      </c>
      <c r="S366" s="411"/>
      <c r="T366" s="408" t="str" cm="1">
        <f t="array" ca="1" aca="1" ref="T366">_xlfn.IFNA(VLOOKUP(INDIRECT("T"&amp;ROW()-2)&amp;"_"&amp;$D$12,BEGIN_RENEW_HEALTH:END_RENEW_HEALTH,RENEW_COL_ES,FALSE),"")</f>
        <v/>
      </c>
      <c r="U366" s="412" t="str">
        <f ca="1" t="shared" si="37" ref="U366:U368">IF(E366="","",E366)</f>
        <v/>
      </c>
      <c r="V366" s="413"/>
      <c r="W366" s="414"/>
      <c r="X366" s="415" t="str">
        <f>IFERROR(IF($V364="Keep Contribution Same",H366,IF($V364="Enter Percentages",IF(V366="","",V366*T366),IF($V364="Keep Percentage Same",IF(G366="","",G366*T366),IF($V364="Enter Dollar Amount",IF(W366="","",W366),"")))),"")</f>
        <v/>
      </c>
      <c r="Y366" s="408" t="str">
        <f ca="1" t="shared" si="38" ref="Y366:Y368">IFERROR(T366-X366,"")</f>
        <v/>
      </c>
      <c r="Z366" s="410" t="str">
        <f t="shared" si="39" ref="Z366:Z368">IFERROR(IF(X366="","",U366*X366),"")</f>
        <v/>
      </c>
    </row>
    <row r="367" spans="1:26" ht="18.75" customHeight="1">
      <c r="A367" s="140"/>
      <c r="B367" s="140"/>
      <c r="D367" s="172" t="s">
        <v>240</v>
      </c>
      <c r="E367" s="407" t="str">
        <f ca="1">_xlfn.IFNA(VLOOKUP(F364,BEGIN_CURRENT_HEALTH:END_CURRENT_HEALTH,CURRENT_COL_EC_count,FALSE),"")</f>
        <v/>
      </c>
      <c r="F367" s="408" t="str">
        <f ca="1">_xlfn.IFNA(VLOOKUP(F364,BEGIN_CURRENT_HEALTH:END_CURRENT_HEALTH,CURRENT_COL_EC,FALSE),"")</f>
        <v/>
      </c>
      <c r="G367" s="468" t="str">
        <f t="shared" ca="1" si="35"/>
        <v/>
      </c>
      <c r="H367" s="408" t="str">
        <f ca="1">_xlfn.IFNA(VLOOKUP(F364,BEGIN_CURRENT_HEALTH:END_CURRENT_HEALTH,CURRENT_COL_ECContrib,FALSE),"")</f>
        <v/>
      </c>
      <c r="I367" s="409" t="str">
        <f t="shared" ca="1" si="36"/>
        <v/>
      </c>
      <c r="J367" s="410" t="str">
        <f ca="1">IF(F367="","",H367*E367)</f>
        <v/>
      </c>
      <c r="K367" s="411"/>
      <c r="L367" s="408" t="str" cm="1">
        <f t="array" ca="1" aca="1" ref="L367">_xlfn.IFNA(VLOOKUP(INDIRECT("L"&amp;ROW()-3)&amp;"_"&amp;$D$12,BEGIN_RENEW_HEALTH:END_RENEW_HEALTH,RENEW_COL_EC,FALSE),"")</f>
        <v/>
      </c>
      <c r="M367" s="412" t="str">
        <f ca="1">IF(E367="","",E367)</f>
        <v/>
      </c>
      <c r="N367" s="413"/>
      <c r="O367" s="414"/>
      <c r="P367" s="415" t="str">
        <f>IFERROR(IF($N364="Keep Contribution Same",H367,IF($N364="Enter Percentages",IF(N367="","",N367*L367),IF($N364="Keep Percentage Same",IF(G367="","",G367*L367),IF($N364="Enter Dollar Amount",IF(O367="","",O367),"")))),"")</f>
        <v/>
      </c>
      <c r="Q367" s="408" t="str">
        <f ca="1">IFERROR(L367-P367,"")</f>
        <v/>
      </c>
      <c r="R367" s="410" t="str">
        <f>IFERROR(IF(P367="","",M367*P367),"")</f>
        <v/>
      </c>
      <c r="S367" s="411"/>
      <c r="T367" s="408" t="str" cm="1">
        <f t="array" ca="1" aca="1" ref="T367">_xlfn.IFNA(VLOOKUP(INDIRECT("T"&amp;ROW()-3)&amp;"_"&amp;$D$12,BEGIN_RENEW_HEALTH:END_RENEW_HEALTH,RENEW_COL_EC,FALSE),"")</f>
        <v/>
      </c>
      <c r="U367" s="412" t="str">
        <f t="shared" ca="1" si="37"/>
        <v/>
      </c>
      <c r="V367" s="413"/>
      <c r="W367" s="414"/>
      <c r="X367" s="415" t="str">
        <f>IFERROR(IF($V364="Keep Contribution Same",H367,IF($V364="Enter Percentages",IF(V367="","",V367*T367),IF($V364="Keep Percentage Same",IF(G367="","",G367*T367),IF($V364="Enter Dollar Amount",IF(W367="","",W367),"")))),"")</f>
        <v/>
      </c>
      <c r="Y367" s="408" t="str">
        <f t="shared" ca="1" si="38"/>
        <v/>
      </c>
      <c r="Z367" s="410" t="str">
        <f t="shared" si="39"/>
        <v/>
      </c>
    </row>
    <row r="368" spans="1:26" ht="18.75" customHeight="1" thickBot="1">
      <c r="A368" s="140"/>
      <c r="B368" s="140"/>
      <c r="D368" s="174" t="s">
        <v>241</v>
      </c>
      <c r="E368" s="416" t="str">
        <f ca="1">_xlfn.IFNA(VLOOKUP(F364,BEGIN_CURRENT_HEALTH:END_CURRENT_HEALTH,CURRENT_COL_FAM_count,FALSE),"")</f>
        <v/>
      </c>
      <c r="F368" s="417" t="str">
        <f ca="1">_xlfn.IFNA(VLOOKUP(F364,BEGIN_CURRENT_HEALTH:END_CURRENT_HEALTH,CURRENT_COL_FAM,FALSE),"")</f>
        <v/>
      </c>
      <c r="G368" s="469" t="str">
        <f t="shared" ca="1" si="35"/>
        <v/>
      </c>
      <c r="H368" s="417" t="str">
        <f ca="1">_xlfn.IFNA(VLOOKUP(F364,BEGIN_CURRENT_HEALTH:END_CURRENT_HEALTH,CURRENT_COL_FAMContrib,FALSE),"")</f>
        <v/>
      </c>
      <c r="I368" s="418" t="str">
        <f t="shared" ca="1" si="36"/>
        <v/>
      </c>
      <c r="J368" s="419" t="str">
        <f ca="1">IF(F368="","",H368*E368)</f>
        <v/>
      </c>
      <c r="K368" s="411"/>
      <c r="L368" s="417" t="str" cm="1">
        <f t="array" ca="1" aca="1" ref="L368">_xlfn.IFNA(VLOOKUP(INDIRECT("L"&amp;ROW()-4)&amp;"_"&amp;$D$12,BEGIN_RENEW_HEALTH:END_RENEW_HEALTH,RENEW_COL_FAM,FALSE),"")</f>
        <v/>
      </c>
      <c r="M368" s="412" t="str">
        <f ca="1">IF(E368="","",E368)</f>
        <v/>
      </c>
      <c r="N368" s="420"/>
      <c r="O368" s="421"/>
      <c r="P368" s="422" t="str">
        <f>IFERROR(IF($N364="Keep Contribution Same",H368,IF($N364="Enter Percentages",IF(N368="","",N368*L368),IF($N364="Keep Percentage Same",IF(G368="","",G368*L368),IF($N364="Enter Dollar Amount",IF(O368="","",O368),"")))),"")</f>
        <v/>
      </c>
      <c r="Q368" s="422" t="str">
        <f ca="1">IFERROR(L368-P368,"")</f>
        <v/>
      </c>
      <c r="R368" s="410" t="str">
        <f>IFERROR(IF(P368="","",M368*P368),"")</f>
        <v/>
      </c>
      <c r="S368" s="411"/>
      <c r="T368" s="417" t="str" cm="1">
        <f t="array" ca="1" aca="1" ref="T368">_xlfn.IFNA(VLOOKUP(INDIRECT("T"&amp;ROW()-4)&amp;"_"&amp;$D$12,BEGIN_RENEW_HEALTH:END_RENEW_HEALTH,RENEW_COL_FAM,FALSE),"")</f>
        <v/>
      </c>
      <c r="U368" s="423" t="str">
        <f t="shared" ca="1" si="37"/>
        <v/>
      </c>
      <c r="V368" s="420"/>
      <c r="W368" s="421"/>
      <c r="X368" s="422" t="str">
        <f>IFERROR(IF($V364="Keep Contribution Same",H368,IF($V364="Enter Percentages",IF(V368="","",V368*T368),IF($V364="Keep Percentage Same",IF(G368="","",G368*T368),IF($V364="Enter Dollar Amount",IF(W368="","",W368),"")))),"")</f>
        <v/>
      </c>
      <c r="Y368" s="417" t="str">
        <f t="shared" ca="1" si="38"/>
        <v/>
      </c>
      <c r="Z368" s="419" t="str">
        <f t="shared" si="39"/>
        <v/>
      </c>
    </row>
    <row r="369" spans="1:26" ht="18.75" customHeight="1" thickTop="1">
      <c r="A369" s="140"/>
      <c r="B369" s="140"/>
      <c r="D369" s="175" t="s">
        <v>242</v>
      </c>
      <c r="E369" s="424"/>
      <c r="F369" s="447" t="str">
        <f ca="1">IFERROR((F365*E365)+(F366*E366)+(F367*E367)+(F368*E368),"")</f>
        <v/>
      </c>
      <c r="G369" s="426"/>
      <c r="H369" s="427"/>
      <c r="I369" s="428"/>
      <c r="J369" s="429" t="str">
        <f ca="1">IFERROR(IF(J365="","",SUM(J365:J368)),0)</f>
        <v/>
      </c>
      <c r="K369" s="1"/>
      <c r="L369" s="430" t="str">
        <f ca="1">IFERROR((M365*L365)+(M366*L366)+(M367*L367)+(M368*L368),"")</f>
        <v/>
      </c>
      <c r="M369" s="427"/>
      <c r="N369" s="426"/>
      <c r="O369" s="427"/>
      <c r="P369" s="431"/>
      <c r="Q369" s="432"/>
      <c r="R369" s="429" t="str">
        <f>IFERROR(IF(R365="","",SUM(R365:R368)),0)</f>
        <v/>
      </c>
      <c r="T369" s="430" t="str">
        <f ca="1">IFERROR((U365*T365)+(U366*T366)+(U367*T367)+(U368*T368),"")</f>
        <v/>
      </c>
      <c r="U369" s="427"/>
      <c r="V369" s="426"/>
      <c r="W369" s="427"/>
      <c r="X369" s="431"/>
      <c r="Y369" s="432"/>
      <c r="Z369" s="429" t="str">
        <f>IFERROR(IF(Z365="","",SUM(Z365:Z368)),0)</f>
        <v/>
      </c>
    </row>
    <row r="370" spans="1:26" ht="18.75" customHeight="1">
      <c r="A370" s="140"/>
      <c r="B370" s="140"/>
      <c r="D370" s="177" t="s">
        <v>243</v>
      </c>
      <c r="E370" s="433"/>
      <c r="F370" s="448" t="str">
        <f ca="1">IFERROR(F369*12,"")</f>
        <v/>
      </c>
      <c r="G370" s="435"/>
      <c r="H370" s="436"/>
      <c r="I370" s="432"/>
      <c r="J370" s="437" t="str">
        <f ca="1">IF(J369="","",J369*12)</f>
        <v/>
      </c>
      <c r="K370" s="1"/>
      <c r="L370" s="438" t="str">
        <f ca="1">IFERROR(L369*12,"")</f>
        <v/>
      </c>
      <c r="M370" s="436"/>
      <c r="N370" s="435"/>
      <c r="O370" s="436"/>
      <c r="P370" s="432"/>
      <c r="Q370" s="432"/>
      <c r="R370" s="437" t="str">
        <f>IF(R369="","",R369*12)</f>
        <v/>
      </c>
      <c r="T370" s="438" t="str">
        <f ca="1">IFERROR(T369*12,"")</f>
        <v/>
      </c>
      <c r="U370" s="436"/>
      <c r="V370" s="435"/>
      <c r="W370" s="436"/>
      <c r="X370" s="432"/>
      <c r="Y370" s="432"/>
      <c r="Z370" s="437" t="str">
        <f>IF(Z369="","",Z369*12)</f>
        <v/>
      </c>
    </row>
    <row r="371" spans="1:26" ht="18" customHeight="1">
      <c r="A371" s="140"/>
      <c r="B371" s="140"/>
      <c r="D371" s="177" t="s">
        <v>244</v>
      </c>
      <c r="E371" s="433"/>
      <c r="F371" s="436"/>
      <c r="G371" s="435"/>
      <c r="H371" s="436"/>
      <c r="I371" s="432"/>
      <c r="J371" s="437"/>
      <c r="K371" s="1"/>
      <c r="L371" s="434" t="str">
        <f ca="1">IFERROR(L370-F370,"")</f>
        <v/>
      </c>
      <c r="M371" s="436"/>
      <c r="N371" s="435"/>
      <c r="O371" s="436"/>
      <c r="P371" s="432"/>
      <c r="Q371" s="432"/>
      <c r="R371" s="437" t="str">
        <f ca="1">IFERROR(IF(J370="","",R370-J370),0)</f>
        <v/>
      </c>
      <c r="T371" s="434" t="str">
        <f ca="1">IFERROR(T370-F370,"")</f>
        <v/>
      </c>
      <c r="U371" s="436"/>
      <c r="V371" s="435"/>
      <c r="W371" s="436"/>
      <c r="X371" s="432"/>
      <c r="Y371" s="432"/>
      <c r="Z371" s="437" t="str">
        <f>IFERROR(IF(R370="","",Z370-R370),0)</f>
        <v/>
      </c>
    </row>
    <row r="372" spans="1:26" ht="18" customHeight="1" thickBot="1">
      <c r="A372" s="140"/>
      <c r="B372" s="140"/>
      <c r="D372" s="180" t="s">
        <v>245</v>
      </c>
      <c r="E372" s="439"/>
      <c r="F372" s="440"/>
      <c r="G372" s="441"/>
      <c r="H372" s="440"/>
      <c r="I372" s="442"/>
      <c r="J372" s="443"/>
      <c r="K372" s="1"/>
      <c r="L372" s="444" t="str">
        <f ca="1">IFERROR(L370/F370-1,"")</f>
        <v/>
      </c>
      <c r="M372" s="440"/>
      <c r="N372" s="441"/>
      <c r="O372" s="440"/>
      <c r="P372" s="445"/>
      <c r="Q372" s="445"/>
      <c r="R372" s="446" t="str">
        <f ca="1">IFERROR(IF(J370="","",(R370/J370)-1),0)</f>
        <v/>
      </c>
      <c r="T372" s="444" t="str">
        <f ca="1">IFERROR(T370/F370-1,"")</f>
        <v/>
      </c>
      <c r="U372" s="440"/>
      <c r="V372" s="441"/>
      <c r="W372" s="440"/>
      <c r="X372" s="445"/>
      <c r="Y372" s="445"/>
      <c r="Z372" s="446" t="str">
        <f>IFERROR(IF(R370="","",(Z370/R370)-1),0)</f>
        <v/>
      </c>
    </row>
    <row r="373" spans="1:26" ht="18" customHeight="1">
      <c r="A373" s="140"/>
      <c r="B373" s="140"/>
      <c r="D373" s="181" t="s">
        <v>246</v>
      </c>
      <c r="E373" s="182"/>
      <c r="F373" s="182"/>
      <c r="G373" s="182"/>
      <c r="H373" s="182"/>
      <c r="I373" s="182"/>
      <c r="J373" s="183"/>
      <c r="K373"/>
      <c r="L373" s="184"/>
      <c r="M373" s="182"/>
      <c r="N373" s="182"/>
      <c r="O373" s="182"/>
      <c r="P373" s="182"/>
      <c r="Q373" s="182"/>
      <c r="R373" s="183"/>
      <c r="T373" s="184"/>
      <c r="U373" s="182"/>
      <c r="V373" s="182"/>
      <c r="W373" s="182"/>
      <c r="X373" s="182"/>
      <c r="Y373" s="182"/>
      <c r="Z373" s="183"/>
    </row>
    <row r="374" spans="1:26" ht="18" customHeight="1" hidden="1">
      <c r="A374" s="140"/>
      <c r="B374" s="140"/>
      <c r="D374" s="185" t="s">
        <v>247</v>
      </c>
      <c r="E374" s="186"/>
      <c r="F374" s="186"/>
      <c r="G374" s="186"/>
      <c r="H374" s="186"/>
      <c r="I374" s="186"/>
      <c r="J374" s="187"/>
      <c r="K374"/>
      <c r="L374" s="188"/>
      <c r="M374" s="186"/>
      <c r="N374" s="186"/>
      <c r="O374" s="186"/>
      <c r="P374" s="186"/>
      <c r="Q374" s="186"/>
      <c r="R374" s="187"/>
      <c r="T374" s="188"/>
      <c r="U374" s="186"/>
      <c r="V374" s="186"/>
      <c r="W374" s="186"/>
      <c r="X374" s="186"/>
      <c r="Y374" s="186"/>
      <c r="Z374" s="187"/>
    </row>
    <row r="375" spans="1:26" ht="18" customHeight="1" hidden="1">
      <c r="A375" s="140"/>
      <c r="B375" s="140"/>
      <c r="D375" s="189" t="s">
        <v>248</v>
      </c>
      <c r="E375" s="190" t="e">
        <f ca="1">D364&amp;"_"&amp;D12</f>
        <v>#N/A</v>
      </c>
      <c r="F375" s="191"/>
      <c r="G375" s="191"/>
      <c r="H375" s="191"/>
      <c r="I375" s="190"/>
      <c r="J375" s="192"/>
      <c r="K375"/>
      <c r="L375" s="193" t="str">
        <f ca="1">L364&amp;"_"&amp;D12</f>
        <v>SELECT PLAN_OWNERS</v>
      </c>
      <c r="M375" s="191"/>
      <c r="N375" s="191"/>
      <c r="O375" s="191"/>
      <c r="P375" s="190"/>
      <c r="Q375" s="191"/>
      <c r="R375" s="192"/>
      <c r="T375" s="193" t="str">
        <f>T364&amp;"_"&amp;D12</f>
        <v>SELECT PLAN_OWNERS</v>
      </c>
      <c r="U375" s="191"/>
      <c r="V375" s="191"/>
      <c r="W375" s="191"/>
      <c r="X375" s="190"/>
      <c r="Y375" s="191"/>
      <c r="Z375" s="192"/>
    </row>
    <row r="376" spans="1:26" ht="18" customHeight="1" hidden="1">
      <c r="A376" s="140"/>
      <c r="B376" s="140"/>
      <c r="D376" s="189" t="s">
        <v>249</v>
      </c>
      <c r="E376" s="191"/>
      <c r="F376" s="191"/>
      <c r="G376" s="191"/>
      <c r="H376" s="191"/>
      <c r="I376" s="191"/>
      <c r="J376" s="192"/>
      <c r="K376"/>
      <c r="L376" s="189"/>
      <c r="M376" s="191"/>
      <c r="N376" s="191"/>
      <c r="O376" s="191"/>
      <c r="P376" s="191"/>
      <c r="Q376" s="191"/>
      <c r="R376" s="192"/>
      <c r="T376" s="189"/>
      <c r="U376" s="191"/>
      <c r="V376" s="191"/>
      <c r="W376" s="191"/>
      <c r="X376" s="191"/>
      <c r="Y376" s="191"/>
      <c r="Z376" s="192"/>
    </row>
    <row r="377" spans="1:26" ht="18" customHeight="1" hidden="1">
      <c r="A377" s="140"/>
      <c r="B377" s="140"/>
      <c r="D377" s="194" t="s">
        <v>250</v>
      </c>
      <c r="E377" s="195"/>
      <c r="F377" s="195"/>
      <c r="G377" s="195"/>
      <c r="H377" s="195"/>
      <c r="I377" s="195"/>
      <c r="J377" s="196"/>
      <c r="K377"/>
      <c r="L377" s="197"/>
      <c r="M377" s="195"/>
      <c r="N377" s="195"/>
      <c r="O377" s="195"/>
      <c r="P377" s="195"/>
      <c r="Q377" s="195"/>
      <c r="R377" s="196"/>
      <c r="T377" s="197"/>
      <c r="U377" s="195"/>
      <c r="V377" s="195"/>
      <c r="W377" s="195"/>
      <c r="X377" s="195"/>
      <c r="Y377" s="195"/>
      <c r="Z377" s="196"/>
    </row>
    <row r="378" spans="1:26" ht="18" customHeight="1" hidden="1">
      <c r="A378" s="140"/>
      <c r="B378" s="140"/>
      <c r="D378" s="198" t="s">
        <v>251</v>
      </c>
      <c r="E378" s="199" t="e">
        <f>_xlfn.XLOOKUP(E375,CurrentPlans!B:B,CurrentPlans!X:X,"NA",0,1)</f>
        <v>#N/A</v>
      </c>
      <c r="F378" s="200"/>
      <c r="G378" s="200"/>
      <c r="H378" s="200"/>
      <c r="I378" s="199"/>
      <c r="J378" s="201"/>
      <c r="K378"/>
      <c r="L378" s="202" t="str">
        <f ca="1">_xlfn.XLOOKUP(L375,RenewalPlans!B:B,RenewalPlans!AA:AA,"NA",0,1)</f>
        <v>NA</v>
      </c>
      <c r="M378" s="200"/>
      <c r="N378" s="200"/>
      <c r="O378" s="200"/>
      <c r="P378" s="199"/>
      <c r="Q378" s="200"/>
      <c r="R378" s="201"/>
      <c r="T378" s="202" t="str">
        <f>_xlfn.XLOOKUP(T375,RenewalPlans!B:B,RenewalPlans!AA:AA,"NA",0,1)</f>
        <v>NA</v>
      </c>
      <c r="U378" s="200"/>
      <c r="V378" s="200"/>
      <c r="W378" s="200"/>
      <c r="X378" s="199"/>
      <c r="Y378" s="200"/>
      <c r="Z378" s="201"/>
    </row>
    <row r="379" spans="1:26" ht="18" customHeight="1" hidden="1">
      <c r="A379" s="140"/>
      <c r="B379" s="140"/>
      <c r="D379" s="198" t="s">
        <v>252</v>
      </c>
      <c r="E379" s="199" t="e">
        <f>_xlfn.XLOOKUP(E375,CurrentPlans!B:B,CurrentPlans!Y:Y,"NA",0,1)</f>
        <v>#N/A</v>
      </c>
      <c r="F379" s="200"/>
      <c r="G379" s="200"/>
      <c r="H379" s="200"/>
      <c r="I379" s="199"/>
      <c r="J379" s="201"/>
      <c r="K379"/>
      <c r="L379" s="202" t="str">
        <f ca="1">_xlfn.XLOOKUP(L375,RenewalPlans!B:B,RenewalPlans!AB:AB,"NA",0,1)</f>
        <v>NA</v>
      </c>
      <c r="M379" s="200"/>
      <c r="N379" s="200"/>
      <c r="O379" s="200"/>
      <c r="P379" s="199"/>
      <c r="Q379" s="200"/>
      <c r="R379" s="201"/>
      <c r="T379" s="202" t="str">
        <f>_xlfn.XLOOKUP(T375,RenewalPlans!B:B,RenewalPlans!AB:AB,"NA",0,1)</f>
        <v>NA</v>
      </c>
      <c r="U379" s="200"/>
      <c r="V379" s="200"/>
      <c r="W379" s="200"/>
      <c r="X379" s="199"/>
      <c r="Y379" s="200"/>
      <c r="Z379" s="201"/>
    </row>
    <row r="380" spans="1:26" ht="18" customHeight="1" hidden="1">
      <c r="A380" s="140"/>
      <c r="B380" s="140"/>
      <c r="D380" s="120" t="s">
        <v>253</v>
      </c>
      <c r="E380" s="121" t="e">
        <f>_xlfn.XLOOKUP(E375,CurrentPlans!B:B,CurrentPlans!W:W,"NA",0,1)</f>
        <v>#N/A</v>
      </c>
      <c r="F380" s="122"/>
      <c r="G380" s="122"/>
      <c r="H380" s="122"/>
      <c r="I380" s="121"/>
      <c r="J380" s="123"/>
      <c r="K380"/>
      <c r="L380" s="124" t="str">
        <f ca="1">_xlfn.XLOOKUP(L375,RenewalPlans!B:B,RenewalPlans!Z:Z,"NA",0,1)</f>
        <v>NA</v>
      </c>
      <c r="M380" s="122"/>
      <c r="N380" s="122"/>
      <c r="O380" s="122"/>
      <c r="P380" s="121"/>
      <c r="Q380" s="122"/>
      <c r="R380" s="123"/>
      <c r="T380" s="124" t="str">
        <f>_xlfn.XLOOKUP(T375,RenewalPlans!B:B,RenewalPlans!Z:Z,"NA",0,1)</f>
        <v>NA</v>
      </c>
      <c r="U380" s="122"/>
      <c r="V380" s="122"/>
      <c r="W380" s="122"/>
      <c r="X380" s="121"/>
      <c r="Y380" s="122"/>
      <c r="Z380" s="123"/>
    </row>
    <row r="381" spans="1:26" ht="18" customHeight="1" hidden="1">
      <c r="A381" s="140"/>
      <c r="B381" s="140"/>
      <c r="D381" s="203" t="s">
        <v>254</v>
      </c>
      <c r="E381" s="204"/>
      <c r="F381" s="205"/>
      <c r="G381" s="205"/>
      <c r="H381" s="205"/>
      <c r="I381" s="204"/>
      <c r="J381" s="206"/>
      <c r="K381"/>
      <c r="L381" s="207"/>
      <c r="M381" s="205"/>
      <c r="N381" s="205"/>
      <c r="O381" s="205"/>
      <c r="P381" s="204"/>
      <c r="Q381" s="205"/>
      <c r="R381" s="206"/>
      <c r="T381" s="207"/>
      <c r="U381" s="205"/>
      <c r="V381" s="205"/>
      <c r="W381" s="205"/>
      <c r="X381" s="204"/>
      <c r="Y381" s="205"/>
      <c r="Z381" s="206"/>
    </row>
    <row r="382" spans="1:26" ht="18" customHeight="1" hidden="1">
      <c r="A382" s="140"/>
      <c r="B382" s="140"/>
      <c r="D382" s="125" t="s">
        <v>255</v>
      </c>
      <c r="E382" s="126" t="e">
        <f>_xlfn.XLOOKUP(E375,CurrentPlans!B:B,CurrentPlans!Z:Z,"NA",0,1)</f>
        <v>#N/A</v>
      </c>
      <c r="F382" s="127"/>
      <c r="G382" s="127"/>
      <c r="H382" s="127"/>
      <c r="I382" s="126"/>
      <c r="J382" s="128"/>
      <c r="K382"/>
      <c r="L382" s="129" t="str">
        <f ca="1">_xlfn.XLOOKUP(L375,RenewalPlans!B:B,RenewalPlans!AC:AC,"NA",0,1)</f>
        <v>NA</v>
      </c>
      <c r="M382" s="127"/>
      <c r="N382" s="127"/>
      <c r="O382" s="127"/>
      <c r="P382" s="126"/>
      <c r="Q382" s="127"/>
      <c r="R382" s="128"/>
      <c r="T382" s="129" t="str">
        <f>_xlfn.XLOOKUP(T375,RenewalPlans!B:B,RenewalPlans!AC:AC,"NA",0,1)</f>
        <v>NA</v>
      </c>
      <c r="U382" s="127"/>
      <c r="V382" s="127"/>
      <c r="W382" s="127"/>
      <c r="X382" s="126"/>
      <c r="Y382" s="127"/>
      <c r="Z382" s="128"/>
    </row>
    <row r="383" spans="1:26" ht="18" customHeight="1" hidden="1">
      <c r="A383" s="140"/>
      <c r="B383" s="140"/>
      <c r="D383" s="198" t="s">
        <v>256</v>
      </c>
      <c r="E383" s="208" t="e">
        <f>_xlfn.XLOOKUP(E375,CurrentPlans!B:B,CurrentPlans!AA:AA,"NA",0,1)</f>
        <v>#N/A</v>
      </c>
      <c r="F383" s="200"/>
      <c r="G383" s="200"/>
      <c r="H383" s="200"/>
      <c r="I383" s="208"/>
      <c r="J383" s="201"/>
      <c r="K383"/>
      <c r="L383" s="209" t="str">
        <f ca="1">_xlfn.XLOOKUP(L375,RenewalPlans!B:B,RenewalPlans!AD:AD,"NA",0,1)</f>
        <v>NA</v>
      </c>
      <c r="M383" s="200"/>
      <c r="N383" s="200"/>
      <c r="O383" s="200"/>
      <c r="P383" s="208"/>
      <c r="Q383" s="200"/>
      <c r="R383" s="201"/>
      <c r="T383" s="209" t="str">
        <f>_xlfn.XLOOKUP(T375,RenewalPlans!B:B,RenewalPlans!AD:AD,"NA",0,1)</f>
        <v>NA</v>
      </c>
      <c r="U383" s="200"/>
      <c r="V383" s="200"/>
      <c r="W383" s="200"/>
      <c r="X383" s="208"/>
      <c r="Y383" s="200"/>
      <c r="Z383" s="201"/>
    </row>
    <row r="384" spans="1:26" ht="18" customHeight="1" hidden="1">
      <c r="A384" s="140"/>
      <c r="B384" s="140"/>
      <c r="D384" s="203" t="s">
        <v>257</v>
      </c>
      <c r="E384" s="204"/>
      <c r="F384" s="205"/>
      <c r="G384" s="205"/>
      <c r="H384" s="205"/>
      <c r="I384" s="204"/>
      <c r="J384" s="206"/>
      <c r="K384"/>
      <c r="L384" s="207"/>
      <c r="M384" s="205"/>
      <c r="N384" s="205"/>
      <c r="O384" s="205"/>
      <c r="P384" s="204"/>
      <c r="Q384" s="205"/>
      <c r="R384" s="206"/>
      <c r="T384" s="207"/>
      <c r="U384" s="205"/>
      <c r="V384" s="205"/>
      <c r="W384" s="205"/>
      <c r="X384" s="204"/>
      <c r="Y384" s="205"/>
      <c r="Z384" s="206"/>
    </row>
    <row r="385" spans="1:26" ht="18" customHeight="1" hidden="1">
      <c r="A385" s="140"/>
      <c r="B385" s="140"/>
      <c r="D385" s="198" t="s">
        <v>258</v>
      </c>
      <c r="E385" s="208" t="e">
        <f>_xlfn.XLOOKUP(E375,CurrentPlans!B:B,CurrentPlans!AB:AB,"NA",0,1)</f>
        <v>#N/A</v>
      </c>
      <c r="F385" s="200"/>
      <c r="G385" s="200"/>
      <c r="H385" s="200"/>
      <c r="I385" s="208"/>
      <c r="J385" s="201"/>
      <c r="K385"/>
      <c r="L385" s="209" t="str">
        <f ca="1">_xlfn.XLOOKUP(L375,RenewalPlans!B:B,RenewalPlans!AE:AE,"NA",0,1)</f>
        <v>NA</v>
      </c>
      <c r="M385" s="200"/>
      <c r="N385" s="200"/>
      <c r="O385" s="200"/>
      <c r="P385" s="208"/>
      <c r="Q385" s="200"/>
      <c r="R385" s="201"/>
      <c r="T385" s="209" t="str">
        <f>_xlfn.XLOOKUP(T375,RenewalPlans!B:B,RenewalPlans!AE:AE,"NA",0,1)</f>
        <v>NA</v>
      </c>
      <c r="U385" s="200"/>
      <c r="V385" s="200"/>
      <c r="W385" s="200"/>
      <c r="X385" s="208"/>
      <c r="Y385" s="200"/>
      <c r="Z385" s="201"/>
    </row>
    <row r="386" spans="1:26" ht="18" customHeight="1" hidden="1">
      <c r="A386" s="140"/>
      <c r="B386" s="140"/>
      <c r="D386" s="198" t="s">
        <v>259</v>
      </c>
      <c r="E386" s="208" t="e">
        <f>_xlfn.XLOOKUP(E375,CurrentPlans!B:B,CurrentPlans!AC:AC,"NA",0,1)</f>
        <v>#N/A</v>
      </c>
      <c r="F386" s="200"/>
      <c r="G386" s="200"/>
      <c r="H386" s="200"/>
      <c r="I386" s="208"/>
      <c r="J386" s="201"/>
      <c r="K386"/>
      <c r="L386" s="209" t="str">
        <f ca="1">_xlfn.XLOOKUP(L375,RenewalPlans!B:B,RenewalPlans!AF:AF,"NA",0,1)</f>
        <v>NA</v>
      </c>
      <c r="M386" s="200"/>
      <c r="N386" s="200"/>
      <c r="O386" s="200"/>
      <c r="P386" s="208"/>
      <c r="Q386" s="200"/>
      <c r="R386" s="201"/>
      <c r="T386" s="209" t="str">
        <f>_xlfn.XLOOKUP(T375,RenewalPlans!B:B,RenewalPlans!AF:AF,"NA",0,1)</f>
        <v>NA</v>
      </c>
      <c r="U386" s="200"/>
      <c r="V386" s="200"/>
      <c r="W386" s="200"/>
      <c r="X386" s="208"/>
      <c r="Y386" s="200"/>
      <c r="Z386" s="201"/>
    </row>
    <row r="387" spans="1:26" ht="18" customHeight="1" hidden="1">
      <c r="A387" s="140"/>
      <c r="B387" s="140"/>
      <c r="D387" s="210"/>
      <c r="E387" s="211"/>
      <c r="F387" s="211"/>
      <c r="G387" s="211"/>
      <c r="H387" s="211"/>
      <c r="I387" s="211"/>
      <c r="J387" s="212"/>
      <c r="K387"/>
      <c r="L387" s="210"/>
      <c r="M387" s="211"/>
      <c r="N387" s="211"/>
      <c r="O387" s="211"/>
      <c r="P387" s="211"/>
      <c r="Q387" s="211"/>
      <c r="R387" s="212"/>
      <c r="T387" s="210"/>
      <c r="U387" s="211"/>
      <c r="V387" s="211"/>
      <c r="W387" s="211"/>
      <c r="X387" s="211"/>
      <c r="Y387" s="211"/>
      <c r="Z387" s="212"/>
    </row>
    <row r="388" spans="1:26" ht="18" customHeight="1" hidden="1">
      <c r="A388" s="140"/>
      <c r="B388" s="140"/>
      <c r="D388" s="185" t="s">
        <v>260</v>
      </c>
      <c r="E388" s="186"/>
      <c r="F388" s="186"/>
      <c r="G388" s="186"/>
      <c r="H388" s="186"/>
      <c r="I388" s="186"/>
      <c r="J388" s="187"/>
      <c r="K388"/>
      <c r="L388" s="188"/>
      <c r="M388" s="186"/>
      <c r="N388" s="186"/>
      <c r="O388" s="186"/>
      <c r="P388" s="186"/>
      <c r="Q388" s="186"/>
      <c r="R388" s="187"/>
      <c r="T388" s="188"/>
      <c r="U388" s="186"/>
      <c r="V388" s="186"/>
      <c r="W388" s="186"/>
      <c r="X388" s="186"/>
      <c r="Y388" s="186"/>
      <c r="Z388" s="187"/>
    </row>
    <row r="389" spans="1:26" ht="18" customHeight="1" hidden="1">
      <c r="A389" s="140"/>
      <c r="B389" s="140"/>
      <c r="D389" s="213" t="s">
        <v>261</v>
      </c>
      <c r="E389" s="130" t="e">
        <f>_xlfn.XLOOKUP(E375,CurrentPlans!B:B,CurrentPlans!AJ:AJ,"NA",0,1)</f>
        <v>#N/A</v>
      </c>
      <c r="F389" s="214"/>
      <c r="G389" s="214"/>
      <c r="H389" s="214"/>
      <c r="I389" s="130"/>
      <c r="J389" s="215"/>
      <c r="K389"/>
      <c r="L389" s="131" t="str">
        <f ca="1">_xlfn.XLOOKUP(L375,RenewalPlans!B:B,RenewalPlans!AM:AM,"NA",0,1)</f>
        <v>NA</v>
      </c>
      <c r="M389" s="214"/>
      <c r="N389" s="214"/>
      <c r="O389" s="214"/>
      <c r="P389" s="130"/>
      <c r="Q389" s="214"/>
      <c r="R389" s="215"/>
      <c r="T389" s="131" t="str">
        <f>_xlfn.XLOOKUP(T375,RenewalPlans!B:B,RenewalPlans!AM:AM,"NA",0,1)</f>
        <v>NA</v>
      </c>
      <c r="U389" s="214"/>
      <c r="V389" s="214"/>
      <c r="W389" s="214"/>
      <c r="X389" s="130"/>
      <c r="Y389" s="214"/>
      <c r="Z389" s="215"/>
    </row>
    <row r="390" spans="1:26" ht="18" customHeight="1" hidden="1">
      <c r="A390" s="140"/>
      <c r="B390" s="140"/>
      <c r="D390" s="198" t="s">
        <v>262</v>
      </c>
      <c r="E390" s="130" t="e">
        <f>_xlfn.XLOOKUP(E375,CurrentPlans!B:B,CurrentPlans!AM:AM,"NA",0,1)</f>
        <v>#N/A</v>
      </c>
      <c r="F390" s="200"/>
      <c r="G390" s="200"/>
      <c r="H390" s="200"/>
      <c r="I390" s="130"/>
      <c r="J390" s="201"/>
      <c r="K390"/>
      <c r="L390" s="131" t="str">
        <f ca="1">_xlfn.XLOOKUP(L375,RenewalPlans!B:B,RenewalPlans!AP:AP,"NA",0,1)</f>
        <v>NA</v>
      </c>
      <c r="M390" s="200"/>
      <c r="N390" s="200"/>
      <c r="O390" s="200"/>
      <c r="P390" s="130"/>
      <c r="Q390" s="200"/>
      <c r="R390" s="201"/>
      <c r="T390" s="131" t="str">
        <f>_xlfn.XLOOKUP(T375,RenewalPlans!B:B,RenewalPlans!AP:AP,"NA",0,1)</f>
        <v>NA</v>
      </c>
      <c r="U390" s="200"/>
      <c r="V390" s="200"/>
      <c r="W390" s="200"/>
      <c r="X390" s="130"/>
      <c r="Y390" s="200"/>
      <c r="Z390" s="201"/>
    </row>
    <row r="391" spans="1:26" ht="18" customHeight="1" hidden="1">
      <c r="A391" s="140"/>
      <c r="B391" s="140"/>
      <c r="D391" s="198" t="s">
        <v>263</v>
      </c>
      <c r="E391" s="130" t="e">
        <f>_xlfn.XLOOKUP(E375,CurrentPlans!B:B,CurrentPlans!AI:AI,"NA",0,1)</f>
        <v>#N/A</v>
      </c>
      <c r="F391" s="200"/>
      <c r="G391" s="200"/>
      <c r="H391" s="200"/>
      <c r="I391" s="130"/>
      <c r="J391" s="201"/>
      <c r="K391"/>
      <c r="L391" s="131" t="str">
        <f ca="1">_xlfn.XLOOKUP(L375,RenewalPlans!B:B,RenewalPlans!AL:AL,"NA",0,1)</f>
        <v>NA</v>
      </c>
      <c r="M391" s="200"/>
      <c r="N391" s="200"/>
      <c r="O391" s="200"/>
      <c r="P391" s="130"/>
      <c r="Q391" s="200"/>
      <c r="R391" s="201"/>
      <c r="T391" s="131" t="str">
        <f>_xlfn.XLOOKUP(T375,RenewalPlans!B:B,RenewalPlans!AL:AL,"NA",0,1)</f>
        <v>NA</v>
      </c>
      <c r="U391" s="200"/>
      <c r="V391" s="200"/>
      <c r="W391" s="200"/>
      <c r="X391" s="130"/>
      <c r="Y391" s="200"/>
      <c r="Z391" s="201"/>
    </row>
    <row r="392" spans="1:26" ht="18" customHeight="1" hidden="1">
      <c r="A392" s="140"/>
      <c r="B392" s="140"/>
      <c r="D392" s="198" t="s">
        <v>264</v>
      </c>
      <c r="E392" s="208" t="e">
        <f>_xlfn.XLOOKUP(E375,CurrentPlans!B:B,CurrentPlans!AN:AN,"NA",0,1)</f>
        <v>#N/A</v>
      </c>
      <c r="F392" s="200"/>
      <c r="G392" s="200"/>
      <c r="H392" s="200"/>
      <c r="I392" s="208"/>
      <c r="J392" s="201"/>
      <c r="K392"/>
      <c r="L392" s="209" t="str">
        <f ca="1">_xlfn.XLOOKUP(L375,RenewalPlans!B:B,RenewalPlans!AQ:AQ,"NA",0,1)</f>
        <v>NA</v>
      </c>
      <c r="M392" s="200"/>
      <c r="N392" s="200"/>
      <c r="O392" s="200"/>
      <c r="P392" s="208"/>
      <c r="Q392" s="200"/>
      <c r="R392" s="201"/>
      <c r="T392" s="209" t="str">
        <f>_xlfn.XLOOKUP(T375,RenewalPlans!B:B,RenewalPlans!AQ:AQ,"NA",0,1)</f>
        <v>NA</v>
      </c>
      <c r="U392" s="200"/>
      <c r="V392" s="200"/>
      <c r="W392" s="200"/>
      <c r="X392" s="208"/>
      <c r="Y392" s="200"/>
      <c r="Z392" s="201"/>
    </row>
    <row r="393" spans="1:26" ht="18" customHeight="1" hidden="1">
      <c r="A393" s="140"/>
      <c r="B393" s="140"/>
      <c r="D393" s="210"/>
      <c r="E393" s="211"/>
      <c r="F393" s="211"/>
      <c r="G393" s="211"/>
      <c r="H393" s="211"/>
      <c r="I393" s="211"/>
      <c r="J393" s="212"/>
      <c r="K393"/>
      <c r="L393" s="210"/>
      <c r="M393" s="211"/>
      <c r="N393" s="211"/>
      <c r="O393" s="211"/>
      <c r="P393" s="211"/>
      <c r="Q393" s="211"/>
      <c r="R393" s="212"/>
      <c r="T393" s="210"/>
      <c r="U393" s="211"/>
      <c r="V393" s="211"/>
      <c r="W393" s="211"/>
      <c r="X393" s="211"/>
      <c r="Y393" s="211"/>
      <c r="Z393" s="212"/>
    </row>
    <row r="394" spans="1:26" ht="18" customHeight="1" hidden="1">
      <c r="A394" s="140"/>
      <c r="B394" s="140"/>
      <c r="D394" s="185" t="s">
        <v>265</v>
      </c>
      <c r="E394" s="186"/>
      <c r="F394" s="186"/>
      <c r="G394" s="186"/>
      <c r="H394" s="186"/>
      <c r="I394" s="186"/>
      <c r="J394" s="187"/>
      <c r="K394"/>
      <c r="L394" s="188"/>
      <c r="M394" s="186"/>
      <c r="N394" s="186"/>
      <c r="O394" s="186"/>
      <c r="P394" s="186"/>
      <c r="Q394" s="186"/>
      <c r="R394" s="187"/>
      <c r="T394" s="188"/>
      <c r="U394" s="186"/>
      <c r="V394" s="186"/>
      <c r="W394" s="186"/>
      <c r="X394" s="186"/>
      <c r="Y394" s="186"/>
      <c r="Z394" s="187"/>
    </row>
    <row r="395" spans="1:26" ht="18" customHeight="1" hidden="1">
      <c r="A395" s="140"/>
      <c r="B395" s="140"/>
      <c r="D395" s="132" t="s">
        <v>266</v>
      </c>
      <c r="E395" s="133" t="e">
        <f>_xlfn.XLOOKUP(E375,CurrentPlans!B:B,CurrentPlans!AE:AE,"NA",0,1)</f>
        <v>#N/A</v>
      </c>
      <c r="F395" s="134"/>
      <c r="G395" s="134"/>
      <c r="H395" s="134"/>
      <c r="I395" s="133"/>
      <c r="J395" s="135"/>
      <c r="K395"/>
      <c r="L395" s="136" t="str">
        <f ca="1">_xlfn.XLOOKUP(L375,RenewalPlans!B:B,RenewalPlans!AH:AH,"NA",0,1)</f>
        <v>NA</v>
      </c>
      <c r="M395" s="134"/>
      <c r="N395" s="134"/>
      <c r="O395" s="134"/>
      <c r="P395" s="133"/>
      <c r="Q395" s="134"/>
      <c r="R395" s="135"/>
      <c r="T395" s="136" t="str">
        <f>_xlfn.XLOOKUP(T375,RenewalPlans!B:B,RenewalPlans!AH:AH,"NA",0,1)</f>
        <v>NA</v>
      </c>
      <c r="U395" s="134"/>
      <c r="V395" s="134"/>
      <c r="W395" s="134"/>
      <c r="X395" s="133"/>
      <c r="Y395" s="134"/>
      <c r="Z395" s="135"/>
    </row>
    <row r="396" spans="1:26" ht="18" customHeight="1" hidden="1">
      <c r="A396" s="140"/>
      <c r="B396" s="140"/>
      <c r="D396" s="120" t="s">
        <v>267</v>
      </c>
      <c r="E396" s="130" t="e">
        <f>_xlfn.XLOOKUP(E375,CurrentPlans!B:B,CurrentPlans!AF:AF,"NA",0,1)</f>
        <v>#N/A</v>
      </c>
      <c r="F396" s="122"/>
      <c r="G396" s="122"/>
      <c r="H396" s="122"/>
      <c r="I396" s="130"/>
      <c r="J396" s="123"/>
      <c r="K396"/>
      <c r="L396" s="131" t="str">
        <f ca="1">_xlfn.XLOOKUP(L375,RenewalPlans!B:B,RenewalPlans!AI:AI,"NA",0,1)</f>
        <v>NA</v>
      </c>
      <c r="M396" s="122"/>
      <c r="N396" s="122"/>
      <c r="O396" s="122"/>
      <c r="P396" s="130"/>
      <c r="Q396" s="122"/>
      <c r="R396" s="123"/>
      <c r="T396" s="131" t="str">
        <f>_xlfn.XLOOKUP(T375,RenewalPlans!B:B,RenewalPlans!AI:AI,"NA",0,1)</f>
        <v>NA</v>
      </c>
      <c r="U396" s="122"/>
      <c r="V396" s="122"/>
      <c r="W396" s="122"/>
      <c r="X396" s="130"/>
      <c r="Y396" s="122"/>
      <c r="Z396" s="123"/>
    </row>
    <row r="397" spans="1:26" ht="18" customHeight="1" hidden="1">
      <c r="A397" s="140"/>
      <c r="B397" s="140"/>
      <c r="D397" s="198" t="s">
        <v>268</v>
      </c>
      <c r="E397" s="130" t="e">
        <f>_xlfn.XLOOKUP(E375,CurrentPlans!B:B,CurrentPlans!AH:AH,"NA",0,1)</f>
        <v>#N/A</v>
      </c>
      <c r="F397" s="200"/>
      <c r="G397" s="200"/>
      <c r="H397" s="200"/>
      <c r="I397" s="130"/>
      <c r="J397" s="201"/>
      <c r="K397"/>
      <c r="L397" s="131" t="str">
        <f ca="1">_xlfn.XLOOKUP(L375,RenewalPlans!B:B,RenewalPlans!AK:AK,"NA",0,1)</f>
        <v>NA</v>
      </c>
      <c r="M397" s="200"/>
      <c r="N397" s="200"/>
      <c r="O397" s="200"/>
      <c r="P397" s="130"/>
      <c r="Q397" s="200"/>
      <c r="R397" s="201"/>
      <c r="T397" s="131" t="str">
        <f>_xlfn.XLOOKUP(T375,RenewalPlans!B:B,RenewalPlans!AK:AK,"NA",0,1)</f>
        <v>NA</v>
      </c>
      <c r="U397" s="200"/>
      <c r="V397" s="200"/>
      <c r="W397" s="200"/>
      <c r="X397" s="130"/>
      <c r="Y397" s="200"/>
      <c r="Z397" s="201"/>
    </row>
    <row r="398" spans="1:26" ht="18" customHeight="1" hidden="1">
      <c r="A398" s="140"/>
      <c r="B398" s="140"/>
      <c r="D398" s="198" t="s">
        <v>269</v>
      </c>
      <c r="E398" s="130" t="e">
        <f>_xlfn.XLOOKUP(E375,CurrentPlans!B:B,CurrentPlans!AG:AG,"NA",0,1)</f>
        <v>#N/A</v>
      </c>
      <c r="F398" s="200"/>
      <c r="G398" s="200"/>
      <c r="H398" s="200"/>
      <c r="I398" s="130"/>
      <c r="J398" s="201"/>
      <c r="K398"/>
      <c r="L398" s="131" t="str">
        <f ca="1">_xlfn.XLOOKUP(L375,RenewalPlans!B:B,RenewalPlans!AJ:AJ,"NA",0,1)</f>
        <v>NA</v>
      </c>
      <c r="M398" s="200"/>
      <c r="N398" s="200"/>
      <c r="O398" s="200"/>
      <c r="P398" s="130"/>
      <c r="Q398" s="200"/>
      <c r="R398" s="201"/>
      <c r="T398" s="131" t="str">
        <f>_xlfn.XLOOKUP(T375,RenewalPlans!B:B,RenewalPlans!AJ:AJ,"NA",0,1)</f>
        <v>NA</v>
      </c>
      <c r="U398" s="200"/>
      <c r="V398" s="200"/>
      <c r="W398" s="200"/>
      <c r="X398" s="130"/>
      <c r="Y398" s="200"/>
      <c r="Z398" s="201"/>
    </row>
    <row r="399" spans="1:26" ht="18" customHeight="1" hidden="1">
      <c r="A399" s="140"/>
      <c r="B399" s="140"/>
      <c r="D399" s="213" t="s">
        <v>270</v>
      </c>
      <c r="E399" s="216" t="e">
        <f>_xlfn.XLOOKUP(E375,CurrentPlans!B:B,CurrentPlans!AU:AU,"NA",0,1)</f>
        <v>#N/A</v>
      </c>
      <c r="F399" s="214"/>
      <c r="G399" s="214"/>
      <c r="H399" s="214"/>
      <c r="I399" s="217"/>
      <c r="J399" s="215"/>
      <c r="K399"/>
      <c r="L399" s="218" t="str">
        <f ca="1">_xlfn.XLOOKUP(L375,RenewalPlans!B:B,RenewalPlans!AX:AX,"NA",0,1)</f>
        <v>NA</v>
      </c>
      <c r="M399" s="214"/>
      <c r="N399" s="214"/>
      <c r="O399" s="214"/>
      <c r="P399" s="217"/>
      <c r="Q399" s="214"/>
      <c r="R399" s="215"/>
      <c r="T399" s="218" t="str">
        <f>_xlfn.XLOOKUP(T375,RenewalPlans!B:B,RenewalPlans!AX:AX,"NA",0,1)</f>
        <v>NA</v>
      </c>
      <c r="U399" s="214"/>
      <c r="V399" s="214"/>
      <c r="W399" s="214"/>
      <c r="X399" s="217"/>
      <c r="Y399" s="214"/>
      <c r="Z399" s="215"/>
    </row>
    <row r="400" spans="1:26" ht="18" customHeight="1" hidden="1">
      <c r="A400" s="140"/>
      <c r="B400" s="140"/>
      <c r="D400" s="213" t="s">
        <v>271</v>
      </c>
      <c r="E400" s="216" t="e">
        <f>_xlfn.XLOOKUP(E375,CurrentPlans!B:B,CurrentPlans!AT:AT,"NA",0,1)</f>
        <v>#N/A</v>
      </c>
      <c r="F400" s="214"/>
      <c r="G400" s="214"/>
      <c r="H400" s="214"/>
      <c r="I400" s="217"/>
      <c r="J400" s="215"/>
      <c r="K400"/>
      <c r="L400" s="218" t="str">
        <f ca="1">_xlfn.XLOOKUP(L375,RenewalPlans!B:B,RenewalPlans!AW:AW,"NA",0,1)</f>
        <v>NA</v>
      </c>
      <c r="M400" s="214"/>
      <c r="N400" s="214"/>
      <c r="O400" s="214"/>
      <c r="P400" s="217"/>
      <c r="Q400" s="214"/>
      <c r="R400" s="215"/>
      <c r="T400" s="218" t="str">
        <f>_xlfn.XLOOKUP(T375,RenewalPlans!B:B,RenewalPlans!AW:AW,"NA",0,1)</f>
        <v>NA</v>
      </c>
      <c r="U400" s="214"/>
      <c r="V400" s="214"/>
      <c r="W400" s="214"/>
      <c r="X400" s="217"/>
      <c r="Y400" s="214"/>
      <c r="Z400" s="215"/>
    </row>
    <row r="401" spans="1:26" ht="18" customHeight="1" hidden="1">
      <c r="A401" s="140"/>
      <c r="B401" s="140"/>
      <c r="D401" s="198" t="s">
        <v>272</v>
      </c>
      <c r="E401" s="130" t="e">
        <f>_xlfn.XLOOKUP(E375,CurrentPlans!B:B,CurrentPlans!AD:AD,"NA",0,1)</f>
        <v>#N/A</v>
      </c>
      <c r="F401" s="200"/>
      <c r="G401" s="200"/>
      <c r="H401" s="200"/>
      <c r="I401" s="130"/>
      <c r="J401" s="201"/>
      <c r="K401"/>
      <c r="L401" s="131" t="str">
        <f ca="1">_xlfn.XLOOKUP(L375,RenewalPlans!B:B,RenewalPlans!AG:AG,"NA",0,1)</f>
        <v>NA</v>
      </c>
      <c r="M401" s="200"/>
      <c r="N401" s="200"/>
      <c r="O401" s="200"/>
      <c r="P401" s="130"/>
      <c r="Q401" s="200"/>
      <c r="R401" s="201"/>
      <c r="T401" s="131" t="str">
        <f>_xlfn.XLOOKUP(T375,RenewalPlans!B:B,RenewalPlans!AG:AG,"NA",0,1)</f>
        <v>NA</v>
      </c>
      <c r="U401" s="200"/>
      <c r="V401" s="200"/>
      <c r="W401" s="200"/>
      <c r="X401" s="130"/>
      <c r="Y401" s="200"/>
      <c r="Z401" s="201"/>
    </row>
    <row r="402" spans="1:26" ht="18" customHeight="1" hidden="1">
      <c r="A402" s="140"/>
      <c r="B402" s="140"/>
      <c r="D402" s="198" t="s">
        <v>273</v>
      </c>
      <c r="E402" s="200"/>
      <c r="F402" s="200"/>
      <c r="G402" s="200"/>
      <c r="H402" s="200"/>
      <c r="I402" s="200"/>
      <c r="J402" s="201"/>
      <c r="K402"/>
      <c r="L402" s="198"/>
      <c r="M402" s="200"/>
      <c r="N402" s="200"/>
      <c r="O402" s="200"/>
      <c r="P402" s="200"/>
      <c r="Q402" s="200"/>
      <c r="R402" s="201"/>
      <c r="T402" s="198"/>
      <c r="U402" s="200"/>
      <c r="V402" s="200"/>
      <c r="W402" s="200"/>
      <c r="X402" s="200"/>
      <c r="Y402" s="200"/>
      <c r="Z402" s="201"/>
    </row>
    <row r="403" spans="1:26" ht="18" customHeight="1" hidden="1">
      <c r="A403" s="140"/>
      <c r="B403" s="140"/>
      <c r="D403" s="210"/>
      <c r="E403" s="211"/>
      <c r="F403" s="211"/>
      <c r="G403" s="211"/>
      <c r="H403" s="211"/>
      <c r="I403" s="211"/>
      <c r="J403" s="212"/>
      <c r="K403"/>
      <c r="L403" s="210"/>
      <c r="M403" s="211"/>
      <c r="N403" s="211"/>
      <c r="O403" s="211"/>
      <c r="P403" s="211"/>
      <c r="Q403" s="211"/>
      <c r="R403" s="212"/>
      <c r="T403" s="210"/>
      <c r="U403" s="211"/>
      <c r="V403" s="211"/>
      <c r="W403" s="211"/>
      <c r="X403" s="211"/>
      <c r="Y403" s="211"/>
      <c r="Z403" s="212"/>
    </row>
    <row r="404" spans="1:26" ht="18" customHeight="1" hidden="1">
      <c r="A404" s="140"/>
      <c r="B404" s="140"/>
      <c r="D404" s="219" t="s">
        <v>274</v>
      </c>
      <c r="E404" s="220"/>
      <c r="F404" s="220"/>
      <c r="G404" s="220"/>
      <c r="H404" s="220"/>
      <c r="I404" s="220"/>
      <c r="J404" s="221"/>
      <c r="K404"/>
      <c r="L404" s="222"/>
      <c r="M404" s="220"/>
      <c r="N404" s="220"/>
      <c r="O404" s="220"/>
      <c r="P404" s="220"/>
      <c r="Q404" s="220"/>
      <c r="R404" s="221"/>
      <c r="T404" s="222"/>
      <c r="U404" s="220"/>
      <c r="V404" s="220"/>
      <c r="W404" s="220"/>
      <c r="X404" s="220"/>
      <c r="Y404" s="220"/>
      <c r="Z404" s="221"/>
    </row>
    <row r="405" spans="1:26" ht="18" customHeight="1" hidden="1">
      <c r="A405" s="140"/>
      <c r="B405" s="140"/>
      <c r="D405" s="223" t="s">
        <v>250</v>
      </c>
      <c r="E405" s="205"/>
      <c r="F405" s="205"/>
      <c r="G405" s="205"/>
      <c r="H405" s="205"/>
      <c r="I405" s="205"/>
      <c r="J405" s="206"/>
      <c r="K405"/>
      <c r="L405" s="203"/>
      <c r="M405" s="205"/>
      <c r="N405" s="205"/>
      <c r="O405" s="205"/>
      <c r="P405" s="205"/>
      <c r="Q405" s="205"/>
      <c r="R405" s="206"/>
      <c r="T405" s="203"/>
      <c r="U405" s="205"/>
      <c r="V405" s="205"/>
      <c r="W405" s="205"/>
      <c r="X405" s="205"/>
      <c r="Y405" s="205"/>
      <c r="Z405" s="206"/>
    </row>
    <row r="406" spans="1:26" ht="18" customHeight="1" hidden="1">
      <c r="A406" s="140"/>
      <c r="B406" s="140"/>
      <c r="D406" s="198" t="s">
        <v>251</v>
      </c>
      <c r="E406" s="130" t="e">
        <f>_xlfn.XLOOKUP(E375,CurrentPlans!B:B,CurrentPlans!AP:AP,"NA",0,1)</f>
        <v>#N/A</v>
      </c>
      <c r="F406" s="200"/>
      <c r="G406" s="200"/>
      <c r="H406" s="200"/>
      <c r="I406" s="130"/>
      <c r="J406" s="201"/>
      <c r="K406"/>
      <c r="L406" s="131" t="str">
        <f ca="1">_xlfn.XLOOKUP(L375,RenewalPlans!B:B,RenewalPlans!AS:AS,"NA",0,1)</f>
        <v>NA</v>
      </c>
      <c r="M406" s="200"/>
      <c r="N406" s="200"/>
      <c r="O406" s="200"/>
      <c r="P406" s="130"/>
      <c r="Q406" s="200"/>
      <c r="R406" s="201"/>
      <c r="T406" s="131" t="str">
        <f>_xlfn.XLOOKUP(T375,RenewalPlans!B:B,RenewalPlans!AS:AS,"NA",0,1)</f>
        <v>NA</v>
      </c>
      <c r="U406" s="200"/>
      <c r="V406" s="200"/>
      <c r="W406" s="200"/>
      <c r="X406" s="130"/>
      <c r="Y406" s="200"/>
      <c r="Z406" s="201"/>
    </row>
    <row r="407" spans="1:26" ht="18" customHeight="1" hidden="1">
      <c r="A407" s="140"/>
      <c r="B407" s="140"/>
      <c r="D407" s="198" t="s">
        <v>252</v>
      </c>
      <c r="E407" s="130" t="e">
        <f>_xlfn.XLOOKUP(E375,CurrentPlans!B:B,CurrentPlans!AQ:AQ,"NA",0,1)</f>
        <v>#N/A</v>
      </c>
      <c r="F407" s="200"/>
      <c r="G407" s="200"/>
      <c r="H407" s="200"/>
      <c r="I407" s="130"/>
      <c r="J407" s="201"/>
      <c r="K407"/>
      <c r="L407" s="131" t="str">
        <f ca="1">_xlfn.XLOOKUP(L375,RenewalPlans!B:B,RenewalPlans!AT:AT,"NA",0,1)</f>
        <v>NA</v>
      </c>
      <c r="M407" s="200"/>
      <c r="N407" s="200"/>
      <c r="O407" s="200"/>
      <c r="P407" s="130"/>
      <c r="Q407" s="200"/>
      <c r="R407" s="201"/>
      <c r="T407" s="131" t="str">
        <f>_xlfn.XLOOKUP(T375,RenewalPlans!B:B,RenewalPlans!AT:AT,"NA",0,1)</f>
        <v>NA</v>
      </c>
      <c r="U407" s="200"/>
      <c r="V407" s="200"/>
      <c r="W407" s="200"/>
      <c r="X407" s="130"/>
      <c r="Y407" s="200"/>
      <c r="Z407" s="201"/>
    </row>
    <row r="408" spans="1:26" ht="18" customHeight="1" hidden="1">
      <c r="A408" s="140"/>
      <c r="B408" s="140"/>
      <c r="D408" s="120" t="s">
        <v>253</v>
      </c>
      <c r="E408" s="133" t="e">
        <f>_xlfn.XLOOKUP(E375,CurrentPlans!B:B,CurrentPlans!AO:AO,"NA",0,1)</f>
        <v>#N/A</v>
      </c>
      <c r="F408" s="122"/>
      <c r="G408" s="122"/>
      <c r="H408" s="122"/>
      <c r="I408" s="133"/>
      <c r="J408" s="123"/>
      <c r="K408"/>
      <c r="L408" s="136" t="str">
        <f ca="1">_xlfn.XLOOKUP(L375,RenewalPlans!B:B,RenewalPlans!AR:AR,"NA",0,1)</f>
        <v>NA</v>
      </c>
      <c r="M408" s="122"/>
      <c r="N408" s="122"/>
      <c r="O408" s="122"/>
      <c r="P408" s="133"/>
      <c r="Q408" s="122"/>
      <c r="R408" s="123"/>
      <c r="T408" s="136" t="str">
        <f>_xlfn.XLOOKUP(T375,RenewalPlans!B:B,RenewalPlans!AR:AR,"NA",0,1)</f>
        <v>NA</v>
      </c>
      <c r="U408" s="122"/>
      <c r="V408" s="122"/>
      <c r="W408" s="122"/>
      <c r="X408" s="133"/>
      <c r="Y408" s="122"/>
      <c r="Z408" s="123"/>
    </row>
    <row r="409" spans="1:26" ht="18" customHeight="1" hidden="1">
      <c r="A409" s="140"/>
      <c r="B409" s="140"/>
      <c r="D409" s="223" t="s">
        <v>254</v>
      </c>
      <c r="E409" s="205"/>
      <c r="F409" s="205"/>
      <c r="G409" s="205"/>
      <c r="H409" s="205"/>
      <c r="I409" s="205"/>
      <c r="J409" s="206"/>
      <c r="K409"/>
      <c r="L409" s="203"/>
      <c r="M409" s="205"/>
      <c r="N409" s="205"/>
      <c r="O409" s="205"/>
      <c r="P409" s="205"/>
      <c r="Q409" s="205"/>
      <c r="R409" s="206"/>
      <c r="T409" s="203"/>
      <c r="U409" s="205"/>
      <c r="V409" s="205"/>
      <c r="W409" s="205"/>
      <c r="X409" s="205"/>
      <c r="Y409" s="205"/>
      <c r="Z409" s="206"/>
    </row>
    <row r="410" spans="1:26" ht="18" customHeight="1" hidden="1">
      <c r="A410" s="140"/>
      <c r="B410" s="140"/>
      <c r="D410" s="198" t="s">
        <v>255</v>
      </c>
      <c r="E410" s="130" t="e">
        <f>_xlfn.XLOOKUP(E375,CurrentPlans!B:B,CurrentPlans!AR:AR,"NA",0,1)</f>
        <v>#N/A</v>
      </c>
      <c r="F410" s="200"/>
      <c r="G410" s="200"/>
      <c r="H410" s="200"/>
      <c r="I410" s="130"/>
      <c r="J410" s="201"/>
      <c r="K410"/>
      <c r="L410" s="131" t="str">
        <f ca="1">_xlfn.XLOOKUP(L375,RenewalPlans!B:B,RenewalPlans!AU:AU,"NA",0,1)</f>
        <v>NA</v>
      </c>
      <c r="M410" s="200"/>
      <c r="N410" s="200"/>
      <c r="O410" s="200"/>
      <c r="P410" s="130"/>
      <c r="Q410" s="200"/>
      <c r="R410" s="201"/>
      <c r="T410" s="131" t="str">
        <f>_xlfn.XLOOKUP(T375,RenewalPlans!B:B,RenewalPlans!AU:AU,"NA",0,1)</f>
        <v>NA</v>
      </c>
      <c r="U410" s="200"/>
      <c r="V410" s="200"/>
      <c r="W410" s="200"/>
      <c r="X410" s="130"/>
      <c r="Y410" s="200"/>
      <c r="Z410" s="201"/>
    </row>
    <row r="411" spans="1:26" ht="18" customHeight="1" hidden="1" thickBot="1">
      <c r="A411" s="140"/>
      <c r="B411" s="140"/>
      <c r="D411" s="224" t="s">
        <v>256</v>
      </c>
      <c r="E411" s="137" t="e">
        <f>_xlfn.XLOOKUP(E375,CurrentPlans!B:B,CurrentPlans!AS:AS,"NA",0,1)</f>
        <v>#N/A</v>
      </c>
      <c r="F411" s="225"/>
      <c r="G411" s="225"/>
      <c r="H411" s="225"/>
      <c r="I411" s="137"/>
      <c r="J411" s="226"/>
      <c r="K411"/>
      <c r="L411" s="138" t="str">
        <f ca="1">_xlfn.XLOOKUP(L375,RenewalPlans!B:B,RenewalPlans!AV:AV,"NA",0,1)</f>
        <v>NA</v>
      </c>
      <c r="M411" s="225"/>
      <c r="N411" s="225"/>
      <c r="O411" s="225"/>
      <c r="P411" s="137"/>
      <c r="Q411" s="225"/>
      <c r="R411" s="226"/>
      <c r="T411" s="138" t="str">
        <f>_xlfn.XLOOKUP(T375,RenewalPlans!B:B,RenewalPlans!AV:AV,"NA",0,1)</f>
        <v>NA</v>
      </c>
      <c r="U411" s="225"/>
      <c r="V411" s="225"/>
      <c r="W411" s="225"/>
      <c r="X411" s="137"/>
      <c r="Y411" s="225"/>
      <c r="Z411" s="226"/>
    </row>
    <row r="412" spans="1:26" ht="18" customHeight="1">
      <c r="A412" s="140"/>
      <c r="B412" s="140"/>
      <c r="D412" s="227"/>
      <c r="E412" s="176"/>
      <c r="F412" s="178"/>
      <c r="G412" s="179"/>
      <c r="H412" s="178"/>
      <c r="I412" s="176"/>
      <c r="J412" s="228"/>
      <c r="K412"/>
      <c r="L412" s="178"/>
      <c r="M412" s="176"/>
      <c r="N412" s="139"/>
      <c r="O412" s="178"/>
      <c r="P412" s="178"/>
      <c r="Q412" s="178"/>
      <c r="R412" s="228"/>
      <c r="T412" s="178"/>
      <c r="U412" s="176"/>
      <c r="V412" s="139"/>
      <c r="W412" s="178"/>
      <c r="X412" s="178"/>
      <c r="Y412" s="178"/>
      <c r="Z412" s="228"/>
    </row>
    <row r="413" spans="1:26" ht="5.25" customHeight="1" thickBot="1">
      <c r="A413" s="140"/>
      <c r="B413" s="140"/>
      <c r="D413" s="229"/>
      <c r="E413" s="229"/>
      <c r="F413" s="230"/>
      <c r="G413" s="231"/>
      <c r="H413" s="232"/>
      <c r="I413" s="233"/>
      <c r="J413" s="233"/>
      <c r="K413"/>
      <c r="L413" s="233"/>
      <c r="M413" s="233"/>
      <c r="N413" s="233"/>
      <c r="O413" s="233"/>
      <c r="P413" s="233"/>
      <c r="Q413" s="233"/>
      <c r="R413" s="233"/>
      <c r="T413" s="233"/>
      <c r="U413" s="233"/>
      <c r="V413" s="233"/>
      <c r="W413" s="233"/>
      <c r="X413" s="233"/>
      <c r="Y413" s="233"/>
      <c r="Z413" s="233"/>
    </row>
    <row r="414" spans="1:26" ht="50.15" customHeight="1">
      <c r="A414" s="140">
        <v>9</v>
      </c>
      <c r="B414" s="140">
        <f>IF(A414&gt;Class2_CurrentHealthCount,"DELETE",Class2_CurrentHealthStart+A414)</f>
        <v>41</v>
      </c>
      <c r="C414" s="164" t="s">
        <v>282</v>
      </c>
      <c r="D414" s="273" t="e">
        <f ca="1">IF(B414="Delete","",VLOOKUP(F414,BEGIN_CURRENT_HEALTH:END_CURRENT_HEALTH,3,FALSE))</f>
        <v>#N/A</v>
      </c>
      <c r="E414" s="165"/>
      <c r="F414" s="272" cm="1">
        <f t="array" ca="1" aca="1" ref="F414">IF(B414="Delete","",INDIRECT("CurrentPlans!A"&amp;B414,TRUE))</f>
        <v>0</v>
      </c>
      <c r="G414" s="166"/>
      <c r="H414" s="167"/>
      <c r="I414" s="168"/>
      <c r="J414" s="169"/>
      <c r="K414"/>
      <c r="L414" s="274" t="str">
        <f ca="1">_xlfn.IFNA(VLOOKUP(F414,BEGIN_RENEWEDFROM_HEALTH:ROW_RenewHealth_PlanID,3,FALSE),"SELECT PLAN")</f>
        <v>SELECT PLAN</v>
      </c>
      <c r="M414" s="170"/>
      <c r="N414" s="274" t="s">
        <v>237</v>
      </c>
      <c r="O414" s="171"/>
      <c r="P414" s="171"/>
      <c r="Q414" s="171"/>
      <c r="R414" s="169"/>
      <c r="T414" s="274" t="s">
        <v>38</v>
      </c>
      <c r="U414" s="170"/>
      <c r="V414" s="274" t="s">
        <v>237</v>
      </c>
      <c r="W414" s="171"/>
      <c r="X414" s="171"/>
      <c r="Y414" s="171"/>
      <c r="Z414" s="169"/>
    </row>
    <row r="415" spans="1:26" ht="18.75" customHeight="1">
      <c r="A415" s="140"/>
      <c r="B415" s="140"/>
      <c r="D415" s="172" t="s">
        <v>238</v>
      </c>
      <c r="E415" s="407" t="str">
        <f ca="1">_xlfn.IFNA(VLOOKUP(F414,BEGIN_CURRENT_HEALTH:END_CURRENT_HEALTH,CURRENT_COL_EO_count,FALSE),"")</f>
        <v/>
      </c>
      <c r="F415" s="408" t="str">
        <f ca="1">_xlfn.IFNA(VLOOKUP(F414,BEGIN_CURRENT_HEALTH:END_CURRENT_HEALTH,CURRENT_COL_EO,FALSE),"")</f>
        <v/>
      </c>
      <c r="G415" s="468" t="str">
        <f ca="1" t="shared" si="40" ref="G415:G418">IF(F415="","",H415/F415)</f>
        <v/>
      </c>
      <c r="H415" s="408" t="str">
        <f ca="1">_xlfn.IFNA(VLOOKUP(F414,BEGIN_CURRENT_HEALTH:END_CURRENT_HEALTH,CURRENT_COL_EOContrib,FALSE),"")</f>
        <v/>
      </c>
      <c r="I415" s="409" t="str">
        <f ca="1">IFERROR(F415-H415,"")</f>
        <v/>
      </c>
      <c r="J415" s="410" t="str">
        <f ca="1">IF(F415="","",H415*E415)</f>
        <v/>
      </c>
      <c r="K415" s="411"/>
      <c r="L415" s="408" t="str" cm="1">
        <f t="array" ca="1" aca="1" ref="L415">_xlfn.IFNA(VLOOKUP(INDIRECT("L"&amp;ROW()-1)&amp;"_"&amp;$D$12,BEGIN_RENEW_HEALTH:END_RENEW_HEALTH,RENEW_COL_EO,FALSE),"")</f>
        <v/>
      </c>
      <c r="M415" s="412" t="str">
        <f ca="1">IF(E415="","",E415)</f>
        <v/>
      </c>
      <c r="N415" s="413"/>
      <c r="O415" s="414"/>
      <c r="P415" s="415" t="str">
        <f>IFERROR(IF($N414="Keep Contribution Same",H415,IF($N414="Enter Percentages",IF(N415="","",N415*L415),IF($N414="Keep Percentage Same",IF(G415="","",G415*L415),IF($N414="Enter Dollar Amount",IF(O415="","",O415),"")))),"")</f>
        <v/>
      </c>
      <c r="Q415" s="408" t="str">
        <f ca="1">IFERROR(L415-P415,"")</f>
        <v/>
      </c>
      <c r="R415" s="410" t="str">
        <f>IFERROR(IF(P415="","",M415*P415),"")</f>
        <v/>
      </c>
      <c r="S415" s="411"/>
      <c r="T415" s="408" t="str" cm="1">
        <f t="array" ca="1" aca="1" ref="T415">_xlfn.IFNA(VLOOKUP(INDIRECT("T"&amp;ROW()-1)&amp;"_"&amp;$D$12,BEGIN_RENEW_HEALTH:END_RENEW_HEALTH,RENEW_COL_EO,FALSE),"")</f>
        <v/>
      </c>
      <c r="U415" s="412" t="str">
        <f ca="1">IF(E415="","",E415)</f>
        <v/>
      </c>
      <c r="V415" s="413"/>
      <c r="W415" s="414"/>
      <c r="X415" s="415" t="str">
        <f>IFERROR(IF($V414="Keep Contribution Same",H415,IF($V414="Enter Percentages",IF(V415="","",V415*T415),IF($V414="Keep Percentage Same",IF(G415="","",G415*T415),IF($V414="Enter Dollar Amount",IF(W415="","",W415),"")))),"")</f>
        <v/>
      </c>
      <c r="Y415" s="408" t="str">
        <f ca="1">IFERROR(T415-X415,"")</f>
        <v/>
      </c>
      <c r="Z415" s="410" t="str">
        <f>IFERROR(IF(X415="","",U415*X415),"")</f>
        <v/>
      </c>
    </row>
    <row r="416" spans="1:26" ht="18.75" customHeight="1">
      <c r="A416" s="140"/>
      <c r="B416" s="140"/>
      <c r="D416" s="172" t="s">
        <v>239</v>
      </c>
      <c r="E416" s="407" t="str">
        <f ca="1">_xlfn.IFNA(VLOOKUP(F414,BEGIN_CURRENT_HEALTH:END_CURRENT_HEALTH,CURRENT_COL_ES_count,FALSE),"")</f>
        <v/>
      </c>
      <c r="F416" s="408" t="str">
        <f ca="1">_xlfn.IFNA(VLOOKUP(F414,BEGIN_CURRENT_HEALTH:END_CURRENT_HEALTH,CURRENT_COL_ES,FALSE),"")</f>
        <v/>
      </c>
      <c r="G416" s="468" t="str">
        <f t="shared" ca="1" si="40"/>
        <v/>
      </c>
      <c r="H416" s="408" t="str">
        <f ca="1">_xlfn.IFNA(VLOOKUP(F414,BEGIN_CURRENT_HEALTH:END_CURRENT_HEALTH,CURRENT_COL_ESContrib,FALSE),"")</f>
        <v/>
      </c>
      <c r="I416" s="409" t="str">
        <f ca="1" t="shared" si="41" ref="I416:I418">IFERROR(F416-H416,"")</f>
        <v/>
      </c>
      <c r="J416" s="410" t="str">
        <f ca="1">IF(F416="","",H416*E416)</f>
        <v/>
      </c>
      <c r="K416" s="411"/>
      <c r="L416" s="408" t="str" cm="1">
        <f t="array" ca="1" aca="1" ref="L416">_xlfn.IFNA(VLOOKUP(INDIRECT("L"&amp;ROW()-2)&amp;"_"&amp;$D$12,BEGIN_RENEW_HEALTH:END_RENEW_HEALTH,RENEW_COL_ES,FALSE),"")</f>
        <v/>
      </c>
      <c r="M416" s="412" t="str">
        <f ca="1">IF(E416="","",E416)</f>
        <v/>
      </c>
      <c r="N416" s="413"/>
      <c r="O416" s="414"/>
      <c r="P416" s="415" t="str">
        <f>IFERROR(IF($N414="Keep Contribution Same",H416,IF($N414="Enter Percentages",IF(N416="","",N416*L416),IF($N414="Keep Percentage Same",IF(G416="","",G416*L416),IF($N414="Enter Dollar Amount",IF(O416="","",O416),"")))),"")</f>
        <v/>
      </c>
      <c r="Q416" s="408" t="str">
        <f ca="1">IFERROR(L416-P416,"")</f>
        <v/>
      </c>
      <c r="R416" s="410" t="str">
        <f>IFERROR(IF(P416="","",M416*P416),"")</f>
        <v/>
      </c>
      <c r="S416" s="411"/>
      <c r="T416" s="408" t="str" cm="1">
        <f t="array" ca="1" aca="1" ref="T416">_xlfn.IFNA(VLOOKUP(INDIRECT("T"&amp;ROW()-2)&amp;"_"&amp;$D$12,BEGIN_RENEW_HEALTH:END_RENEW_HEALTH,RENEW_COL_ES,FALSE),"")</f>
        <v/>
      </c>
      <c r="U416" s="412" t="str">
        <f ca="1" t="shared" si="42" ref="U416:U418">IF(E416="","",E416)</f>
        <v/>
      </c>
      <c r="V416" s="413"/>
      <c r="W416" s="414"/>
      <c r="X416" s="415" t="str">
        <f>IFERROR(IF($V414="Keep Contribution Same",H416,IF($V414="Enter Percentages",IF(V416="","",V416*T416),IF($V414="Keep Percentage Same",IF(G416="","",G416*T416),IF($V414="Enter Dollar Amount",IF(W416="","",W416),"")))),"")</f>
        <v/>
      </c>
      <c r="Y416" s="408" t="str">
        <f ca="1" t="shared" si="43" ref="Y416:Y418">IFERROR(T416-X416,"")</f>
        <v/>
      </c>
      <c r="Z416" s="410" t="str">
        <f t="shared" si="44" ref="Z416:Z418">IFERROR(IF(X416="","",U416*X416),"")</f>
        <v/>
      </c>
    </row>
    <row r="417" spans="1:26" ht="18.75" customHeight="1">
      <c r="A417" s="140"/>
      <c r="B417" s="140"/>
      <c r="D417" s="172" t="s">
        <v>240</v>
      </c>
      <c r="E417" s="407" t="str">
        <f ca="1">_xlfn.IFNA(VLOOKUP(F414,BEGIN_CURRENT_HEALTH:END_CURRENT_HEALTH,CURRENT_COL_EC_count,FALSE),"")</f>
        <v/>
      </c>
      <c r="F417" s="408" t="str">
        <f ca="1">_xlfn.IFNA(VLOOKUP(F414,BEGIN_CURRENT_HEALTH:END_CURRENT_HEALTH,CURRENT_COL_EC,FALSE),"")</f>
        <v/>
      </c>
      <c r="G417" s="468" t="str">
        <f t="shared" ca="1" si="40"/>
        <v/>
      </c>
      <c r="H417" s="408" t="str">
        <f ca="1">_xlfn.IFNA(VLOOKUP(F414,BEGIN_CURRENT_HEALTH:END_CURRENT_HEALTH,CURRENT_COL_ECContrib,FALSE),"")</f>
        <v/>
      </c>
      <c r="I417" s="409" t="str">
        <f t="shared" ca="1" si="41"/>
        <v/>
      </c>
      <c r="J417" s="410" t="str">
        <f ca="1">IF(F417="","",H417*E417)</f>
        <v/>
      </c>
      <c r="K417" s="411"/>
      <c r="L417" s="408" t="str" cm="1">
        <f t="array" ca="1" aca="1" ref="L417">_xlfn.IFNA(VLOOKUP(INDIRECT("L"&amp;ROW()-3)&amp;"_"&amp;$D$12,BEGIN_RENEW_HEALTH:END_RENEW_HEALTH,RENEW_COL_EC,FALSE),"")</f>
        <v/>
      </c>
      <c r="M417" s="412" t="str">
        <f ca="1">IF(E417="","",E417)</f>
        <v/>
      </c>
      <c r="N417" s="413"/>
      <c r="O417" s="414"/>
      <c r="P417" s="415" t="str">
        <f>IFERROR(IF($N414="Keep Contribution Same",H417,IF($N414="Enter Percentages",IF(N417="","",N417*L417),IF($N414="Keep Percentage Same",IF(G417="","",G417*L417),IF($N414="Enter Dollar Amount",IF(O417="","",O417),"")))),"")</f>
        <v/>
      </c>
      <c r="Q417" s="408" t="str">
        <f ca="1">IFERROR(L417-P417,"")</f>
        <v/>
      </c>
      <c r="R417" s="410" t="str">
        <f>IFERROR(IF(P417="","",M417*P417),"")</f>
        <v/>
      </c>
      <c r="S417" s="411"/>
      <c r="T417" s="408" t="str" cm="1">
        <f t="array" ca="1" aca="1" ref="T417">_xlfn.IFNA(VLOOKUP(INDIRECT("T"&amp;ROW()-3)&amp;"_"&amp;$D$12,BEGIN_RENEW_HEALTH:END_RENEW_HEALTH,RENEW_COL_EC,FALSE),"")</f>
        <v/>
      </c>
      <c r="U417" s="412" t="str">
        <f t="shared" ca="1" si="42"/>
        <v/>
      </c>
      <c r="V417" s="413"/>
      <c r="W417" s="414"/>
      <c r="X417" s="415" t="str">
        <f>IFERROR(IF($V414="Keep Contribution Same",H417,IF($V414="Enter Percentages",IF(V417="","",V417*T417),IF($V414="Keep Percentage Same",IF(G417="","",G417*T417),IF($V414="Enter Dollar Amount",IF(W417="","",W417),"")))),"")</f>
        <v/>
      </c>
      <c r="Y417" s="408" t="str">
        <f t="shared" ca="1" si="43"/>
        <v/>
      </c>
      <c r="Z417" s="410" t="str">
        <f t="shared" si="44"/>
        <v/>
      </c>
    </row>
    <row r="418" spans="1:26" ht="18.75" customHeight="1" thickBot="1">
      <c r="A418" s="140"/>
      <c r="B418" s="140"/>
      <c r="D418" s="174" t="s">
        <v>241</v>
      </c>
      <c r="E418" s="416" t="str">
        <f ca="1">_xlfn.IFNA(VLOOKUP(F414,BEGIN_CURRENT_HEALTH:END_CURRENT_HEALTH,CURRENT_COL_FAM_count,FALSE),"")</f>
        <v/>
      </c>
      <c r="F418" s="417" t="str">
        <f ca="1">_xlfn.IFNA(VLOOKUP(F414,BEGIN_CURRENT_HEALTH:END_CURRENT_HEALTH,CURRENT_COL_FAM,FALSE),"")</f>
        <v/>
      </c>
      <c r="G418" s="469" t="str">
        <f t="shared" ca="1" si="40"/>
        <v/>
      </c>
      <c r="H418" s="417" t="str">
        <f ca="1">_xlfn.IFNA(VLOOKUP(F414,BEGIN_CURRENT_HEALTH:END_CURRENT_HEALTH,CURRENT_COL_FAMContrib,FALSE),"")</f>
        <v/>
      </c>
      <c r="I418" s="418" t="str">
        <f t="shared" ca="1" si="41"/>
        <v/>
      </c>
      <c r="J418" s="419" t="str">
        <f ca="1">IF(F418="","",H418*E418)</f>
        <v/>
      </c>
      <c r="K418" s="411"/>
      <c r="L418" s="417" t="str" cm="1">
        <f t="array" ca="1" aca="1" ref="L418">_xlfn.IFNA(VLOOKUP(INDIRECT("L"&amp;ROW()-4)&amp;"_"&amp;$D$12,BEGIN_RENEW_HEALTH:END_RENEW_HEALTH,RENEW_COL_FAM,FALSE),"")</f>
        <v/>
      </c>
      <c r="M418" s="412" t="str">
        <f ca="1">IF(E418="","",E418)</f>
        <v/>
      </c>
      <c r="N418" s="420"/>
      <c r="O418" s="421"/>
      <c r="P418" s="422" t="str">
        <f>IFERROR(IF($N414="Keep Contribution Same",H418,IF($N414="Enter Percentages",IF(N418="","",N418*L418),IF($N414="Keep Percentage Same",IF(G418="","",G418*L418),IF($N414="Enter Dollar Amount",IF(O418="","",O418),"")))),"")</f>
        <v/>
      </c>
      <c r="Q418" s="422" t="str">
        <f ca="1">IFERROR(L418-P418,"")</f>
        <v/>
      </c>
      <c r="R418" s="410" t="str">
        <f>IFERROR(IF(P418="","",M418*P418),"")</f>
        <v/>
      </c>
      <c r="S418" s="411"/>
      <c r="T418" s="417" t="str" cm="1">
        <f t="array" ca="1" aca="1" ref="T418">_xlfn.IFNA(VLOOKUP(INDIRECT("T"&amp;ROW()-4)&amp;"_"&amp;$D$12,BEGIN_RENEW_HEALTH:END_RENEW_HEALTH,RENEW_COL_FAM,FALSE),"")</f>
        <v/>
      </c>
      <c r="U418" s="423" t="str">
        <f t="shared" ca="1" si="42"/>
        <v/>
      </c>
      <c r="V418" s="420"/>
      <c r="W418" s="421"/>
      <c r="X418" s="422" t="str">
        <f>IFERROR(IF($V414="Keep Contribution Same",H418,IF($V414="Enter Percentages",IF(V418="","",V418*T418),IF($V414="Keep Percentage Same",IF(G418="","",G418*T418),IF($V414="Enter Dollar Amount",IF(W418="","",W418),"")))),"")</f>
        <v/>
      </c>
      <c r="Y418" s="417" t="str">
        <f t="shared" ca="1" si="43"/>
        <v/>
      </c>
      <c r="Z418" s="419" t="str">
        <f t="shared" si="44"/>
        <v/>
      </c>
    </row>
    <row r="419" spans="1:26" ht="18.75" customHeight="1" thickTop="1">
      <c r="A419" s="140"/>
      <c r="B419" s="140"/>
      <c r="D419" s="175" t="s">
        <v>242</v>
      </c>
      <c r="E419" s="424"/>
      <c r="F419" s="447" t="str">
        <f ca="1">IFERROR((F415*E415)+(F416*E416)+(F417*E417)+(F418*E418),"")</f>
        <v/>
      </c>
      <c r="G419" s="426"/>
      <c r="H419" s="427"/>
      <c r="I419" s="428"/>
      <c r="J419" s="429" t="str">
        <f ca="1">IFERROR(IF(J415="","",SUM(J415:J418)),0)</f>
        <v/>
      </c>
      <c r="K419" s="1"/>
      <c r="L419" s="430" t="str">
        <f ca="1">IFERROR((M415*L415)+(M416*L416)+(M417*L417)+(M418*L418),"")</f>
        <v/>
      </c>
      <c r="M419" s="427"/>
      <c r="N419" s="426"/>
      <c r="O419" s="427"/>
      <c r="P419" s="431"/>
      <c r="Q419" s="432"/>
      <c r="R419" s="429" t="str">
        <f>IFERROR(IF(R415="","",SUM(R415:R418)),0)</f>
        <v/>
      </c>
      <c r="T419" s="430" t="str">
        <f ca="1">IFERROR((U415*T415)+(U416*T416)+(U417*T417)+(U418*T418),"")</f>
        <v/>
      </c>
      <c r="U419" s="427"/>
      <c r="V419" s="426"/>
      <c r="W419" s="427"/>
      <c r="X419" s="431"/>
      <c r="Y419" s="432"/>
      <c r="Z419" s="429" t="str">
        <f>IFERROR(IF(Z415="","",SUM(Z415:Z418)),0)</f>
        <v/>
      </c>
    </row>
    <row r="420" spans="1:26" ht="18.75" customHeight="1">
      <c r="A420" s="140"/>
      <c r="B420" s="140"/>
      <c r="D420" s="177" t="s">
        <v>243</v>
      </c>
      <c r="E420" s="433"/>
      <c r="F420" s="448" t="str">
        <f ca="1">IFERROR(F419*12,"")</f>
        <v/>
      </c>
      <c r="G420" s="435"/>
      <c r="H420" s="436"/>
      <c r="I420" s="432"/>
      <c r="J420" s="437" t="str">
        <f ca="1">IF(J419="","",J419*12)</f>
        <v/>
      </c>
      <c r="K420" s="1"/>
      <c r="L420" s="438" t="str">
        <f ca="1">IFERROR(L419*12,"")</f>
        <v/>
      </c>
      <c r="M420" s="436"/>
      <c r="N420" s="435"/>
      <c r="O420" s="436"/>
      <c r="P420" s="432"/>
      <c r="Q420" s="432"/>
      <c r="R420" s="437" t="str">
        <f>IF(R419="","",R419*12)</f>
        <v/>
      </c>
      <c r="T420" s="438" t="str">
        <f ca="1">IFERROR(T419*12,"")</f>
        <v/>
      </c>
      <c r="U420" s="436"/>
      <c r="V420" s="435"/>
      <c r="W420" s="436"/>
      <c r="X420" s="432"/>
      <c r="Y420" s="432"/>
      <c r="Z420" s="437" t="str">
        <f>IF(Z419="","",Z419*12)</f>
        <v/>
      </c>
    </row>
    <row r="421" spans="1:26" ht="18" customHeight="1">
      <c r="A421" s="140"/>
      <c r="B421" s="140"/>
      <c r="D421" s="177" t="s">
        <v>244</v>
      </c>
      <c r="E421" s="433"/>
      <c r="F421" s="436"/>
      <c r="G421" s="435"/>
      <c r="H421" s="436"/>
      <c r="I421" s="432"/>
      <c r="J421" s="437"/>
      <c r="K421" s="1"/>
      <c r="L421" s="434" t="str">
        <f ca="1">IFERROR(L420-F420,"")</f>
        <v/>
      </c>
      <c r="M421" s="436"/>
      <c r="N421" s="435"/>
      <c r="O421" s="436"/>
      <c r="P421" s="432"/>
      <c r="Q421" s="432"/>
      <c r="R421" s="437" t="str">
        <f ca="1">IFERROR(IF(J420="","",R420-J420),0)</f>
        <v/>
      </c>
      <c r="T421" s="434" t="str">
        <f ca="1">IFERROR(T420-F420,"")</f>
        <v/>
      </c>
      <c r="U421" s="436"/>
      <c r="V421" s="435"/>
      <c r="W421" s="436"/>
      <c r="X421" s="432"/>
      <c r="Y421" s="432"/>
      <c r="Z421" s="437" t="str">
        <f>IFERROR(IF(R420="","",Z420-R420),0)</f>
        <v/>
      </c>
    </row>
    <row r="422" spans="1:26" ht="18" customHeight="1" thickBot="1">
      <c r="A422" s="140"/>
      <c r="B422" s="140"/>
      <c r="D422" s="180" t="s">
        <v>245</v>
      </c>
      <c r="E422" s="439"/>
      <c r="F422" s="440"/>
      <c r="G422" s="441"/>
      <c r="H422" s="440"/>
      <c r="I422" s="442"/>
      <c r="J422" s="443"/>
      <c r="K422" s="1"/>
      <c r="L422" s="444" t="str">
        <f ca="1">IFERROR(L420/F420-1,"")</f>
        <v/>
      </c>
      <c r="M422" s="440"/>
      <c r="N422" s="441"/>
      <c r="O422" s="440"/>
      <c r="P422" s="445"/>
      <c r="Q422" s="445"/>
      <c r="R422" s="446" t="str">
        <f ca="1">IFERROR(IF(J420="","",(R420/J420)-1),0)</f>
        <v/>
      </c>
      <c r="T422" s="444" t="str">
        <f ca="1">IFERROR(T420/F420-1,"")</f>
        <v/>
      </c>
      <c r="U422" s="440"/>
      <c r="V422" s="441"/>
      <c r="W422" s="440"/>
      <c r="X422" s="445"/>
      <c r="Y422" s="445"/>
      <c r="Z422" s="446" t="str">
        <f>IFERROR(IF(R420="","",(Z420/R420)-1),0)</f>
        <v/>
      </c>
    </row>
    <row r="423" spans="1:26" ht="18" customHeight="1">
      <c r="A423" s="140"/>
      <c r="B423" s="140"/>
      <c r="D423" s="181" t="s">
        <v>246</v>
      </c>
      <c r="E423" s="182"/>
      <c r="F423" s="182"/>
      <c r="G423" s="182"/>
      <c r="H423" s="182"/>
      <c r="I423" s="182"/>
      <c r="J423" s="183"/>
      <c r="K423"/>
      <c r="L423" s="184"/>
      <c r="M423" s="182"/>
      <c r="N423" s="182"/>
      <c r="O423" s="182"/>
      <c r="P423" s="182"/>
      <c r="Q423" s="182"/>
      <c r="R423" s="183"/>
      <c r="T423" s="184"/>
      <c r="U423" s="182"/>
      <c r="V423" s="182"/>
      <c r="W423" s="182"/>
      <c r="X423" s="182"/>
      <c r="Y423" s="182"/>
      <c r="Z423" s="183"/>
    </row>
    <row r="424" spans="1:26" ht="18" customHeight="1" hidden="1">
      <c r="A424" s="140"/>
      <c r="B424" s="140"/>
      <c r="D424" s="185" t="s">
        <v>247</v>
      </c>
      <c r="E424" s="186"/>
      <c r="F424" s="186"/>
      <c r="G424" s="186"/>
      <c r="H424" s="186"/>
      <c r="I424" s="186"/>
      <c r="J424" s="187"/>
      <c r="K424"/>
      <c r="L424" s="188"/>
      <c r="M424" s="186"/>
      <c r="N424" s="186"/>
      <c r="O424" s="186"/>
      <c r="P424" s="186"/>
      <c r="Q424" s="186"/>
      <c r="R424" s="187"/>
      <c r="T424" s="188"/>
      <c r="U424" s="186"/>
      <c r="V424" s="186"/>
      <c r="W424" s="186"/>
      <c r="X424" s="186"/>
      <c r="Y424" s="186"/>
      <c r="Z424" s="187"/>
    </row>
    <row r="425" spans="1:26" ht="18" customHeight="1" hidden="1">
      <c r="A425" s="140"/>
      <c r="B425" s="140"/>
      <c r="D425" s="189" t="s">
        <v>248</v>
      </c>
      <c r="E425" s="190" t="e">
        <f ca="1">D414&amp;"_"&amp;D12</f>
        <v>#N/A</v>
      </c>
      <c r="F425" s="191"/>
      <c r="G425" s="191"/>
      <c r="H425" s="191"/>
      <c r="I425" s="190"/>
      <c r="J425" s="192"/>
      <c r="K425"/>
      <c r="L425" s="193" t="str">
        <f ca="1">L414&amp;"_"&amp;D12</f>
        <v>SELECT PLAN_OWNERS</v>
      </c>
      <c r="M425" s="191"/>
      <c r="N425" s="191"/>
      <c r="O425" s="191"/>
      <c r="P425" s="190"/>
      <c r="Q425" s="191"/>
      <c r="R425" s="192"/>
      <c r="T425" s="193" t="str">
        <f>T414&amp;"_"&amp;D12</f>
        <v>SELECT PLAN_OWNERS</v>
      </c>
      <c r="U425" s="191"/>
      <c r="V425" s="191"/>
      <c r="W425" s="191"/>
      <c r="X425" s="190"/>
      <c r="Y425" s="191"/>
      <c r="Z425" s="192"/>
    </row>
    <row r="426" spans="1:26" ht="18" customHeight="1" hidden="1">
      <c r="A426" s="140"/>
      <c r="B426" s="140"/>
      <c r="D426" s="189" t="s">
        <v>249</v>
      </c>
      <c r="E426" s="191"/>
      <c r="F426" s="191"/>
      <c r="G426" s="191"/>
      <c r="H426" s="191"/>
      <c r="I426" s="191"/>
      <c r="J426" s="192"/>
      <c r="K426"/>
      <c r="L426" s="189"/>
      <c r="M426" s="191"/>
      <c r="N426" s="191"/>
      <c r="O426" s="191"/>
      <c r="P426" s="191"/>
      <c r="Q426" s="191"/>
      <c r="R426" s="192"/>
      <c r="T426" s="189"/>
      <c r="U426" s="191"/>
      <c r="V426" s="191"/>
      <c r="W426" s="191"/>
      <c r="X426" s="191"/>
      <c r="Y426" s="191"/>
      <c r="Z426" s="192"/>
    </row>
    <row r="427" spans="1:26" ht="18" customHeight="1" hidden="1">
      <c r="A427" s="140"/>
      <c r="B427" s="140"/>
      <c r="D427" s="194" t="s">
        <v>250</v>
      </c>
      <c r="E427" s="195"/>
      <c r="F427" s="195"/>
      <c r="G427" s="195"/>
      <c r="H427" s="195"/>
      <c r="I427" s="195"/>
      <c r="J427" s="196"/>
      <c r="K427"/>
      <c r="L427" s="197"/>
      <c r="M427" s="195"/>
      <c r="N427" s="195"/>
      <c r="O427" s="195"/>
      <c r="P427" s="195"/>
      <c r="Q427" s="195"/>
      <c r="R427" s="196"/>
      <c r="T427" s="197"/>
      <c r="U427" s="195"/>
      <c r="V427" s="195"/>
      <c r="W427" s="195"/>
      <c r="X427" s="195"/>
      <c r="Y427" s="195"/>
      <c r="Z427" s="196"/>
    </row>
    <row r="428" spans="1:26" ht="18" customHeight="1" hidden="1">
      <c r="A428" s="140"/>
      <c r="B428" s="140"/>
      <c r="D428" s="198" t="s">
        <v>251</v>
      </c>
      <c r="E428" s="199" t="e">
        <f>_xlfn.XLOOKUP(E425,CurrentPlans!B:B,CurrentPlans!X:X,"NA",0,1)</f>
        <v>#N/A</v>
      </c>
      <c r="F428" s="200"/>
      <c r="G428" s="200"/>
      <c r="H428" s="200"/>
      <c r="I428" s="199"/>
      <c r="J428" s="201"/>
      <c r="K428"/>
      <c r="L428" s="202" t="str">
        <f ca="1">_xlfn.XLOOKUP(L425,RenewalPlans!B:B,RenewalPlans!AA:AA,"NA",0,1)</f>
        <v>NA</v>
      </c>
      <c r="M428" s="200"/>
      <c r="N428" s="200"/>
      <c r="O428" s="200"/>
      <c r="P428" s="199"/>
      <c r="Q428" s="200"/>
      <c r="R428" s="201"/>
      <c r="T428" s="202" t="str">
        <f>_xlfn.XLOOKUP(T425,RenewalPlans!B:B,RenewalPlans!AA:AA,"NA",0,1)</f>
        <v>NA</v>
      </c>
      <c r="U428" s="200"/>
      <c r="V428" s="200"/>
      <c r="W428" s="200"/>
      <c r="X428" s="199"/>
      <c r="Y428" s="200"/>
      <c r="Z428" s="201"/>
    </row>
    <row r="429" spans="1:26" ht="18" customHeight="1" hidden="1">
      <c r="A429" s="140"/>
      <c r="B429" s="140"/>
      <c r="D429" s="198" t="s">
        <v>252</v>
      </c>
      <c r="E429" s="199" t="e">
        <f>_xlfn.XLOOKUP(E425,CurrentPlans!B:B,CurrentPlans!Y:Y,"NA",0,1)</f>
        <v>#N/A</v>
      </c>
      <c r="F429" s="200"/>
      <c r="G429" s="200"/>
      <c r="H429" s="200"/>
      <c r="I429" s="199"/>
      <c r="J429" s="201"/>
      <c r="K429"/>
      <c r="L429" s="202" t="str">
        <f ca="1">_xlfn.XLOOKUP(L425,RenewalPlans!B:B,RenewalPlans!AB:AB,"NA",0,1)</f>
        <v>NA</v>
      </c>
      <c r="M429" s="200"/>
      <c r="N429" s="200"/>
      <c r="O429" s="200"/>
      <c r="P429" s="199"/>
      <c r="Q429" s="200"/>
      <c r="R429" s="201"/>
      <c r="T429" s="202" t="str">
        <f>_xlfn.XLOOKUP(T425,RenewalPlans!B:B,RenewalPlans!AB:AB,"NA",0,1)</f>
        <v>NA</v>
      </c>
      <c r="U429" s="200"/>
      <c r="V429" s="200"/>
      <c r="W429" s="200"/>
      <c r="X429" s="199"/>
      <c r="Y429" s="200"/>
      <c r="Z429" s="201"/>
    </row>
    <row r="430" spans="1:26" ht="18" customHeight="1" hidden="1">
      <c r="A430" s="140"/>
      <c r="B430" s="140"/>
      <c r="D430" s="120" t="s">
        <v>253</v>
      </c>
      <c r="E430" s="121" t="e">
        <f>_xlfn.XLOOKUP(E425,CurrentPlans!B:B,CurrentPlans!W:W,"NA",0,1)</f>
        <v>#N/A</v>
      </c>
      <c r="F430" s="122"/>
      <c r="G430" s="122"/>
      <c r="H430" s="122"/>
      <c r="I430" s="121"/>
      <c r="J430" s="123"/>
      <c r="K430"/>
      <c r="L430" s="124" t="str">
        <f ca="1">_xlfn.XLOOKUP(L425,RenewalPlans!B:B,RenewalPlans!Z:Z,"NA",0,1)</f>
        <v>NA</v>
      </c>
      <c r="M430" s="122"/>
      <c r="N430" s="122"/>
      <c r="O430" s="122"/>
      <c r="P430" s="121"/>
      <c r="Q430" s="122"/>
      <c r="R430" s="123"/>
      <c r="T430" s="124" t="str">
        <f>_xlfn.XLOOKUP(T425,RenewalPlans!B:B,RenewalPlans!Z:Z,"NA",0,1)</f>
        <v>NA</v>
      </c>
      <c r="U430" s="122"/>
      <c r="V430" s="122"/>
      <c r="W430" s="122"/>
      <c r="X430" s="121"/>
      <c r="Y430" s="122"/>
      <c r="Z430" s="123"/>
    </row>
    <row r="431" spans="1:26" ht="18" customHeight="1" hidden="1">
      <c r="A431" s="140"/>
      <c r="B431" s="140"/>
      <c r="D431" s="203" t="s">
        <v>254</v>
      </c>
      <c r="E431" s="204"/>
      <c r="F431" s="205"/>
      <c r="G431" s="205"/>
      <c r="H431" s="205"/>
      <c r="I431" s="204"/>
      <c r="J431" s="206"/>
      <c r="K431"/>
      <c r="L431" s="207"/>
      <c r="M431" s="205"/>
      <c r="N431" s="205"/>
      <c r="O431" s="205"/>
      <c r="P431" s="204"/>
      <c r="Q431" s="205"/>
      <c r="R431" s="206"/>
      <c r="T431" s="207"/>
      <c r="U431" s="205"/>
      <c r="V431" s="205"/>
      <c r="W431" s="205"/>
      <c r="X431" s="204"/>
      <c r="Y431" s="205"/>
      <c r="Z431" s="206"/>
    </row>
    <row r="432" spans="1:26" ht="18" customHeight="1" hidden="1">
      <c r="A432" s="140"/>
      <c r="B432" s="140"/>
      <c r="D432" s="125" t="s">
        <v>255</v>
      </c>
      <c r="E432" s="126" t="e">
        <f>_xlfn.XLOOKUP(E425,CurrentPlans!B:B,CurrentPlans!Z:Z,"NA",0,1)</f>
        <v>#N/A</v>
      </c>
      <c r="F432" s="127"/>
      <c r="G432" s="127"/>
      <c r="H432" s="127"/>
      <c r="I432" s="126"/>
      <c r="J432" s="128"/>
      <c r="K432"/>
      <c r="L432" s="129" t="str">
        <f ca="1">_xlfn.XLOOKUP(L425,RenewalPlans!B:B,RenewalPlans!AC:AC,"NA",0,1)</f>
        <v>NA</v>
      </c>
      <c r="M432" s="127"/>
      <c r="N432" s="127"/>
      <c r="O432" s="127"/>
      <c r="P432" s="126"/>
      <c r="Q432" s="127"/>
      <c r="R432" s="128"/>
      <c r="T432" s="129" t="str">
        <f>_xlfn.XLOOKUP(T425,RenewalPlans!B:B,RenewalPlans!AC:AC,"NA",0,1)</f>
        <v>NA</v>
      </c>
      <c r="U432" s="127"/>
      <c r="V432" s="127"/>
      <c r="W432" s="127"/>
      <c r="X432" s="126"/>
      <c r="Y432" s="127"/>
      <c r="Z432" s="128"/>
    </row>
    <row r="433" spans="1:26" ht="18" customHeight="1" hidden="1">
      <c r="A433" s="140"/>
      <c r="B433" s="140"/>
      <c r="D433" s="198" t="s">
        <v>256</v>
      </c>
      <c r="E433" s="208" t="e">
        <f>_xlfn.XLOOKUP(E425,CurrentPlans!B:B,CurrentPlans!AA:AA,"NA",0,1)</f>
        <v>#N/A</v>
      </c>
      <c r="F433" s="200"/>
      <c r="G433" s="200"/>
      <c r="H433" s="200"/>
      <c r="I433" s="208"/>
      <c r="J433" s="201"/>
      <c r="K433"/>
      <c r="L433" s="209" t="str">
        <f ca="1">_xlfn.XLOOKUP(L425,RenewalPlans!B:B,RenewalPlans!AD:AD,"NA",0,1)</f>
        <v>NA</v>
      </c>
      <c r="M433" s="200"/>
      <c r="N433" s="200"/>
      <c r="O433" s="200"/>
      <c r="P433" s="208"/>
      <c r="Q433" s="200"/>
      <c r="R433" s="201"/>
      <c r="T433" s="209" t="str">
        <f>_xlfn.XLOOKUP(T425,RenewalPlans!B:B,RenewalPlans!AD:AD,"NA",0,1)</f>
        <v>NA</v>
      </c>
      <c r="U433" s="200"/>
      <c r="V433" s="200"/>
      <c r="W433" s="200"/>
      <c r="X433" s="208"/>
      <c r="Y433" s="200"/>
      <c r="Z433" s="201"/>
    </row>
    <row r="434" spans="1:26" ht="18" customHeight="1" hidden="1">
      <c r="A434" s="140"/>
      <c r="B434" s="140"/>
      <c r="D434" s="203" t="s">
        <v>257</v>
      </c>
      <c r="E434" s="204"/>
      <c r="F434" s="205"/>
      <c r="G434" s="205"/>
      <c r="H434" s="205"/>
      <c r="I434" s="204"/>
      <c r="J434" s="206"/>
      <c r="K434"/>
      <c r="L434" s="207"/>
      <c r="M434" s="205"/>
      <c r="N434" s="205"/>
      <c r="O434" s="205"/>
      <c r="P434" s="204"/>
      <c r="Q434" s="205"/>
      <c r="R434" s="206"/>
      <c r="T434" s="207"/>
      <c r="U434" s="205"/>
      <c r="V434" s="205"/>
      <c r="W434" s="205"/>
      <c r="X434" s="204"/>
      <c r="Y434" s="205"/>
      <c r="Z434" s="206"/>
    </row>
    <row r="435" spans="1:26" ht="18" customHeight="1" hidden="1">
      <c r="A435" s="140"/>
      <c r="B435" s="140"/>
      <c r="D435" s="198" t="s">
        <v>258</v>
      </c>
      <c r="E435" s="208" t="e">
        <f>_xlfn.XLOOKUP(E425,CurrentPlans!B:B,CurrentPlans!AB:AB,"NA",0,1)</f>
        <v>#N/A</v>
      </c>
      <c r="F435" s="200"/>
      <c r="G435" s="200"/>
      <c r="H435" s="200"/>
      <c r="I435" s="208"/>
      <c r="J435" s="201"/>
      <c r="K435"/>
      <c r="L435" s="209" t="str">
        <f ca="1">_xlfn.XLOOKUP(L425,RenewalPlans!B:B,RenewalPlans!AE:AE,"NA",0,1)</f>
        <v>NA</v>
      </c>
      <c r="M435" s="200"/>
      <c r="N435" s="200"/>
      <c r="O435" s="200"/>
      <c r="P435" s="208"/>
      <c r="Q435" s="200"/>
      <c r="R435" s="201"/>
      <c r="T435" s="209" t="str">
        <f>_xlfn.XLOOKUP(T425,RenewalPlans!B:B,RenewalPlans!AE:AE,"NA",0,1)</f>
        <v>NA</v>
      </c>
      <c r="U435" s="200"/>
      <c r="V435" s="200"/>
      <c r="W435" s="200"/>
      <c r="X435" s="208"/>
      <c r="Y435" s="200"/>
      <c r="Z435" s="201"/>
    </row>
    <row r="436" spans="1:26" ht="18" customHeight="1" hidden="1">
      <c r="A436" s="140"/>
      <c r="B436" s="140"/>
      <c r="D436" s="198" t="s">
        <v>259</v>
      </c>
      <c r="E436" s="208" t="e">
        <f>_xlfn.XLOOKUP(E425,CurrentPlans!B:B,CurrentPlans!AC:AC,"NA",0,1)</f>
        <v>#N/A</v>
      </c>
      <c r="F436" s="200"/>
      <c r="G436" s="200"/>
      <c r="H436" s="200"/>
      <c r="I436" s="208"/>
      <c r="J436" s="201"/>
      <c r="K436"/>
      <c r="L436" s="209" t="str">
        <f ca="1">_xlfn.XLOOKUP(L425,RenewalPlans!B:B,RenewalPlans!AF:AF,"NA",0,1)</f>
        <v>NA</v>
      </c>
      <c r="M436" s="200"/>
      <c r="N436" s="200"/>
      <c r="O436" s="200"/>
      <c r="P436" s="208"/>
      <c r="Q436" s="200"/>
      <c r="R436" s="201"/>
      <c r="T436" s="209" t="str">
        <f>_xlfn.XLOOKUP(T425,RenewalPlans!B:B,RenewalPlans!AF:AF,"NA",0,1)</f>
        <v>NA</v>
      </c>
      <c r="U436" s="200"/>
      <c r="V436" s="200"/>
      <c r="W436" s="200"/>
      <c r="X436" s="208"/>
      <c r="Y436" s="200"/>
      <c r="Z436" s="201"/>
    </row>
    <row r="437" spans="1:26" ht="18" customHeight="1" hidden="1">
      <c r="A437" s="140"/>
      <c r="B437" s="140"/>
      <c r="D437" s="210"/>
      <c r="E437" s="211"/>
      <c r="F437" s="211"/>
      <c r="G437" s="211"/>
      <c r="H437" s="211"/>
      <c r="I437" s="211"/>
      <c r="J437" s="212"/>
      <c r="K437"/>
      <c r="L437" s="210"/>
      <c r="M437" s="211"/>
      <c r="N437" s="211"/>
      <c r="O437" s="211"/>
      <c r="P437" s="211"/>
      <c r="Q437" s="211"/>
      <c r="R437" s="212"/>
      <c r="T437" s="210"/>
      <c r="U437" s="211"/>
      <c r="V437" s="211"/>
      <c r="W437" s="211"/>
      <c r="X437" s="211"/>
      <c r="Y437" s="211"/>
      <c r="Z437" s="212"/>
    </row>
    <row r="438" spans="1:26" ht="18" customHeight="1" hidden="1">
      <c r="A438" s="140"/>
      <c r="B438" s="140"/>
      <c r="D438" s="185" t="s">
        <v>260</v>
      </c>
      <c r="E438" s="186"/>
      <c r="F438" s="186"/>
      <c r="G438" s="186"/>
      <c r="H438" s="186"/>
      <c r="I438" s="186"/>
      <c r="J438" s="187"/>
      <c r="K438"/>
      <c r="L438" s="188"/>
      <c r="M438" s="186"/>
      <c r="N438" s="186"/>
      <c r="O438" s="186"/>
      <c r="P438" s="186"/>
      <c r="Q438" s="186"/>
      <c r="R438" s="187"/>
      <c r="T438" s="188"/>
      <c r="U438" s="186"/>
      <c r="V438" s="186"/>
      <c r="W438" s="186"/>
      <c r="X438" s="186"/>
      <c r="Y438" s="186"/>
      <c r="Z438" s="187"/>
    </row>
    <row r="439" spans="1:26" ht="18" customHeight="1" hidden="1">
      <c r="A439" s="140"/>
      <c r="B439" s="140"/>
      <c r="D439" s="213" t="s">
        <v>261</v>
      </c>
      <c r="E439" s="130" t="e">
        <f>_xlfn.XLOOKUP(E425,CurrentPlans!B:B,CurrentPlans!AJ:AJ,"NA",0,1)</f>
        <v>#N/A</v>
      </c>
      <c r="F439" s="214"/>
      <c r="G439" s="214"/>
      <c r="H439" s="214"/>
      <c r="I439" s="130"/>
      <c r="J439" s="215"/>
      <c r="K439"/>
      <c r="L439" s="131" t="str">
        <f ca="1">_xlfn.XLOOKUP(L425,RenewalPlans!B:B,RenewalPlans!AM:AM,"NA",0,1)</f>
        <v>NA</v>
      </c>
      <c r="M439" s="214"/>
      <c r="N439" s="214"/>
      <c r="O439" s="214"/>
      <c r="P439" s="130"/>
      <c r="Q439" s="214"/>
      <c r="R439" s="215"/>
      <c r="T439" s="131" t="str">
        <f>_xlfn.XLOOKUP(T425,RenewalPlans!B:B,RenewalPlans!AM:AM,"NA",0,1)</f>
        <v>NA</v>
      </c>
      <c r="U439" s="214"/>
      <c r="V439" s="214"/>
      <c r="W439" s="214"/>
      <c r="X439" s="130"/>
      <c r="Y439" s="214"/>
      <c r="Z439" s="215"/>
    </row>
    <row r="440" spans="1:26" ht="18" customHeight="1" hidden="1">
      <c r="A440" s="140"/>
      <c r="B440" s="140"/>
      <c r="D440" s="198" t="s">
        <v>262</v>
      </c>
      <c r="E440" s="130" t="e">
        <f>_xlfn.XLOOKUP(E425,CurrentPlans!B:B,CurrentPlans!AM:AM,"NA",0,1)</f>
        <v>#N/A</v>
      </c>
      <c r="F440" s="200"/>
      <c r="G440" s="200"/>
      <c r="H440" s="200"/>
      <c r="I440" s="130"/>
      <c r="J440" s="201"/>
      <c r="K440"/>
      <c r="L440" s="131" t="str">
        <f ca="1">_xlfn.XLOOKUP(L425,RenewalPlans!B:B,RenewalPlans!AP:AP,"NA",0,1)</f>
        <v>NA</v>
      </c>
      <c r="M440" s="200"/>
      <c r="N440" s="200"/>
      <c r="O440" s="200"/>
      <c r="P440" s="130"/>
      <c r="Q440" s="200"/>
      <c r="R440" s="201"/>
      <c r="T440" s="131" t="str">
        <f>_xlfn.XLOOKUP(T425,RenewalPlans!B:B,RenewalPlans!AP:AP,"NA",0,1)</f>
        <v>NA</v>
      </c>
      <c r="U440" s="200"/>
      <c r="V440" s="200"/>
      <c r="W440" s="200"/>
      <c r="X440" s="130"/>
      <c r="Y440" s="200"/>
      <c r="Z440" s="201"/>
    </row>
    <row r="441" spans="1:26" ht="18" customHeight="1" hidden="1">
      <c r="A441" s="140"/>
      <c r="B441" s="140"/>
      <c r="D441" s="198" t="s">
        <v>263</v>
      </c>
      <c r="E441" s="130" t="e">
        <f>_xlfn.XLOOKUP(E425,CurrentPlans!B:B,CurrentPlans!AI:AI,"NA",0,1)</f>
        <v>#N/A</v>
      </c>
      <c r="F441" s="200"/>
      <c r="G441" s="200"/>
      <c r="H441" s="200"/>
      <c r="I441" s="130"/>
      <c r="J441" s="201"/>
      <c r="K441"/>
      <c r="L441" s="131" t="str">
        <f ca="1">_xlfn.XLOOKUP(L425,RenewalPlans!B:B,RenewalPlans!AL:AL,"NA",0,1)</f>
        <v>NA</v>
      </c>
      <c r="M441" s="200"/>
      <c r="N441" s="200"/>
      <c r="O441" s="200"/>
      <c r="P441" s="130"/>
      <c r="Q441" s="200"/>
      <c r="R441" s="201"/>
      <c r="T441" s="131" t="str">
        <f>_xlfn.XLOOKUP(T425,RenewalPlans!B:B,RenewalPlans!AL:AL,"NA",0,1)</f>
        <v>NA</v>
      </c>
      <c r="U441" s="200"/>
      <c r="V441" s="200"/>
      <c r="W441" s="200"/>
      <c r="X441" s="130"/>
      <c r="Y441" s="200"/>
      <c r="Z441" s="201"/>
    </row>
    <row r="442" spans="1:26" ht="18" customHeight="1" hidden="1">
      <c r="A442" s="140"/>
      <c r="B442" s="140"/>
      <c r="D442" s="198" t="s">
        <v>264</v>
      </c>
      <c r="E442" s="208" t="e">
        <f>_xlfn.XLOOKUP(E425,CurrentPlans!B:B,CurrentPlans!AN:AN,"NA",0,1)</f>
        <v>#N/A</v>
      </c>
      <c r="F442" s="200"/>
      <c r="G442" s="200"/>
      <c r="H442" s="200"/>
      <c r="I442" s="208"/>
      <c r="J442" s="201"/>
      <c r="K442"/>
      <c r="L442" s="209" t="str">
        <f ca="1">_xlfn.XLOOKUP(L425,RenewalPlans!B:B,RenewalPlans!AQ:AQ,"NA",0,1)</f>
        <v>NA</v>
      </c>
      <c r="M442" s="200"/>
      <c r="N442" s="200"/>
      <c r="O442" s="200"/>
      <c r="P442" s="208"/>
      <c r="Q442" s="200"/>
      <c r="R442" s="201"/>
      <c r="T442" s="209" t="str">
        <f>_xlfn.XLOOKUP(T425,RenewalPlans!B:B,RenewalPlans!AQ:AQ,"NA",0,1)</f>
        <v>NA</v>
      </c>
      <c r="U442" s="200"/>
      <c r="V442" s="200"/>
      <c r="W442" s="200"/>
      <c r="X442" s="208"/>
      <c r="Y442" s="200"/>
      <c r="Z442" s="201"/>
    </row>
    <row r="443" spans="1:26" ht="18" customHeight="1" hidden="1">
      <c r="A443" s="140"/>
      <c r="B443" s="140"/>
      <c r="D443" s="210"/>
      <c r="E443" s="211"/>
      <c r="F443" s="211"/>
      <c r="G443" s="211"/>
      <c r="H443" s="211"/>
      <c r="I443" s="211"/>
      <c r="J443" s="212"/>
      <c r="K443"/>
      <c r="L443" s="210"/>
      <c r="M443" s="211"/>
      <c r="N443" s="211"/>
      <c r="O443" s="211"/>
      <c r="P443" s="211"/>
      <c r="Q443" s="211"/>
      <c r="R443" s="212"/>
      <c r="T443" s="210"/>
      <c r="U443" s="211"/>
      <c r="V443" s="211"/>
      <c r="W443" s="211"/>
      <c r="X443" s="211"/>
      <c r="Y443" s="211"/>
      <c r="Z443" s="212"/>
    </row>
    <row r="444" spans="1:26" ht="18" customHeight="1" hidden="1">
      <c r="A444" s="140"/>
      <c r="B444" s="140"/>
      <c r="D444" s="185" t="s">
        <v>265</v>
      </c>
      <c r="E444" s="186"/>
      <c r="F444" s="186"/>
      <c r="G444" s="186"/>
      <c r="H444" s="186"/>
      <c r="I444" s="186"/>
      <c r="J444" s="187"/>
      <c r="K444"/>
      <c r="L444" s="188"/>
      <c r="M444" s="186"/>
      <c r="N444" s="186"/>
      <c r="O444" s="186"/>
      <c r="P444" s="186"/>
      <c r="Q444" s="186"/>
      <c r="R444" s="187"/>
      <c r="T444" s="188"/>
      <c r="U444" s="186"/>
      <c r="V444" s="186"/>
      <c r="W444" s="186"/>
      <c r="X444" s="186"/>
      <c r="Y444" s="186"/>
      <c r="Z444" s="187"/>
    </row>
    <row r="445" spans="1:26" ht="18" customHeight="1" hidden="1">
      <c r="A445" s="140"/>
      <c r="B445" s="140"/>
      <c r="D445" s="132" t="s">
        <v>266</v>
      </c>
      <c r="E445" s="133" t="e">
        <f>_xlfn.XLOOKUP(E425,CurrentPlans!B:B,CurrentPlans!AE:AE,"NA",0,1)</f>
        <v>#N/A</v>
      </c>
      <c r="F445" s="134"/>
      <c r="G445" s="134"/>
      <c r="H445" s="134"/>
      <c r="I445" s="133"/>
      <c r="J445" s="135"/>
      <c r="K445"/>
      <c r="L445" s="136" t="str">
        <f ca="1">_xlfn.XLOOKUP(L425,RenewalPlans!B:B,RenewalPlans!AH:AH,"NA",0,1)</f>
        <v>NA</v>
      </c>
      <c r="M445" s="134"/>
      <c r="N445" s="134"/>
      <c r="O445" s="134"/>
      <c r="P445" s="133"/>
      <c r="Q445" s="134"/>
      <c r="R445" s="135"/>
      <c r="T445" s="136" t="str">
        <f>_xlfn.XLOOKUP(T425,RenewalPlans!B:B,RenewalPlans!AH:AH,"NA",0,1)</f>
        <v>NA</v>
      </c>
      <c r="U445" s="134"/>
      <c r="V445" s="134"/>
      <c r="W445" s="134"/>
      <c r="X445" s="133"/>
      <c r="Y445" s="134"/>
      <c r="Z445" s="135"/>
    </row>
    <row r="446" spans="1:26" ht="18" customHeight="1" hidden="1">
      <c r="A446" s="140"/>
      <c r="B446" s="140"/>
      <c r="D446" s="120" t="s">
        <v>267</v>
      </c>
      <c r="E446" s="130" t="e">
        <f>_xlfn.XLOOKUP(E425,CurrentPlans!B:B,CurrentPlans!AF:AF,"NA",0,1)</f>
        <v>#N/A</v>
      </c>
      <c r="F446" s="122"/>
      <c r="G446" s="122"/>
      <c r="H446" s="122"/>
      <c r="I446" s="130"/>
      <c r="J446" s="123"/>
      <c r="K446"/>
      <c r="L446" s="131" t="str">
        <f ca="1">_xlfn.XLOOKUP(L425,RenewalPlans!B:B,RenewalPlans!AI:AI,"NA",0,1)</f>
        <v>NA</v>
      </c>
      <c r="M446" s="122"/>
      <c r="N446" s="122"/>
      <c r="O446" s="122"/>
      <c r="P446" s="130"/>
      <c r="Q446" s="122"/>
      <c r="R446" s="123"/>
      <c r="T446" s="131" t="str">
        <f>_xlfn.XLOOKUP(T425,RenewalPlans!B:B,RenewalPlans!AI:AI,"NA",0,1)</f>
        <v>NA</v>
      </c>
      <c r="U446" s="122"/>
      <c r="V446" s="122"/>
      <c r="W446" s="122"/>
      <c r="X446" s="130"/>
      <c r="Y446" s="122"/>
      <c r="Z446" s="123"/>
    </row>
    <row r="447" spans="1:26" ht="18" customHeight="1" hidden="1">
      <c r="A447" s="140"/>
      <c r="B447" s="140"/>
      <c r="D447" s="198" t="s">
        <v>268</v>
      </c>
      <c r="E447" s="130" t="e">
        <f>_xlfn.XLOOKUP(E425,CurrentPlans!B:B,CurrentPlans!AH:AH,"NA",0,1)</f>
        <v>#N/A</v>
      </c>
      <c r="F447" s="200"/>
      <c r="G447" s="200"/>
      <c r="H447" s="200"/>
      <c r="I447" s="130"/>
      <c r="J447" s="201"/>
      <c r="K447"/>
      <c r="L447" s="131" t="str">
        <f ca="1">_xlfn.XLOOKUP(L425,RenewalPlans!B:B,RenewalPlans!AK:AK,"NA",0,1)</f>
        <v>NA</v>
      </c>
      <c r="M447" s="200"/>
      <c r="N447" s="200"/>
      <c r="O447" s="200"/>
      <c r="P447" s="130"/>
      <c r="Q447" s="200"/>
      <c r="R447" s="201"/>
      <c r="T447" s="131" t="str">
        <f>_xlfn.XLOOKUP(T425,RenewalPlans!B:B,RenewalPlans!AK:AK,"NA",0,1)</f>
        <v>NA</v>
      </c>
      <c r="U447" s="200"/>
      <c r="V447" s="200"/>
      <c r="W447" s="200"/>
      <c r="X447" s="130"/>
      <c r="Y447" s="200"/>
      <c r="Z447" s="201"/>
    </row>
    <row r="448" spans="1:26" ht="18" customHeight="1" hidden="1">
      <c r="A448" s="140"/>
      <c r="B448" s="140"/>
      <c r="D448" s="198" t="s">
        <v>269</v>
      </c>
      <c r="E448" s="130" t="e">
        <f>_xlfn.XLOOKUP(E425,CurrentPlans!B:B,CurrentPlans!AG:AG,"NA",0,1)</f>
        <v>#N/A</v>
      </c>
      <c r="F448" s="200"/>
      <c r="G448" s="200"/>
      <c r="H448" s="200"/>
      <c r="I448" s="130"/>
      <c r="J448" s="201"/>
      <c r="K448"/>
      <c r="L448" s="131" t="str">
        <f ca="1">_xlfn.XLOOKUP(L425,RenewalPlans!B:B,RenewalPlans!AJ:AJ,"NA",0,1)</f>
        <v>NA</v>
      </c>
      <c r="M448" s="200"/>
      <c r="N448" s="200"/>
      <c r="O448" s="200"/>
      <c r="P448" s="130"/>
      <c r="Q448" s="200"/>
      <c r="R448" s="201"/>
      <c r="T448" s="131" t="str">
        <f>_xlfn.XLOOKUP(T425,RenewalPlans!B:B,RenewalPlans!AJ:AJ,"NA",0,1)</f>
        <v>NA</v>
      </c>
      <c r="U448" s="200"/>
      <c r="V448" s="200"/>
      <c r="W448" s="200"/>
      <c r="X448" s="130"/>
      <c r="Y448" s="200"/>
      <c r="Z448" s="201"/>
    </row>
    <row r="449" spans="1:26" ht="18" customHeight="1" hidden="1">
      <c r="A449" s="140"/>
      <c r="B449" s="140"/>
      <c r="D449" s="213" t="s">
        <v>270</v>
      </c>
      <c r="E449" s="216" t="e">
        <f>_xlfn.XLOOKUP(E425,CurrentPlans!B:B,CurrentPlans!AU:AU,"NA",0,1)</f>
        <v>#N/A</v>
      </c>
      <c r="F449" s="214"/>
      <c r="G449" s="214"/>
      <c r="H449" s="214"/>
      <c r="I449" s="217"/>
      <c r="J449" s="215"/>
      <c r="K449"/>
      <c r="L449" s="218" t="str">
        <f ca="1">_xlfn.XLOOKUP(L425,RenewalPlans!B:B,RenewalPlans!AX:AX,"NA",0,1)</f>
        <v>NA</v>
      </c>
      <c r="M449" s="214"/>
      <c r="N449" s="214"/>
      <c r="O449" s="214"/>
      <c r="P449" s="217"/>
      <c r="Q449" s="214"/>
      <c r="R449" s="215"/>
      <c r="T449" s="218" t="str">
        <f>_xlfn.XLOOKUP(T425,RenewalPlans!B:B,RenewalPlans!AX:AX,"NA",0,1)</f>
        <v>NA</v>
      </c>
      <c r="U449" s="214"/>
      <c r="V449" s="214"/>
      <c r="W449" s="214"/>
      <c r="X449" s="217"/>
      <c r="Y449" s="214"/>
      <c r="Z449" s="215"/>
    </row>
    <row r="450" spans="1:26" ht="18" customHeight="1" hidden="1">
      <c r="A450" s="140"/>
      <c r="B450" s="140"/>
      <c r="D450" s="213" t="s">
        <v>271</v>
      </c>
      <c r="E450" s="216" t="e">
        <f>_xlfn.XLOOKUP(E425,CurrentPlans!B:B,CurrentPlans!AT:AT,"NA",0,1)</f>
        <v>#N/A</v>
      </c>
      <c r="F450" s="214"/>
      <c r="G450" s="214"/>
      <c r="H450" s="214"/>
      <c r="I450" s="217"/>
      <c r="J450" s="215"/>
      <c r="K450"/>
      <c r="L450" s="218" t="str">
        <f ca="1">_xlfn.XLOOKUP(L425,RenewalPlans!B:B,RenewalPlans!AW:AW,"NA",0,1)</f>
        <v>NA</v>
      </c>
      <c r="M450" s="214"/>
      <c r="N450" s="214"/>
      <c r="O450" s="214"/>
      <c r="P450" s="217"/>
      <c r="Q450" s="214"/>
      <c r="R450" s="215"/>
      <c r="T450" s="218" t="str">
        <f>_xlfn.XLOOKUP(T425,RenewalPlans!B:B,RenewalPlans!AW:AW,"NA",0,1)</f>
        <v>NA</v>
      </c>
      <c r="U450" s="214"/>
      <c r="V450" s="214"/>
      <c r="W450" s="214"/>
      <c r="X450" s="217"/>
      <c r="Y450" s="214"/>
      <c r="Z450" s="215"/>
    </row>
    <row r="451" spans="1:26" ht="18" customHeight="1" hidden="1">
      <c r="A451" s="140"/>
      <c r="B451" s="140"/>
      <c r="D451" s="198" t="s">
        <v>272</v>
      </c>
      <c r="E451" s="130" t="e">
        <f>_xlfn.XLOOKUP(E425,CurrentPlans!B:B,CurrentPlans!AD:AD,"NA",0,1)</f>
        <v>#N/A</v>
      </c>
      <c r="F451" s="200"/>
      <c r="G451" s="200"/>
      <c r="H451" s="200"/>
      <c r="I451" s="130"/>
      <c r="J451" s="201"/>
      <c r="K451"/>
      <c r="L451" s="131" t="str">
        <f ca="1">_xlfn.XLOOKUP(L425,RenewalPlans!B:B,RenewalPlans!AG:AG,"NA",0,1)</f>
        <v>NA</v>
      </c>
      <c r="M451" s="200"/>
      <c r="N451" s="200"/>
      <c r="O451" s="200"/>
      <c r="P451" s="130"/>
      <c r="Q451" s="200"/>
      <c r="R451" s="201"/>
      <c r="T451" s="131" t="str">
        <f>_xlfn.XLOOKUP(T425,RenewalPlans!B:B,RenewalPlans!AG:AG,"NA",0,1)</f>
        <v>NA</v>
      </c>
      <c r="U451" s="200"/>
      <c r="V451" s="200"/>
      <c r="W451" s="200"/>
      <c r="X451" s="130"/>
      <c r="Y451" s="200"/>
      <c r="Z451" s="201"/>
    </row>
    <row r="452" spans="1:26" ht="18" customHeight="1" hidden="1">
      <c r="A452" s="140"/>
      <c r="B452" s="140"/>
      <c r="D452" s="198" t="s">
        <v>273</v>
      </c>
      <c r="E452" s="200"/>
      <c r="F452" s="200"/>
      <c r="G452" s="200"/>
      <c r="H452" s="200"/>
      <c r="I452" s="200"/>
      <c r="J452" s="201"/>
      <c r="K452"/>
      <c r="L452" s="198"/>
      <c r="M452" s="200"/>
      <c r="N452" s="200"/>
      <c r="O452" s="200"/>
      <c r="P452" s="200"/>
      <c r="Q452" s="200"/>
      <c r="R452" s="201"/>
      <c r="T452" s="198"/>
      <c r="U452" s="200"/>
      <c r="V452" s="200"/>
      <c r="W452" s="200"/>
      <c r="X452" s="200"/>
      <c r="Y452" s="200"/>
      <c r="Z452" s="201"/>
    </row>
    <row r="453" spans="1:26" ht="18" customHeight="1" hidden="1">
      <c r="A453" s="140"/>
      <c r="B453" s="140"/>
      <c r="D453" s="210"/>
      <c r="E453" s="211"/>
      <c r="F453" s="211"/>
      <c r="G453" s="211"/>
      <c r="H453" s="211"/>
      <c r="I453" s="211"/>
      <c r="J453" s="212"/>
      <c r="K453"/>
      <c r="L453" s="210"/>
      <c r="M453" s="211"/>
      <c r="N453" s="211"/>
      <c r="O453" s="211"/>
      <c r="P453" s="211"/>
      <c r="Q453" s="211"/>
      <c r="R453" s="212"/>
      <c r="T453" s="210"/>
      <c r="U453" s="211"/>
      <c r="V453" s="211"/>
      <c r="W453" s="211"/>
      <c r="X453" s="211"/>
      <c r="Y453" s="211"/>
      <c r="Z453" s="212"/>
    </row>
    <row r="454" spans="1:26" ht="18" customHeight="1" hidden="1">
      <c r="A454" s="140"/>
      <c r="B454" s="140"/>
      <c r="D454" s="219" t="s">
        <v>274</v>
      </c>
      <c r="E454" s="220"/>
      <c r="F454" s="220"/>
      <c r="G454" s="220"/>
      <c r="H454" s="220"/>
      <c r="I454" s="220"/>
      <c r="J454" s="221"/>
      <c r="K454"/>
      <c r="L454" s="222"/>
      <c r="M454" s="220"/>
      <c r="N454" s="220"/>
      <c r="O454" s="220"/>
      <c r="P454" s="220"/>
      <c r="Q454" s="220"/>
      <c r="R454" s="221"/>
      <c r="T454" s="222"/>
      <c r="U454" s="220"/>
      <c r="V454" s="220"/>
      <c r="W454" s="220"/>
      <c r="X454" s="220"/>
      <c r="Y454" s="220"/>
      <c r="Z454" s="221"/>
    </row>
    <row r="455" spans="1:26" ht="18" customHeight="1" hidden="1">
      <c r="A455" s="140"/>
      <c r="B455" s="140"/>
      <c r="D455" s="223" t="s">
        <v>250</v>
      </c>
      <c r="E455" s="205"/>
      <c r="F455" s="205"/>
      <c r="G455" s="205"/>
      <c r="H455" s="205"/>
      <c r="I455" s="205"/>
      <c r="J455" s="206"/>
      <c r="K455"/>
      <c r="L455" s="203"/>
      <c r="M455" s="205"/>
      <c r="N455" s="205"/>
      <c r="O455" s="205"/>
      <c r="P455" s="205"/>
      <c r="Q455" s="205"/>
      <c r="R455" s="206"/>
      <c r="T455" s="203"/>
      <c r="U455" s="205"/>
      <c r="V455" s="205"/>
      <c r="W455" s="205"/>
      <c r="X455" s="205"/>
      <c r="Y455" s="205"/>
      <c r="Z455" s="206"/>
    </row>
    <row r="456" spans="1:26" ht="18" customHeight="1" hidden="1">
      <c r="A456" s="140"/>
      <c r="B456" s="140"/>
      <c r="D456" s="198" t="s">
        <v>251</v>
      </c>
      <c r="E456" s="130" t="e">
        <f>_xlfn.XLOOKUP(E425,CurrentPlans!B:B,CurrentPlans!AP:AP,"NA",0,1)</f>
        <v>#N/A</v>
      </c>
      <c r="F456" s="200"/>
      <c r="G456" s="200"/>
      <c r="H456" s="200"/>
      <c r="I456" s="130"/>
      <c r="J456" s="201"/>
      <c r="K456"/>
      <c r="L456" s="131" t="str">
        <f ca="1">_xlfn.XLOOKUP(L425,RenewalPlans!B:B,RenewalPlans!AS:AS,"NA",0,1)</f>
        <v>NA</v>
      </c>
      <c r="M456" s="200"/>
      <c r="N456" s="200"/>
      <c r="O456" s="200"/>
      <c r="P456" s="130"/>
      <c r="Q456" s="200"/>
      <c r="R456" s="201"/>
      <c r="T456" s="131" t="str">
        <f>_xlfn.XLOOKUP(T425,RenewalPlans!B:B,RenewalPlans!AS:AS,"NA",0,1)</f>
        <v>NA</v>
      </c>
      <c r="U456" s="200"/>
      <c r="V456" s="200"/>
      <c r="W456" s="200"/>
      <c r="X456" s="130"/>
      <c r="Y456" s="200"/>
      <c r="Z456" s="201"/>
    </row>
    <row r="457" spans="1:26" ht="18" customHeight="1" hidden="1">
      <c r="A457" s="140"/>
      <c r="B457" s="140"/>
      <c r="D457" s="198" t="s">
        <v>252</v>
      </c>
      <c r="E457" s="130" t="e">
        <f>_xlfn.XLOOKUP(E425,CurrentPlans!B:B,CurrentPlans!AQ:AQ,"NA",0,1)</f>
        <v>#N/A</v>
      </c>
      <c r="F457" s="200"/>
      <c r="G457" s="200"/>
      <c r="H457" s="200"/>
      <c r="I457" s="130"/>
      <c r="J457" s="201"/>
      <c r="K457"/>
      <c r="L457" s="131" t="str">
        <f ca="1">_xlfn.XLOOKUP(L425,RenewalPlans!B:B,RenewalPlans!AT:AT,"NA",0,1)</f>
        <v>NA</v>
      </c>
      <c r="M457" s="200"/>
      <c r="N457" s="200"/>
      <c r="O457" s="200"/>
      <c r="P457" s="130"/>
      <c r="Q457" s="200"/>
      <c r="R457" s="201"/>
      <c r="T457" s="131" t="str">
        <f>_xlfn.XLOOKUP(T425,RenewalPlans!B:B,RenewalPlans!AT:AT,"NA",0,1)</f>
        <v>NA</v>
      </c>
      <c r="U457" s="200"/>
      <c r="V457" s="200"/>
      <c r="W457" s="200"/>
      <c r="X457" s="130"/>
      <c r="Y457" s="200"/>
      <c r="Z457" s="201"/>
    </row>
    <row r="458" spans="1:26" ht="18" customHeight="1" hidden="1">
      <c r="A458" s="140"/>
      <c r="B458" s="140"/>
      <c r="D458" s="120" t="s">
        <v>253</v>
      </c>
      <c r="E458" s="133" t="e">
        <f>_xlfn.XLOOKUP(E425,CurrentPlans!B:B,CurrentPlans!AO:AO,"NA",0,1)</f>
        <v>#N/A</v>
      </c>
      <c r="F458" s="122"/>
      <c r="G458" s="122"/>
      <c r="H458" s="122"/>
      <c r="I458" s="133"/>
      <c r="J458" s="123"/>
      <c r="K458"/>
      <c r="L458" s="136" t="str">
        <f ca="1">_xlfn.XLOOKUP(L425,RenewalPlans!B:B,RenewalPlans!AR:AR,"NA",0,1)</f>
        <v>NA</v>
      </c>
      <c r="M458" s="122"/>
      <c r="N458" s="122"/>
      <c r="O458" s="122"/>
      <c r="P458" s="133"/>
      <c r="Q458" s="122"/>
      <c r="R458" s="123"/>
      <c r="T458" s="136" t="str">
        <f>_xlfn.XLOOKUP(T425,RenewalPlans!B:B,RenewalPlans!AR:AR,"NA",0,1)</f>
        <v>NA</v>
      </c>
      <c r="U458" s="122"/>
      <c r="V458" s="122"/>
      <c r="W458" s="122"/>
      <c r="X458" s="133"/>
      <c r="Y458" s="122"/>
      <c r="Z458" s="123"/>
    </row>
    <row r="459" spans="1:26" ht="18" customHeight="1" hidden="1">
      <c r="A459" s="140"/>
      <c r="B459" s="140"/>
      <c r="D459" s="223" t="s">
        <v>254</v>
      </c>
      <c r="E459" s="205"/>
      <c r="F459" s="205"/>
      <c r="G459" s="205"/>
      <c r="H459" s="205"/>
      <c r="I459" s="205"/>
      <c r="J459" s="206"/>
      <c r="K459"/>
      <c r="L459" s="203"/>
      <c r="M459" s="205"/>
      <c r="N459" s="205"/>
      <c r="O459" s="205"/>
      <c r="P459" s="205"/>
      <c r="Q459" s="205"/>
      <c r="R459" s="206"/>
      <c r="T459" s="203"/>
      <c r="U459" s="205"/>
      <c r="V459" s="205"/>
      <c r="W459" s="205"/>
      <c r="X459" s="205"/>
      <c r="Y459" s="205"/>
      <c r="Z459" s="206"/>
    </row>
    <row r="460" spans="1:26" ht="18" customHeight="1" hidden="1">
      <c r="A460" s="140"/>
      <c r="B460" s="140"/>
      <c r="D460" s="198" t="s">
        <v>255</v>
      </c>
      <c r="E460" s="130" t="e">
        <f>_xlfn.XLOOKUP(E425,CurrentPlans!B:B,CurrentPlans!AR:AR,"NA",0,1)</f>
        <v>#N/A</v>
      </c>
      <c r="F460" s="200"/>
      <c r="G460" s="200"/>
      <c r="H460" s="200"/>
      <c r="I460" s="130"/>
      <c r="J460" s="201"/>
      <c r="K460"/>
      <c r="L460" s="131" t="str">
        <f ca="1">_xlfn.XLOOKUP(L425,RenewalPlans!B:B,RenewalPlans!AU:AU,"NA",0,1)</f>
        <v>NA</v>
      </c>
      <c r="M460" s="200"/>
      <c r="N460" s="200"/>
      <c r="O460" s="200"/>
      <c r="P460" s="130"/>
      <c r="Q460" s="200"/>
      <c r="R460" s="201"/>
      <c r="T460" s="131" t="str">
        <f>_xlfn.XLOOKUP(T425,RenewalPlans!B:B,RenewalPlans!AU:AU,"NA",0,1)</f>
        <v>NA</v>
      </c>
      <c r="U460" s="200"/>
      <c r="V460" s="200"/>
      <c r="W460" s="200"/>
      <c r="X460" s="130"/>
      <c r="Y460" s="200"/>
      <c r="Z460" s="201"/>
    </row>
    <row r="461" spans="1:26" ht="18" customHeight="1" hidden="1" thickBot="1">
      <c r="A461" s="140"/>
      <c r="B461" s="140"/>
      <c r="D461" s="224" t="s">
        <v>256</v>
      </c>
      <c r="E461" s="137" t="e">
        <f>_xlfn.XLOOKUP(E425,CurrentPlans!B:B,CurrentPlans!AS:AS,"NA",0,1)</f>
        <v>#N/A</v>
      </c>
      <c r="F461" s="225"/>
      <c r="G461" s="225"/>
      <c r="H461" s="225"/>
      <c r="I461" s="137"/>
      <c r="J461" s="226"/>
      <c r="K461"/>
      <c r="L461" s="138" t="str">
        <f ca="1">_xlfn.XLOOKUP(L425,RenewalPlans!B:B,RenewalPlans!AV:AV,"NA",0,1)</f>
        <v>NA</v>
      </c>
      <c r="M461" s="225"/>
      <c r="N461" s="225"/>
      <c r="O461" s="225"/>
      <c r="P461" s="137"/>
      <c r="Q461" s="225"/>
      <c r="R461" s="226"/>
      <c r="T461" s="138" t="str">
        <f>_xlfn.XLOOKUP(T425,RenewalPlans!B:B,RenewalPlans!AV:AV,"NA",0,1)</f>
        <v>NA</v>
      </c>
      <c r="U461" s="225"/>
      <c r="V461" s="225"/>
      <c r="W461" s="225"/>
      <c r="X461" s="137"/>
      <c r="Y461" s="225"/>
      <c r="Z461" s="226"/>
    </row>
    <row r="462" spans="1:26" ht="18" customHeight="1">
      <c r="A462" s="140"/>
      <c r="B462" s="140"/>
      <c r="D462" s="227"/>
      <c r="E462" s="176"/>
      <c r="F462" s="178"/>
      <c r="G462" s="179"/>
      <c r="H462" s="178"/>
      <c r="I462" s="176"/>
      <c r="J462" s="228"/>
      <c r="K462"/>
      <c r="L462" s="178"/>
      <c r="M462" s="176"/>
      <c r="N462" s="139"/>
      <c r="O462" s="178"/>
      <c r="P462" s="178"/>
      <c r="Q462" s="178"/>
      <c r="R462" s="228"/>
      <c r="T462" s="178"/>
      <c r="U462" s="176"/>
      <c r="V462" s="139"/>
      <c r="W462" s="178"/>
      <c r="X462" s="178"/>
      <c r="Y462" s="178"/>
      <c r="Z462" s="228"/>
    </row>
    <row r="463" spans="1:26" ht="5.25" customHeight="1" thickBot="1">
      <c r="A463" s="140"/>
      <c r="B463" s="140"/>
      <c r="D463" s="229"/>
      <c r="E463" s="229"/>
      <c r="F463" s="230"/>
      <c r="G463" s="231"/>
      <c r="H463" s="232"/>
      <c r="I463" s="233"/>
      <c r="J463" s="233"/>
      <c r="K463"/>
      <c r="L463" s="233"/>
      <c r="M463" s="233"/>
      <c r="N463" s="233"/>
      <c r="O463" s="233"/>
      <c r="P463" s="233"/>
      <c r="Q463" s="233"/>
      <c r="R463" s="233"/>
      <c r="T463" s="233"/>
      <c r="U463" s="233"/>
      <c r="V463" s="233"/>
      <c r="W463" s="233"/>
      <c r="X463" s="233"/>
      <c r="Y463" s="233"/>
      <c r="Z463" s="233"/>
    </row>
    <row r="464" spans="1:26" ht="50.15" customHeight="1">
      <c r="A464" s="140">
        <v>10</v>
      </c>
      <c r="B464" s="140">
        <f>IF(A464&gt;Class2_CurrentHealthCount,"DELETE",Class2_CurrentHealthStart+A464)</f>
        <v>42</v>
      </c>
      <c r="C464" s="164" t="s">
        <v>283</v>
      </c>
      <c r="D464" s="273" t="e">
        <f ca="1">IF(B464="Delete","",VLOOKUP(F464,BEGIN_CURRENT_HEALTH:END_CURRENT_HEALTH,3,FALSE))</f>
        <v>#N/A</v>
      </c>
      <c r="E464" s="165"/>
      <c r="F464" s="272" cm="1">
        <f t="array" ca="1" aca="1" ref="F464">IF(B464="Delete","",INDIRECT("CurrentPlans!A"&amp;B464,TRUE))</f>
        <v>0</v>
      </c>
      <c r="G464" s="166"/>
      <c r="H464" s="167"/>
      <c r="I464" s="168"/>
      <c r="J464" s="169"/>
      <c r="K464"/>
      <c r="L464" s="274" t="str">
        <f ca="1">_xlfn.IFNA(VLOOKUP(F464,BEGIN_RENEWEDFROM_HEALTH:ROW_RenewHealth_PlanID,3,FALSE),"SELECT PLAN")</f>
        <v>SELECT PLAN</v>
      </c>
      <c r="M464" s="170"/>
      <c r="N464" s="274" t="s">
        <v>237</v>
      </c>
      <c r="O464" s="171"/>
      <c r="P464" s="171"/>
      <c r="Q464" s="171"/>
      <c r="R464" s="169"/>
      <c r="T464" s="274" t="s">
        <v>38</v>
      </c>
      <c r="U464" s="170"/>
      <c r="V464" s="274" t="s">
        <v>237</v>
      </c>
      <c r="W464" s="171"/>
      <c r="X464" s="171"/>
      <c r="Y464" s="171"/>
      <c r="Z464" s="169"/>
    </row>
    <row r="465" spans="1:26" ht="18.75" customHeight="1">
      <c r="A465" s="140"/>
      <c r="B465" s="140"/>
      <c r="D465" s="172" t="s">
        <v>238</v>
      </c>
      <c r="E465" s="407" t="str">
        <f ca="1">_xlfn.IFNA(VLOOKUP(F464,BEGIN_CURRENT_HEALTH:END_CURRENT_HEALTH,CURRENT_COL_EO_count,FALSE),"")</f>
        <v/>
      </c>
      <c r="F465" s="408" t="str">
        <f ca="1">_xlfn.IFNA(VLOOKUP(F464,BEGIN_CURRENT_HEALTH:END_CURRENT_HEALTH,CURRENT_COL_EO,FALSE),"")</f>
        <v/>
      </c>
      <c r="G465" s="468" t="str">
        <f ca="1" t="shared" si="45" ref="G465:G468">IF(F465="","",H465/F465)</f>
        <v/>
      </c>
      <c r="H465" s="408" t="str">
        <f ca="1">_xlfn.IFNA(VLOOKUP(F464,BEGIN_CURRENT_HEALTH:END_CURRENT_HEALTH,CURRENT_COL_EOContrib,FALSE),"")</f>
        <v/>
      </c>
      <c r="I465" s="409" t="str">
        <f ca="1">IFERROR(F465-H465,"")</f>
        <v/>
      </c>
      <c r="J465" s="410" t="str">
        <f ca="1">IF(F465="","",H465*E465)</f>
        <v/>
      </c>
      <c r="K465" s="411"/>
      <c r="L465" s="408" t="str" cm="1">
        <f t="array" ca="1" aca="1" ref="L465">_xlfn.IFNA(VLOOKUP(INDIRECT("L"&amp;ROW()-1)&amp;"_"&amp;$D$12,BEGIN_RENEW_HEALTH:END_RENEW_HEALTH,RENEW_COL_EO,FALSE),"")</f>
        <v/>
      </c>
      <c r="M465" s="412" t="str">
        <f ca="1">IF(E465="","",E465)</f>
        <v/>
      </c>
      <c r="N465" s="413"/>
      <c r="O465" s="414"/>
      <c r="P465" s="415" t="str">
        <f>IFERROR(IF($N464="Keep Contribution Same",H465,IF($N464="Enter Percentages",IF(N465="","",N465*L465),IF($N464="Keep Percentage Same",IF(G465="","",G465*L465),IF($N464="Enter Dollar Amount",IF(O465="","",O465),"")))),"")</f>
        <v/>
      </c>
      <c r="Q465" s="408" t="str">
        <f ca="1">IFERROR(L465-P465,"")</f>
        <v/>
      </c>
      <c r="R465" s="410" t="str">
        <f>IFERROR(IF(P465="","",M465*P465),"")</f>
        <v/>
      </c>
      <c r="S465" s="411"/>
      <c r="T465" s="408" t="str" cm="1">
        <f t="array" ca="1" aca="1" ref="T465">_xlfn.IFNA(VLOOKUP(INDIRECT("T"&amp;ROW()-1)&amp;"_"&amp;$D$12,BEGIN_RENEW_HEALTH:END_RENEW_HEALTH,RENEW_COL_EO,FALSE),"")</f>
        <v/>
      </c>
      <c r="U465" s="412" t="str">
        <f ca="1">IF(E465="","",E465)</f>
        <v/>
      </c>
      <c r="V465" s="413"/>
      <c r="W465" s="414"/>
      <c r="X465" s="415" t="str">
        <f>IFERROR(IF($V464="Keep Contribution Same",H465,IF($V464="Enter Percentages",IF(V465="","",V465*T465),IF($V464="Keep Percentage Same",IF(G465="","",G465*T465),IF($V464="Enter Dollar Amount",IF(W465="","",W465),"")))),"")</f>
        <v/>
      </c>
      <c r="Y465" s="408" t="str">
        <f ca="1">IFERROR(T465-X465,"")</f>
        <v/>
      </c>
      <c r="Z465" s="410" t="str">
        <f>IFERROR(IF(X465="","",U465*X465),"")</f>
        <v/>
      </c>
    </row>
    <row r="466" spans="1:26" ht="18.75" customHeight="1">
      <c r="A466" s="140"/>
      <c r="B466" s="140"/>
      <c r="D466" s="172" t="s">
        <v>239</v>
      </c>
      <c r="E466" s="407" t="str">
        <f ca="1">_xlfn.IFNA(VLOOKUP(F464,BEGIN_CURRENT_HEALTH:END_CURRENT_HEALTH,CURRENT_COL_ES_count,FALSE),"")</f>
        <v/>
      </c>
      <c r="F466" s="408" t="str">
        <f ca="1">_xlfn.IFNA(VLOOKUP(F464,BEGIN_CURRENT_HEALTH:END_CURRENT_HEALTH,CURRENT_COL_ES,FALSE),"")</f>
        <v/>
      </c>
      <c r="G466" s="468" t="str">
        <f t="shared" ca="1" si="45"/>
        <v/>
      </c>
      <c r="H466" s="408" t="str">
        <f ca="1">_xlfn.IFNA(VLOOKUP(F464,BEGIN_CURRENT_HEALTH:END_CURRENT_HEALTH,CURRENT_COL_ESContrib,FALSE),"")</f>
        <v/>
      </c>
      <c r="I466" s="409" t="str">
        <f ca="1" t="shared" si="46" ref="I466:I468">IFERROR(F466-H466,"")</f>
        <v/>
      </c>
      <c r="J466" s="410" t="str">
        <f ca="1">IF(F466="","",H466*E466)</f>
        <v/>
      </c>
      <c r="K466" s="411"/>
      <c r="L466" s="408" t="str" cm="1">
        <f t="array" ca="1" aca="1" ref="L466">_xlfn.IFNA(VLOOKUP(INDIRECT("L"&amp;ROW()-2)&amp;"_"&amp;$D$12,BEGIN_RENEW_HEALTH:END_RENEW_HEALTH,RENEW_COL_ES,FALSE),"")</f>
        <v/>
      </c>
      <c r="M466" s="412" t="str">
        <f ca="1">IF(E466="","",E466)</f>
        <v/>
      </c>
      <c r="N466" s="413"/>
      <c r="O466" s="414"/>
      <c r="P466" s="415" t="str">
        <f>IFERROR(IF($N464="Keep Contribution Same",H466,IF($N464="Enter Percentages",IF(N466="","",N466*L466),IF($N464="Keep Percentage Same",IF(G466="","",G466*L466),IF($N464="Enter Dollar Amount",IF(O466="","",O466),"")))),"")</f>
        <v/>
      </c>
      <c r="Q466" s="408" t="str">
        <f ca="1">IFERROR(L466-P466,"")</f>
        <v/>
      </c>
      <c r="R466" s="410" t="str">
        <f>IFERROR(IF(P466="","",M466*P466),"")</f>
        <v/>
      </c>
      <c r="S466" s="411"/>
      <c r="T466" s="408" t="str" cm="1">
        <f t="array" ca="1" aca="1" ref="T466">_xlfn.IFNA(VLOOKUP(INDIRECT("T"&amp;ROW()-2)&amp;"_"&amp;$D$12,BEGIN_RENEW_HEALTH:END_RENEW_HEALTH,RENEW_COL_ES,FALSE),"")</f>
        <v/>
      </c>
      <c r="U466" s="412" t="str">
        <f ca="1" t="shared" si="47" ref="U466:U468">IF(E466="","",E466)</f>
        <v/>
      </c>
      <c r="V466" s="413"/>
      <c r="W466" s="414"/>
      <c r="X466" s="415" t="str">
        <f>IFERROR(IF($V464="Keep Contribution Same",H466,IF($V464="Enter Percentages",IF(V466="","",V466*T466),IF($V464="Keep Percentage Same",IF(G466="","",G466*T466),IF($V464="Enter Dollar Amount",IF(W466="","",W466),"")))),"")</f>
        <v/>
      </c>
      <c r="Y466" s="408" t="str">
        <f ca="1" t="shared" si="48" ref="Y466:Y468">IFERROR(T466-X466,"")</f>
        <v/>
      </c>
      <c r="Z466" s="410" t="str">
        <f t="shared" si="49" ref="Z466:Z468">IFERROR(IF(X466="","",U466*X466),"")</f>
        <v/>
      </c>
    </row>
    <row r="467" spans="1:26" ht="18.75" customHeight="1">
      <c r="A467" s="140"/>
      <c r="B467" s="140"/>
      <c r="D467" s="172" t="s">
        <v>240</v>
      </c>
      <c r="E467" s="407" t="str">
        <f ca="1">_xlfn.IFNA(VLOOKUP(F464,BEGIN_CURRENT_HEALTH:END_CURRENT_HEALTH,CURRENT_COL_EC_count,FALSE),"")</f>
        <v/>
      </c>
      <c r="F467" s="408" t="str">
        <f ca="1">_xlfn.IFNA(VLOOKUP(F464,BEGIN_CURRENT_HEALTH:END_CURRENT_HEALTH,CURRENT_COL_EC,FALSE),"")</f>
        <v/>
      </c>
      <c r="G467" s="468" t="str">
        <f t="shared" ca="1" si="45"/>
        <v/>
      </c>
      <c r="H467" s="408" t="str">
        <f ca="1">_xlfn.IFNA(VLOOKUP(F464,BEGIN_CURRENT_HEALTH:END_CURRENT_HEALTH,CURRENT_COL_ECContrib,FALSE),"")</f>
        <v/>
      </c>
      <c r="I467" s="409" t="str">
        <f t="shared" ca="1" si="46"/>
        <v/>
      </c>
      <c r="J467" s="410" t="str">
        <f ca="1">IF(F467="","",H467*E467)</f>
        <v/>
      </c>
      <c r="K467" s="411"/>
      <c r="L467" s="408" t="str" cm="1">
        <f t="array" ca="1" aca="1" ref="L467">_xlfn.IFNA(VLOOKUP(INDIRECT("L"&amp;ROW()-3)&amp;"_"&amp;$D$12,BEGIN_RENEW_HEALTH:END_RENEW_HEALTH,RENEW_COL_EC,FALSE),"")</f>
        <v/>
      </c>
      <c r="M467" s="412" t="str">
        <f ca="1">IF(E467="","",E467)</f>
        <v/>
      </c>
      <c r="N467" s="413"/>
      <c r="O467" s="414"/>
      <c r="P467" s="415" t="str">
        <f>IFERROR(IF($N464="Keep Contribution Same",H467,IF($N464="Enter Percentages",IF(N467="","",N467*L467),IF($N464="Keep Percentage Same",IF(G467="","",G467*L467),IF($N464="Enter Dollar Amount",IF(O467="","",O467),"")))),"")</f>
        <v/>
      </c>
      <c r="Q467" s="408" t="str">
        <f ca="1">IFERROR(L467-P467,"")</f>
        <v/>
      </c>
      <c r="R467" s="410" t="str">
        <f>IFERROR(IF(P467="","",M467*P467),"")</f>
        <v/>
      </c>
      <c r="S467" s="411"/>
      <c r="T467" s="408" t="str" cm="1">
        <f t="array" ca="1" aca="1" ref="T467">_xlfn.IFNA(VLOOKUP(INDIRECT("T"&amp;ROW()-3)&amp;"_"&amp;$D$12,BEGIN_RENEW_HEALTH:END_RENEW_HEALTH,RENEW_COL_EC,FALSE),"")</f>
        <v/>
      </c>
      <c r="U467" s="412" t="str">
        <f t="shared" ca="1" si="47"/>
        <v/>
      </c>
      <c r="V467" s="413"/>
      <c r="W467" s="414"/>
      <c r="X467" s="415" t="str">
        <f>IFERROR(IF($V464="Keep Contribution Same",H467,IF($V464="Enter Percentages",IF(V467="","",V467*T467),IF($V464="Keep Percentage Same",IF(G467="","",G467*T467),IF($V464="Enter Dollar Amount",IF(W467="","",W467),"")))),"")</f>
        <v/>
      </c>
      <c r="Y467" s="408" t="str">
        <f t="shared" ca="1" si="48"/>
        <v/>
      </c>
      <c r="Z467" s="410" t="str">
        <f t="shared" si="49"/>
        <v/>
      </c>
    </row>
    <row r="468" spans="1:26" ht="18.75" customHeight="1" thickBot="1">
      <c r="A468" s="140"/>
      <c r="B468" s="140"/>
      <c r="D468" s="174" t="s">
        <v>241</v>
      </c>
      <c r="E468" s="416" t="str">
        <f ca="1">_xlfn.IFNA(VLOOKUP(F464,BEGIN_CURRENT_HEALTH:END_CURRENT_HEALTH,CURRENT_COL_FAM_count,FALSE),"")</f>
        <v/>
      </c>
      <c r="F468" s="417" t="str">
        <f ca="1">_xlfn.IFNA(VLOOKUP(F464,BEGIN_CURRENT_HEALTH:END_CURRENT_HEALTH,CURRENT_COL_FAM,FALSE),"")</f>
        <v/>
      </c>
      <c r="G468" s="469" t="str">
        <f t="shared" ca="1" si="45"/>
        <v/>
      </c>
      <c r="H468" s="417" t="str">
        <f ca="1">_xlfn.IFNA(VLOOKUP(F464,BEGIN_CURRENT_HEALTH:END_CURRENT_HEALTH,CURRENT_COL_FAMContrib,FALSE),"")</f>
        <v/>
      </c>
      <c r="I468" s="418" t="str">
        <f t="shared" ca="1" si="46"/>
        <v/>
      </c>
      <c r="J468" s="419" t="str">
        <f ca="1">IF(F468="","",H468*E468)</f>
        <v/>
      </c>
      <c r="K468" s="411"/>
      <c r="L468" s="417" t="str" cm="1">
        <f t="array" ca="1" aca="1" ref="L468">_xlfn.IFNA(VLOOKUP(INDIRECT("L"&amp;ROW()-4)&amp;"_"&amp;$D$12,BEGIN_RENEW_HEALTH:END_RENEW_HEALTH,RENEW_COL_FAM,FALSE),"")</f>
        <v/>
      </c>
      <c r="M468" s="412" t="str">
        <f ca="1">IF(E468="","",E468)</f>
        <v/>
      </c>
      <c r="N468" s="420"/>
      <c r="O468" s="421"/>
      <c r="P468" s="422" t="str">
        <f>IFERROR(IF($N464="Keep Contribution Same",H468,IF($N464="Enter Percentages",IF(N468="","",N468*L468),IF($N464="Keep Percentage Same",IF(G468="","",G468*L468),IF($N464="Enter Dollar Amount",IF(O468="","",O468),"")))),"")</f>
        <v/>
      </c>
      <c r="Q468" s="422" t="str">
        <f ca="1">IFERROR(L468-P468,"")</f>
        <v/>
      </c>
      <c r="R468" s="410" t="str">
        <f>IFERROR(IF(P468="","",M468*P468),"")</f>
        <v/>
      </c>
      <c r="S468" s="411"/>
      <c r="T468" s="417" t="str" cm="1">
        <f t="array" ca="1" aca="1" ref="T468">_xlfn.IFNA(VLOOKUP(INDIRECT("T"&amp;ROW()-4)&amp;"_"&amp;$D$12,BEGIN_RENEW_HEALTH:END_RENEW_HEALTH,RENEW_COL_FAM,FALSE),"")</f>
        <v/>
      </c>
      <c r="U468" s="423" t="str">
        <f t="shared" ca="1" si="47"/>
        <v/>
      </c>
      <c r="V468" s="420"/>
      <c r="W468" s="421"/>
      <c r="X468" s="422" t="str">
        <f>IFERROR(IF($V464="Keep Contribution Same",H468,IF($V464="Enter Percentages",IF(V468="","",V468*T468),IF($V464="Keep Percentage Same",IF(G468="","",G468*T468),IF($V464="Enter Dollar Amount",IF(W468="","",W468),"")))),"")</f>
        <v/>
      </c>
      <c r="Y468" s="417" t="str">
        <f t="shared" ca="1" si="48"/>
        <v/>
      </c>
      <c r="Z468" s="419" t="str">
        <f t="shared" si="49"/>
        <v/>
      </c>
    </row>
    <row r="469" spans="1:26" ht="19.5" customHeight="1" thickTop="1">
      <c r="A469" s="140"/>
      <c r="B469" s="140"/>
      <c r="D469" s="175" t="s">
        <v>242</v>
      </c>
      <c r="E469" s="424"/>
      <c r="F469" s="447" t="str">
        <f ca="1">IFERROR((F465*E465)+(F466*E466)+(F467*E467)+(F468*E468),"")</f>
        <v/>
      </c>
      <c r="G469" s="426"/>
      <c r="H469" s="427"/>
      <c r="I469" s="428"/>
      <c r="J469" s="429" t="str">
        <f ca="1">IFERROR(IF(J465="","",SUM(J465:J468)),0)</f>
        <v/>
      </c>
      <c r="K469" s="1"/>
      <c r="L469" s="430" t="str">
        <f ca="1">IFERROR((M465*L465)+(M466*L466)+(M467*L467)+(M468*L468),"")</f>
        <v/>
      </c>
      <c r="M469" s="427"/>
      <c r="N469" s="426"/>
      <c r="O469" s="427"/>
      <c r="P469" s="431"/>
      <c r="Q469" s="432"/>
      <c r="R469" s="429" t="str">
        <f>IFERROR(IF(R465="","",SUM(R465:R468)),0)</f>
        <v/>
      </c>
      <c r="T469" s="430" t="str">
        <f ca="1">IFERROR((U465*T465)+(U466*T466)+(U467*T467)+(U468*T468),"")</f>
        <v/>
      </c>
      <c r="U469" s="427"/>
      <c r="V469" s="426"/>
      <c r="W469" s="427"/>
      <c r="X469" s="431"/>
      <c r="Y469" s="432"/>
      <c r="Z469" s="429" t="str">
        <f>IFERROR(IF(Z465="","",SUM(Z465:Z468)),0)</f>
        <v/>
      </c>
    </row>
    <row r="470" spans="1:26" ht="19.5" customHeight="1">
      <c r="A470" s="140"/>
      <c r="B470" s="140"/>
      <c r="D470" s="177" t="s">
        <v>243</v>
      </c>
      <c r="E470" s="433"/>
      <c r="F470" s="448" t="str">
        <f ca="1">IFERROR(F469*12,"")</f>
        <v/>
      </c>
      <c r="G470" s="435"/>
      <c r="H470" s="436"/>
      <c r="I470" s="432"/>
      <c r="J470" s="437" t="str">
        <f ca="1">IF(J469="","",J469*12)</f>
        <v/>
      </c>
      <c r="K470" s="1"/>
      <c r="L470" s="438" t="str">
        <f ca="1">IFERROR(L469*12,"")</f>
        <v/>
      </c>
      <c r="M470" s="436"/>
      <c r="N470" s="435"/>
      <c r="O470" s="436"/>
      <c r="P470" s="432"/>
      <c r="Q470" s="432"/>
      <c r="R470" s="437" t="str">
        <f>IF(R469="","",R469*12)</f>
        <v/>
      </c>
      <c r="T470" s="438" t="str">
        <f ca="1">IFERROR(T469*12,"")</f>
        <v/>
      </c>
      <c r="U470" s="436"/>
      <c r="V470" s="435"/>
      <c r="W470" s="436"/>
      <c r="X470" s="432"/>
      <c r="Y470" s="432"/>
      <c r="Z470" s="437" t="str">
        <f>IF(Z469="","",Z469*12)</f>
        <v/>
      </c>
    </row>
    <row r="471" spans="1:26" ht="18" customHeight="1">
      <c r="A471" s="140"/>
      <c r="B471" s="140"/>
      <c r="D471" s="177" t="s">
        <v>244</v>
      </c>
      <c r="E471" s="433"/>
      <c r="F471" s="436"/>
      <c r="G471" s="435"/>
      <c r="H471" s="436"/>
      <c r="I471" s="432"/>
      <c r="J471" s="437"/>
      <c r="K471" s="1"/>
      <c r="L471" s="434" t="str">
        <f ca="1">IFERROR(L470-F470,"")</f>
        <v/>
      </c>
      <c r="M471" s="436"/>
      <c r="N471" s="435"/>
      <c r="O471" s="436"/>
      <c r="P471" s="432"/>
      <c r="Q471" s="432"/>
      <c r="R471" s="437" t="str">
        <f ca="1">IFERROR(IF(J470="","",R470-J470),0)</f>
        <v/>
      </c>
      <c r="T471" s="434" t="str">
        <f ca="1">IFERROR(T470-F470,"")</f>
        <v/>
      </c>
      <c r="U471" s="436"/>
      <c r="V471" s="435"/>
      <c r="W471" s="436"/>
      <c r="X471" s="432"/>
      <c r="Y471" s="432"/>
      <c r="Z471" s="437" t="str">
        <f>IFERROR(IF(R470="","",Z470-R470),0)</f>
        <v/>
      </c>
    </row>
    <row r="472" spans="1:26" ht="18" customHeight="1" thickBot="1">
      <c r="A472" s="140"/>
      <c r="B472" s="140"/>
      <c r="D472" s="180" t="s">
        <v>245</v>
      </c>
      <c r="E472" s="439"/>
      <c r="F472" s="440"/>
      <c r="G472" s="441"/>
      <c r="H472" s="440"/>
      <c r="I472" s="442"/>
      <c r="J472" s="443"/>
      <c r="K472" s="1"/>
      <c r="L472" s="444" t="str">
        <f ca="1">IFERROR(L470/F470-1,"")</f>
        <v/>
      </c>
      <c r="M472" s="440"/>
      <c r="N472" s="441"/>
      <c r="O472" s="440"/>
      <c r="P472" s="445"/>
      <c r="Q472" s="445"/>
      <c r="R472" s="446" t="str">
        <f ca="1">IFERROR(IF(J470="","",(R470/J470)-1),0)</f>
        <v/>
      </c>
      <c r="T472" s="444" t="str">
        <f ca="1">IFERROR(T470/F470-1,"")</f>
        <v/>
      </c>
      <c r="U472" s="440"/>
      <c r="V472" s="441"/>
      <c r="W472" s="440"/>
      <c r="X472" s="445"/>
      <c r="Y472" s="445"/>
      <c r="Z472" s="446" t="str">
        <f>IFERROR(IF(R470="","",(Z470/R470)-1),0)</f>
        <v/>
      </c>
    </row>
    <row r="473" spans="1:26" ht="18" customHeight="1">
      <c r="A473" s="140"/>
      <c r="B473" s="140"/>
      <c r="D473" s="181" t="s">
        <v>246</v>
      </c>
      <c r="E473" s="182"/>
      <c r="F473" s="182"/>
      <c r="G473" s="182"/>
      <c r="H473" s="182"/>
      <c r="I473" s="182"/>
      <c r="J473" s="183"/>
      <c r="K473"/>
      <c r="L473" s="184"/>
      <c r="M473" s="182"/>
      <c r="N473" s="182"/>
      <c r="O473" s="182"/>
      <c r="P473" s="182"/>
      <c r="Q473" s="182"/>
      <c r="R473" s="183"/>
      <c r="T473" s="184"/>
      <c r="U473" s="182"/>
      <c r="V473" s="182"/>
      <c r="W473" s="182"/>
      <c r="X473" s="182"/>
      <c r="Y473" s="182"/>
      <c r="Z473" s="183"/>
    </row>
    <row r="474" spans="1:26" ht="18" customHeight="1" hidden="1">
      <c r="A474" s="140"/>
      <c r="B474" s="140"/>
      <c r="D474" s="185" t="s">
        <v>247</v>
      </c>
      <c r="E474" s="186"/>
      <c r="F474" s="186"/>
      <c r="G474" s="186"/>
      <c r="H474" s="186"/>
      <c r="I474" s="186"/>
      <c r="J474" s="187"/>
      <c r="K474"/>
      <c r="L474" s="188"/>
      <c r="M474" s="186"/>
      <c r="N474" s="186"/>
      <c r="O474" s="186"/>
      <c r="P474" s="186"/>
      <c r="Q474" s="186"/>
      <c r="R474" s="187"/>
      <c r="T474" s="188"/>
      <c r="U474" s="186"/>
      <c r="V474" s="186"/>
      <c r="W474" s="186"/>
      <c r="X474" s="186"/>
      <c r="Y474" s="186"/>
      <c r="Z474" s="187"/>
    </row>
    <row r="475" spans="1:26" ht="18" customHeight="1" hidden="1">
      <c r="A475" s="140"/>
      <c r="B475" s="140"/>
      <c r="D475" s="189" t="s">
        <v>248</v>
      </c>
      <c r="E475" s="190" t="e">
        <f ca="1">D464&amp;"_"&amp;D12</f>
        <v>#N/A</v>
      </c>
      <c r="F475" s="191"/>
      <c r="G475" s="191"/>
      <c r="H475" s="191"/>
      <c r="I475" s="190"/>
      <c r="J475" s="192"/>
      <c r="K475"/>
      <c r="L475" s="193" t="str">
        <f ca="1">L464&amp;"_"&amp;D12</f>
        <v>SELECT PLAN_OWNERS</v>
      </c>
      <c r="M475" s="191"/>
      <c r="N475" s="191"/>
      <c r="O475" s="191"/>
      <c r="P475" s="190"/>
      <c r="Q475" s="191"/>
      <c r="R475" s="192"/>
      <c r="T475" s="193" t="str">
        <f>T464&amp;"_"&amp;D12</f>
        <v>SELECT PLAN_OWNERS</v>
      </c>
      <c r="U475" s="191"/>
      <c r="V475" s="191"/>
      <c r="W475" s="191"/>
      <c r="X475" s="190"/>
      <c r="Y475" s="191"/>
      <c r="Z475" s="192"/>
    </row>
    <row r="476" spans="1:26" ht="18" customHeight="1" hidden="1">
      <c r="A476" s="140"/>
      <c r="B476" s="140"/>
      <c r="D476" s="189" t="s">
        <v>249</v>
      </c>
      <c r="E476" s="191"/>
      <c r="F476" s="191"/>
      <c r="G476" s="191"/>
      <c r="H476" s="191"/>
      <c r="I476" s="191"/>
      <c r="J476" s="192"/>
      <c r="K476"/>
      <c r="L476" s="189"/>
      <c r="M476" s="191"/>
      <c r="N476" s="191"/>
      <c r="O476" s="191"/>
      <c r="P476" s="191"/>
      <c r="Q476" s="191"/>
      <c r="R476" s="192"/>
      <c r="T476" s="189"/>
      <c r="U476" s="191"/>
      <c r="V476" s="191"/>
      <c r="W476" s="191"/>
      <c r="X476" s="191"/>
      <c r="Y476" s="191"/>
      <c r="Z476" s="192"/>
    </row>
    <row r="477" spans="1:26" ht="18" customHeight="1" hidden="1">
      <c r="A477" s="140"/>
      <c r="B477" s="140"/>
      <c r="D477" s="194" t="s">
        <v>250</v>
      </c>
      <c r="E477" s="195"/>
      <c r="F477" s="195"/>
      <c r="G477" s="195"/>
      <c r="H477" s="195"/>
      <c r="I477" s="195"/>
      <c r="J477" s="196"/>
      <c r="K477"/>
      <c r="L477" s="197"/>
      <c r="M477" s="195"/>
      <c r="N477" s="195"/>
      <c r="O477" s="195"/>
      <c r="P477" s="195"/>
      <c r="Q477" s="195"/>
      <c r="R477" s="196"/>
      <c r="T477" s="197"/>
      <c r="U477" s="195"/>
      <c r="V477" s="195"/>
      <c r="W477" s="195"/>
      <c r="X477" s="195"/>
      <c r="Y477" s="195"/>
      <c r="Z477" s="196"/>
    </row>
    <row r="478" spans="1:26" ht="18" customHeight="1" hidden="1">
      <c r="A478" s="140"/>
      <c r="B478" s="140"/>
      <c r="D478" s="198" t="s">
        <v>251</v>
      </c>
      <c r="E478" s="199" t="e">
        <f>_xlfn.XLOOKUP(E475,CurrentPlans!B:B,CurrentPlans!X:X,"NA",0,1)</f>
        <v>#N/A</v>
      </c>
      <c r="F478" s="200"/>
      <c r="G478" s="200"/>
      <c r="H478" s="200"/>
      <c r="I478" s="199"/>
      <c r="J478" s="201"/>
      <c r="K478"/>
      <c r="L478" s="202" t="str">
        <f ca="1">_xlfn.XLOOKUP(L475,RenewalPlans!B:B,RenewalPlans!AA:AA,"NA",0,1)</f>
        <v>NA</v>
      </c>
      <c r="M478" s="200"/>
      <c r="N478" s="200"/>
      <c r="O478" s="200"/>
      <c r="P478" s="199"/>
      <c r="Q478" s="200"/>
      <c r="R478" s="201"/>
      <c r="T478" s="202" t="str">
        <f>_xlfn.XLOOKUP(T475,RenewalPlans!B:B,RenewalPlans!AA:AA,"NA",0,1)</f>
        <v>NA</v>
      </c>
      <c r="U478" s="200"/>
      <c r="V478" s="200"/>
      <c r="W478" s="200"/>
      <c r="X478" s="199"/>
      <c r="Y478" s="200"/>
      <c r="Z478" s="201"/>
    </row>
    <row r="479" spans="1:26" ht="18" customHeight="1" hidden="1">
      <c r="A479" s="140"/>
      <c r="B479" s="140"/>
      <c r="D479" s="198" t="s">
        <v>252</v>
      </c>
      <c r="E479" s="199" t="e">
        <f>_xlfn.XLOOKUP(E475,CurrentPlans!B:B,CurrentPlans!Y:Y,"NA",0,1)</f>
        <v>#N/A</v>
      </c>
      <c r="F479" s="200"/>
      <c r="G479" s="200"/>
      <c r="H479" s="200"/>
      <c r="I479" s="199"/>
      <c r="J479" s="201"/>
      <c r="K479"/>
      <c r="L479" s="202" t="str">
        <f ca="1">_xlfn.XLOOKUP(L475,RenewalPlans!B:B,RenewalPlans!AB:AB,"NA",0,1)</f>
        <v>NA</v>
      </c>
      <c r="M479" s="200"/>
      <c r="N479" s="200"/>
      <c r="O479" s="200"/>
      <c r="P479" s="199"/>
      <c r="Q479" s="200"/>
      <c r="R479" s="201"/>
      <c r="T479" s="202" t="str">
        <f>_xlfn.XLOOKUP(T475,RenewalPlans!B:B,RenewalPlans!AB:AB,"NA",0,1)</f>
        <v>NA</v>
      </c>
      <c r="U479" s="200"/>
      <c r="V479" s="200"/>
      <c r="W479" s="200"/>
      <c r="X479" s="199"/>
      <c r="Y479" s="200"/>
      <c r="Z479" s="201"/>
    </row>
    <row r="480" spans="1:26" ht="18" customHeight="1" hidden="1">
      <c r="A480" s="140"/>
      <c r="B480" s="140"/>
      <c r="D480" s="120" t="s">
        <v>253</v>
      </c>
      <c r="E480" s="121" t="e">
        <f>_xlfn.XLOOKUP(E475,CurrentPlans!B:B,CurrentPlans!W:W,"NA",0,1)</f>
        <v>#N/A</v>
      </c>
      <c r="F480" s="122"/>
      <c r="G480" s="122"/>
      <c r="H480" s="122"/>
      <c r="I480" s="121"/>
      <c r="J480" s="123"/>
      <c r="K480"/>
      <c r="L480" s="124" t="str">
        <f ca="1">_xlfn.XLOOKUP(L475,RenewalPlans!B:B,RenewalPlans!Z:Z,"NA",0,1)</f>
        <v>NA</v>
      </c>
      <c r="M480" s="122"/>
      <c r="N480" s="122"/>
      <c r="O480" s="122"/>
      <c r="P480" s="121"/>
      <c r="Q480" s="122"/>
      <c r="R480" s="123"/>
      <c r="T480" s="124" t="str">
        <f>_xlfn.XLOOKUP(T475,RenewalPlans!B:B,RenewalPlans!Z:Z,"NA",0,1)</f>
        <v>NA</v>
      </c>
      <c r="U480" s="122"/>
      <c r="V480" s="122"/>
      <c r="W480" s="122"/>
      <c r="X480" s="121"/>
      <c r="Y480" s="122"/>
      <c r="Z480" s="123"/>
    </row>
    <row r="481" spans="1:26" ht="18" customHeight="1" hidden="1">
      <c r="A481" s="140"/>
      <c r="B481" s="140"/>
      <c r="D481" s="203" t="s">
        <v>254</v>
      </c>
      <c r="E481" s="204"/>
      <c r="F481" s="205"/>
      <c r="G481" s="205"/>
      <c r="H481" s="205"/>
      <c r="I481" s="204"/>
      <c r="J481" s="206"/>
      <c r="K481"/>
      <c r="L481" s="207"/>
      <c r="M481" s="205"/>
      <c r="N481" s="205"/>
      <c r="O481" s="205"/>
      <c r="P481" s="204"/>
      <c r="Q481" s="205"/>
      <c r="R481" s="206"/>
      <c r="T481" s="207"/>
      <c r="U481" s="205"/>
      <c r="V481" s="205"/>
      <c r="W481" s="205"/>
      <c r="X481" s="204"/>
      <c r="Y481" s="205"/>
      <c r="Z481" s="206"/>
    </row>
    <row r="482" spans="1:26" ht="18" customHeight="1" hidden="1">
      <c r="A482" s="140"/>
      <c r="B482" s="140"/>
      <c r="D482" s="125" t="s">
        <v>255</v>
      </c>
      <c r="E482" s="126" t="e">
        <f>_xlfn.XLOOKUP(E475,CurrentPlans!B:B,CurrentPlans!Z:Z,"NA",0,1)</f>
        <v>#N/A</v>
      </c>
      <c r="F482" s="127"/>
      <c r="G482" s="127"/>
      <c r="H482" s="127"/>
      <c r="I482" s="126"/>
      <c r="J482" s="128"/>
      <c r="K482"/>
      <c r="L482" s="129" t="str">
        <f ca="1">_xlfn.XLOOKUP(L475,RenewalPlans!B:B,RenewalPlans!AC:AC,"NA",0,1)</f>
        <v>NA</v>
      </c>
      <c r="M482" s="127"/>
      <c r="N482" s="127"/>
      <c r="O482" s="127"/>
      <c r="P482" s="126"/>
      <c r="Q482" s="127"/>
      <c r="R482" s="128"/>
      <c r="T482" s="129" t="str">
        <f>_xlfn.XLOOKUP(T475,RenewalPlans!B:B,RenewalPlans!AC:AC,"NA",0,1)</f>
        <v>NA</v>
      </c>
      <c r="U482" s="127"/>
      <c r="V482" s="127"/>
      <c r="W482" s="127"/>
      <c r="X482" s="126"/>
      <c r="Y482" s="127"/>
      <c r="Z482" s="128"/>
    </row>
    <row r="483" spans="1:26" ht="18" customHeight="1" hidden="1">
      <c r="A483" s="140"/>
      <c r="B483" s="140"/>
      <c r="D483" s="198" t="s">
        <v>256</v>
      </c>
      <c r="E483" s="208" t="e">
        <f>_xlfn.XLOOKUP(E475,CurrentPlans!B:B,CurrentPlans!AA:AA,"NA",0,1)</f>
        <v>#N/A</v>
      </c>
      <c r="F483" s="200"/>
      <c r="G483" s="200"/>
      <c r="H483" s="200"/>
      <c r="I483" s="208"/>
      <c r="J483" s="201"/>
      <c r="K483"/>
      <c r="L483" s="209" t="str">
        <f ca="1">_xlfn.XLOOKUP(L475,RenewalPlans!B:B,RenewalPlans!AD:AD,"NA",0,1)</f>
        <v>NA</v>
      </c>
      <c r="M483" s="200"/>
      <c r="N483" s="200"/>
      <c r="O483" s="200"/>
      <c r="P483" s="208"/>
      <c r="Q483" s="200"/>
      <c r="R483" s="201"/>
      <c r="T483" s="209" t="str">
        <f>_xlfn.XLOOKUP(T475,RenewalPlans!B:B,RenewalPlans!AD:AD,"NA",0,1)</f>
        <v>NA</v>
      </c>
      <c r="U483" s="200"/>
      <c r="V483" s="200"/>
      <c r="W483" s="200"/>
      <c r="X483" s="208"/>
      <c r="Y483" s="200"/>
      <c r="Z483" s="201"/>
    </row>
    <row r="484" spans="1:26" ht="18" customHeight="1" hidden="1">
      <c r="A484" s="140"/>
      <c r="B484" s="140"/>
      <c r="D484" s="203" t="s">
        <v>257</v>
      </c>
      <c r="E484" s="204"/>
      <c r="F484" s="205"/>
      <c r="G484" s="205"/>
      <c r="H484" s="205"/>
      <c r="I484" s="204"/>
      <c r="J484" s="206"/>
      <c r="K484"/>
      <c r="L484" s="207"/>
      <c r="M484" s="205"/>
      <c r="N484" s="205"/>
      <c r="O484" s="205"/>
      <c r="P484" s="204"/>
      <c r="Q484" s="205"/>
      <c r="R484" s="206"/>
      <c r="T484" s="207"/>
      <c r="U484" s="205"/>
      <c r="V484" s="205"/>
      <c r="W484" s="205"/>
      <c r="X484" s="204"/>
      <c r="Y484" s="205"/>
      <c r="Z484" s="206"/>
    </row>
    <row r="485" spans="1:26" ht="18" customHeight="1" hidden="1">
      <c r="A485" s="140"/>
      <c r="B485" s="140"/>
      <c r="D485" s="198" t="s">
        <v>258</v>
      </c>
      <c r="E485" s="208" t="e">
        <f>_xlfn.XLOOKUP(E475,CurrentPlans!B:B,CurrentPlans!AB:AB,"NA",0,1)</f>
        <v>#N/A</v>
      </c>
      <c r="F485" s="200"/>
      <c r="G485" s="200"/>
      <c r="H485" s="200"/>
      <c r="I485" s="208"/>
      <c r="J485" s="201"/>
      <c r="K485"/>
      <c r="L485" s="209" t="str">
        <f ca="1">_xlfn.XLOOKUP(L475,RenewalPlans!B:B,RenewalPlans!AE:AE,"NA",0,1)</f>
        <v>NA</v>
      </c>
      <c r="M485" s="200"/>
      <c r="N485" s="200"/>
      <c r="O485" s="200"/>
      <c r="P485" s="208"/>
      <c r="Q485" s="200"/>
      <c r="R485" s="201"/>
      <c r="T485" s="209" t="str">
        <f>_xlfn.XLOOKUP(T475,RenewalPlans!B:B,RenewalPlans!AE:AE,"NA",0,1)</f>
        <v>NA</v>
      </c>
      <c r="U485" s="200"/>
      <c r="V485" s="200"/>
      <c r="W485" s="200"/>
      <c r="X485" s="208"/>
      <c r="Y485" s="200"/>
      <c r="Z485" s="201"/>
    </row>
    <row r="486" spans="1:26" ht="18" customHeight="1" hidden="1">
      <c r="A486" s="140"/>
      <c r="B486" s="140"/>
      <c r="D486" s="198" t="s">
        <v>259</v>
      </c>
      <c r="E486" s="208" t="e">
        <f>_xlfn.XLOOKUP(E475,CurrentPlans!B:B,CurrentPlans!AC:AC,"NA",0,1)</f>
        <v>#N/A</v>
      </c>
      <c r="F486" s="200"/>
      <c r="G486" s="200"/>
      <c r="H486" s="200"/>
      <c r="I486" s="208"/>
      <c r="J486" s="201"/>
      <c r="K486"/>
      <c r="L486" s="209" t="str">
        <f ca="1">_xlfn.XLOOKUP(L475,RenewalPlans!B:B,RenewalPlans!AF:AF,"NA",0,1)</f>
        <v>NA</v>
      </c>
      <c r="M486" s="200"/>
      <c r="N486" s="200"/>
      <c r="O486" s="200"/>
      <c r="P486" s="208"/>
      <c r="Q486" s="200"/>
      <c r="R486" s="201"/>
      <c r="T486" s="209" t="str">
        <f>_xlfn.XLOOKUP(T475,RenewalPlans!B:B,RenewalPlans!AF:AF,"NA",0,1)</f>
        <v>NA</v>
      </c>
      <c r="U486" s="200"/>
      <c r="V486" s="200"/>
      <c r="W486" s="200"/>
      <c r="X486" s="208"/>
      <c r="Y486" s="200"/>
      <c r="Z486" s="201"/>
    </row>
    <row r="487" spans="1:26" ht="18" customHeight="1" hidden="1">
      <c r="A487" s="140"/>
      <c r="B487" s="140"/>
      <c r="D487" s="210"/>
      <c r="E487" s="211"/>
      <c r="F487" s="211"/>
      <c r="G487" s="211"/>
      <c r="H487" s="211"/>
      <c r="I487" s="211"/>
      <c r="J487" s="212"/>
      <c r="K487"/>
      <c r="L487" s="210"/>
      <c r="M487" s="211"/>
      <c r="N487" s="211"/>
      <c r="O487" s="211"/>
      <c r="P487" s="211"/>
      <c r="Q487" s="211"/>
      <c r="R487" s="212"/>
      <c r="T487" s="210"/>
      <c r="U487" s="211"/>
      <c r="V487" s="211"/>
      <c r="W487" s="211"/>
      <c r="X487" s="211"/>
      <c r="Y487" s="211"/>
      <c r="Z487" s="212"/>
    </row>
    <row r="488" spans="1:26" ht="18" customHeight="1" hidden="1">
      <c r="A488" s="140"/>
      <c r="B488" s="140"/>
      <c r="D488" s="185" t="s">
        <v>260</v>
      </c>
      <c r="E488" s="186"/>
      <c r="F488" s="186"/>
      <c r="G488" s="186"/>
      <c r="H488" s="186"/>
      <c r="I488" s="186"/>
      <c r="J488" s="187"/>
      <c r="K488"/>
      <c r="L488" s="188"/>
      <c r="M488" s="186"/>
      <c r="N488" s="186"/>
      <c r="O488" s="186"/>
      <c r="P488" s="186"/>
      <c r="Q488" s="186"/>
      <c r="R488" s="187"/>
      <c r="T488" s="188"/>
      <c r="U488" s="186"/>
      <c r="V488" s="186"/>
      <c r="W488" s="186"/>
      <c r="X488" s="186"/>
      <c r="Y488" s="186"/>
      <c r="Z488" s="187"/>
    </row>
    <row r="489" spans="1:26" ht="18" customHeight="1" hidden="1">
      <c r="A489" s="140"/>
      <c r="B489" s="140"/>
      <c r="D489" s="213" t="s">
        <v>261</v>
      </c>
      <c r="E489" s="130" t="e">
        <f>_xlfn.XLOOKUP(E475,CurrentPlans!B:B,CurrentPlans!AJ:AJ,"NA",0,1)</f>
        <v>#N/A</v>
      </c>
      <c r="F489" s="214"/>
      <c r="G489" s="214"/>
      <c r="H489" s="214"/>
      <c r="I489" s="130"/>
      <c r="J489" s="215"/>
      <c r="K489"/>
      <c r="L489" s="131" t="str">
        <f ca="1">_xlfn.XLOOKUP(L475,RenewalPlans!B:B,RenewalPlans!AM:AM,"NA",0,1)</f>
        <v>NA</v>
      </c>
      <c r="M489" s="214"/>
      <c r="N489" s="214"/>
      <c r="O489" s="214"/>
      <c r="P489" s="130"/>
      <c r="Q489" s="214"/>
      <c r="R489" s="215"/>
      <c r="T489" s="131" t="str">
        <f>_xlfn.XLOOKUP(T475,RenewalPlans!B:B,RenewalPlans!AM:AM,"NA",0,1)</f>
        <v>NA</v>
      </c>
      <c r="U489" s="214"/>
      <c r="V489" s="214"/>
      <c r="W489" s="214"/>
      <c r="X489" s="130"/>
      <c r="Y489" s="214"/>
      <c r="Z489" s="215"/>
    </row>
    <row r="490" spans="1:26" ht="18" customHeight="1" hidden="1">
      <c r="A490" s="140"/>
      <c r="B490" s="140"/>
      <c r="D490" s="198" t="s">
        <v>262</v>
      </c>
      <c r="E490" s="130" t="e">
        <f>_xlfn.XLOOKUP(E475,CurrentPlans!B:B,CurrentPlans!AM:AM,"NA",0,1)</f>
        <v>#N/A</v>
      </c>
      <c r="F490" s="200"/>
      <c r="G490" s="200"/>
      <c r="H490" s="200"/>
      <c r="I490" s="130"/>
      <c r="J490" s="201"/>
      <c r="K490"/>
      <c r="L490" s="131" t="str">
        <f ca="1">_xlfn.XLOOKUP(L475,RenewalPlans!B:B,RenewalPlans!AP:AP,"NA",0,1)</f>
        <v>NA</v>
      </c>
      <c r="M490" s="200"/>
      <c r="N490" s="200"/>
      <c r="O490" s="200"/>
      <c r="P490" s="130"/>
      <c r="Q490" s="200"/>
      <c r="R490" s="201"/>
      <c r="T490" s="131" t="str">
        <f>_xlfn.XLOOKUP(T475,RenewalPlans!B:B,RenewalPlans!AP:AP,"NA",0,1)</f>
        <v>NA</v>
      </c>
      <c r="U490" s="200"/>
      <c r="V490" s="200"/>
      <c r="W490" s="200"/>
      <c r="X490" s="130"/>
      <c r="Y490" s="200"/>
      <c r="Z490" s="201"/>
    </row>
    <row r="491" spans="1:26" ht="18" customHeight="1" hidden="1">
      <c r="A491" s="140"/>
      <c r="B491" s="140"/>
      <c r="D491" s="198" t="s">
        <v>263</v>
      </c>
      <c r="E491" s="130" t="e">
        <f>_xlfn.XLOOKUP(E475,CurrentPlans!B:B,CurrentPlans!AI:AI,"NA",0,1)</f>
        <v>#N/A</v>
      </c>
      <c r="F491" s="200"/>
      <c r="G491" s="200"/>
      <c r="H491" s="200"/>
      <c r="I491" s="130"/>
      <c r="J491" s="201"/>
      <c r="K491"/>
      <c r="L491" s="131" t="str">
        <f ca="1">_xlfn.XLOOKUP(L475,RenewalPlans!B:B,RenewalPlans!AL:AL,"NA",0,1)</f>
        <v>NA</v>
      </c>
      <c r="M491" s="200"/>
      <c r="N491" s="200"/>
      <c r="O491" s="200"/>
      <c r="P491" s="130"/>
      <c r="Q491" s="200"/>
      <c r="R491" s="201"/>
      <c r="T491" s="131" t="str">
        <f>_xlfn.XLOOKUP(T475,RenewalPlans!B:B,RenewalPlans!AL:AL,"NA",0,1)</f>
        <v>NA</v>
      </c>
      <c r="U491" s="200"/>
      <c r="V491" s="200"/>
      <c r="W491" s="200"/>
      <c r="X491" s="130"/>
      <c r="Y491" s="200"/>
      <c r="Z491" s="201"/>
    </row>
    <row r="492" spans="1:26" ht="18" customHeight="1" hidden="1">
      <c r="A492" s="140"/>
      <c r="B492" s="140"/>
      <c r="D492" s="198" t="s">
        <v>264</v>
      </c>
      <c r="E492" s="208" t="e">
        <f>_xlfn.XLOOKUP(E475,CurrentPlans!B:B,CurrentPlans!AN:AN,"NA",0,1)</f>
        <v>#N/A</v>
      </c>
      <c r="F492" s="200"/>
      <c r="G492" s="200"/>
      <c r="H492" s="200"/>
      <c r="I492" s="208"/>
      <c r="J492" s="201"/>
      <c r="K492"/>
      <c r="L492" s="209" t="str">
        <f ca="1">_xlfn.XLOOKUP(L475,RenewalPlans!B:B,RenewalPlans!AQ:AQ,"NA",0,1)</f>
        <v>NA</v>
      </c>
      <c r="M492" s="200"/>
      <c r="N492" s="200"/>
      <c r="O492" s="200"/>
      <c r="P492" s="208"/>
      <c r="Q492" s="200"/>
      <c r="R492" s="201"/>
      <c r="T492" s="209" t="str">
        <f>_xlfn.XLOOKUP(T475,RenewalPlans!B:B,RenewalPlans!AQ:AQ,"NA",0,1)</f>
        <v>NA</v>
      </c>
      <c r="U492" s="200"/>
      <c r="V492" s="200"/>
      <c r="W492" s="200"/>
      <c r="X492" s="208"/>
      <c r="Y492" s="200"/>
      <c r="Z492" s="201"/>
    </row>
    <row r="493" spans="1:26" ht="18" customHeight="1" hidden="1">
      <c r="A493" s="140"/>
      <c r="B493" s="140"/>
      <c r="D493" s="210"/>
      <c r="E493" s="211"/>
      <c r="F493" s="211"/>
      <c r="G493" s="211"/>
      <c r="H493" s="211"/>
      <c r="I493" s="211"/>
      <c r="J493" s="212"/>
      <c r="K493"/>
      <c r="L493" s="210"/>
      <c r="M493" s="211"/>
      <c r="N493" s="211"/>
      <c r="O493" s="211"/>
      <c r="P493" s="211"/>
      <c r="Q493" s="211"/>
      <c r="R493" s="212"/>
      <c r="T493" s="210"/>
      <c r="U493" s="211"/>
      <c r="V493" s="211"/>
      <c r="W493" s="211"/>
      <c r="X493" s="211"/>
      <c r="Y493" s="211"/>
      <c r="Z493" s="212"/>
    </row>
    <row r="494" spans="1:26" ht="18" customHeight="1" hidden="1">
      <c r="A494" s="140"/>
      <c r="B494" s="140"/>
      <c r="D494" s="185" t="s">
        <v>265</v>
      </c>
      <c r="E494" s="186"/>
      <c r="F494" s="186"/>
      <c r="G494" s="186"/>
      <c r="H494" s="186"/>
      <c r="I494" s="186"/>
      <c r="J494" s="187"/>
      <c r="K494"/>
      <c r="L494" s="188"/>
      <c r="M494" s="186"/>
      <c r="N494" s="186"/>
      <c r="O494" s="186"/>
      <c r="P494" s="186"/>
      <c r="Q494" s="186"/>
      <c r="R494" s="187"/>
      <c r="T494" s="188"/>
      <c r="U494" s="186"/>
      <c r="V494" s="186"/>
      <c r="W494" s="186"/>
      <c r="X494" s="186"/>
      <c r="Y494" s="186"/>
      <c r="Z494" s="187"/>
    </row>
    <row r="495" spans="1:26" ht="18" customHeight="1" hidden="1">
      <c r="A495" s="140"/>
      <c r="B495" s="140"/>
      <c r="D495" s="132" t="s">
        <v>266</v>
      </c>
      <c r="E495" s="133" t="e">
        <f>_xlfn.XLOOKUP(E475,CurrentPlans!B:B,CurrentPlans!AE:AE,"NA",0,1)</f>
        <v>#N/A</v>
      </c>
      <c r="F495" s="134"/>
      <c r="G495" s="134"/>
      <c r="H495" s="134"/>
      <c r="I495" s="133"/>
      <c r="J495" s="135"/>
      <c r="K495"/>
      <c r="L495" s="136" t="str">
        <f ca="1">_xlfn.XLOOKUP(L475,RenewalPlans!B:B,RenewalPlans!AH:AH,"NA",0,1)</f>
        <v>NA</v>
      </c>
      <c r="M495" s="134"/>
      <c r="N495" s="134"/>
      <c r="O495" s="134"/>
      <c r="P495" s="133"/>
      <c r="Q495" s="134"/>
      <c r="R495" s="135"/>
      <c r="T495" s="136" t="str">
        <f>_xlfn.XLOOKUP(T475,RenewalPlans!B:B,RenewalPlans!AH:AH,"NA",0,1)</f>
        <v>NA</v>
      </c>
      <c r="U495" s="134"/>
      <c r="V495" s="134"/>
      <c r="W495" s="134"/>
      <c r="X495" s="133"/>
      <c r="Y495" s="134"/>
      <c r="Z495" s="135"/>
    </row>
    <row r="496" spans="1:26" ht="18" customHeight="1" hidden="1">
      <c r="A496" s="140"/>
      <c r="B496" s="140"/>
      <c r="D496" s="120" t="s">
        <v>267</v>
      </c>
      <c r="E496" s="130" t="e">
        <f>_xlfn.XLOOKUP(E475,CurrentPlans!B:B,CurrentPlans!AF:AF,"NA",0,1)</f>
        <v>#N/A</v>
      </c>
      <c r="F496" s="122"/>
      <c r="G496" s="122"/>
      <c r="H496" s="122"/>
      <c r="I496" s="130"/>
      <c r="J496" s="123"/>
      <c r="K496"/>
      <c r="L496" s="131" t="str">
        <f ca="1">_xlfn.XLOOKUP(L475,RenewalPlans!B:B,RenewalPlans!AI:AI,"NA",0,1)</f>
        <v>NA</v>
      </c>
      <c r="M496" s="122"/>
      <c r="N496" s="122"/>
      <c r="O496" s="122"/>
      <c r="P496" s="130"/>
      <c r="Q496" s="122"/>
      <c r="R496" s="123"/>
      <c r="T496" s="131" t="str">
        <f>_xlfn.XLOOKUP(T475,RenewalPlans!B:B,RenewalPlans!AI:AI,"NA",0,1)</f>
        <v>NA</v>
      </c>
      <c r="U496" s="122"/>
      <c r="V496" s="122"/>
      <c r="W496" s="122"/>
      <c r="X496" s="130"/>
      <c r="Y496" s="122"/>
      <c r="Z496" s="123"/>
    </row>
    <row r="497" spans="1:26" ht="18" customHeight="1" hidden="1">
      <c r="A497" s="140"/>
      <c r="B497" s="140"/>
      <c r="D497" s="198" t="s">
        <v>268</v>
      </c>
      <c r="E497" s="130" t="e">
        <f>_xlfn.XLOOKUP(E475,CurrentPlans!B:B,CurrentPlans!AH:AH,"NA",0,1)</f>
        <v>#N/A</v>
      </c>
      <c r="F497" s="200"/>
      <c r="G497" s="200"/>
      <c r="H497" s="200"/>
      <c r="I497" s="130"/>
      <c r="J497" s="201"/>
      <c r="K497"/>
      <c r="L497" s="131" t="str">
        <f ca="1">_xlfn.XLOOKUP(L475,RenewalPlans!B:B,RenewalPlans!AK:AK,"NA",0,1)</f>
        <v>NA</v>
      </c>
      <c r="M497" s="200"/>
      <c r="N497" s="200"/>
      <c r="O497" s="200"/>
      <c r="P497" s="130"/>
      <c r="Q497" s="200"/>
      <c r="R497" s="201"/>
      <c r="T497" s="131" t="str">
        <f>_xlfn.XLOOKUP(T475,RenewalPlans!B:B,RenewalPlans!AK:AK,"NA",0,1)</f>
        <v>NA</v>
      </c>
      <c r="U497" s="200"/>
      <c r="V497" s="200"/>
      <c r="W497" s="200"/>
      <c r="X497" s="130"/>
      <c r="Y497" s="200"/>
      <c r="Z497" s="201"/>
    </row>
    <row r="498" spans="1:26" ht="18" customHeight="1" hidden="1">
      <c r="A498" s="140"/>
      <c r="B498" s="140"/>
      <c r="D498" s="198" t="s">
        <v>269</v>
      </c>
      <c r="E498" s="130" t="e">
        <f>_xlfn.XLOOKUP(E475,CurrentPlans!B:B,CurrentPlans!AG:AG,"NA",0,1)</f>
        <v>#N/A</v>
      </c>
      <c r="F498" s="200"/>
      <c r="G498" s="200"/>
      <c r="H498" s="200"/>
      <c r="I498" s="130"/>
      <c r="J498" s="201"/>
      <c r="K498"/>
      <c r="L498" s="131" t="str">
        <f ca="1">_xlfn.XLOOKUP(L475,RenewalPlans!B:B,RenewalPlans!AJ:AJ,"NA",0,1)</f>
        <v>NA</v>
      </c>
      <c r="M498" s="200"/>
      <c r="N498" s="200"/>
      <c r="O498" s="200"/>
      <c r="P498" s="130"/>
      <c r="Q498" s="200"/>
      <c r="R498" s="201"/>
      <c r="T498" s="131" t="str">
        <f>_xlfn.XLOOKUP(T475,RenewalPlans!B:B,RenewalPlans!AJ:AJ,"NA",0,1)</f>
        <v>NA</v>
      </c>
      <c r="U498" s="200"/>
      <c r="V498" s="200"/>
      <c r="W498" s="200"/>
      <c r="X498" s="130"/>
      <c r="Y498" s="200"/>
      <c r="Z498" s="201"/>
    </row>
    <row r="499" spans="1:26" ht="18" customHeight="1" hidden="1">
      <c r="A499" s="140"/>
      <c r="B499" s="140"/>
      <c r="D499" s="213" t="s">
        <v>270</v>
      </c>
      <c r="E499" s="216" t="e">
        <f>_xlfn.XLOOKUP(E475,CurrentPlans!B:B,CurrentPlans!AU:AU,"NA",0,1)</f>
        <v>#N/A</v>
      </c>
      <c r="F499" s="214"/>
      <c r="G499" s="214"/>
      <c r="H499" s="214"/>
      <c r="I499" s="217"/>
      <c r="J499" s="215"/>
      <c r="K499"/>
      <c r="L499" s="218" t="str">
        <f ca="1">_xlfn.XLOOKUP(L475,RenewalPlans!B:B,RenewalPlans!AX:AX,"NA",0,1)</f>
        <v>NA</v>
      </c>
      <c r="M499" s="214"/>
      <c r="N499" s="214"/>
      <c r="O499" s="214"/>
      <c r="P499" s="217"/>
      <c r="Q499" s="214"/>
      <c r="R499" s="215"/>
      <c r="T499" s="218" t="str">
        <f>_xlfn.XLOOKUP(T475,RenewalPlans!B:B,RenewalPlans!AX:AX,"NA",0,1)</f>
        <v>NA</v>
      </c>
      <c r="U499" s="214"/>
      <c r="V499" s="214"/>
      <c r="W499" s="214"/>
      <c r="X499" s="217"/>
      <c r="Y499" s="214"/>
      <c r="Z499" s="215"/>
    </row>
    <row r="500" spans="1:26" ht="18" customHeight="1" hidden="1">
      <c r="A500" s="140"/>
      <c r="B500" s="140"/>
      <c r="D500" s="213" t="s">
        <v>271</v>
      </c>
      <c r="E500" s="216" t="e">
        <f>_xlfn.XLOOKUP(E475,CurrentPlans!B:B,CurrentPlans!AT:AT,"NA",0,1)</f>
        <v>#N/A</v>
      </c>
      <c r="F500" s="214"/>
      <c r="G500" s="214"/>
      <c r="H500" s="214"/>
      <c r="I500" s="217"/>
      <c r="J500" s="215"/>
      <c r="K500"/>
      <c r="L500" s="218" t="str">
        <f ca="1">_xlfn.XLOOKUP(L475,RenewalPlans!B:B,RenewalPlans!AW:AW,"NA",0,1)</f>
        <v>NA</v>
      </c>
      <c r="M500" s="214"/>
      <c r="N500" s="214"/>
      <c r="O500" s="214"/>
      <c r="P500" s="217"/>
      <c r="Q500" s="214"/>
      <c r="R500" s="215"/>
      <c r="T500" s="218" t="str">
        <f>_xlfn.XLOOKUP(T475,RenewalPlans!B:B,RenewalPlans!AW:AW,"NA",0,1)</f>
        <v>NA</v>
      </c>
      <c r="U500" s="214"/>
      <c r="V500" s="214"/>
      <c r="W500" s="214"/>
      <c r="X500" s="217"/>
      <c r="Y500" s="214"/>
      <c r="Z500" s="215"/>
    </row>
    <row r="501" spans="1:26" ht="18" customHeight="1" hidden="1">
      <c r="A501" s="140"/>
      <c r="B501" s="140"/>
      <c r="D501" s="198" t="s">
        <v>272</v>
      </c>
      <c r="E501" s="130" t="e">
        <f>_xlfn.XLOOKUP(E475,CurrentPlans!B:B,CurrentPlans!AD:AD,"NA",0,1)</f>
        <v>#N/A</v>
      </c>
      <c r="F501" s="200"/>
      <c r="G501" s="200"/>
      <c r="H501" s="200"/>
      <c r="I501" s="130"/>
      <c r="J501" s="201"/>
      <c r="K501"/>
      <c r="L501" s="131" t="str">
        <f ca="1">_xlfn.XLOOKUP(L475,RenewalPlans!B:B,RenewalPlans!AG:AG,"NA",0,1)</f>
        <v>NA</v>
      </c>
      <c r="M501" s="200"/>
      <c r="N501" s="200"/>
      <c r="O501" s="200"/>
      <c r="P501" s="130"/>
      <c r="Q501" s="200"/>
      <c r="R501" s="201"/>
      <c r="T501" s="131" t="str">
        <f>_xlfn.XLOOKUP(T475,RenewalPlans!B:B,RenewalPlans!AG:AG,"NA",0,1)</f>
        <v>NA</v>
      </c>
      <c r="U501" s="200"/>
      <c r="V501" s="200"/>
      <c r="W501" s="200"/>
      <c r="X501" s="130"/>
      <c r="Y501" s="200"/>
      <c r="Z501" s="201"/>
    </row>
    <row r="502" spans="1:26" ht="18" customHeight="1" hidden="1">
      <c r="A502" s="140"/>
      <c r="B502" s="140"/>
      <c r="D502" s="198" t="s">
        <v>273</v>
      </c>
      <c r="E502" s="200"/>
      <c r="F502" s="200"/>
      <c r="G502" s="200"/>
      <c r="H502" s="200"/>
      <c r="I502" s="200"/>
      <c r="J502" s="201"/>
      <c r="K502"/>
      <c r="L502" s="198"/>
      <c r="M502" s="200"/>
      <c r="N502" s="200"/>
      <c r="O502" s="200"/>
      <c r="P502" s="200"/>
      <c r="Q502" s="200"/>
      <c r="R502" s="201"/>
      <c r="T502" s="198"/>
      <c r="U502" s="200"/>
      <c r="V502" s="200"/>
      <c r="W502" s="200"/>
      <c r="X502" s="200"/>
      <c r="Y502" s="200"/>
      <c r="Z502" s="201"/>
    </row>
    <row r="503" spans="1:26" ht="18" customHeight="1" hidden="1">
      <c r="A503" s="140"/>
      <c r="B503" s="140"/>
      <c r="D503" s="210"/>
      <c r="E503" s="211"/>
      <c r="F503" s="211"/>
      <c r="G503" s="211"/>
      <c r="H503" s="211"/>
      <c r="I503" s="211"/>
      <c r="J503" s="212"/>
      <c r="K503"/>
      <c r="L503" s="210"/>
      <c r="M503" s="211"/>
      <c r="N503" s="211"/>
      <c r="O503" s="211"/>
      <c r="P503" s="211"/>
      <c r="Q503" s="211"/>
      <c r="R503" s="212"/>
      <c r="T503" s="210"/>
      <c r="U503" s="211"/>
      <c r="V503" s="211"/>
      <c r="W503" s="211"/>
      <c r="X503" s="211"/>
      <c r="Y503" s="211"/>
      <c r="Z503" s="212"/>
    </row>
    <row r="504" spans="1:26" ht="18" customHeight="1" hidden="1">
      <c r="A504" s="140"/>
      <c r="B504" s="140"/>
      <c r="D504" s="219" t="s">
        <v>274</v>
      </c>
      <c r="E504" s="220"/>
      <c r="F504" s="220"/>
      <c r="G504" s="220"/>
      <c r="H504" s="220"/>
      <c r="I504" s="220"/>
      <c r="J504" s="221"/>
      <c r="K504"/>
      <c r="L504" s="222"/>
      <c r="M504" s="220"/>
      <c r="N504" s="220"/>
      <c r="O504" s="220"/>
      <c r="P504" s="220"/>
      <c r="Q504" s="220"/>
      <c r="R504" s="221"/>
      <c r="T504" s="222"/>
      <c r="U504" s="220"/>
      <c r="V504" s="220"/>
      <c r="W504" s="220"/>
      <c r="X504" s="220"/>
      <c r="Y504" s="220"/>
      <c r="Z504" s="221"/>
    </row>
    <row r="505" spans="1:26" ht="18" customHeight="1" hidden="1">
      <c r="A505" s="140"/>
      <c r="B505" s="140"/>
      <c r="D505" s="223" t="s">
        <v>250</v>
      </c>
      <c r="E505" s="205"/>
      <c r="F505" s="205"/>
      <c r="G505" s="205"/>
      <c r="H505" s="205"/>
      <c r="I505" s="205"/>
      <c r="J505" s="206"/>
      <c r="K505"/>
      <c r="L505" s="203"/>
      <c r="M505" s="205"/>
      <c r="N505" s="205"/>
      <c r="O505" s="205"/>
      <c r="P505" s="205"/>
      <c r="Q505" s="205"/>
      <c r="R505" s="206"/>
      <c r="T505" s="203"/>
      <c r="U505" s="205"/>
      <c r="V505" s="205"/>
      <c r="W505" s="205"/>
      <c r="X505" s="205"/>
      <c r="Y505" s="205"/>
      <c r="Z505" s="206"/>
    </row>
    <row r="506" spans="1:26" ht="18" customHeight="1" hidden="1">
      <c r="A506" s="140"/>
      <c r="B506" s="140"/>
      <c r="D506" s="198" t="s">
        <v>251</v>
      </c>
      <c r="E506" s="130" t="e">
        <f>_xlfn.XLOOKUP(E475,CurrentPlans!B:B,CurrentPlans!AP:AP,"NA",0,1)</f>
        <v>#N/A</v>
      </c>
      <c r="F506" s="200"/>
      <c r="G506" s="200"/>
      <c r="H506" s="200"/>
      <c r="I506" s="130"/>
      <c r="J506" s="201"/>
      <c r="K506"/>
      <c r="L506" s="131" t="str">
        <f ca="1">_xlfn.XLOOKUP(L475,RenewalPlans!B:B,RenewalPlans!AS:AS,"NA",0,1)</f>
        <v>NA</v>
      </c>
      <c r="M506" s="200"/>
      <c r="N506" s="200"/>
      <c r="O506" s="200"/>
      <c r="P506" s="130"/>
      <c r="Q506" s="200"/>
      <c r="R506" s="201"/>
      <c r="T506" s="131" t="str">
        <f>_xlfn.XLOOKUP(T475,RenewalPlans!B:B,RenewalPlans!AS:AS,"NA",0,1)</f>
        <v>NA</v>
      </c>
      <c r="U506" s="200"/>
      <c r="V506" s="200"/>
      <c r="W506" s="200"/>
      <c r="X506" s="130"/>
      <c r="Y506" s="200"/>
      <c r="Z506" s="201"/>
    </row>
    <row r="507" spans="1:26" ht="18" customHeight="1" hidden="1">
      <c r="A507" s="140"/>
      <c r="B507" s="140"/>
      <c r="D507" s="198" t="s">
        <v>252</v>
      </c>
      <c r="E507" s="130" t="e">
        <f>_xlfn.XLOOKUP(E475,CurrentPlans!B:B,CurrentPlans!AQ:AQ,"NA",0,1)</f>
        <v>#N/A</v>
      </c>
      <c r="F507" s="200"/>
      <c r="G507" s="200"/>
      <c r="H507" s="200"/>
      <c r="I507" s="130"/>
      <c r="J507" s="201"/>
      <c r="K507"/>
      <c r="L507" s="131" t="str">
        <f ca="1">_xlfn.XLOOKUP(L475,RenewalPlans!B:B,RenewalPlans!AT:AT,"NA",0,1)</f>
        <v>NA</v>
      </c>
      <c r="M507" s="200"/>
      <c r="N507" s="200"/>
      <c r="O507" s="200"/>
      <c r="P507" s="130"/>
      <c r="Q507" s="200"/>
      <c r="R507" s="201"/>
      <c r="T507" s="131" t="str">
        <f>_xlfn.XLOOKUP(T475,RenewalPlans!B:B,RenewalPlans!AT:AT,"NA",0,1)</f>
        <v>NA</v>
      </c>
      <c r="U507" s="200"/>
      <c r="V507" s="200"/>
      <c r="W507" s="200"/>
      <c r="X507" s="130"/>
      <c r="Y507" s="200"/>
      <c r="Z507" s="201"/>
    </row>
    <row r="508" spans="1:26" ht="18" customHeight="1" hidden="1">
      <c r="A508" s="140"/>
      <c r="B508" s="140"/>
      <c r="D508" s="120" t="s">
        <v>253</v>
      </c>
      <c r="E508" s="133" t="e">
        <f>_xlfn.XLOOKUP(E475,CurrentPlans!B:B,CurrentPlans!AO:AO,"NA",0,1)</f>
        <v>#N/A</v>
      </c>
      <c r="F508" s="122"/>
      <c r="G508" s="122"/>
      <c r="H508" s="122"/>
      <c r="I508" s="133"/>
      <c r="J508" s="123"/>
      <c r="K508"/>
      <c r="L508" s="136" t="str">
        <f ca="1">_xlfn.XLOOKUP(L475,RenewalPlans!B:B,RenewalPlans!AR:AR,"NA",0,1)</f>
        <v>NA</v>
      </c>
      <c r="M508" s="122"/>
      <c r="N508" s="122"/>
      <c r="O508" s="122"/>
      <c r="P508" s="133"/>
      <c r="Q508" s="122"/>
      <c r="R508" s="123"/>
      <c r="T508" s="136" t="str">
        <f>_xlfn.XLOOKUP(T475,RenewalPlans!B:B,RenewalPlans!AR:AR,"NA",0,1)</f>
        <v>NA</v>
      </c>
      <c r="U508" s="122"/>
      <c r="V508" s="122"/>
      <c r="W508" s="122"/>
      <c r="X508" s="133"/>
      <c r="Y508" s="122"/>
      <c r="Z508" s="123"/>
    </row>
    <row r="509" spans="1:26" ht="18" customHeight="1" hidden="1">
      <c r="A509" s="140"/>
      <c r="B509" s="140"/>
      <c r="D509" s="223" t="s">
        <v>254</v>
      </c>
      <c r="E509" s="205"/>
      <c r="F509" s="205"/>
      <c r="G509" s="205"/>
      <c r="H509" s="205"/>
      <c r="I509" s="205"/>
      <c r="J509" s="206"/>
      <c r="K509"/>
      <c r="L509" s="203"/>
      <c r="M509" s="205"/>
      <c r="N509" s="205"/>
      <c r="O509" s="205"/>
      <c r="P509" s="205"/>
      <c r="Q509" s="205"/>
      <c r="R509" s="206"/>
      <c r="T509" s="203"/>
      <c r="U509" s="205"/>
      <c r="V509" s="205"/>
      <c r="W509" s="205"/>
      <c r="X509" s="205"/>
      <c r="Y509" s="205"/>
      <c r="Z509" s="206"/>
    </row>
    <row r="510" spans="1:26" ht="18" customHeight="1" hidden="1">
      <c r="A510" s="140"/>
      <c r="B510" s="140"/>
      <c r="D510" s="198" t="s">
        <v>255</v>
      </c>
      <c r="E510" s="130" t="e">
        <f>_xlfn.XLOOKUP(E475,CurrentPlans!B:B,CurrentPlans!AR:AR,"NA",0,1)</f>
        <v>#N/A</v>
      </c>
      <c r="F510" s="200"/>
      <c r="G510" s="200"/>
      <c r="H510" s="200"/>
      <c r="I510" s="130"/>
      <c r="J510" s="201"/>
      <c r="K510"/>
      <c r="L510" s="131" t="str">
        <f ca="1">_xlfn.XLOOKUP(L475,RenewalPlans!B:B,RenewalPlans!AU:AU,"NA",0,1)</f>
        <v>NA</v>
      </c>
      <c r="M510" s="200"/>
      <c r="N510" s="200"/>
      <c r="O510" s="200"/>
      <c r="P510" s="130"/>
      <c r="Q510" s="200"/>
      <c r="R510" s="201"/>
      <c r="T510" s="131" t="str">
        <f>_xlfn.XLOOKUP(T475,RenewalPlans!B:B,RenewalPlans!AU:AU,"NA",0,1)</f>
        <v>NA</v>
      </c>
      <c r="U510" s="200"/>
      <c r="V510" s="200"/>
      <c r="W510" s="200"/>
      <c r="X510" s="130"/>
      <c r="Y510" s="200"/>
      <c r="Z510" s="201"/>
    </row>
    <row r="511" spans="1:26" ht="18" customHeight="1" hidden="1" thickBot="1">
      <c r="A511" s="140"/>
      <c r="B511" s="140"/>
      <c r="D511" s="224" t="s">
        <v>256</v>
      </c>
      <c r="E511" s="137" t="e">
        <f>_xlfn.XLOOKUP(E475,CurrentPlans!B:B,CurrentPlans!AS:AS,"NA",0,1)</f>
        <v>#N/A</v>
      </c>
      <c r="F511" s="225"/>
      <c r="G511" s="225"/>
      <c r="H511" s="225"/>
      <c r="I511" s="137"/>
      <c r="J511" s="226"/>
      <c r="K511"/>
      <c r="L511" s="138" t="str">
        <f ca="1">_xlfn.XLOOKUP(L475,RenewalPlans!B:B,RenewalPlans!AV:AV,"NA",0,1)</f>
        <v>NA</v>
      </c>
      <c r="M511" s="225"/>
      <c r="N511" s="225"/>
      <c r="O511" s="225"/>
      <c r="P511" s="137"/>
      <c r="Q511" s="225"/>
      <c r="R511" s="226"/>
      <c r="T511" s="138" t="str">
        <f>_xlfn.XLOOKUP(T475,RenewalPlans!B:B,RenewalPlans!AV:AV,"NA",0,1)</f>
        <v>NA</v>
      </c>
      <c r="U511" s="225"/>
      <c r="V511" s="225"/>
      <c r="W511" s="225"/>
      <c r="X511" s="137"/>
      <c r="Y511" s="225"/>
      <c r="Z511" s="226"/>
    </row>
    <row r="512" spans="1:26" ht="18" customHeight="1">
      <c r="A512" s="140"/>
      <c r="B512" s="140"/>
      <c r="D512" s="227"/>
      <c r="E512" s="176"/>
      <c r="F512" s="178"/>
      <c r="G512" s="179"/>
      <c r="H512" s="178"/>
      <c r="I512" s="176"/>
      <c r="J512" s="228"/>
      <c r="K512"/>
      <c r="L512" s="178"/>
      <c r="M512" s="176"/>
      <c r="N512" s="139"/>
      <c r="O512" s="178"/>
      <c r="P512" s="178"/>
      <c r="Q512" s="178"/>
      <c r="R512" s="228"/>
      <c r="T512" s="178"/>
      <c r="U512" s="176"/>
      <c r="V512" s="139"/>
      <c r="W512" s="178"/>
      <c r="X512" s="178"/>
      <c r="Y512" s="178"/>
      <c r="Z512" s="228"/>
    </row>
    <row r="513" spans="1:26" ht="5.25" customHeight="1" thickBot="1">
      <c r="A513" s="140"/>
      <c r="B513" s="140"/>
      <c r="D513" s="229"/>
      <c r="E513" s="229"/>
      <c r="F513" s="230"/>
      <c r="G513" s="231"/>
      <c r="H513" s="232"/>
      <c r="I513" s="233"/>
      <c r="J513" s="233"/>
      <c r="K513"/>
      <c r="L513" s="233"/>
      <c r="M513" s="233"/>
      <c r="N513" s="233"/>
      <c r="O513" s="233"/>
      <c r="P513" s="233"/>
      <c r="Q513" s="233"/>
      <c r="R513" s="233"/>
      <c r="T513" s="233"/>
      <c r="U513" s="233"/>
      <c r="V513" s="233"/>
      <c r="W513" s="233"/>
      <c r="X513" s="233"/>
      <c r="Y513" s="233"/>
      <c r="Z513" s="233"/>
    </row>
    <row r="514" spans="1:26" ht="50.15" customHeight="1">
      <c r="A514" s="140"/>
      <c r="B514" s="140"/>
      <c r="C514" s="164" t="s">
        <v>284</v>
      </c>
      <c r="D514" s="275" t="s">
        <v>285</v>
      </c>
      <c r="E514" s="165"/>
      <c r="F514" s="321"/>
      <c r="G514" s="166"/>
      <c r="H514" s="167"/>
      <c r="I514" s="168"/>
      <c r="J514" s="169"/>
      <c r="K514"/>
      <c r="L514" s="274" t="s">
        <v>38</v>
      </c>
      <c r="M514" s="170"/>
      <c r="N514" s="274" t="s">
        <v>237</v>
      </c>
      <c r="O514" s="171"/>
      <c r="P514" s="171"/>
      <c r="Q514" s="171"/>
      <c r="R514" s="169"/>
      <c r="T514" s="274" t="s">
        <v>38</v>
      </c>
      <c r="U514" s="170"/>
      <c r="V514" s="274" t="s">
        <v>237</v>
      </c>
      <c r="W514" s="171"/>
      <c r="X514" s="171"/>
      <c r="Y514" s="171"/>
      <c r="Z514" s="169"/>
    </row>
    <row r="515" spans="1:26" ht="18.75" customHeight="1">
      <c r="A515" s="140"/>
      <c r="B515" s="140"/>
      <c r="D515" s="172" t="s">
        <v>238</v>
      </c>
      <c r="E515" s="407"/>
      <c r="F515" s="449"/>
      <c r="G515" s="470"/>
      <c r="H515" s="449"/>
      <c r="I515" s="450" t="str">
        <f>IFERROR(IF(E515="","",F515-H515),"")</f>
        <v/>
      </c>
      <c r="J515" s="410"/>
      <c r="K515" s="411"/>
      <c r="L515" s="408" t="str" cm="1">
        <f t="array" ca="1" aca="1" ref="L515">_xlfn.IFNA(VLOOKUP(INDIRECT("L"&amp;ROW()-1)&amp;"_"&amp;$D$12,BEGIN_RENEW_HEALTH:END_RENEW_HEALTH,RENEW_COL_EO,FALSE),"")</f>
        <v/>
      </c>
      <c r="M515" s="412" t="str">
        <f>IF(E515="","",E515)</f>
        <v/>
      </c>
      <c r="N515" s="413"/>
      <c r="O515" s="414"/>
      <c r="P515" s="415" t="str">
        <f>IFERROR(IF($N514="Keep Contribution Same",H515,IF($N514="Enter Percentages",IF(N515="","",N515*L515),IF($N514="Keep Percentage Same",IF(G515="","",G515*L515),IF($N514="Enter Dollar Amount",IF(O515="","",O515),"")))),"")</f>
        <v/>
      </c>
      <c r="Q515" s="408" t="str">
        <f ca="1">IFERROR(L515-P515,"")</f>
        <v/>
      </c>
      <c r="R515" s="410" t="str">
        <f>IFERROR(IF(P515="","",M515*P515),"")</f>
        <v/>
      </c>
      <c r="S515" s="411"/>
      <c r="T515" s="408" t="str" cm="1">
        <f t="array" ca="1" aca="1" ref="T515">_xlfn.IFNA(VLOOKUP(INDIRECT("T"&amp;ROW()-1)&amp;"_"&amp;$D$12,BEGIN_RENEW_HEALTH:END_RENEW_HEALTH,RENEW_COL_EO,FALSE),"")</f>
        <v/>
      </c>
      <c r="U515" s="412" t="str">
        <f>IF(E515="","",E515)</f>
        <v/>
      </c>
      <c r="V515" s="413"/>
      <c r="W515" s="414"/>
      <c r="X515" s="415" t="str">
        <f>IFERROR(IF($V514="Keep Contribution Same",H515,IF($V514="Enter Percentages",IF(V515="","",V515*T515),IF($V514="Keep Percentage Same",IF(G515="","",G515*T515),IF($V514="Enter Dollar Amount",IF(W515="","",W515),"")))),"")</f>
        <v/>
      </c>
      <c r="Y515" s="408" t="str">
        <f ca="1">IFERROR(T515-X515,"")</f>
        <v/>
      </c>
      <c r="Z515" s="410" t="str">
        <f>IFERROR(IF(X515="","",U515*X515),"")</f>
        <v/>
      </c>
    </row>
    <row r="516" spans="1:26" ht="18.75" customHeight="1">
      <c r="A516" s="140"/>
      <c r="B516" s="140"/>
      <c r="D516" s="172" t="s">
        <v>239</v>
      </c>
      <c r="E516" s="407"/>
      <c r="F516" s="449"/>
      <c r="G516" s="470"/>
      <c r="H516" s="449"/>
      <c r="I516" s="450" t="str">
        <f t="shared" si="50" ref="I516:I518">IFERROR(IF(E516="","",F516-H516),"")</f>
        <v/>
      </c>
      <c r="J516" s="410"/>
      <c r="K516" s="411"/>
      <c r="L516" s="408" t="str" cm="1">
        <f t="array" ca="1" aca="1" ref="L516">_xlfn.IFNA(VLOOKUP(INDIRECT("L"&amp;ROW()-2)&amp;"_"&amp;$D$12,BEGIN_RENEW_HEALTH:END_RENEW_HEALTH,RENEW_COL_ES,FALSE),"")</f>
        <v/>
      </c>
      <c r="M516" s="412" t="str">
        <f>IF(E516="","",E516)</f>
        <v/>
      </c>
      <c r="N516" s="413"/>
      <c r="O516" s="414"/>
      <c r="P516" s="415" t="str">
        <f>IFERROR(IF($N514="Keep Contribution Same",H516,IF($N514="Enter Percentages",IF(N516="","",N516*L516),IF($N514="Keep Percentage Same",IF(G516="","",G516*L516),IF($N514="Enter Dollar Amount",IF(O516="","",O516),"")))),"")</f>
        <v/>
      </c>
      <c r="Q516" s="408" t="str">
        <f ca="1" t="shared" si="51" ref="Q516:Q518">IFERROR(L516-P516,"")</f>
        <v/>
      </c>
      <c r="R516" s="410" t="str">
        <f>IFERROR(IF(P516="","",M516*P516),"")</f>
        <v/>
      </c>
      <c r="S516" s="411"/>
      <c r="T516" s="408" t="str" cm="1">
        <f t="array" ca="1" aca="1" ref="T516">_xlfn.IFNA(VLOOKUP(INDIRECT("T"&amp;ROW()-2)&amp;"_"&amp;$D$12,BEGIN_RENEW_HEALTH:END_RENEW_HEALTH,RENEW_COL_ES,FALSE),"")</f>
        <v/>
      </c>
      <c r="U516" s="412" t="str">
        <f t="shared" si="52" ref="U516:U518">IF(E516="","",E516)</f>
        <v/>
      </c>
      <c r="V516" s="413"/>
      <c r="W516" s="414"/>
      <c r="X516" s="415" t="str">
        <f>IFERROR(IF($V514="Keep Contribution Same",H516,IF($V514="Enter Percentages",IF(V516="","",V516*T516),IF($V514="Keep Percentage Same",IF(G516="","",G516*T516),IF($V514="Enter Dollar Amount",IF(W516="","",W516),"")))),"")</f>
        <v/>
      </c>
      <c r="Y516" s="408" t="str">
        <f ca="1" t="shared" si="53" ref="Y516:Y518">IFERROR(T516-X516,"")</f>
        <v/>
      </c>
      <c r="Z516" s="410" t="str">
        <f t="shared" si="54" ref="Z516:Z518">IFERROR(IF(X516="","",U516*X516),"")</f>
        <v/>
      </c>
    </row>
    <row r="517" spans="1:26" ht="18.75" customHeight="1">
      <c r="A517" s="140"/>
      <c r="B517" s="140"/>
      <c r="D517" s="172" t="s">
        <v>240</v>
      </c>
      <c r="E517" s="407"/>
      <c r="F517" s="449"/>
      <c r="G517" s="470"/>
      <c r="H517" s="449"/>
      <c r="I517" s="450" t="str">
        <f t="shared" si="50"/>
        <v/>
      </c>
      <c r="J517" s="410"/>
      <c r="K517" s="411"/>
      <c r="L517" s="408" t="str" cm="1">
        <f t="array" ca="1" aca="1" ref="L517">_xlfn.IFNA(VLOOKUP(INDIRECT("L"&amp;ROW()-3)&amp;"_"&amp;$D$12,BEGIN_RENEW_HEALTH:END_RENEW_HEALTH,RENEW_COL_EC,FALSE),"")</f>
        <v/>
      </c>
      <c r="M517" s="412" t="str">
        <f>IF(E517="","",E517)</f>
        <v/>
      </c>
      <c r="N517" s="413"/>
      <c r="O517" s="414"/>
      <c r="P517" s="415" t="str">
        <f>IFERROR(IF($N514="Keep Contribution Same",H517,IF($N514="Enter Percentages",IF(N517="","",N517*L517),IF($N514="Keep Percentage Same",IF(G517="","",G517*L517),IF($N514="Enter Dollar Amount",IF(O517="","",O517),"")))),"")</f>
        <v/>
      </c>
      <c r="Q517" s="408" t="str">
        <f t="shared" ca="1" si="51"/>
        <v/>
      </c>
      <c r="R517" s="410" t="str">
        <f>IFERROR(IF(P517="","",M517*P517),"")</f>
        <v/>
      </c>
      <c r="S517" s="411"/>
      <c r="T517" s="408" t="str" cm="1">
        <f t="array" ca="1" aca="1" ref="T517">_xlfn.IFNA(VLOOKUP(INDIRECT("T"&amp;ROW()-3)&amp;"_"&amp;$D$12,BEGIN_RENEW_HEALTH:END_RENEW_HEALTH,RENEW_COL_EC,FALSE),"")</f>
        <v/>
      </c>
      <c r="U517" s="412" t="str">
        <f t="shared" si="52"/>
        <v/>
      </c>
      <c r="V517" s="413"/>
      <c r="W517" s="414"/>
      <c r="X517" s="415" t="str">
        <f>IFERROR(IF($V514="Keep Contribution Same",H517,IF($V514="Enter Percentages",IF(V517="","",V517*T517),IF($V514="Keep Percentage Same",IF(G517="","",G517*T517),IF($V514="Enter Dollar Amount",IF(W517="","",W517),"")))),"")</f>
        <v/>
      </c>
      <c r="Y517" s="408" t="str">
        <f t="shared" ca="1" si="53"/>
        <v/>
      </c>
      <c r="Z517" s="410" t="str">
        <f t="shared" si="54"/>
        <v/>
      </c>
    </row>
    <row r="518" spans="1:26" ht="18.75" customHeight="1" thickBot="1">
      <c r="A518" s="140"/>
      <c r="B518" s="140"/>
      <c r="D518" s="174" t="s">
        <v>241</v>
      </c>
      <c r="E518" s="416"/>
      <c r="F518" s="451"/>
      <c r="G518" s="471"/>
      <c r="H518" s="451"/>
      <c r="I518" s="452" t="str">
        <f t="shared" si="50"/>
        <v/>
      </c>
      <c r="J518" s="419"/>
      <c r="K518" s="411"/>
      <c r="L518" s="417" t="str" cm="1">
        <f t="array" ca="1" aca="1" ref="L518">_xlfn.IFNA(VLOOKUP(INDIRECT("L"&amp;ROW()-4)&amp;"_"&amp;$D$12,BEGIN_RENEW_HEALTH:END_RENEW_HEALTH,RENEW_COL_FAM,FALSE),"")</f>
        <v/>
      </c>
      <c r="M518" s="423" t="str">
        <f>IF(E518="","",E518)</f>
        <v/>
      </c>
      <c r="N518" s="420"/>
      <c r="O518" s="421"/>
      <c r="P518" s="422" t="str">
        <f>IFERROR(IF($N514="Keep Contribution Same",H518,IF($N514="Enter Percentages",IF(N518="","",N518*L518),IF($N514="Keep Percentage Same",IF(G518="","",G518*L518),IF($N514="Enter Dollar Amount",IF(O518="","",O518),"")))),"")</f>
        <v/>
      </c>
      <c r="Q518" s="417" t="str">
        <f t="shared" ca="1" si="51"/>
        <v/>
      </c>
      <c r="R518" s="419" t="str">
        <f>IFERROR(IF(P518="","",M518*P518),"")</f>
        <v/>
      </c>
      <c r="S518" s="411"/>
      <c r="T518" s="417" t="str" cm="1">
        <f t="array" ca="1" aca="1" ref="T518">_xlfn.IFNA(VLOOKUP(INDIRECT("T"&amp;ROW()-4)&amp;"_"&amp;$D$12,BEGIN_RENEW_HEALTH:END_RENEW_HEALTH,RENEW_COL_FAM,FALSE),"")</f>
        <v/>
      </c>
      <c r="U518" s="423" t="str">
        <f t="shared" si="52"/>
        <v/>
      </c>
      <c r="V518" s="420"/>
      <c r="W518" s="421"/>
      <c r="X518" s="422" t="str">
        <f>IFERROR(IF($V514="Keep Contribution Same",H518,IF($V514="Enter Percentages",IF(V518="","",V518*T518),IF($V514="Keep Percentage Same",IF(G518="","",G518*T518),IF($V514="Enter Dollar Amount",IF(W518="","",W518),"")))),"")</f>
        <v/>
      </c>
      <c r="Y518" s="417" t="str">
        <f t="shared" ca="1" si="53"/>
        <v/>
      </c>
      <c r="Z518" s="419" t="str">
        <f t="shared" si="54"/>
        <v/>
      </c>
    </row>
    <row r="519" spans="1:26" ht="18.75" customHeight="1" thickTop="1">
      <c r="A519" s="140"/>
      <c r="B519" s="140"/>
      <c r="D519" s="175" t="s">
        <v>242</v>
      </c>
      <c r="E519" s="424"/>
      <c r="F519" s="447">
        <f>IFERROR((F515*E515)+(F516*E516)+(F517*E517)+(F518*E518),"")</f>
        <v>0</v>
      </c>
      <c r="G519" s="426"/>
      <c r="H519" s="427"/>
      <c r="I519" s="428"/>
      <c r="J519" s="429" t="str">
        <f>IFERROR(IF(J515="","",SUM(J515:J518)),0)</f>
        <v/>
      </c>
      <c r="K519" s="1"/>
      <c r="L519" s="430" t="str">
        <f ca="1">IFERROR((M515*L515)+(M516*L516)+(M517*L517)+(M518*L518),"")</f>
        <v/>
      </c>
      <c r="M519" s="427"/>
      <c r="N519" s="426"/>
      <c r="O519" s="427"/>
      <c r="P519" s="431"/>
      <c r="Q519" s="432"/>
      <c r="R519" s="429" t="str">
        <f>IFERROR(IF(R515="","",SUM(R515:R518)),0)</f>
        <v/>
      </c>
      <c r="T519" s="430" t="str">
        <f ca="1">IFERROR((U515*T515)+(U516*T516)+(U517*T517)+(U518*T518),"")</f>
        <v/>
      </c>
      <c r="U519" s="427"/>
      <c r="V519" s="426"/>
      <c r="W519" s="427"/>
      <c r="X519" s="431"/>
      <c r="Y519" s="432"/>
      <c r="Z519" s="429" t="str">
        <f>IFERROR(IF(Z515="","",SUM(Z515:Z518)),0)</f>
        <v/>
      </c>
    </row>
    <row r="520" spans="1:26" ht="18.75" customHeight="1">
      <c r="A520" s="140"/>
      <c r="B520" s="140"/>
      <c r="D520" s="177" t="s">
        <v>243</v>
      </c>
      <c r="E520" s="433"/>
      <c r="F520" s="448">
        <f>IFERROR(F519*12,"")</f>
        <v>0</v>
      </c>
      <c r="G520" s="435"/>
      <c r="H520" s="436"/>
      <c r="I520" s="432"/>
      <c r="J520" s="437" t="str">
        <f>IF(J519="","",J519*12)</f>
        <v/>
      </c>
      <c r="K520" s="1"/>
      <c r="L520" s="438" t="str">
        <f ca="1">IFERROR(L519*12,"")</f>
        <v/>
      </c>
      <c r="M520" s="436"/>
      <c r="N520" s="435"/>
      <c r="O520" s="436"/>
      <c r="P520" s="432"/>
      <c r="Q520" s="432"/>
      <c r="R520" s="437" t="str">
        <f>IF(R519="","",R519*12)</f>
        <v/>
      </c>
      <c r="T520" s="438" t="str">
        <f ca="1">IFERROR(T519*12,"")</f>
        <v/>
      </c>
      <c r="U520" s="436"/>
      <c r="V520" s="435"/>
      <c r="W520" s="436"/>
      <c r="X520" s="432"/>
      <c r="Y520" s="432"/>
      <c r="Z520" s="437" t="str">
        <f>IF(Z519="","",Z519*12)</f>
        <v/>
      </c>
    </row>
    <row r="521" spans="1:26" ht="18" customHeight="1">
      <c r="A521" s="140"/>
      <c r="B521" s="140"/>
      <c r="D521" s="177" t="s">
        <v>244</v>
      </c>
      <c r="E521" s="433"/>
      <c r="F521" s="436"/>
      <c r="G521" s="435"/>
      <c r="H521" s="436"/>
      <c r="I521" s="432"/>
      <c r="J521" s="437" t="str">
        <f>IFERROR(IF(J520="","",R520-J520),0)</f>
        <v/>
      </c>
      <c r="K521" s="1"/>
      <c r="L521" s="434" t="str">
        <f ca="1">IFERROR(L520-F520,"")</f>
        <v/>
      </c>
      <c r="M521" s="436"/>
      <c r="N521" s="435"/>
      <c r="O521" s="436"/>
      <c r="P521" s="432"/>
      <c r="Q521" s="432"/>
      <c r="R521" s="437" t="str">
        <f>IFERROR(IF(J520="","",R520-J520),0)</f>
        <v/>
      </c>
      <c r="T521" s="434" t="str">
        <f ca="1">IFERROR(T520-F520,"")</f>
        <v/>
      </c>
      <c r="U521" s="436"/>
      <c r="V521" s="435"/>
      <c r="W521" s="436"/>
      <c r="X521" s="432"/>
      <c r="Y521" s="432"/>
      <c r="Z521" s="437" t="str">
        <f>IFERROR(IF(R520="","",Z520-R520),0)</f>
        <v/>
      </c>
    </row>
    <row r="522" spans="1:26" ht="18" customHeight="1" thickBot="1">
      <c r="A522" s="140"/>
      <c r="B522" s="140"/>
      <c r="D522" s="180" t="s">
        <v>245</v>
      </c>
      <c r="E522" s="439"/>
      <c r="F522" s="440"/>
      <c r="G522" s="441"/>
      <c r="H522" s="440"/>
      <c r="I522" s="442"/>
      <c r="J522" s="437" t="str">
        <f>IFERROR(IF(J520="","",(R520/J520)-1),0)</f>
        <v/>
      </c>
      <c r="K522" s="1"/>
      <c r="L522" s="444" t="str">
        <f ca="1">IFERROR(L520/F520-1,"")</f>
        <v/>
      </c>
      <c r="M522" s="440"/>
      <c r="N522" s="441"/>
      <c r="O522" s="440"/>
      <c r="P522" s="445"/>
      <c r="Q522" s="445"/>
      <c r="R522" s="453" t="str">
        <f>IFERROR(IF(J520="","",(R520/J520)-1),0)</f>
        <v/>
      </c>
      <c r="T522" s="444" t="str">
        <f ca="1">IFERROR(T520/F520-1,"")</f>
        <v/>
      </c>
      <c r="U522" s="440"/>
      <c r="V522" s="441"/>
      <c r="W522" s="440"/>
      <c r="X522" s="445"/>
      <c r="Y522" s="445"/>
      <c r="Z522" s="446" t="str">
        <f>IFERROR(IF(R520="","",(Z520/R520)-1),0)</f>
        <v/>
      </c>
    </row>
    <row r="523" spans="1:26" ht="18" customHeight="1">
      <c r="A523" s="140"/>
      <c r="B523" s="140"/>
      <c r="D523" s="181" t="s">
        <v>246</v>
      </c>
      <c r="E523" s="182"/>
      <c r="F523" s="182"/>
      <c r="G523" s="182"/>
      <c r="H523" s="182"/>
      <c r="I523" s="182"/>
      <c r="J523" s="183"/>
      <c r="K523"/>
      <c r="L523" s="184"/>
      <c r="M523" s="182"/>
      <c r="N523" s="182"/>
      <c r="O523" s="182"/>
      <c r="P523" s="182"/>
      <c r="Q523" s="182"/>
      <c r="R523" s="183"/>
      <c r="T523" s="184"/>
      <c r="U523" s="182"/>
      <c r="V523" s="182"/>
      <c r="W523" s="182"/>
      <c r="X523" s="182"/>
      <c r="Y523" s="182"/>
      <c r="Z523" s="183"/>
    </row>
    <row r="524" spans="1:26" ht="18" customHeight="1" hidden="1">
      <c r="A524" s="140"/>
      <c r="B524" s="140"/>
      <c r="D524" s="185" t="s">
        <v>247</v>
      </c>
      <c r="E524" s="186"/>
      <c r="F524" s="186"/>
      <c r="G524" s="186"/>
      <c r="H524" s="186"/>
      <c r="I524" s="186"/>
      <c r="J524" s="187"/>
      <c r="K524"/>
      <c r="L524" s="188"/>
      <c r="M524" s="186"/>
      <c r="N524" s="186"/>
      <c r="O524" s="186"/>
      <c r="P524" s="186"/>
      <c r="Q524" s="186"/>
      <c r="R524" s="187"/>
      <c r="T524" s="188"/>
      <c r="U524" s="186"/>
      <c r="V524" s="186"/>
      <c r="W524" s="186"/>
      <c r="X524" s="186"/>
      <c r="Y524" s="186"/>
      <c r="Z524" s="187"/>
    </row>
    <row r="525" spans="1:26" ht="18" customHeight="1" hidden="1">
      <c r="A525" s="140"/>
      <c r="B525" s="140"/>
      <c r="D525" s="189" t="s">
        <v>248</v>
      </c>
      <c r="E525" s="190" t="str">
        <f>D514&amp;"_"&amp;D12</f>
        <v>NEW PLAN_OWNERS</v>
      </c>
      <c r="F525" s="191"/>
      <c r="G525" s="191"/>
      <c r="H525" s="191"/>
      <c r="I525" s="190"/>
      <c r="J525" s="192"/>
      <c r="K525"/>
      <c r="L525" s="193" t="str">
        <f>L514&amp;"_"&amp;D12</f>
        <v>SELECT PLAN_OWNERS</v>
      </c>
      <c r="M525" s="191"/>
      <c r="N525" s="191"/>
      <c r="O525" s="191"/>
      <c r="P525" s="190"/>
      <c r="Q525" s="191"/>
      <c r="R525" s="192"/>
      <c r="T525" s="193" t="str">
        <f>T514&amp;"_"&amp;D12</f>
        <v>SELECT PLAN_OWNERS</v>
      </c>
      <c r="U525" s="191"/>
      <c r="V525" s="191"/>
      <c r="W525" s="191"/>
      <c r="X525" s="190"/>
      <c r="Y525" s="191"/>
      <c r="Z525" s="192"/>
    </row>
    <row r="526" spans="1:26" ht="18" customHeight="1" hidden="1">
      <c r="A526" s="140"/>
      <c r="B526" s="140"/>
      <c r="D526" s="189" t="s">
        <v>249</v>
      </c>
      <c r="E526" s="191"/>
      <c r="F526" s="191"/>
      <c r="G526" s="191"/>
      <c r="H526" s="191"/>
      <c r="I526" s="191"/>
      <c r="J526" s="192"/>
      <c r="K526"/>
      <c r="L526" s="189"/>
      <c r="M526" s="191"/>
      <c r="N526" s="191"/>
      <c r="O526" s="191"/>
      <c r="P526" s="191"/>
      <c r="Q526" s="191"/>
      <c r="R526" s="192"/>
      <c r="T526" s="189"/>
      <c r="U526" s="191"/>
      <c r="V526" s="191"/>
      <c r="W526" s="191"/>
      <c r="X526" s="191"/>
      <c r="Y526" s="191"/>
      <c r="Z526" s="192"/>
    </row>
    <row r="527" spans="1:26" ht="18" customHeight="1" hidden="1">
      <c r="A527" s="140"/>
      <c r="B527" s="140"/>
      <c r="D527" s="194" t="s">
        <v>250</v>
      </c>
      <c r="E527" s="195"/>
      <c r="F527" s="195"/>
      <c r="G527" s="195"/>
      <c r="H527" s="195"/>
      <c r="I527" s="195"/>
      <c r="J527" s="196"/>
      <c r="K527"/>
      <c r="L527" s="197"/>
      <c r="M527" s="195"/>
      <c r="N527" s="195"/>
      <c r="O527" s="195"/>
      <c r="P527" s="195"/>
      <c r="Q527" s="195"/>
      <c r="R527" s="196"/>
      <c r="T527" s="197"/>
      <c r="U527" s="195"/>
      <c r="V527" s="195"/>
      <c r="W527" s="195"/>
      <c r="X527" s="195"/>
      <c r="Y527" s="195"/>
      <c r="Z527" s="196"/>
    </row>
    <row r="528" spans="1:26" ht="18" customHeight="1" hidden="1">
      <c r="A528" s="140"/>
      <c r="B528" s="140"/>
      <c r="D528" s="198" t="s">
        <v>251</v>
      </c>
      <c r="E528" s="199" t="str">
        <f>_xlfn.XLOOKUP(E525,CurrentPlans!B:B,CurrentPlans!X:X,"NA",0,1)</f>
        <v>NA</v>
      </c>
      <c r="F528" s="200"/>
      <c r="G528" s="200"/>
      <c r="H528" s="200"/>
      <c r="I528" s="199"/>
      <c r="J528" s="201"/>
      <c r="K528"/>
      <c r="L528" s="202" t="str">
        <f>_xlfn.XLOOKUP(L525,RenewalPlans!B:B,RenewalPlans!AA:AA,"NA",0,1)</f>
        <v>NA</v>
      </c>
      <c r="M528" s="200"/>
      <c r="N528" s="200"/>
      <c r="O528" s="200"/>
      <c r="P528" s="199"/>
      <c r="Q528" s="200"/>
      <c r="R528" s="201"/>
      <c r="T528" s="202" t="str">
        <f>_xlfn.XLOOKUP(T525,RenewalPlans!B:B,RenewalPlans!AA:AA,"NA",0,1)</f>
        <v>NA</v>
      </c>
      <c r="U528" s="200"/>
      <c r="V528" s="200"/>
      <c r="W528" s="200"/>
      <c r="X528" s="199"/>
      <c r="Y528" s="200"/>
      <c r="Z528" s="201"/>
    </row>
    <row r="529" spans="1:26" ht="18" customHeight="1" hidden="1">
      <c r="A529" s="140"/>
      <c r="B529" s="140"/>
      <c r="D529" s="198" t="s">
        <v>252</v>
      </c>
      <c r="E529" s="199" t="str">
        <f>_xlfn.XLOOKUP(E525,CurrentPlans!B:B,CurrentPlans!Y:Y,"NA",0,1)</f>
        <v>NA</v>
      </c>
      <c r="F529" s="200"/>
      <c r="G529" s="200"/>
      <c r="H529" s="200"/>
      <c r="I529" s="199"/>
      <c r="J529" s="201"/>
      <c r="K529"/>
      <c r="L529" s="202" t="str">
        <f>_xlfn.XLOOKUP(L525,RenewalPlans!B:B,RenewalPlans!AB:AB,"NA",0,1)</f>
        <v>NA</v>
      </c>
      <c r="M529" s="200"/>
      <c r="N529" s="200"/>
      <c r="O529" s="200"/>
      <c r="P529" s="199"/>
      <c r="Q529" s="200"/>
      <c r="R529" s="201"/>
      <c r="T529" s="202" t="str">
        <f>_xlfn.XLOOKUP(T525,RenewalPlans!B:B,RenewalPlans!AB:AB,"NA",0,1)</f>
        <v>NA</v>
      </c>
      <c r="U529" s="200"/>
      <c r="V529" s="200"/>
      <c r="W529" s="200"/>
      <c r="X529" s="199"/>
      <c r="Y529" s="200"/>
      <c r="Z529" s="201"/>
    </row>
    <row r="530" spans="1:26" ht="18" customHeight="1" hidden="1">
      <c r="A530" s="140"/>
      <c r="B530" s="140"/>
      <c r="D530" s="120" t="s">
        <v>253</v>
      </c>
      <c r="E530" s="121" t="str">
        <f>_xlfn.XLOOKUP(E525,CurrentPlans!B:B,CurrentPlans!W:W,"NA",0,1)</f>
        <v>NA</v>
      </c>
      <c r="F530" s="122"/>
      <c r="G530" s="122"/>
      <c r="H530" s="122"/>
      <c r="I530" s="121"/>
      <c r="J530" s="123"/>
      <c r="K530"/>
      <c r="L530" s="124" t="str">
        <f>_xlfn.XLOOKUP(L525,RenewalPlans!B:B,RenewalPlans!Z:Z,"NA",0,1)</f>
        <v>NA</v>
      </c>
      <c r="M530" s="122"/>
      <c r="N530" s="122"/>
      <c r="O530" s="122"/>
      <c r="P530" s="121"/>
      <c r="Q530" s="122"/>
      <c r="R530" s="123"/>
      <c r="T530" s="124" t="str">
        <f>_xlfn.XLOOKUP(T525,RenewalPlans!B:B,RenewalPlans!Z:Z,"NA",0,1)</f>
        <v>NA</v>
      </c>
      <c r="U530" s="122"/>
      <c r="V530" s="122"/>
      <c r="W530" s="122"/>
      <c r="X530" s="121"/>
      <c r="Y530" s="122"/>
      <c r="Z530" s="123"/>
    </row>
    <row r="531" spans="1:26" ht="18" customHeight="1" hidden="1">
      <c r="A531" s="140"/>
      <c r="B531" s="140"/>
      <c r="D531" s="203" t="s">
        <v>254</v>
      </c>
      <c r="E531" s="204"/>
      <c r="F531" s="205"/>
      <c r="G531" s="205"/>
      <c r="H531" s="205"/>
      <c r="I531" s="204"/>
      <c r="J531" s="206"/>
      <c r="K531"/>
      <c r="L531" s="207"/>
      <c r="M531" s="205"/>
      <c r="N531" s="205"/>
      <c r="O531" s="205"/>
      <c r="P531" s="204"/>
      <c r="Q531" s="205"/>
      <c r="R531" s="206"/>
      <c r="T531" s="207"/>
      <c r="U531" s="205"/>
      <c r="V531" s="205"/>
      <c r="W531" s="205"/>
      <c r="X531" s="204"/>
      <c r="Y531" s="205"/>
      <c r="Z531" s="206"/>
    </row>
    <row r="532" spans="1:26" ht="18" customHeight="1" hidden="1">
      <c r="A532" s="140"/>
      <c r="B532" s="140"/>
      <c r="D532" s="125" t="s">
        <v>255</v>
      </c>
      <c r="E532" s="126" t="str">
        <f>_xlfn.XLOOKUP(E525,CurrentPlans!B:B,CurrentPlans!Z:Z,"NA",0,1)</f>
        <v>NA</v>
      </c>
      <c r="F532" s="127"/>
      <c r="G532" s="127"/>
      <c r="H532" s="127"/>
      <c r="I532" s="126"/>
      <c r="J532" s="128"/>
      <c r="K532"/>
      <c r="L532" s="129" t="str">
        <f>_xlfn.XLOOKUP(L525,RenewalPlans!B:B,RenewalPlans!AC:AC,"NA",0,1)</f>
        <v>NA</v>
      </c>
      <c r="M532" s="127"/>
      <c r="N532" s="127"/>
      <c r="O532" s="127"/>
      <c r="P532" s="126"/>
      <c r="Q532" s="127"/>
      <c r="R532" s="128"/>
      <c r="T532" s="129" t="str">
        <f>_xlfn.XLOOKUP(T525,RenewalPlans!B:B,RenewalPlans!AC:AC,"NA",0,1)</f>
        <v>NA</v>
      </c>
      <c r="U532" s="127"/>
      <c r="V532" s="127"/>
      <c r="W532" s="127"/>
      <c r="X532" s="126"/>
      <c r="Y532" s="127"/>
      <c r="Z532" s="128"/>
    </row>
    <row r="533" spans="1:26" ht="18" customHeight="1" hidden="1">
      <c r="A533" s="140"/>
      <c r="B533" s="140"/>
      <c r="D533" s="198" t="s">
        <v>256</v>
      </c>
      <c r="E533" s="208" t="str">
        <f>_xlfn.XLOOKUP(E525,CurrentPlans!B:B,CurrentPlans!AA:AA,"NA",0,1)</f>
        <v>NA</v>
      </c>
      <c r="F533" s="200"/>
      <c r="G533" s="200"/>
      <c r="H533" s="200"/>
      <c r="I533" s="208"/>
      <c r="J533" s="201"/>
      <c r="K533"/>
      <c r="L533" s="209" t="str">
        <f>_xlfn.XLOOKUP(L525,RenewalPlans!B:B,RenewalPlans!AD:AD,"NA",0,1)</f>
        <v>NA</v>
      </c>
      <c r="M533" s="200"/>
      <c r="N533" s="200"/>
      <c r="O533" s="200"/>
      <c r="P533" s="208"/>
      <c r="Q533" s="200"/>
      <c r="R533" s="201"/>
      <c r="T533" s="209" t="str">
        <f>_xlfn.XLOOKUP(T525,RenewalPlans!B:B,RenewalPlans!AD:AD,"NA",0,1)</f>
        <v>NA</v>
      </c>
      <c r="U533" s="200"/>
      <c r="V533" s="200"/>
      <c r="W533" s="200"/>
      <c r="X533" s="208"/>
      <c r="Y533" s="200"/>
      <c r="Z533" s="201"/>
    </row>
    <row r="534" spans="1:26" ht="18" customHeight="1" hidden="1">
      <c r="A534" s="140"/>
      <c r="B534" s="140"/>
      <c r="D534" s="203" t="s">
        <v>257</v>
      </c>
      <c r="E534" s="204"/>
      <c r="F534" s="205"/>
      <c r="G534" s="205"/>
      <c r="H534" s="205"/>
      <c r="I534" s="204"/>
      <c r="J534" s="206"/>
      <c r="K534"/>
      <c r="L534" s="207"/>
      <c r="M534" s="205"/>
      <c r="N534" s="205"/>
      <c r="O534" s="205"/>
      <c r="P534" s="204"/>
      <c r="Q534" s="205"/>
      <c r="R534" s="206"/>
      <c r="T534" s="207"/>
      <c r="U534" s="205"/>
      <c r="V534" s="205"/>
      <c r="W534" s="205"/>
      <c r="X534" s="204"/>
      <c r="Y534" s="205"/>
      <c r="Z534" s="206"/>
    </row>
    <row r="535" spans="1:26" ht="18" customHeight="1" hidden="1">
      <c r="A535" s="140"/>
      <c r="B535" s="140"/>
      <c r="D535" s="198" t="s">
        <v>258</v>
      </c>
      <c r="E535" s="208" t="str">
        <f>_xlfn.XLOOKUP(E525,CurrentPlans!B:B,CurrentPlans!AB:AB,"NA",0,1)</f>
        <v>NA</v>
      </c>
      <c r="F535" s="200"/>
      <c r="G535" s="200"/>
      <c r="H535" s="200"/>
      <c r="I535" s="208"/>
      <c r="J535" s="201"/>
      <c r="K535"/>
      <c r="L535" s="209" t="str">
        <f>_xlfn.XLOOKUP(L525,RenewalPlans!B:B,RenewalPlans!AE:AE,"NA",0,1)</f>
        <v>NA</v>
      </c>
      <c r="M535" s="200"/>
      <c r="N535" s="200"/>
      <c r="O535" s="200"/>
      <c r="P535" s="208"/>
      <c r="Q535" s="200"/>
      <c r="R535" s="201"/>
      <c r="T535" s="209" t="str">
        <f>_xlfn.XLOOKUP(T525,RenewalPlans!B:B,RenewalPlans!AE:AE,"NA",0,1)</f>
        <v>NA</v>
      </c>
      <c r="U535" s="200"/>
      <c r="V535" s="200"/>
      <c r="W535" s="200"/>
      <c r="X535" s="208"/>
      <c r="Y535" s="200"/>
      <c r="Z535" s="201"/>
    </row>
    <row r="536" spans="1:26" ht="18" customHeight="1" hidden="1">
      <c r="A536" s="140"/>
      <c r="B536" s="140"/>
      <c r="D536" s="198" t="s">
        <v>259</v>
      </c>
      <c r="E536" s="208" t="str">
        <f>_xlfn.XLOOKUP(E525,CurrentPlans!B:B,CurrentPlans!AC:AC,"NA",0,1)</f>
        <v>NA</v>
      </c>
      <c r="F536" s="200"/>
      <c r="G536" s="200"/>
      <c r="H536" s="200"/>
      <c r="I536" s="208"/>
      <c r="J536" s="201"/>
      <c r="K536"/>
      <c r="L536" s="209" t="str">
        <f>_xlfn.XLOOKUP(L525,RenewalPlans!B:B,RenewalPlans!AF:AF,"NA",0,1)</f>
        <v>NA</v>
      </c>
      <c r="M536" s="200"/>
      <c r="N536" s="200"/>
      <c r="O536" s="200"/>
      <c r="P536" s="208"/>
      <c r="Q536" s="200"/>
      <c r="R536" s="201"/>
      <c r="T536" s="209" t="str">
        <f>_xlfn.XLOOKUP(T525,RenewalPlans!B:B,RenewalPlans!AF:AF,"NA",0,1)</f>
        <v>NA</v>
      </c>
      <c r="U536" s="200"/>
      <c r="V536" s="200"/>
      <c r="W536" s="200"/>
      <c r="X536" s="208"/>
      <c r="Y536" s="200"/>
      <c r="Z536" s="201"/>
    </row>
    <row r="537" spans="1:26" ht="18" customHeight="1" hidden="1">
      <c r="A537" s="140"/>
      <c r="B537" s="140"/>
      <c r="D537" s="210"/>
      <c r="E537" s="211"/>
      <c r="F537" s="211"/>
      <c r="G537" s="211"/>
      <c r="H537" s="211"/>
      <c r="I537" s="211"/>
      <c r="J537" s="212"/>
      <c r="K537"/>
      <c r="L537" s="210"/>
      <c r="M537" s="211"/>
      <c r="N537" s="211"/>
      <c r="O537" s="211"/>
      <c r="P537" s="211"/>
      <c r="Q537" s="211"/>
      <c r="R537" s="212"/>
      <c r="T537" s="210"/>
      <c r="U537" s="211"/>
      <c r="V537" s="211"/>
      <c r="W537" s="211"/>
      <c r="X537" s="211"/>
      <c r="Y537" s="211"/>
      <c r="Z537" s="212"/>
    </row>
    <row r="538" spans="1:26" ht="18" customHeight="1" hidden="1">
      <c r="A538" s="140"/>
      <c r="B538" s="140"/>
      <c r="D538" s="185" t="s">
        <v>260</v>
      </c>
      <c r="E538" s="186"/>
      <c r="F538" s="186"/>
      <c r="G538" s="186"/>
      <c r="H538" s="186"/>
      <c r="I538" s="186"/>
      <c r="J538" s="187"/>
      <c r="K538"/>
      <c r="L538" s="188"/>
      <c r="M538" s="186"/>
      <c r="N538" s="186"/>
      <c r="O538" s="186"/>
      <c r="P538" s="186"/>
      <c r="Q538" s="186"/>
      <c r="R538" s="187"/>
      <c r="T538" s="188"/>
      <c r="U538" s="186"/>
      <c r="V538" s="186"/>
      <c r="W538" s="186"/>
      <c r="X538" s="186"/>
      <c r="Y538" s="186"/>
      <c r="Z538" s="187"/>
    </row>
    <row r="539" spans="1:26" ht="18" customHeight="1" hidden="1">
      <c r="A539" s="140"/>
      <c r="B539" s="140"/>
      <c r="D539" s="213" t="s">
        <v>261</v>
      </c>
      <c r="E539" s="130" t="str">
        <f>_xlfn.XLOOKUP(E525,CurrentPlans!B:B,CurrentPlans!AJ:AJ,"NA",0,1)</f>
        <v>NA</v>
      </c>
      <c r="F539" s="214"/>
      <c r="G539" s="214"/>
      <c r="H539" s="214"/>
      <c r="I539" s="130"/>
      <c r="J539" s="215"/>
      <c r="K539"/>
      <c r="L539" s="131" t="str">
        <f>_xlfn.XLOOKUP(L525,RenewalPlans!B:B,RenewalPlans!AM:AM,"NA",0,1)</f>
        <v>NA</v>
      </c>
      <c r="M539" s="214"/>
      <c r="N539" s="214"/>
      <c r="O539" s="214"/>
      <c r="P539" s="130"/>
      <c r="Q539" s="214"/>
      <c r="R539" s="215"/>
      <c r="T539" s="131" t="str">
        <f>_xlfn.XLOOKUP(T525,RenewalPlans!B:B,RenewalPlans!AM:AM,"NA",0,1)</f>
        <v>NA</v>
      </c>
      <c r="U539" s="214"/>
      <c r="V539" s="214"/>
      <c r="W539" s="214"/>
      <c r="X539" s="130"/>
      <c r="Y539" s="214"/>
      <c r="Z539" s="215"/>
    </row>
    <row r="540" spans="1:26" ht="18" customHeight="1" hidden="1">
      <c r="A540" s="140"/>
      <c r="B540" s="140"/>
      <c r="D540" s="198" t="s">
        <v>262</v>
      </c>
      <c r="E540" s="130" t="str">
        <f>_xlfn.XLOOKUP(E525,CurrentPlans!B:B,CurrentPlans!AM:AM,"NA",0,1)</f>
        <v>NA</v>
      </c>
      <c r="F540" s="200"/>
      <c r="G540" s="200"/>
      <c r="H540" s="200"/>
      <c r="I540" s="130"/>
      <c r="J540" s="201"/>
      <c r="K540"/>
      <c r="L540" s="131" t="str">
        <f>_xlfn.XLOOKUP(L525,RenewalPlans!B:B,RenewalPlans!AP:AP,"NA",0,1)</f>
        <v>NA</v>
      </c>
      <c r="M540" s="200"/>
      <c r="N540" s="200"/>
      <c r="O540" s="200"/>
      <c r="P540" s="130"/>
      <c r="Q540" s="200"/>
      <c r="R540" s="201"/>
      <c r="T540" s="131" t="str">
        <f>_xlfn.XLOOKUP(T525,RenewalPlans!B:B,RenewalPlans!AP:AP,"NA",0,1)</f>
        <v>NA</v>
      </c>
      <c r="U540" s="200"/>
      <c r="V540" s="200"/>
      <c r="W540" s="200"/>
      <c r="X540" s="130"/>
      <c r="Y540" s="200"/>
      <c r="Z540" s="201"/>
    </row>
    <row r="541" spans="1:26" ht="18" customHeight="1" hidden="1">
      <c r="A541" s="140"/>
      <c r="B541" s="140"/>
      <c r="D541" s="198" t="s">
        <v>263</v>
      </c>
      <c r="E541" s="130" t="str">
        <f>_xlfn.XLOOKUP(E525,CurrentPlans!B:B,CurrentPlans!AI:AI,"NA",0,1)</f>
        <v>NA</v>
      </c>
      <c r="F541" s="200"/>
      <c r="G541" s="200"/>
      <c r="H541" s="200"/>
      <c r="I541" s="130"/>
      <c r="J541" s="201"/>
      <c r="K541"/>
      <c r="L541" s="131" t="str">
        <f>_xlfn.XLOOKUP(L525,RenewalPlans!B:B,RenewalPlans!AL:AL,"NA",0,1)</f>
        <v>NA</v>
      </c>
      <c r="M541" s="200"/>
      <c r="N541" s="200"/>
      <c r="O541" s="200"/>
      <c r="P541" s="130"/>
      <c r="Q541" s="200"/>
      <c r="R541" s="201"/>
      <c r="T541" s="131" t="str">
        <f>_xlfn.XLOOKUP(T525,RenewalPlans!B:B,RenewalPlans!AL:AL,"NA",0,1)</f>
        <v>NA</v>
      </c>
      <c r="U541" s="200"/>
      <c r="V541" s="200"/>
      <c r="W541" s="200"/>
      <c r="X541" s="130"/>
      <c r="Y541" s="200"/>
      <c r="Z541" s="201"/>
    </row>
    <row r="542" spans="1:26" ht="18" customHeight="1" hidden="1">
      <c r="A542" s="140"/>
      <c r="B542" s="140"/>
      <c r="D542" s="198" t="s">
        <v>264</v>
      </c>
      <c r="E542" s="208" t="str">
        <f>_xlfn.XLOOKUP(E525,CurrentPlans!B:B,CurrentPlans!AN:AN,"NA",0,1)</f>
        <v>NA</v>
      </c>
      <c r="F542" s="200"/>
      <c r="G542" s="200"/>
      <c r="H542" s="200"/>
      <c r="I542" s="208"/>
      <c r="J542" s="201"/>
      <c r="K542"/>
      <c r="L542" s="209" t="str">
        <f>_xlfn.XLOOKUP(L525,RenewalPlans!B:B,RenewalPlans!AQ:AQ,"NA",0,1)</f>
        <v>NA</v>
      </c>
      <c r="M542" s="200"/>
      <c r="N542" s="200"/>
      <c r="O542" s="200"/>
      <c r="P542" s="208"/>
      <c r="Q542" s="200"/>
      <c r="R542" s="201"/>
      <c r="T542" s="209" t="str">
        <f>_xlfn.XLOOKUP(T525,RenewalPlans!B:B,RenewalPlans!AQ:AQ,"NA",0,1)</f>
        <v>NA</v>
      </c>
      <c r="U542" s="200"/>
      <c r="V542" s="200"/>
      <c r="W542" s="200"/>
      <c r="X542" s="208"/>
      <c r="Y542" s="200"/>
      <c r="Z542" s="201"/>
    </row>
    <row r="543" spans="1:26" ht="18" customHeight="1" hidden="1">
      <c r="A543" s="140"/>
      <c r="B543" s="140"/>
      <c r="D543" s="210"/>
      <c r="E543" s="211"/>
      <c r="F543" s="211"/>
      <c r="G543" s="211"/>
      <c r="H543" s="211"/>
      <c r="I543" s="211"/>
      <c r="J543" s="212"/>
      <c r="K543"/>
      <c r="L543" s="210"/>
      <c r="M543" s="211"/>
      <c r="N543" s="211"/>
      <c r="O543" s="211"/>
      <c r="P543" s="211"/>
      <c r="Q543" s="211"/>
      <c r="R543" s="212"/>
      <c r="T543" s="210"/>
      <c r="U543" s="211"/>
      <c r="V543" s="211"/>
      <c r="W543" s="211"/>
      <c r="X543" s="211"/>
      <c r="Y543" s="211"/>
      <c r="Z543" s="212"/>
    </row>
    <row r="544" spans="1:26" ht="18" customHeight="1" hidden="1">
      <c r="A544" s="140"/>
      <c r="B544" s="140"/>
      <c r="D544" s="185" t="s">
        <v>265</v>
      </c>
      <c r="E544" s="186"/>
      <c r="F544" s="186"/>
      <c r="G544" s="186"/>
      <c r="H544" s="186"/>
      <c r="I544" s="186"/>
      <c r="J544" s="187"/>
      <c r="K544"/>
      <c r="L544" s="188"/>
      <c r="M544" s="186"/>
      <c r="N544" s="186"/>
      <c r="O544" s="186"/>
      <c r="P544" s="186"/>
      <c r="Q544" s="186"/>
      <c r="R544" s="187"/>
      <c r="T544" s="188"/>
      <c r="U544" s="186"/>
      <c r="V544" s="186"/>
      <c r="W544" s="186"/>
      <c r="X544" s="186"/>
      <c r="Y544" s="186"/>
      <c r="Z544" s="187"/>
    </row>
    <row r="545" spans="1:26" ht="18" customHeight="1" hidden="1">
      <c r="A545" s="140"/>
      <c r="B545" s="140"/>
      <c r="D545" s="132" t="s">
        <v>266</v>
      </c>
      <c r="E545" s="133" t="str">
        <f>_xlfn.XLOOKUP(E525,CurrentPlans!B:B,CurrentPlans!AE:AE,"NA",0,1)</f>
        <v>NA</v>
      </c>
      <c r="F545" s="134"/>
      <c r="G545" s="134"/>
      <c r="H545" s="134"/>
      <c r="I545" s="133"/>
      <c r="J545" s="135"/>
      <c r="K545"/>
      <c r="L545" s="136" t="str">
        <f>_xlfn.XLOOKUP(L525,RenewalPlans!B:B,RenewalPlans!AH:AH,"NA",0,1)</f>
        <v>NA</v>
      </c>
      <c r="M545" s="134"/>
      <c r="N545" s="134"/>
      <c r="O545" s="134"/>
      <c r="P545" s="133"/>
      <c r="Q545" s="134"/>
      <c r="R545" s="135"/>
      <c r="T545" s="136" t="str">
        <f>_xlfn.XLOOKUP(T525,RenewalPlans!B:B,RenewalPlans!AH:AH,"NA",0,1)</f>
        <v>NA</v>
      </c>
      <c r="U545" s="134"/>
      <c r="V545" s="134"/>
      <c r="W545" s="134"/>
      <c r="X545" s="133"/>
      <c r="Y545" s="134"/>
      <c r="Z545" s="135"/>
    </row>
    <row r="546" spans="1:26" ht="18" customHeight="1" hidden="1">
      <c r="A546" s="140"/>
      <c r="B546" s="140"/>
      <c r="D546" s="120" t="s">
        <v>267</v>
      </c>
      <c r="E546" s="130" t="str">
        <f>_xlfn.XLOOKUP(E525,CurrentPlans!B:B,CurrentPlans!AF:AF,"NA",0,1)</f>
        <v>NA</v>
      </c>
      <c r="F546" s="122"/>
      <c r="G546" s="122"/>
      <c r="H546" s="122"/>
      <c r="I546" s="130"/>
      <c r="J546" s="123"/>
      <c r="K546"/>
      <c r="L546" s="131" t="str">
        <f>_xlfn.XLOOKUP(L525,RenewalPlans!B:B,RenewalPlans!AI:AI,"NA",0,1)</f>
        <v>NA</v>
      </c>
      <c r="M546" s="122"/>
      <c r="N546" s="122"/>
      <c r="O546" s="122"/>
      <c r="P546" s="130"/>
      <c r="Q546" s="122"/>
      <c r="R546" s="123"/>
      <c r="T546" s="131" t="str">
        <f>_xlfn.XLOOKUP(T525,RenewalPlans!B:B,RenewalPlans!AI:AI,"NA",0,1)</f>
        <v>NA</v>
      </c>
      <c r="U546" s="122"/>
      <c r="V546" s="122"/>
      <c r="W546" s="122"/>
      <c r="X546" s="130"/>
      <c r="Y546" s="122"/>
      <c r="Z546" s="123"/>
    </row>
    <row r="547" spans="1:26" ht="18" customHeight="1" hidden="1">
      <c r="A547" s="140"/>
      <c r="B547" s="140"/>
      <c r="D547" s="198" t="s">
        <v>268</v>
      </c>
      <c r="E547" s="130" t="str">
        <f>_xlfn.XLOOKUP(E525,CurrentPlans!B:B,CurrentPlans!AH:AH,"NA",0,1)</f>
        <v>NA</v>
      </c>
      <c r="F547" s="200"/>
      <c r="G547" s="200"/>
      <c r="H547" s="200"/>
      <c r="I547" s="130"/>
      <c r="J547" s="201"/>
      <c r="K547"/>
      <c r="L547" s="131" t="str">
        <f>_xlfn.XLOOKUP(L525,RenewalPlans!B:B,RenewalPlans!AK:AK,"NA",0,1)</f>
        <v>NA</v>
      </c>
      <c r="M547" s="200"/>
      <c r="N547" s="200"/>
      <c r="O547" s="200"/>
      <c r="P547" s="130"/>
      <c r="Q547" s="200"/>
      <c r="R547" s="201"/>
      <c r="T547" s="131" t="str">
        <f>_xlfn.XLOOKUP(T525,RenewalPlans!B:B,RenewalPlans!AK:AK,"NA",0,1)</f>
        <v>NA</v>
      </c>
      <c r="U547" s="200"/>
      <c r="V547" s="200"/>
      <c r="W547" s="200"/>
      <c r="X547" s="130"/>
      <c r="Y547" s="200"/>
      <c r="Z547" s="201"/>
    </row>
    <row r="548" spans="1:26" ht="18" customHeight="1" hidden="1">
      <c r="A548" s="140"/>
      <c r="B548" s="140"/>
      <c r="D548" s="198" t="s">
        <v>269</v>
      </c>
      <c r="E548" s="130" t="str">
        <f>_xlfn.XLOOKUP(E525,CurrentPlans!B:B,CurrentPlans!AG:AG,"NA",0,1)</f>
        <v>NA</v>
      </c>
      <c r="F548" s="200"/>
      <c r="G548" s="200"/>
      <c r="H548" s="200"/>
      <c r="I548" s="130"/>
      <c r="J548" s="201"/>
      <c r="K548"/>
      <c r="L548" s="131" t="str">
        <f>_xlfn.XLOOKUP(L525,RenewalPlans!B:B,RenewalPlans!AJ:AJ,"NA",0,1)</f>
        <v>NA</v>
      </c>
      <c r="M548" s="200"/>
      <c r="N548" s="200"/>
      <c r="O548" s="200"/>
      <c r="P548" s="130"/>
      <c r="Q548" s="200"/>
      <c r="R548" s="201"/>
      <c r="T548" s="131" t="str">
        <f>_xlfn.XLOOKUP(T525,RenewalPlans!B:B,RenewalPlans!AJ:AJ,"NA",0,1)</f>
        <v>NA</v>
      </c>
      <c r="U548" s="200"/>
      <c r="V548" s="200"/>
      <c r="W548" s="200"/>
      <c r="X548" s="130"/>
      <c r="Y548" s="200"/>
      <c r="Z548" s="201"/>
    </row>
    <row r="549" spans="1:26" ht="18" customHeight="1" hidden="1">
      <c r="A549" s="140"/>
      <c r="B549" s="140"/>
      <c r="D549" s="213" t="s">
        <v>270</v>
      </c>
      <c r="E549" s="216" t="str">
        <f>_xlfn.XLOOKUP(E525,CurrentPlans!B:B,CurrentPlans!AU:AU,"NA",0,1)</f>
        <v>NA</v>
      </c>
      <c r="F549" s="214"/>
      <c r="G549" s="214"/>
      <c r="H549" s="214"/>
      <c r="I549" s="217"/>
      <c r="J549" s="215"/>
      <c r="K549"/>
      <c r="L549" s="218" t="str">
        <f>_xlfn.XLOOKUP(L525,RenewalPlans!B:B,RenewalPlans!AX:AX,"NA",0,1)</f>
        <v>NA</v>
      </c>
      <c r="M549" s="214"/>
      <c r="N549" s="214"/>
      <c r="O549" s="214"/>
      <c r="P549" s="217"/>
      <c r="Q549" s="214"/>
      <c r="R549" s="215"/>
      <c r="T549" s="218" t="str">
        <f>_xlfn.XLOOKUP(T525,RenewalPlans!B:B,RenewalPlans!AX:AX,"NA",0,1)</f>
        <v>NA</v>
      </c>
      <c r="U549" s="214"/>
      <c r="V549" s="214"/>
      <c r="W549" s="214"/>
      <c r="X549" s="217"/>
      <c r="Y549" s="214"/>
      <c r="Z549" s="215"/>
    </row>
    <row r="550" spans="1:26" ht="18" customHeight="1" hidden="1">
      <c r="A550" s="140"/>
      <c r="B550" s="140"/>
      <c r="D550" s="213" t="s">
        <v>271</v>
      </c>
      <c r="E550" s="216" t="str">
        <f>_xlfn.XLOOKUP(E525,CurrentPlans!B:B,CurrentPlans!AT:AT,"NA",0,1)</f>
        <v>NA</v>
      </c>
      <c r="F550" s="214"/>
      <c r="G550" s="214"/>
      <c r="H550" s="214"/>
      <c r="I550" s="217"/>
      <c r="J550" s="215"/>
      <c r="K550"/>
      <c r="L550" s="218" t="str">
        <f>_xlfn.XLOOKUP(L525,RenewalPlans!B:B,RenewalPlans!AW:AW,"NA",0,1)</f>
        <v>NA</v>
      </c>
      <c r="M550" s="214"/>
      <c r="N550" s="214"/>
      <c r="O550" s="214"/>
      <c r="P550" s="217"/>
      <c r="Q550" s="214"/>
      <c r="R550" s="215"/>
      <c r="T550" s="218" t="str">
        <f>_xlfn.XLOOKUP(T525,RenewalPlans!B:B,RenewalPlans!AW:AW,"NA",0,1)</f>
        <v>NA</v>
      </c>
      <c r="U550" s="214"/>
      <c r="V550" s="214"/>
      <c r="W550" s="214"/>
      <c r="X550" s="217"/>
      <c r="Y550" s="214"/>
      <c r="Z550" s="215"/>
    </row>
    <row r="551" spans="1:26" ht="18" customHeight="1" hidden="1">
      <c r="A551" s="140"/>
      <c r="B551" s="140"/>
      <c r="D551" s="198" t="s">
        <v>272</v>
      </c>
      <c r="E551" s="130" t="str">
        <f>_xlfn.XLOOKUP(E525,CurrentPlans!B:B,CurrentPlans!AD:AD,"NA",0,1)</f>
        <v>NA</v>
      </c>
      <c r="F551" s="200"/>
      <c r="G551" s="200"/>
      <c r="H551" s="200"/>
      <c r="I551" s="130"/>
      <c r="J551" s="201"/>
      <c r="K551"/>
      <c r="L551" s="131" t="str">
        <f>_xlfn.XLOOKUP(L525,RenewalPlans!B:B,RenewalPlans!AG:AG,"NA",0,1)</f>
        <v>NA</v>
      </c>
      <c r="M551" s="200"/>
      <c r="N551" s="200"/>
      <c r="O551" s="200"/>
      <c r="P551" s="130"/>
      <c r="Q551" s="200"/>
      <c r="R551" s="201"/>
      <c r="T551" s="131" t="str">
        <f>_xlfn.XLOOKUP(T525,RenewalPlans!B:B,RenewalPlans!AG:AG,"NA",0,1)</f>
        <v>NA</v>
      </c>
      <c r="U551" s="200"/>
      <c r="V551" s="200"/>
      <c r="W551" s="200"/>
      <c r="X551" s="130"/>
      <c r="Y551" s="200"/>
      <c r="Z551" s="201"/>
    </row>
    <row r="552" spans="1:26" ht="18" customHeight="1" hidden="1">
      <c r="A552" s="140"/>
      <c r="B552" s="140"/>
      <c r="D552" s="198" t="s">
        <v>273</v>
      </c>
      <c r="E552" s="200"/>
      <c r="F552" s="200"/>
      <c r="G552" s="200"/>
      <c r="H552" s="200"/>
      <c r="I552" s="200"/>
      <c r="J552" s="201"/>
      <c r="K552"/>
      <c r="L552" s="198"/>
      <c r="M552" s="200"/>
      <c r="N552" s="200"/>
      <c r="O552" s="200"/>
      <c r="P552" s="200"/>
      <c r="Q552" s="200"/>
      <c r="R552" s="201"/>
      <c r="T552" s="198"/>
      <c r="U552" s="200"/>
      <c r="V552" s="200"/>
      <c r="W552" s="200"/>
      <c r="X552" s="200"/>
      <c r="Y552" s="200"/>
      <c r="Z552" s="201"/>
    </row>
    <row r="553" spans="1:26" ht="18" customHeight="1" hidden="1">
      <c r="A553" s="140"/>
      <c r="B553" s="140"/>
      <c r="D553" s="210"/>
      <c r="E553" s="211"/>
      <c r="F553" s="211"/>
      <c r="G553" s="211"/>
      <c r="H553" s="211"/>
      <c r="I553" s="211"/>
      <c r="J553" s="212"/>
      <c r="K553"/>
      <c r="L553" s="210"/>
      <c r="M553" s="211"/>
      <c r="N553" s="211"/>
      <c r="O553" s="211"/>
      <c r="P553" s="211"/>
      <c r="Q553" s="211"/>
      <c r="R553" s="212"/>
      <c r="T553" s="210"/>
      <c r="U553" s="211"/>
      <c r="V553" s="211"/>
      <c r="W553" s="211"/>
      <c r="X553" s="211"/>
      <c r="Y553" s="211"/>
      <c r="Z553" s="212"/>
    </row>
    <row r="554" spans="1:26" ht="18" customHeight="1" hidden="1">
      <c r="A554" s="140"/>
      <c r="B554" s="140"/>
      <c r="D554" s="219" t="s">
        <v>274</v>
      </c>
      <c r="E554" s="220"/>
      <c r="F554" s="220"/>
      <c r="G554" s="220"/>
      <c r="H554" s="220"/>
      <c r="I554" s="220"/>
      <c r="J554" s="221"/>
      <c r="K554"/>
      <c r="L554" s="222"/>
      <c r="M554" s="220"/>
      <c r="N554" s="220"/>
      <c r="O554" s="220"/>
      <c r="P554" s="220"/>
      <c r="Q554" s="220"/>
      <c r="R554" s="221"/>
      <c r="T554" s="222"/>
      <c r="U554" s="220"/>
      <c r="V554" s="220"/>
      <c r="W554" s="220"/>
      <c r="X554" s="220"/>
      <c r="Y554" s="220"/>
      <c r="Z554" s="221"/>
    </row>
    <row r="555" spans="1:26" ht="18" customHeight="1" hidden="1">
      <c r="A555" s="140"/>
      <c r="B555" s="140"/>
      <c r="D555" s="223" t="s">
        <v>250</v>
      </c>
      <c r="E555" s="205"/>
      <c r="F555" s="205"/>
      <c r="G555" s="205"/>
      <c r="H555" s="205"/>
      <c r="I555" s="205"/>
      <c r="J555" s="206"/>
      <c r="K555"/>
      <c r="L555" s="203"/>
      <c r="M555" s="205"/>
      <c r="N555" s="205"/>
      <c r="O555" s="205"/>
      <c r="P555" s="205"/>
      <c r="Q555" s="205"/>
      <c r="R555" s="206"/>
      <c r="T555" s="203"/>
      <c r="U555" s="205"/>
      <c r="V555" s="205"/>
      <c r="W555" s="205"/>
      <c r="X555" s="205"/>
      <c r="Y555" s="205"/>
      <c r="Z555" s="206"/>
    </row>
    <row r="556" spans="1:26" ht="18" customHeight="1" hidden="1">
      <c r="A556" s="140"/>
      <c r="B556" s="140"/>
      <c r="D556" s="198" t="s">
        <v>251</v>
      </c>
      <c r="E556" s="130" t="str">
        <f>_xlfn.XLOOKUP(E525,CurrentPlans!B:B,CurrentPlans!AP:AP,"NA",0,1)</f>
        <v>NA</v>
      </c>
      <c r="F556" s="200"/>
      <c r="G556" s="200"/>
      <c r="H556" s="200"/>
      <c r="I556" s="130"/>
      <c r="J556" s="201"/>
      <c r="K556"/>
      <c r="L556" s="131" t="str">
        <f>_xlfn.XLOOKUP(L525,RenewalPlans!B:B,RenewalPlans!AS:AS,"NA",0,1)</f>
        <v>NA</v>
      </c>
      <c r="M556" s="200"/>
      <c r="N556" s="200"/>
      <c r="O556" s="200"/>
      <c r="P556" s="130"/>
      <c r="Q556" s="200"/>
      <c r="R556" s="201"/>
      <c r="T556" s="131" t="str">
        <f>_xlfn.XLOOKUP(T525,RenewalPlans!B:B,RenewalPlans!AS:AS,"NA",0,1)</f>
        <v>NA</v>
      </c>
      <c r="U556" s="200"/>
      <c r="V556" s="200"/>
      <c r="W556" s="200"/>
      <c r="X556" s="130"/>
      <c r="Y556" s="200"/>
      <c r="Z556" s="201"/>
    </row>
    <row r="557" spans="1:26" ht="18" customHeight="1" hidden="1">
      <c r="A557" s="140"/>
      <c r="B557" s="140"/>
      <c r="D557" s="198" t="s">
        <v>252</v>
      </c>
      <c r="E557" s="130" t="str">
        <f>_xlfn.XLOOKUP(E525,CurrentPlans!B:B,CurrentPlans!AQ:AQ,"NA",0,1)</f>
        <v>NA</v>
      </c>
      <c r="F557" s="200"/>
      <c r="G557" s="200"/>
      <c r="H557" s="200"/>
      <c r="I557" s="130"/>
      <c r="J557" s="201"/>
      <c r="K557"/>
      <c r="L557" s="131" t="str">
        <f>_xlfn.XLOOKUP(L525,RenewalPlans!B:B,RenewalPlans!AT:AT,"NA",0,1)</f>
        <v>NA</v>
      </c>
      <c r="M557" s="200"/>
      <c r="N557" s="200"/>
      <c r="O557" s="200"/>
      <c r="P557" s="130"/>
      <c r="Q557" s="200"/>
      <c r="R557" s="201"/>
      <c r="T557" s="131" t="str">
        <f>_xlfn.XLOOKUP(T525,RenewalPlans!B:B,RenewalPlans!AT:AT,"NA",0,1)</f>
        <v>NA</v>
      </c>
      <c r="U557" s="200"/>
      <c r="V557" s="200"/>
      <c r="W557" s="200"/>
      <c r="X557" s="130"/>
      <c r="Y557" s="200"/>
      <c r="Z557" s="201"/>
    </row>
    <row r="558" spans="1:26" ht="18" customHeight="1" hidden="1">
      <c r="A558" s="140"/>
      <c r="B558" s="140"/>
      <c r="D558" s="120" t="s">
        <v>253</v>
      </c>
      <c r="E558" s="133" t="str">
        <f>_xlfn.XLOOKUP(E525,CurrentPlans!B:B,CurrentPlans!AO:AO,"NA",0,1)</f>
        <v>NA</v>
      </c>
      <c r="F558" s="122"/>
      <c r="G558" s="122"/>
      <c r="H558" s="122"/>
      <c r="I558" s="133"/>
      <c r="J558" s="123"/>
      <c r="K558"/>
      <c r="L558" s="136" t="str">
        <f>_xlfn.XLOOKUP(L525,RenewalPlans!B:B,RenewalPlans!AR:AR,"NA",0,1)</f>
        <v>NA</v>
      </c>
      <c r="M558" s="122"/>
      <c r="N558" s="122"/>
      <c r="O558" s="122"/>
      <c r="P558" s="133"/>
      <c r="Q558" s="122"/>
      <c r="R558" s="123"/>
      <c r="T558" s="136" t="str">
        <f>_xlfn.XLOOKUP(T525,RenewalPlans!B:B,RenewalPlans!AR:AR,"NA",0,1)</f>
        <v>NA</v>
      </c>
      <c r="U558" s="122"/>
      <c r="V558" s="122"/>
      <c r="W558" s="122"/>
      <c r="X558" s="133"/>
      <c r="Y558" s="122"/>
      <c r="Z558" s="123"/>
    </row>
    <row r="559" spans="1:26" ht="18" customHeight="1" hidden="1">
      <c r="A559" s="140"/>
      <c r="B559" s="140"/>
      <c r="D559" s="223" t="s">
        <v>254</v>
      </c>
      <c r="E559" s="205"/>
      <c r="F559" s="205"/>
      <c r="G559" s="205"/>
      <c r="H559" s="205"/>
      <c r="I559" s="205"/>
      <c r="J559" s="206"/>
      <c r="K559"/>
      <c r="L559" s="203"/>
      <c r="M559" s="205"/>
      <c r="N559" s="205"/>
      <c r="O559" s="205"/>
      <c r="P559" s="205"/>
      <c r="Q559" s="205"/>
      <c r="R559" s="206"/>
      <c r="T559" s="203"/>
      <c r="U559" s="205"/>
      <c r="V559" s="205"/>
      <c r="W559" s="205"/>
      <c r="X559" s="205"/>
      <c r="Y559" s="205"/>
      <c r="Z559" s="206"/>
    </row>
    <row r="560" spans="1:26" ht="18" customHeight="1" hidden="1">
      <c r="A560" s="140"/>
      <c r="B560" s="140"/>
      <c r="D560" s="198" t="s">
        <v>255</v>
      </c>
      <c r="E560" s="130" t="str">
        <f>_xlfn.XLOOKUP(E525,CurrentPlans!B:B,CurrentPlans!AR:AR,"NA",0,1)</f>
        <v>NA</v>
      </c>
      <c r="F560" s="200"/>
      <c r="G560" s="200"/>
      <c r="H560" s="200"/>
      <c r="I560" s="130"/>
      <c r="J560" s="201"/>
      <c r="K560"/>
      <c r="L560" s="131" t="str">
        <f>_xlfn.XLOOKUP(L525,RenewalPlans!B:B,RenewalPlans!AU:AU,"NA",0,1)</f>
        <v>NA</v>
      </c>
      <c r="M560" s="200"/>
      <c r="N560" s="200"/>
      <c r="O560" s="200"/>
      <c r="P560" s="130"/>
      <c r="Q560" s="200"/>
      <c r="R560" s="201"/>
      <c r="T560" s="131" t="str">
        <f>_xlfn.XLOOKUP(T525,RenewalPlans!B:B,RenewalPlans!AU:AU,"NA",0,1)</f>
        <v>NA</v>
      </c>
      <c r="U560" s="200"/>
      <c r="V560" s="200"/>
      <c r="W560" s="200"/>
      <c r="X560" s="130"/>
      <c r="Y560" s="200"/>
      <c r="Z560" s="201"/>
    </row>
    <row r="561" spans="1:26" ht="18" customHeight="1" hidden="1" thickBot="1">
      <c r="A561" s="140"/>
      <c r="B561" s="140"/>
      <c r="D561" s="224" t="s">
        <v>256</v>
      </c>
      <c r="E561" s="137" t="str">
        <f>_xlfn.XLOOKUP(E525,CurrentPlans!B:B,CurrentPlans!AS:AS,"NA",0,1)</f>
        <v>NA</v>
      </c>
      <c r="F561" s="225"/>
      <c r="G561" s="225"/>
      <c r="H561" s="225"/>
      <c r="I561" s="137"/>
      <c r="J561" s="226"/>
      <c r="K561"/>
      <c r="L561" s="138" t="str">
        <f>_xlfn.XLOOKUP(L525,RenewalPlans!B:B,RenewalPlans!AV:AV,"NA",0,1)</f>
        <v>NA</v>
      </c>
      <c r="M561" s="225"/>
      <c r="N561" s="225"/>
      <c r="O561" s="225"/>
      <c r="P561" s="137"/>
      <c r="Q561" s="225"/>
      <c r="R561" s="226"/>
      <c r="T561" s="138" t="str">
        <f>_xlfn.XLOOKUP(T525,RenewalPlans!B:B,RenewalPlans!AV:AV,"NA",0,1)</f>
        <v>NA</v>
      </c>
      <c r="U561" s="225"/>
      <c r="V561" s="225"/>
      <c r="W561" s="225"/>
      <c r="X561" s="137"/>
      <c r="Y561" s="225"/>
      <c r="Z561" s="226"/>
    </row>
    <row r="562" spans="1:26" ht="18" customHeight="1">
      <c r="A562" s="140"/>
      <c r="B562" s="140"/>
      <c r="D562" s="227"/>
      <c r="E562" s="176"/>
      <c r="F562" s="178"/>
      <c r="G562" s="179"/>
      <c r="H562" s="178"/>
      <c r="I562" s="176"/>
      <c r="J562" s="228"/>
      <c r="K562"/>
      <c r="L562" s="178"/>
      <c r="M562" s="176"/>
      <c r="N562" s="139"/>
      <c r="O562" s="178"/>
      <c r="P562" s="178"/>
      <c r="Q562" s="178"/>
      <c r="R562" s="228"/>
      <c r="T562" s="178"/>
      <c r="U562" s="176"/>
      <c r="V562" s="139"/>
      <c r="W562" s="178"/>
      <c r="X562" s="178"/>
      <c r="Y562" s="178"/>
      <c r="Z562" s="228"/>
    </row>
    <row r="563" spans="1:26" ht="5.25" customHeight="1" thickBot="1">
      <c r="A563" s="140"/>
      <c r="B563" s="140"/>
      <c r="D563" s="229"/>
      <c r="E563" s="229"/>
      <c r="F563" s="230"/>
      <c r="G563" s="231"/>
      <c r="H563" s="232"/>
      <c r="I563" s="233"/>
      <c r="J563" s="233"/>
      <c r="K563"/>
      <c r="L563" s="233"/>
      <c r="M563" s="233"/>
      <c r="N563" s="233"/>
      <c r="O563" s="233"/>
      <c r="P563" s="233"/>
      <c r="Q563" s="233"/>
      <c r="R563" s="233"/>
      <c r="T563" s="233"/>
      <c r="U563" s="233"/>
      <c r="V563" s="233"/>
      <c r="W563" s="233"/>
      <c r="X563" s="233"/>
      <c r="Y563" s="233"/>
      <c r="Z563" s="233"/>
    </row>
    <row r="564" spans="1:26" ht="50.15" customHeight="1">
      <c r="A564" s="140"/>
      <c r="B564" s="140"/>
      <c r="C564" s="164" t="s">
        <v>286</v>
      </c>
      <c r="D564" s="275" t="s">
        <v>285</v>
      </c>
      <c r="E564" s="165"/>
      <c r="F564" s="272"/>
      <c r="G564" s="166"/>
      <c r="H564" s="167"/>
      <c r="I564" s="168"/>
      <c r="J564" s="169"/>
      <c r="K564"/>
      <c r="L564" s="274" t="s">
        <v>38</v>
      </c>
      <c r="M564" s="170"/>
      <c r="N564" s="274" t="s">
        <v>237</v>
      </c>
      <c r="O564" s="171"/>
      <c r="P564" s="171"/>
      <c r="Q564" s="171"/>
      <c r="R564" s="169"/>
      <c r="T564" s="274" t="s">
        <v>38</v>
      </c>
      <c r="U564" s="170"/>
      <c r="V564" s="274" t="s">
        <v>237</v>
      </c>
      <c r="W564" s="171"/>
      <c r="X564" s="171"/>
      <c r="Y564" s="171"/>
      <c r="Z564" s="169"/>
    </row>
    <row r="565" spans="1:26" ht="18.75" customHeight="1">
      <c r="A565" s="140"/>
      <c r="B565" s="140"/>
      <c r="D565" s="172" t="s">
        <v>238</v>
      </c>
      <c r="E565" s="407"/>
      <c r="F565" s="449"/>
      <c r="G565" s="470"/>
      <c r="H565" s="449"/>
      <c r="I565" s="450" t="str">
        <f>IFERROR(IF(E565="","",F565-H565),"")</f>
        <v/>
      </c>
      <c r="J565" s="410"/>
      <c r="K565" s="411"/>
      <c r="L565" s="408" t="str" cm="1">
        <f t="array" ca="1" aca="1" ref="L565">_xlfn.IFNA(VLOOKUP(INDIRECT("L"&amp;ROW()-1)&amp;"_"&amp;$D$12,BEGIN_RENEW_HEALTH:END_RENEW_HEALTH,RENEW_COL_EO,FALSE),"")</f>
        <v/>
      </c>
      <c r="M565" s="412" t="str">
        <f>IF(E565="","",E565)</f>
        <v/>
      </c>
      <c r="N565" s="413"/>
      <c r="O565" s="414"/>
      <c r="P565" s="415" t="str">
        <f>IFERROR(IF($N564="Keep Contribution Same",H565,IF($N564="Enter Percentages",IF(N565="","",N565*L565),IF($N564="Keep Percentage Same",IF(G565="","",G565*L565),IF($N564="Enter Dollar Amount",IF(O565="","",O565),"")))),"")</f>
        <v/>
      </c>
      <c r="Q565" s="408" t="str">
        <f ca="1">IFERROR(L565-P565,"")</f>
        <v/>
      </c>
      <c r="R565" s="410" t="str">
        <f>IFERROR(IF(P565="","",M565*P565),"")</f>
        <v/>
      </c>
      <c r="S565" s="411"/>
      <c r="T565" s="408" t="str" cm="1">
        <f t="array" ca="1" aca="1" ref="T565">_xlfn.IFNA(VLOOKUP(INDIRECT("T"&amp;ROW()-1)&amp;"_"&amp;$D$12,BEGIN_RENEW_HEALTH:END_RENEW_HEALTH,RENEW_COL_EO,FALSE),"")</f>
        <v/>
      </c>
      <c r="U565" s="412" t="str">
        <f>IF(E565="","",E565)</f>
        <v/>
      </c>
      <c r="V565" s="413"/>
      <c r="W565" s="414"/>
      <c r="X565" s="415" t="str">
        <f>IFERROR(IF($V564="Keep Contribution Same",H565,IF($V564="Enter Percentages",IF(V565="","",V565*T565),IF($V564="Keep Percentage Same",IF(G565="","",G565*T565),IF($V564="Enter Dollar Amount",IF(W565="","",W565),"")))),"")</f>
        <v/>
      </c>
      <c r="Y565" s="408" t="str">
        <f ca="1">IFERROR(T565-X565,"")</f>
        <v/>
      </c>
      <c r="Z565" s="410" t="str">
        <f>IFERROR(IF(X565="","",U565*X565),"")</f>
        <v/>
      </c>
    </row>
    <row r="566" spans="1:26" ht="18.75" customHeight="1">
      <c r="A566" s="140"/>
      <c r="B566" s="140"/>
      <c r="D566" s="172" t="s">
        <v>239</v>
      </c>
      <c r="E566" s="407"/>
      <c r="F566" s="449"/>
      <c r="G566" s="470"/>
      <c r="H566" s="449"/>
      <c r="I566" s="450" t="str">
        <f t="shared" si="55" ref="I566:I568">IFERROR(IF(E566="","",F566-H566),"")</f>
        <v/>
      </c>
      <c r="J566" s="410"/>
      <c r="K566" s="411"/>
      <c r="L566" s="408" t="str" cm="1">
        <f t="array" ca="1" aca="1" ref="L566">_xlfn.IFNA(VLOOKUP(INDIRECT("L"&amp;ROW()-2)&amp;"_"&amp;$D$12,BEGIN_RENEW_HEALTH:END_RENEW_HEALTH,RENEW_COL_ES,FALSE),"")</f>
        <v/>
      </c>
      <c r="M566" s="412" t="str">
        <f>IF(E566="","",E566)</f>
        <v/>
      </c>
      <c r="N566" s="413"/>
      <c r="O566" s="414"/>
      <c r="P566" s="415" t="str">
        <f>IFERROR(IF($N564="Keep Contribution Same",H566,IF($N564="Enter Percentages",IF(N566="","",N566*L566),IF($N564="Keep Percentage Same",IF(G566="","",G566*L566),IF($N564="Enter Dollar Amount",IF(O566="","",O566),"")))),"")</f>
        <v/>
      </c>
      <c r="Q566" s="408" t="str">
        <f ca="1" t="shared" si="56" ref="Q566:Q568">IFERROR(L566-P566,"")</f>
        <v/>
      </c>
      <c r="R566" s="410" t="str">
        <f>IFERROR(IF(P566="","",M566*P566),"")</f>
        <v/>
      </c>
      <c r="S566" s="411"/>
      <c r="T566" s="408" t="str" cm="1">
        <f t="array" ca="1" aca="1" ref="T566">_xlfn.IFNA(VLOOKUP(INDIRECT("T"&amp;ROW()-2)&amp;"_"&amp;$D$12,BEGIN_RENEW_HEALTH:END_RENEW_HEALTH,RENEW_COL_ES,FALSE),"")</f>
        <v/>
      </c>
      <c r="U566" s="412" t="str">
        <f t="shared" si="57" ref="U566:U568">IF(E566="","",E566)</f>
        <v/>
      </c>
      <c r="V566" s="413"/>
      <c r="W566" s="414"/>
      <c r="X566" s="415" t="str">
        <f>IFERROR(IF($V564="Keep Contribution Same",H566,IF($V564="Enter Percentages",IF(V566="","",V566*T566),IF($V564="Keep Percentage Same",IF(G566="","",G566*T566),IF($V564="Enter Dollar Amount",IF(W566="","",W566),"")))),"")</f>
        <v/>
      </c>
      <c r="Y566" s="408" t="str">
        <f ca="1" t="shared" si="58" ref="Y566:Y568">IFERROR(T566-X566,"")</f>
        <v/>
      </c>
      <c r="Z566" s="410" t="str">
        <f t="shared" si="59" ref="Z566:Z568">IFERROR(IF(X566="","",U566*X566),"")</f>
        <v/>
      </c>
    </row>
    <row r="567" spans="1:26" ht="18.75" customHeight="1">
      <c r="A567" s="140"/>
      <c r="B567" s="140"/>
      <c r="D567" s="172" t="s">
        <v>240</v>
      </c>
      <c r="E567" s="407"/>
      <c r="F567" s="449"/>
      <c r="G567" s="470"/>
      <c r="H567" s="449"/>
      <c r="I567" s="450" t="str">
        <f t="shared" si="55"/>
        <v/>
      </c>
      <c r="J567" s="410"/>
      <c r="K567" s="411"/>
      <c r="L567" s="408" t="str" cm="1">
        <f t="array" ca="1" aca="1" ref="L567">_xlfn.IFNA(VLOOKUP(INDIRECT("L"&amp;ROW()-3)&amp;"_"&amp;$D$12,BEGIN_RENEW_HEALTH:END_RENEW_HEALTH,RENEW_COL_EC,FALSE),"")</f>
        <v/>
      </c>
      <c r="M567" s="412" t="str">
        <f>IF(E567="","",E567)</f>
        <v/>
      </c>
      <c r="N567" s="413"/>
      <c r="O567" s="414"/>
      <c r="P567" s="415" t="str">
        <f>IFERROR(IF($N564="Keep Contribution Same",H567,IF($N564="Enter Percentages",IF(N567="","",N567*L567),IF($N564="Keep Percentage Same",IF(G567="","",G567*L567),IF($N564="Enter Dollar Amount",IF(O567="","",O567),"")))),"")</f>
        <v/>
      </c>
      <c r="Q567" s="408" t="str">
        <f t="shared" ca="1" si="56"/>
        <v/>
      </c>
      <c r="R567" s="410" t="str">
        <f>IFERROR(IF(P567="","",M567*P567),"")</f>
        <v/>
      </c>
      <c r="S567" s="411"/>
      <c r="T567" s="408" t="str" cm="1">
        <f t="array" ca="1" aca="1" ref="T567">_xlfn.IFNA(VLOOKUP(INDIRECT("T"&amp;ROW()-3)&amp;"_"&amp;$D$12,BEGIN_RENEW_HEALTH:END_RENEW_HEALTH,RENEW_COL_EC,FALSE),"")</f>
        <v/>
      </c>
      <c r="U567" s="412" t="str">
        <f t="shared" si="57"/>
        <v/>
      </c>
      <c r="V567" s="413"/>
      <c r="W567" s="414"/>
      <c r="X567" s="415" t="str">
        <f>IFERROR(IF($V564="Keep Contribution Same",H567,IF($V564="Enter Percentages",IF(V567="","",V567*T567),IF($V564="Keep Percentage Same",IF(G567="","",G567*T567),IF($V564="Enter Dollar Amount",IF(W567="","",W567),"")))),"")</f>
        <v/>
      </c>
      <c r="Y567" s="408" t="str">
        <f t="shared" ca="1" si="58"/>
        <v/>
      </c>
      <c r="Z567" s="410" t="str">
        <f t="shared" si="59"/>
        <v/>
      </c>
    </row>
    <row r="568" spans="1:26" ht="18.75" customHeight="1" thickBot="1">
      <c r="A568" s="140"/>
      <c r="B568" s="140"/>
      <c r="D568" s="174" t="s">
        <v>241</v>
      </c>
      <c r="E568" s="416"/>
      <c r="F568" s="451"/>
      <c r="G568" s="471"/>
      <c r="H568" s="451"/>
      <c r="I568" s="452" t="str">
        <f t="shared" si="55"/>
        <v/>
      </c>
      <c r="J568" s="419"/>
      <c r="K568" s="411"/>
      <c r="L568" s="417" t="str" cm="1">
        <f t="array" ca="1" aca="1" ref="L568">_xlfn.IFNA(VLOOKUP(INDIRECT("L"&amp;ROW()-4)&amp;"_"&amp;$D$12,BEGIN_RENEW_HEALTH:END_RENEW_HEALTH,RENEW_COL_FAM,FALSE),"")</f>
        <v/>
      </c>
      <c r="M568" s="423" t="str">
        <f>IF(E568="","",E568)</f>
        <v/>
      </c>
      <c r="N568" s="420"/>
      <c r="O568" s="421"/>
      <c r="P568" s="422" t="str">
        <f>IFERROR(IF($N564="Keep Contribution Same",H568,IF($N564="Enter Percentages",IF(N568="","",N568*L568),IF($N564="Keep Percentage Same",IF(G568="","",G568*L568),IF($N564="Enter Dollar Amount",IF(O568="","",O568),"")))),"")</f>
        <v/>
      </c>
      <c r="Q568" s="417" t="str">
        <f t="shared" ca="1" si="56"/>
        <v/>
      </c>
      <c r="R568" s="419" t="str">
        <f>IFERROR(IF(P568="","",M568*P568),"")</f>
        <v/>
      </c>
      <c r="S568" s="411"/>
      <c r="T568" s="417" t="str" cm="1">
        <f t="array" ca="1" aca="1" ref="T568">_xlfn.IFNA(VLOOKUP(INDIRECT("T"&amp;ROW()-4)&amp;"_"&amp;$D$12,BEGIN_RENEW_HEALTH:END_RENEW_HEALTH,RENEW_COL_FAM,FALSE),"")</f>
        <v/>
      </c>
      <c r="U568" s="423" t="str">
        <f t="shared" si="57"/>
        <v/>
      </c>
      <c r="V568" s="420"/>
      <c r="W568" s="421"/>
      <c r="X568" s="422" t="str">
        <f>IFERROR(IF($V564="Keep Contribution Same",H568,IF($V564="Enter Percentages",IF(V568="","",V568*T568),IF($V564="Keep Percentage Same",IF(G568="","",G568*T568),IF($V564="Enter Dollar Amount",IF(W568="","",W568),"")))),"")</f>
        <v/>
      </c>
      <c r="Y568" s="417" t="str">
        <f t="shared" ca="1" si="58"/>
        <v/>
      </c>
      <c r="Z568" s="419" t="str">
        <f t="shared" si="59"/>
        <v/>
      </c>
    </row>
    <row r="569" spans="1:26" ht="18.75" customHeight="1" thickTop="1">
      <c r="A569" s="140"/>
      <c r="B569" s="140"/>
      <c r="D569" s="175" t="s">
        <v>242</v>
      </c>
      <c r="E569" s="424"/>
      <c r="F569" s="447">
        <f>IFERROR((F565*E565)+(F566*E566)+(F567*E567)+(F568*E568),"")</f>
        <v>0</v>
      </c>
      <c r="G569" s="426"/>
      <c r="H569" s="427"/>
      <c r="I569" s="428"/>
      <c r="J569" s="429" t="str">
        <f>IFERROR(IF(J565="","",SUM(J565:J568)),0)</f>
        <v/>
      </c>
      <c r="K569" s="1"/>
      <c r="L569" s="430" t="str">
        <f ca="1">IFERROR((M565*L565)+(M566*L566)+(M567*L567)+(M568*L568),"")</f>
        <v/>
      </c>
      <c r="M569" s="427"/>
      <c r="N569" s="426"/>
      <c r="O569" s="427"/>
      <c r="P569" s="431"/>
      <c r="Q569" s="432"/>
      <c r="R569" s="429" t="str">
        <f>IFERROR(IF(R565="","",SUM(R565:R568)),0)</f>
        <v/>
      </c>
      <c r="T569" s="430" t="str">
        <f ca="1">IFERROR((U565*T565)+(U566*T566)+(U567*T567)+(U568*T568),"")</f>
        <v/>
      </c>
      <c r="U569" s="427"/>
      <c r="V569" s="426"/>
      <c r="W569" s="427"/>
      <c r="X569" s="431"/>
      <c r="Y569" s="432"/>
      <c r="Z569" s="429" t="str">
        <f>IFERROR(IF(Z565="","",SUM(Z565:Z568)),0)</f>
        <v/>
      </c>
    </row>
    <row r="570" spans="1:26" ht="18.75" customHeight="1">
      <c r="A570" s="140"/>
      <c r="B570" s="140"/>
      <c r="D570" s="177" t="s">
        <v>243</v>
      </c>
      <c r="E570" s="433"/>
      <c r="F570" s="448">
        <f>IFERROR(F569*12,"")</f>
        <v>0</v>
      </c>
      <c r="G570" s="435"/>
      <c r="H570" s="436"/>
      <c r="I570" s="432"/>
      <c r="J570" s="437" t="str">
        <f>IF(J569="","",J569*12)</f>
        <v/>
      </c>
      <c r="K570" s="1"/>
      <c r="L570" s="438" t="str">
        <f ca="1">IFERROR(L569*12,"")</f>
        <v/>
      </c>
      <c r="M570" s="436"/>
      <c r="N570" s="435"/>
      <c r="O570" s="436"/>
      <c r="P570" s="432"/>
      <c r="Q570" s="432"/>
      <c r="R570" s="437" t="str">
        <f>IF(R569="","",R569*12)</f>
        <v/>
      </c>
      <c r="T570" s="438" t="str">
        <f ca="1">IFERROR(T569*12,"")</f>
        <v/>
      </c>
      <c r="U570" s="436"/>
      <c r="V570" s="435"/>
      <c r="W570" s="436"/>
      <c r="X570" s="432"/>
      <c r="Y570" s="432"/>
      <c r="Z570" s="437" t="str">
        <f>IF(Z569="","",Z569*12)</f>
        <v/>
      </c>
    </row>
    <row r="571" spans="1:26" ht="18" customHeight="1">
      <c r="A571" s="140"/>
      <c r="B571" s="140"/>
      <c r="D571" s="177" t="s">
        <v>244</v>
      </c>
      <c r="E571" s="433"/>
      <c r="F571" s="436"/>
      <c r="G571" s="435"/>
      <c r="H571" s="436"/>
      <c r="I571" s="432"/>
      <c r="J571" s="437" t="str">
        <f>IFERROR(IF(J570="","",R570-J570),0)</f>
        <v/>
      </c>
      <c r="K571" s="1"/>
      <c r="L571" s="434" t="str">
        <f ca="1">IFERROR(L570-F570,"")</f>
        <v/>
      </c>
      <c r="M571" s="436"/>
      <c r="N571" s="435"/>
      <c r="O571" s="436"/>
      <c r="P571" s="432"/>
      <c r="Q571" s="432"/>
      <c r="R571" s="437" t="str">
        <f>IFERROR(IF(J570="","",R570-J570),0)</f>
        <v/>
      </c>
      <c r="T571" s="434" t="str">
        <f ca="1">IFERROR(T570-F570,"")</f>
        <v/>
      </c>
      <c r="U571" s="436"/>
      <c r="V571" s="435"/>
      <c r="W571" s="436"/>
      <c r="X571" s="432"/>
      <c r="Y571" s="432"/>
      <c r="Z571" s="437" t="str">
        <f>IFERROR(IF(R570="","",Z570-R570),0)</f>
        <v/>
      </c>
    </row>
    <row r="572" spans="1:26" ht="18" customHeight="1" thickBot="1">
      <c r="A572" s="140"/>
      <c r="B572" s="140"/>
      <c r="D572" s="180" t="s">
        <v>245</v>
      </c>
      <c r="E572" s="439"/>
      <c r="F572" s="440"/>
      <c r="G572" s="441"/>
      <c r="H572" s="440"/>
      <c r="I572" s="442"/>
      <c r="J572" s="437" t="str">
        <f>IFERROR(IF(J570="","",(R570/J570)-1),0)</f>
        <v/>
      </c>
      <c r="K572" s="1"/>
      <c r="L572" s="444" t="str">
        <f ca="1">IFERROR(L570/F570-1,"")</f>
        <v/>
      </c>
      <c r="M572" s="440"/>
      <c r="N572" s="441"/>
      <c r="O572" s="440"/>
      <c r="P572" s="445"/>
      <c r="Q572" s="445"/>
      <c r="R572" s="453" t="str">
        <f>IFERROR(IF(J570="","",(R570/J570)-1),0)</f>
        <v/>
      </c>
      <c r="T572" s="444" t="str">
        <f ca="1">IFERROR(T570/F570-1,"")</f>
        <v/>
      </c>
      <c r="U572" s="440"/>
      <c r="V572" s="441"/>
      <c r="W572" s="440"/>
      <c r="X572" s="445"/>
      <c r="Y572" s="445"/>
      <c r="Z572" s="446" t="str">
        <f>IFERROR(IF(R570="","",(Z570/R570)-1),0)</f>
        <v/>
      </c>
    </row>
    <row r="573" spans="1:26" ht="18" customHeight="1">
      <c r="A573" s="140"/>
      <c r="B573" s="140"/>
      <c r="D573" s="181" t="s">
        <v>246</v>
      </c>
      <c r="E573" s="182"/>
      <c r="F573" s="182"/>
      <c r="G573" s="182"/>
      <c r="H573" s="182"/>
      <c r="I573" s="182"/>
      <c r="J573" s="183"/>
      <c r="K573"/>
      <c r="L573" s="184"/>
      <c r="M573" s="182"/>
      <c r="N573" s="182"/>
      <c r="O573" s="182"/>
      <c r="P573" s="182"/>
      <c r="Q573" s="182"/>
      <c r="R573" s="183"/>
      <c r="T573" s="184"/>
      <c r="U573" s="182"/>
      <c r="V573" s="182"/>
      <c r="W573" s="182"/>
      <c r="X573" s="182"/>
      <c r="Y573" s="182"/>
      <c r="Z573" s="183"/>
    </row>
    <row r="574" spans="1:26" ht="18" customHeight="1" hidden="1">
      <c r="A574" s="140"/>
      <c r="B574" s="140"/>
      <c r="D574" s="185" t="s">
        <v>247</v>
      </c>
      <c r="E574" s="186"/>
      <c r="F574" s="186"/>
      <c r="G574" s="186"/>
      <c r="H574" s="186"/>
      <c r="I574" s="186"/>
      <c r="J574" s="187"/>
      <c r="K574"/>
      <c r="L574" s="188"/>
      <c r="M574" s="186"/>
      <c r="N574" s="186"/>
      <c r="O574" s="186"/>
      <c r="P574" s="186"/>
      <c r="Q574" s="186"/>
      <c r="R574" s="187"/>
      <c r="T574" s="188"/>
      <c r="U574" s="186"/>
      <c r="V574" s="186"/>
      <c r="W574" s="186"/>
      <c r="X574" s="186"/>
      <c r="Y574" s="186"/>
      <c r="Z574" s="187"/>
    </row>
    <row r="575" spans="1:26" ht="18" customHeight="1" hidden="1">
      <c r="A575" s="140"/>
      <c r="B575" s="140"/>
      <c r="D575" s="189" t="s">
        <v>248</v>
      </c>
      <c r="E575" s="190" t="str">
        <f>D564&amp;"_"&amp;D12</f>
        <v>NEW PLAN_OWNERS</v>
      </c>
      <c r="F575" s="191"/>
      <c r="G575" s="191"/>
      <c r="H575" s="191"/>
      <c r="I575" s="190"/>
      <c r="J575" s="192"/>
      <c r="K575"/>
      <c r="L575" s="193" t="str">
        <f>L564&amp;"_"&amp;D12</f>
        <v>SELECT PLAN_OWNERS</v>
      </c>
      <c r="M575" s="191"/>
      <c r="N575" s="191"/>
      <c r="O575" s="191"/>
      <c r="P575" s="190"/>
      <c r="Q575" s="191"/>
      <c r="R575" s="192"/>
      <c r="T575" s="193" t="str">
        <f>T564&amp;"_"&amp;D12</f>
        <v>SELECT PLAN_OWNERS</v>
      </c>
      <c r="U575" s="191"/>
      <c r="V575" s="191"/>
      <c r="W575" s="191"/>
      <c r="X575" s="190"/>
      <c r="Y575" s="191"/>
      <c r="Z575" s="192"/>
    </row>
    <row r="576" spans="1:26" ht="18" customHeight="1" hidden="1">
      <c r="A576" s="140"/>
      <c r="B576" s="140"/>
      <c r="D576" s="189" t="s">
        <v>249</v>
      </c>
      <c r="E576" s="191"/>
      <c r="F576" s="191"/>
      <c r="G576" s="191"/>
      <c r="H576" s="191"/>
      <c r="I576" s="191"/>
      <c r="J576" s="192"/>
      <c r="K576"/>
      <c r="L576" s="189"/>
      <c r="M576" s="191"/>
      <c r="N576" s="191"/>
      <c r="O576" s="191"/>
      <c r="P576" s="191"/>
      <c r="Q576" s="191"/>
      <c r="R576" s="192"/>
      <c r="T576" s="189"/>
      <c r="U576" s="191"/>
      <c r="V576" s="191"/>
      <c r="W576" s="191"/>
      <c r="X576" s="191"/>
      <c r="Y576" s="191"/>
      <c r="Z576" s="192"/>
    </row>
    <row r="577" spans="1:26" ht="18" customHeight="1" hidden="1">
      <c r="A577" s="140"/>
      <c r="B577" s="140"/>
      <c r="D577" s="194" t="s">
        <v>250</v>
      </c>
      <c r="E577" s="195"/>
      <c r="F577" s="195"/>
      <c r="G577" s="195"/>
      <c r="H577" s="195"/>
      <c r="I577" s="195"/>
      <c r="J577" s="196"/>
      <c r="K577"/>
      <c r="L577" s="197"/>
      <c r="M577" s="195"/>
      <c r="N577" s="195"/>
      <c r="O577" s="195"/>
      <c r="P577" s="195"/>
      <c r="Q577" s="195"/>
      <c r="R577" s="196"/>
      <c r="T577" s="197"/>
      <c r="U577" s="195"/>
      <c r="V577" s="195"/>
      <c r="W577" s="195"/>
      <c r="X577" s="195"/>
      <c r="Y577" s="195"/>
      <c r="Z577" s="196"/>
    </row>
    <row r="578" spans="1:26" ht="18" customHeight="1" hidden="1">
      <c r="A578" s="140"/>
      <c r="B578" s="140"/>
      <c r="D578" s="198" t="s">
        <v>251</v>
      </c>
      <c r="E578" s="199" t="str">
        <f>_xlfn.XLOOKUP(E575,CurrentPlans!B:B,CurrentPlans!X:X,"NA",0,1)</f>
        <v>NA</v>
      </c>
      <c r="F578" s="200"/>
      <c r="G578" s="200"/>
      <c r="H578" s="200"/>
      <c r="I578" s="199"/>
      <c r="J578" s="201"/>
      <c r="K578"/>
      <c r="L578" s="202" t="str">
        <f>_xlfn.XLOOKUP(L575,RenewalPlans!B:B,RenewalPlans!AA:AA,"NA",0,1)</f>
        <v>NA</v>
      </c>
      <c r="M578" s="200"/>
      <c r="N578" s="200"/>
      <c r="O578" s="200"/>
      <c r="P578" s="199"/>
      <c r="Q578" s="200"/>
      <c r="R578" s="201"/>
      <c r="T578" s="202" t="str">
        <f>_xlfn.XLOOKUP(T575,RenewalPlans!B:B,RenewalPlans!AA:AA,"NA",0,1)</f>
        <v>NA</v>
      </c>
      <c r="U578" s="200"/>
      <c r="V578" s="200"/>
      <c r="W578" s="200"/>
      <c r="X578" s="199"/>
      <c r="Y578" s="200"/>
      <c r="Z578" s="201"/>
    </row>
    <row r="579" spans="1:26" ht="18" customHeight="1" hidden="1">
      <c r="A579" s="140"/>
      <c r="B579" s="140"/>
      <c r="D579" s="198" t="s">
        <v>252</v>
      </c>
      <c r="E579" s="199" t="str">
        <f>_xlfn.XLOOKUP(E575,CurrentPlans!B:B,CurrentPlans!Y:Y,"NA",0,1)</f>
        <v>NA</v>
      </c>
      <c r="F579" s="200"/>
      <c r="G579" s="200"/>
      <c r="H579" s="200"/>
      <c r="I579" s="199"/>
      <c r="J579" s="201"/>
      <c r="K579"/>
      <c r="L579" s="202" t="str">
        <f>_xlfn.XLOOKUP(L575,RenewalPlans!B:B,RenewalPlans!AB:AB,"NA",0,1)</f>
        <v>NA</v>
      </c>
      <c r="M579" s="200"/>
      <c r="N579" s="200"/>
      <c r="O579" s="200"/>
      <c r="P579" s="199"/>
      <c r="Q579" s="200"/>
      <c r="R579" s="201"/>
      <c r="T579" s="202" t="str">
        <f>_xlfn.XLOOKUP(T575,RenewalPlans!B:B,RenewalPlans!AB:AB,"NA",0,1)</f>
        <v>NA</v>
      </c>
      <c r="U579" s="200"/>
      <c r="V579" s="200"/>
      <c r="W579" s="200"/>
      <c r="X579" s="199"/>
      <c r="Y579" s="200"/>
      <c r="Z579" s="201"/>
    </row>
    <row r="580" spans="1:26" ht="18" customHeight="1" hidden="1">
      <c r="A580" s="140"/>
      <c r="B580" s="140"/>
      <c r="D580" s="120" t="s">
        <v>253</v>
      </c>
      <c r="E580" s="121" t="str">
        <f>_xlfn.XLOOKUP(E575,CurrentPlans!B:B,CurrentPlans!W:W,"NA",0,1)</f>
        <v>NA</v>
      </c>
      <c r="F580" s="122"/>
      <c r="G580" s="122"/>
      <c r="H580" s="122"/>
      <c r="I580" s="121"/>
      <c r="J580" s="123"/>
      <c r="K580"/>
      <c r="L580" s="124" t="str">
        <f>_xlfn.XLOOKUP(L575,RenewalPlans!B:B,RenewalPlans!Z:Z,"NA",0,1)</f>
        <v>NA</v>
      </c>
      <c r="M580" s="122"/>
      <c r="N580" s="122"/>
      <c r="O580" s="122"/>
      <c r="P580" s="121"/>
      <c r="Q580" s="122"/>
      <c r="R580" s="123"/>
      <c r="T580" s="124" t="str">
        <f>_xlfn.XLOOKUP(T575,RenewalPlans!B:B,RenewalPlans!Z:Z,"NA",0,1)</f>
        <v>NA</v>
      </c>
      <c r="U580" s="122"/>
      <c r="V580" s="122"/>
      <c r="W580" s="122"/>
      <c r="X580" s="121"/>
      <c r="Y580" s="122"/>
      <c r="Z580" s="123"/>
    </row>
    <row r="581" spans="1:26" ht="18" customHeight="1" hidden="1">
      <c r="A581" s="140"/>
      <c r="B581" s="140"/>
      <c r="D581" s="203" t="s">
        <v>254</v>
      </c>
      <c r="E581" s="204"/>
      <c r="F581" s="205"/>
      <c r="G581" s="205"/>
      <c r="H581" s="205"/>
      <c r="I581" s="204"/>
      <c r="J581" s="206"/>
      <c r="K581"/>
      <c r="L581" s="207"/>
      <c r="M581" s="205"/>
      <c r="N581" s="205"/>
      <c r="O581" s="205"/>
      <c r="P581" s="204"/>
      <c r="Q581" s="205"/>
      <c r="R581" s="206"/>
      <c r="T581" s="207"/>
      <c r="U581" s="205"/>
      <c r="V581" s="205"/>
      <c r="W581" s="205"/>
      <c r="X581" s="204"/>
      <c r="Y581" s="205"/>
      <c r="Z581" s="206"/>
    </row>
    <row r="582" spans="1:26" ht="18" customHeight="1" hidden="1">
      <c r="A582" s="140"/>
      <c r="B582" s="140"/>
      <c r="D582" s="125" t="s">
        <v>255</v>
      </c>
      <c r="E582" s="126" t="str">
        <f>_xlfn.XLOOKUP(E575,CurrentPlans!B:B,CurrentPlans!Z:Z,"NA",0,1)</f>
        <v>NA</v>
      </c>
      <c r="F582" s="127"/>
      <c r="G582" s="127"/>
      <c r="H582" s="127"/>
      <c r="I582" s="126"/>
      <c r="J582" s="128"/>
      <c r="K582"/>
      <c r="L582" s="129" t="str">
        <f>_xlfn.XLOOKUP(L575,RenewalPlans!B:B,RenewalPlans!AC:AC,"NA",0,1)</f>
        <v>NA</v>
      </c>
      <c r="M582" s="127"/>
      <c r="N582" s="127"/>
      <c r="O582" s="127"/>
      <c r="P582" s="126"/>
      <c r="Q582" s="127"/>
      <c r="R582" s="128"/>
      <c r="T582" s="129" t="str">
        <f>_xlfn.XLOOKUP(T575,RenewalPlans!B:B,RenewalPlans!AC:AC,"NA",0,1)</f>
        <v>NA</v>
      </c>
      <c r="U582" s="127"/>
      <c r="V582" s="127"/>
      <c r="W582" s="127"/>
      <c r="X582" s="126"/>
      <c r="Y582" s="127"/>
      <c r="Z582" s="128"/>
    </row>
    <row r="583" spans="1:26" ht="18" customHeight="1" hidden="1">
      <c r="A583" s="140"/>
      <c r="B583" s="140"/>
      <c r="D583" s="198" t="s">
        <v>256</v>
      </c>
      <c r="E583" s="208" t="str">
        <f>_xlfn.XLOOKUP(E575,CurrentPlans!B:B,CurrentPlans!AA:AA,"NA",0,1)</f>
        <v>NA</v>
      </c>
      <c r="F583" s="200"/>
      <c r="G583" s="200"/>
      <c r="H583" s="200"/>
      <c r="I583" s="208"/>
      <c r="J583" s="201"/>
      <c r="K583"/>
      <c r="L583" s="209" t="str">
        <f>_xlfn.XLOOKUP(L575,RenewalPlans!B:B,RenewalPlans!AD:AD,"NA",0,1)</f>
        <v>NA</v>
      </c>
      <c r="M583" s="200"/>
      <c r="N583" s="200"/>
      <c r="O583" s="200"/>
      <c r="P583" s="208"/>
      <c r="Q583" s="200"/>
      <c r="R583" s="201"/>
      <c r="T583" s="209" t="str">
        <f>_xlfn.XLOOKUP(T575,RenewalPlans!B:B,RenewalPlans!AD:AD,"NA",0,1)</f>
        <v>NA</v>
      </c>
      <c r="U583" s="200"/>
      <c r="V583" s="200"/>
      <c r="W583" s="200"/>
      <c r="X583" s="208"/>
      <c r="Y583" s="200"/>
      <c r="Z583" s="201"/>
    </row>
    <row r="584" spans="1:26" ht="18" customHeight="1" hidden="1">
      <c r="A584" s="140"/>
      <c r="B584" s="140"/>
      <c r="D584" s="203" t="s">
        <v>257</v>
      </c>
      <c r="E584" s="204"/>
      <c r="F584" s="205"/>
      <c r="G584" s="205"/>
      <c r="H584" s="205"/>
      <c r="I584" s="204"/>
      <c r="J584" s="206"/>
      <c r="K584"/>
      <c r="L584" s="207"/>
      <c r="M584" s="205"/>
      <c r="N584" s="205"/>
      <c r="O584" s="205"/>
      <c r="P584" s="204"/>
      <c r="Q584" s="205"/>
      <c r="R584" s="206"/>
      <c r="T584" s="207"/>
      <c r="U584" s="205"/>
      <c r="V584" s="205"/>
      <c r="W584" s="205"/>
      <c r="X584" s="204"/>
      <c r="Y584" s="205"/>
      <c r="Z584" s="206"/>
    </row>
    <row r="585" spans="1:26" ht="18" customHeight="1" hidden="1">
      <c r="A585" s="140"/>
      <c r="B585" s="140"/>
      <c r="D585" s="198" t="s">
        <v>258</v>
      </c>
      <c r="E585" s="208" t="str">
        <f>_xlfn.XLOOKUP(E575,CurrentPlans!B:B,CurrentPlans!AB:AB,"NA",0,1)</f>
        <v>NA</v>
      </c>
      <c r="F585" s="200"/>
      <c r="G585" s="200"/>
      <c r="H585" s="200"/>
      <c r="I585" s="208"/>
      <c r="J585" s="201"/>
      <c r="K585"/>
      <c r="L585" s="209" t="str">
        <f>_xlfn.XLOOKUP(L575,RenewalPlans!B:B,RenewalPlans!AE:AE,"NA",0,1)</f>
        <v>NA</v>
      </c>
      <c r="M585" s="200"/>
      <c r="N585" s="200"/>
      <c r="O585" s="200"/>
      <c r="P585" s="208"/>
      <c r="Q585" s="200"/>
      <c r="R585" s="201"/>
      <c r="T585" s="209" t="str">
        <f>_xlfn.XLOOKUP(T575,RenewalPlans!B:B,RenewalPlans!AE:AE,"NA",0,1)</f>
        <v>NA</v>
      </c>
      <c r="U585" s="200"/>
      <c r="V585" s="200"/>
      <c r="W585" s="200"/>
      <c r="X585" s="208"/>
      <c r="Y585" s="200"/>
      <c r="Z585" s="201"/>
    </row>
    <row r="586" spans="1:26" ht="18" customHeight="1" hidden="1">
      <c r="A586" s="140"/>
      <c r="B586" s="140"/>
      <c r="D586" s="198" t="s">
        <v>259</v>
      </c>
      <c r="E586" s="208" t="str">
        <f>_xlfn.XLOOKUP(E575,CurrentPlans!B:B,CurrentPlans!AC:AC,"NA",0,1)</f>
        <v>NA</v>
      </c>
      <c r="F586" s="200"/>
      <c r="G586" s="200"/>
      <c r="H586" s="200"/>
      <c r="I586" s="208"/>
      <c r="J586" s="201"/>
      <c r="K586"/>
      <c r="L586" s="209" t="str">
        <f>_xlfn.XLOOKUP(L575,RenewalPlans!B:B,RenewalPlans!AF:AF,"NA",0,1)</f>
        <v>NA</v>
      </c>
      <c r="M586" s="200"/>
      <c r="N586" s="200"/>
      <c r="O586" s="200"/>
      <c r="P586" s="208"/>
      <c r="Q586" s="200"/>
      <c r="R586" s="201"/>
      <c r="T586" s="209" t="str">
        <f>_xlfn.XLOOKUP(T575,RenewalPlans!B:B,RenewalPlans!AF:AF,"NA",0,1)</f>
        <v>NA</v>
      </c>
      <c r="U586" s="200"/>
      <c r="V586" s="200"/>
      <c r="W586" s="200"/>
      <c r="X586" s="208"/>
      <c r="Y586" s="200"/>
      <c r="Z586" s="201"/>
    </row>
    <row r="587" spans="1:26" ht="18" customHeight="1" hidden="1">
      <c r="A587" s="140"/>
      <c r="B587" s="140"/>
      <c r="D587" s="210"/>
      <c r="E587" s="211"/>
      <c r="F587" s="211"/>
      <c r="G587" s="211"/>
      <c r="H587" s="211"/>
      <c r="I587" s="211"/>
      <c r="J587" s="212"/>
      <c r="K587"/>
      <c r="L587" s="210"/>
      <c r="M587" s="211"/>
      <c r="N587" s="211"/>
      <c r="O587" s="211"/>
      <c r="P587" s="211"/>
      <c r="Q587" s="211"/>
      <c r="R587" s="212"/>
      <c r="T587" s="210"/>
      <c r="U587" s="211"/>
      <c r="V587" s="211"/>
      <c r="W587" s="211"/>
      <c r="X587" s="211"/>
      <c r="Y587" s="211"/>
      <c r="Z587" s="212"/>
    </row>
    <row r="588" spans="1:26" ht="18" customHeight="1" hidden="1">
      <c r="A588" s="140"/>
      <c r="B588" s="140"/>
      <c r="D588" s="185" t="s">
        <v>260</v>
      </c>
      <c r="E588" s="186"/>
      <c r="F588" s="186"/>
      <c r="G588" s="186"/>
      <c r="H588" s="186"/>
      <c r="I588" s="186"/>
      <c r="J588" s="187"/>
      <c r="K588"/>
      <c r="L588" s="188"/>
      <c r="M588" s="186"/>
      <c r="N588" s="186"/>
      <c r="O588" s="186"/>
      <c r="P588" s="186"/>
      <c r="Q588" s="186"/>
      <c r="R588" s="187"/>
      <c r="T588" s="188"/>
      <c r="U588" s="186"/>
      <c r="V588" s="186"/>
      <c r="W588" s="186"/>
      <c r="X588" s="186"/>
      <c r="Y588" s="186"/>
      <c r="Z588" s="187"/>
    </row>
    <row r="589" spans="1:26" ht="18" customHeight="1" hidden="1">
      <c r="A589" s="140"/>
      <c r="B589" s="140"/>
      <c r="D589" s="213" t="s">
        <v>261</v>
      </c>
      <c r="E589" s="130" t="str">
        <f>_xlfn.XLOOKUP(E575,CurrentPlans!B:B,CurrentPlans!AJ:AJ,"NA",0,1)</f>
        <v>NA</v>
      </c>
      <c r="F589" s="214"/>
      <c r="G589" s="214"/>
      <c r="H589" s="214"/>
      <c r="I589" s="130"/>
      <c r="J589" s="215"/>
      <c r="K589"/>
      <c r="L589" s="131" t="str">
        <f>_xlfn.XLOOKUP(L575,RenewalPlans!B:B,RenewalPlans!AM:AM,"NA",0,1)</f>
        <v>NA</v>
      </c>
      <c r="M589" s="214"/>
      <c r="N589" s="214"/>
      <c r="O589" s="214"/>
      <c r="P589" s="130"/>
      <c r="Q589" s="214"/>
      <c r="R589" s="215"/>
      <c r="T589" s="131" t="str">
        <f>_xlfn.XLOOKUP(T575,RenewalPlans!B:B,RenewalPlans!AM:AM,"NA",0,1)</f>
        <v>NA</v>
      </c>
      <c r="U589" s="214"/>
      <c r="V589" s="214"/>
      <c r="W589" s="214"/>
      <c r="X589" s="130"/>
      <c r="Y589" s="214"/>
      <c r="Z589" s="215"/>
    </row>
    <row r="590" spans="1:26" ht="18" customHeight="1" hidden="1">
      <c r="A590" s="140"/>
      <c r="B590" s="140"/>
      <c r="D590" s="198" t="s">
        <v>262</v>
      </c>
      <c r="E590" s="130" t="str">
        <f>_xlfn.XLOOKUP(E575,CurrentPlans!B:B,CurrentPlans!AM:AM,"NA",0,1)</f>
        <v>NA</v>
      </c>
      <c r="F590" s="200"/>
      <c r="G590" s="200"/>
      <c r="H590" s="200"/>
      <c r="I590" s="130"/>
      <c r="J590" s="201"/>
      <c r="K590"/>
      <c r="L590" s="131" t="str">
        <f>_xlfn.XLOOKUP(L575,RenewalPlans!B:B,RenewalPlans!AP:AP,"NA",0,1)</f>
        <v>NA</v>
      </c>
      <c r="M590" s="200"/>
      <c r="N590" s="200"/>
      <c r="O590" s="200"/>
      <c r="P590" s="130"/>
      <c r="Q590" s="200"/>
      <c r="R590" s="201"/>
      <c r="T590" s="131" t="str">
        <f>_xlfn.XLOOKUP(T575,RenewalPlans!B:B,RenewalPlans!AP:AP,"NA",0,1)</f>
        <v>NA</v>
      </c>
      <c r="U590" s="200"/>
      <c r="V590" s="200"/>
      <c r="W590" s="200"/>
      <c r="X590" s="130"/>
      <c r="Y590" s="200"/>
      <c r="Z590" s="201"/>
    </row>
    <row r="591" spans="1:26" ht="18" customHeight="1" hidden="1">
      <c r="A591" s="140"/>
      <c r="B591" s="140"/>
      <c r="D591" s="198" t="s">
        <v>263</v>
      </c>
      <c r="E591" s="130" t="str">
        <f>_xlfn.XLOOKUP(E575,CurrentPlans!B:B,CurrentPlans!AI:AI,"NA",0,1)</f>
        <v>NA</v>
      </c>
      <c r="F591" s="200"/>
      <c r="G591" s="200"/>
      <c r="H591" s="200"/>
      <c r="I591" s="130"/>
      <c r="J591" s="201"/>
      <c r="K591"/>
      <c r="L591" s="131" t="str">
        <f>_xlfn.XLOOKUP(L575,RenewalPlans!B:B,RenewalPlans!AL:AL,"NA",0,1)</f>
        <v>NA</v>
      </c>
      <c r="M591" s="200"/>
      <c r="N591" s="200"/>
      <c r="O591" s="200"/>
      <c r="P591" s="130"/>
      <c r="Q591" s="200"/>
      <c r="R591" s="201"/>
      <c r="T591" s="131" t="str">
        <f>_xlfn.XLOOKUP(T575,RenewalPlans!B:B,RenewalPlans!AL:AL,"NA",0,1)</f>
        <v>NA</v>
      </c>
      <c r="U591" s="200"/>
      <c r="V591" s="200"/>
      <c r="W591" s="200"/>
      <c r="X591" s="130"/>
      <c r="Y591" s="200"/>
      <c r="Z591" s="201"/>
    </row>
    <row r="592" spans="1:26" ht="18" customHeight="1" hidden="1">
      <c r="A592" s="140"/>
      <c r="B592" s="140"/>
      <c r="D592" s="198" t="s">
        <v>264</v>
      </c>
      <c r="E592" s="208" t="str">
        <f>_xlfn.XLOOKUP(E575,CurrentPlans!B:B,CurrentPlans!AN:AN,"NA",0,1)</f>
        <v>NA</v>
      </c>
      <c r="F592" s="200"/>
      <c r="G592" s="200"/>
      <c r="H592" s="200"/>
      <c r="I592" s="208"/>
      <c r="J592" s="201"/>
      <c r="K592"/>
      <c r="L592" s="209" t="str">
        <f>_xlfn.XLOOKUP(L575,RenewalPlans!B:B,RenewalPlans!AQ:AQ,"NA",0,1)</f>
        <v>NA</v>
      </c>
      <c r="M592" s="200"/>
      <c r="N592" s="200"/>
      <c r="O592" s="200"/>
      <c r="P592" s="208"/>
      <c r="Q592" s="200"/>
      <c r="R592" s="201"/>
      <c r="T592" s="209" t="str">
        <f>_xlfn.XLOOKUP(T575,RenewalPlans!B:B,RenewalPlans!AQ:AQ,"NA",0,1)</f>
        <v>NA</v>
      </c>
      <c r="U592" s="200"/>
      <c r="V592" s="200"/>
      <c r="W592" s="200"/>
      <c r="X592" s="208"/>
      <c r="Y592" s="200"/>
      <c r="Z592" s="201"/>
    </row>
    <row r="593" spans="1:26" ht="18" customHeight="1" hidden="1">
      <c r="A593" s="140"/>
      <c r="B593" s="140"/>
      <c r="D593" s="210"/>
      <c r="E593" s="211"/>
      <c r="F593" s="211"/>
      <c r="G593" s="211"/>
      <c r="H593" s="211"/>
      <c r="I593" s="211"/>
      <c r="J593" s="212"/>
      <c r="K593"/>
      <c r="L593" s="210"/>
      <c r="M593" s="211"/>
      <c r="N593" s="211"/>
      <c r="O593" s="211"/>
      <c r="P593" s="211"/>
      <c r="Q593" s="211"/>
      <c r="R593" s="212"/>
      <c r="T593" s="210"/>
      <c r="U593" s="211"/>
      <c r="V593" s="211"/>
      <c r="W593" s="211"/>
      <c r="X593" s="211"/>
      <c r="Y593" s="211"/>
      <c r="Z593" s="212"/>
    </row>
    <row r="594" spans="1:26" ht="18" customHeight="1" hidden="1">
      <c r="A594" s="140"/>
      <c r="B594" s="140"/>
      <c r="D594" s="185" t="s">
        <v>265</v>
      </c>
      <c r="E594" s="186"/>
      <c r="F594" s="186"/>
      <c r="G594" s="186"/>
      <c r="H594" s="186"/>
      <c r="I594" s="186"/>
      <c r="J594" s="187"/>
      <c r="K594"/>
      <c r="L594" s="188"/>
      <c r="M594" s="186"/>
      <c r="N594" s="186"/>
      <c r="O594" s="186"/>
      <c r="P594" s="186"/>
      <c r="Q594" s="186"/>
      <c r="R594" s="187"/>
      <c r="T594" s="188"/>
      <c r="U594" s="186"/>
      <c r="V594" s="186"/>
      <c r="W594" s="186"/>
      <c r="X594" s="186"/>
      <c r="Y594" s="186"/>
      <c r="Z594" s="187"/>
    </row>
    <row r="595" spans="1:26" ht="18" customHeight="1" hidden="1">
      <c r="A595" s="140"/>
      <c r="B595" s="140"/>
      <c r="D595" s="132" t="s">
        <v>266</v>
      </c>
      <c r="E595" s="133" t="str">
        <f>_xlfn.XLOOKUP(E575,CurrentPlans!B:B,CurrentPlans!AE:AE,"NA",0,1)</f>
        <v>NA</v>
      </c>
      <c r="F595" s="134"/>
      <c r="G595" s="134"/>
      <c r="H595" s="134"/>
      <c r="I595" s="133"/>
      <c r="J595" s="135"/>
      <c r="K595"/>
      <c r="L595" s="136" t="str">
        <f>_xlfn.XLOOKUP(L575,RenewalPlans!B:B,RenewalPlans!AH:AH,"NA",0,1)</f>
        <v>NA</v>
      </c>
      <c r="M595" s="134"/>
      <c r="N595" s="134"/>
      <c r="O595" s="134"/>
      <c r="P595" s="133"/>
      <c r="Q595" s="134"/>
      <c r="R595" s="135"/>
      <c r="T595" s="136" t="str">
        <f>_xlfn.XLOOKUP(T575,RenewalPlans!B:B,RenewalPlans!AH:AH,"NA",0,1)</f>
        <v>NA</v>
      </c>
      <c r="U595" s="134"/>
      <c r="V595" s="134"/>
      <c r="W595" s="134"/>
      <c r="X595" s="133"/>
      <c r="Y595" s="134"/>
      <c r="Z595" s="135"/>
    </row>
    <row r="596" spans="1:26" ht="18" customHeight="1" hidden="1">
      <c r="A596" s="140"/>
      <c r="B596" s="140"/>
      <c r="D596" s="120" t="s">
        <v>267</v>
      </c>
      <c r="E596" s="130" t="str">
        <f>_xlfn.XLOOKUP(E575,CurrentPlans!B:B,CurrentPlans!AF:AF,"NA",0,1)</f>
        <v>NA</v>
      </c>
      <c r="F596" s="122"/>
      <c r="G596" s="122"/>
      <c r="H596" s="122"/>
      <c r="I596" s="130"/>
      <c r="J596" s="123"/>
      <c r="K596"/>
      <c r="L596" s="131" t="str">
        <f>_xlfn.XLOOKUP(L575,RenewalPlans!B:B,RenewalPlans!AI:AI,"NA",0,1)</f>
        <v>NA</v>
      </c>
      <c r="M596" s="122"/>
      <c r="N596" s="122"/>
      <c r="O596" s="122"/>
      <c r="P596" s="130"/>
      <c r="Q596" s="122"/>
      <c r="R596" s="123"/>
      <c r="T596" s="131" t="str">
        <f>_xlfn.XLOOKUP(T575,RenewalPlans!B:B,RenewalPlans!AI:AI,"NA",0,1)</f>
        <v>NA</v>
      </c>
      <c r="U596" s="122"/>
      <c r="V596" s="122"/>
      <c r="W596" s="122"/>
      <c r="X596" s="130"/>
      <c r="Y596" s="122"/>
      <c r="Z596" s="123"/>
    </row>
    <row r="597" spans="1:26" ht="18" customHeight="1" hidden="1">
      <c r="A597" s="140"/>
      <c r="B597" s="140"/>
      <c r="D597" s="198" t="s">
        <v>268</v>
      </c>
      <c r="E597" s="130" t="str">
        <f>_xlfn.XLOOKUP(E575,CurrentPlans!B:B,CurrentPlans!AH:AH,"NA",0,1)</f>
        <v>NA</v>
      </c>
      <c r="F597" s="200"/>
      <c r="G597" s="200"/>
      <c r="H597" s="200"/>
      <c r="I597" s="130"/>
      <c r="J597" s="201"/>
      <c r="K597"/>
      <c r="L597" s="131" t="str">
        <f>_xlfn.XLOOKUP(L575,RenewalPlans!B:B,RenewalPlans!AK:AK,"NA",0,1)</f>
        <v>NA</v>
      </c>
      <c r="M597" s="200"/>
      <c r="N597" s="200"/>
      <c r="O597" s="200"/>
      <c r="P597" s="130"/>
      <c r="Q597" s="200"/>
      <c r="R597" s="201"/>
      <c r="T597" s="131" t="str">
        <f>_xlfn.XLOOKUP(T575,RenewalPlans!B:B,RenewalPlans!AK:AK,"NA",0,1)</f>
        <v>NA</v>
      </c>
      <c r="U597" s="200"/>
      <c r="V597" s="200"/>
      <c r="W597" s="200"/>
      <c r="X597" s="130"/>
      <c r="Y597" s="200"/>
      <c r="Z597" s="201"/>
    </row>
    <row r="598" spans="1:26" ht="18" customHeight="1" hidden="1">
      <c r="A598" s="140"/>
      <c r="B598" s="140"/>
      <c r="D598" s="198" t="s">
        <v>269</v>
      </c>
      <c r="E598" s="130" t="str">
        <f>_xlfn.XLOOKUP(E575,CurrentPlans!B:B,CurrentPlans!AG:AG,"NA",0,1)</f>
        <v>NA</v>
      </c>
      <c r="F598" s="200"/>
      <c r="G598" s="200"/>
      <c r="H598" s="200"/>
      <c r="I598" s="130"/>
      <c r="J598" s="201"/>
      <c r="K598"/>
      <c r="L598" s="131" t="str">
        <f>_xlfn.XLOOKUP(L575,RenewalPlans!B:B,RenewalPlans!AJ:AJ,"NA",0,1)</f>
        <v>NA</v>
      </c>
      <c r="M598" s="200"/>
      <c r="N598" s="200"/>
      <c r="O598" s="200"/>
      <c r="P598" s="130"/>
      <c r="Q598" s="200"/>
      <c r="R598" s="201"/>
      <c r="T598" s="131" t="str">
        <f>_xlfn.XLOOKUP(T575,RenewalPlans!B:B,RenewalPlans!AJ:AJ,"NA",0,1)</f>
        <v>NA</v>
      </c>
      <c r="U598" s="200"/>
      <c r="V598" s="200"/>
      <c r="W598" s="200"/>
      <c r="X598" s="130"/>
      <c r="Y598" s="200"/>
      <c r="Z598" s="201"/>
    </row>
    <row r="599" spans="1:26" ht="18" customHeight="1" hidden="1">
      <c r="A599" s="140"/>
      <c r="B599" s="140"/>
      <c r="D599" s="213" t="s">
        <v>270</v>
      </c>
      <c r="E599" s="216" t="str">
        <f>_xlfn.XLOOKUP(E575,CurrentPlans!B:B,CurrentPlans!AU:AU,"NA",0,1)</f>
        <v>NA</v>
      </c>
      <c r="F599" s="214"/>
      <c r="G599" s="214"/>
      <c r="H599" s="214"/>
      <c r="I599" s="217"/>
      <c r="J599" s="215"/>
      <c r="K599"/>
      <c r="L599" s="218" t="str">
        <f>_xlfn.XLOOKUP(L575,RenewalPlans!B:B,RenewalPlans!AX:AX,"NA",0,1)</f>
        <v>NA</v>
      </c>
      <c r="M599" s="214"/>
      <c r="N599" s="214"/>
      <c r="O599" s="214"/>
      <c r="P599" s="217"/>
      <c r="Q599" s="214"/>
      <c r="R599" s="215"/>
      <c r="T599" s="218" t="str">
        <f>_xlfn.XLOOKUP(T575,RenewalPlans!B:B,RenewalPlans!AX:AX,"NA",0,1)</f>
        <v>NA</v>
      </c>
      <c r="U599" s="214"/>
      <c r="V599" s="214"/>
      <c r="W599" s="214"/>
      <c r="X599" s="217"/>
      <c r="Y599" s="214"/>
      <c r="Z599" s="215"/>
    </row>
    <row r="600" spans="1:26" ht="18" customHeight="1" hidden="1">
      <c r="A600" s="140"/>
      <c r="B600" s="140"/>
      <c r="D600" s="213" t="s">
        <v>271</v>
      </c>
      <c r="E600" s="216" t="str">
        <f>_xlfn.XLOOKUP(E575,CurrentPlans!B:B,CurrentPlans!AT:AT,"NA",0,1)</f>
        <v>NA</v>
      </c>
      <c r="F600" s="214"/>
      <c r="G600" s="214"/>
      <c r="H600" s="214"/>
      <c r="I600" s="217"/>
      <c r="J600" s="215"/>
      <c r="K600"/>
      <c r="L600" s="218" t="str">
        <f>_xlfn.XLOOKUP(L575,RenewalPlans!B:B,RenewalPlans!AW:AW,"NA",0,1)</f>
        <v>NA</v>
      </c>
      <c r="M600" s="214"/>
      <c r="N600" s="214"/>
      <c r="O600" s="214"/>
      <c r="P600" s="217"/>
      <c r="Q600" s="214"/>
      <c r="R600" s="215"/>
      <c r="T600" s="218" t="str">
        <f>_xlfn.XLOOKUP(T575,RenewalPlans!B:B,RenewalPlans!AW:AW,"NA",0,1)</f>
        <v>NA</v>
      </c>
      <c r="U600" s="214"/>
      <c r="V600" s="214"/>
      <c r="W600" s="214"/>
      <c r="X600" s="217"/>
      <c r="Y600" s="214"/>
      <c r="Z600" s="215"/>
    </row>
    <row r="601" spans="1:26" ht="18" customHeight="1" hidden="1">
      <c r="A601" s="140"/>
      <c r="B601" s="140"/>
      <c r="D601" s="198" t="s">
        <v>272</v>
      </c>
      <c r="E601" s="130" t="str">
        <f>_xlfn.XLOOKUP(E575,CurrentPlans!B:B,CurrentPlans!AD:AD,"NA",0,1)</f>
        <v>NA</v>
      </c>
      <c r="F601" s="200"/>
      <c r="G601" s="200"/>
      <c r="H601" s="200"/>
      <c r="I601" s="130"/>
      <c r="J601" s="201"/>
      <c r="K601"/>
      <c r="L601" s="131" t="str">
        <f>_xlfn.XLOOKUP(L575,RenewalPlans!B:B,RenewalPlans!AG:AG,"NA",0,1)</f>
        <v>NA</v>
      </c>
      <c r="M601" s="200"/>
      <c r="N601" s="200"/>
      <c r="O601" s="200"/>
      <c r="P601" s="130"/>
      <c r="Q601" s="200"/>
      <c r="R601" s="201"/>
      <c r="T601" s="131" t="str">
        <f>_xlfn.XLOOKUP(T575,RenewalPlans!B:B,RenewalPlans!AG:AG,"NA",0,1)</f>
        <v>NA</v>
      </c>
      <c r="U601" s="200"/>
      <c r="V601" s="200"/>
      <c r="W601" s="200"/>
      <c r="X601" s="130"/>
      <c r="Y601" s="200"/>
      <c r="Z601" s="201"/>
    </row>
    <row r="602" spans="1:26" ht="18" customHeight="1" hidden="1">
      <c r="A602" s="140"/>
      <c r="B602" s="140"/>
      <c r="D602" s="198" t="s">
        <v>273</v>
      </c>
      <c r="E602" s="200"/>
      <c r="F602" s="200"/>
      <c r="G602" s="200"/>
      <c r="H602" s="200"/>
      <c r="I602" s="200"/>
      <c r="J602" s="201"/>
      <c r="K602"/>
      <c r="L602" s="198"/>
      <c r="M602" s="200"/>
      <c r="N602" s="200"/>
      <c r="O602" s="200"/>
      <c r="P602" s="200"/>
      <c r="Q602" s="200"/>
      <c r="R602" s="201"/>
      <c r="T602" s="198"/>
      <c r="U602" s="200"/>
      <c r="V602" s="200"/>
      <c r="W602" s="200"/>
      <c r="X602" s="200"/>
      <c r="Y602" s="200"/>
      <c r="Z602" s="201"/>
    </row>
    <row r="603" spans="1:26" ht="18" customHeight="1" hidden="1">
      <c r="A603" s="140"/>
      <c r="B603" s="140"/>
      <c r="D603" s="210"/>
      <c r="E603" s="211"/>
      <c r="F603" s="211"/>
      <c r="G603" s="211"/>
      <c r="H603" s="211"/>
      <c r="I603" s="211"/>
      <c r="J603" s="212"/>
      <c r="K603"/>
      <c r="L603" s="210"/>
      <c r="M603" s="211"/>
      <c r="N603" s="211"/>
      <c r="O603" s="211"/>
      <c r="P603" s="211"/>
      <c r="Q603" s="211"/>
      <c r="R603" s="212"/>
      <c r="T603" s="210"/>
      <c r="U603" s="211"/>
      <c r="V603" s="211"/>
      <c r="W603" s="211"/>
      <c r="X603" s="211"/>
      <c r="Y603" s="211"/>
      <c r="Z603" s="212"/>
    </row>
    <row r="604" spans="1:26" ht="18" customHeight="1" hidden="1">
      <c r="A604" s="140"/>
      <c r="B604" s="140"/>
      <c r="D604" s="219" t="s">
        <v>274</v>
      </c>
      <c r="E604" s="220"/>
      <c r="F604" s="220"/>
      <c r="G604" s="220"/>
      <c r="H604" s="220"/>
      <c r="I604" s="220"/>
      <c r="J604" s="221"/>
      <c r="K604"/>
      <c r="L604" s="222"/>
      <c r="M604" s="220"/>
      <c r="N604" s="220"/>
      <c r="O604" s="220"/>
      <c r="P604" s="220"/>
      <c r="Q604" s="220"/>
      <c r="R604" s="221"/>
      <c r="T604" s="222"/>
      <c r="U604" s="220"/>
      <c r="V604" s="220"/>
      <c r="W604" s="220"/>
      <c r="X604" s="220"/>
      <c r="Y604" s="220"/>
      <c r="Z604" s="221"/>
    </row>
    <row r="605" spans="1:26" ht="18" customHeight="1" hidden="1">
      <c r="A605" s="140"/>
      <c r="B605" s="140"/>
      <c r="D605" s="223" t="s">
        <v>250</v>
      </c>
      <c r="E605" s="205"/>
      <c r="F605" s="205"/>
      <c r="G605" s="205"/>
      <c r="H605" s="205"/>
      <c r="I605" s="205"/>
      <c r="J605" s="206"/>
      <c r="K605"/>
      <c r="L605" s="203"/>
      <c r="M605" s="205"/>
      <c r="N605" s="205"/>
      <c r="O605" s="205"/>
      <c r="P605" s="205"/>
      <c r="Q605" s="205"/>
      <c r="R605" s="206"/>
      <c r="T605" s="203"/>
      <c r="U605" s="205"/>
      <c r="V605" s="205"/>
      <c r="W605" s="205"/>
      <c r="X605" s="205"/>
      <c r="Y605" s="205"/>
      <c r="Z605" s="206"/>
    </row>
    <row r="606" spans="1:26" ht="18" customHeight="1" hidden="1">
      <c r="A606" s="140"/>
      <c r="B606" s="140"/>
      <c r="D606" s="198" t="s">
        <v>251</v>
      </c>
      <c r="E606" s="130" t="str">
        <f>_xlfn.XLOOKUP(E575,CurrentPlans!B:B,CurrentPlans!AP:AP,"NA",0,1)</f>
        <v>NA</v>
      </c>
      <c r="F606" s="200"/>
      <c r="G606" s="200"/>
      <c r="H606" s="200"/>
      <c r="I606" s="130"/>
      <c r="J606" s="201"/>
      <c r="K606"/>
      <c r="L606" s="131" t="str">
        <f>_xlfn.XLOOKUP(L575,RenewalPlans!B:B,RenewalPlans!AS:AS,"NA",0,1)</f>
        <v>NA</v>
      </c>
      <c r="M606" s="200"/>
      <c r="N606" s="200"/>
      <c r="O606" s="200"/>
      <c r="P606" s="130"/>
      <c r="Q606" s="200"/>
      <c r="R606" s="201"/>
      <c r="T606" s="131" t="str">
        <f>_xlfn.XLOOKUP(T575,RenewalPlans!B:B,RenewalPlans!AS:AS,"NA",0,1)</f>
        <v>NA</v>
      </c>
      <c r="U606" s="200"/>
      <c r="V606" s="200"/>
      <c r="W606" s="200"/>
      <c r="X606" s="130"/>
      <c r="Y606" s="200"/>
      <c r="Z606" s="201"/>
    </row>
    <row r="607" spans="1:26" ht="18" customHeight="1" hidden="1">
      <c r="A607" s="140"/>
      <c r="B607" s="140"/>
      <c r="D607" s="198" t="s">
        <v>252</v>
      </c>
      <c r="E607" s="130" t="str">
        <f>_xlfn.XLOOKUP(E575,CurrentPlans!B:B,CurrentPlans!AQ:AQ,"NA",0,1)</f>
        <v>NA</v>
      </c>
      <c r="F607" s="200"/>
      <c r="G607" s="200"/>
      <c r="H607" s="200"/>
      <c r="I607" s="130"/>
      <c r="J607" s="201"/>
      <c r="K607"/>
      <c r="L607" s="131" t="str">
        <f>_xlfn.XLOOKUP(L575,RenewalPlans!B:B,RenewalPlans!AT:AT,"NA",0,1)</f>
        <v>NA</v>
      </c>
      <c r="M607" s="200"/>
      <c r="N607" s="200"/>
      <c r="O607" s="200"/>
      <c r="P607" s="130"/>
      <c r="Q607" s="200"/>
      <c r="R607" s="201"/>
      <c r="T607" s="131" t="str">
        <f>_xlfn.XLOOKUP(T575,RenewalPlans!B:B,RenewalPlans!AT:AT,"NA",0,1)</f>
        <v>NA</v>
      </c>
      <c r="U607" s="200"/>
      <c r="V607" s="200"/>
      <c r="W607" s="200"/>
      <c r="X607" s="130"/>
      <c r="Y607" s="200"/>
      <c r="Z607" s="201"/>
    </row>
    <row r="608" spans="1:26" ht="18" customHeight="1" hidden="1">
      <c r="A608" s="140"/>
      <c r="B608" s="140"/>
      <c r="D608" s="120" t="s">
        <v>253</v>
      </c>
      <c r="E608" s="133" t="str">
        <f>_xlfn.XLOOKUP(E575,CurrentPlans!B:B,CurrentPlans!AO:AO,"NA",0,1)</f>
        <v>NA</v>
      </c>
      <c r="F608" s="122"/>
      <c r="G608" s="122"/>
      <c r="H608" s="122"/>
      <c r="I608" s="133"/>
      <c r="J608" s="123"/>
      <c r="K608"/>
      <c r="L608" s="136" t="str">
        <f>_xlfn.XLOOKUP(L575,RenewalPlans!B:B,RenewalPlans!AR:AR,"NA",0,1)</f>
        <v>NA</v>
      </c>
      <c r="M608" s="122"/>
      <c r="N608" s="122"/>
      <c r="O608" s="122"/>
      <c r="P608" s="133"/>
      <c r="Q608" s="122"/>
      <c r="R608" s="123"/>
      <c r="T608" s="136" t="str">
        <f>_xlfn.XLOOKUP(T575,RenewalPlans!B:B,RenewalPlans!AR:AR,"NA",0,1)</f>
        <v>NA</v>
      </c>
      <c r="U608" s="122"/>
      <c r="V608" s="122"/>
      <c r="W608" s="122"/>
      <c r="X608" s="133"/>
      <c r="Y608" s="122"/>
      <c r="Z608" s="123"/>
    </row>
    <row r="609" spans="1:26" ht="18" customHeight="1" hidden="1">
      <c r="A609" s="140"/>
      <c r="B609" s="140"/>
      <c r="D609" s="223" t="s">
        <v>254</v>
      </c>
      <c r="E609" s="205"/>
      <c r="F609" s="205"/>
      <c r="G609" s="205"/>
      <c r="H609" s="205"/>
      <c r="I609" s="205"/>
      <c r="J609" s="206"/>
      <c r="K609"/>
      <c r="L609" s="203"/>
      <c r="M609" s="205"/>
      <c r="N609" s="205"/>
      <c r="O609" s="205"/>
      <c r="P609" s="205"/>
      <c r="Q609" s="205"/>
      <c r="R609" s="206"/>
      <c r="T609" s="203"/>
      <c r="U609" s="205"/>
      <c r="V609" s="205"/>
      <c r="W609" s="205"/>
      <c r="X609" s="205"/>
      <c r="Y609" s="205"/>
      <c r="Z609" s="206"/>
    </row>
    <row r="610" spans="1:26" ht="18" customHeight="1" hidden="1">
      <c r="A610" s="140"/>
      <c r="B610" s="140"/>
      <c r="D610" s="198" t="s">
        <v>255</v>
      </c>
      <c r="E610" s="130" t="str">
        <f>_xlfn.XLOOKUP(E575,CurrentPlans!B:B,CurrentPlans!AR:AR,"NA",0,1)</f>
        <v>NA</v>
      </c>
      <c r="F610" s="200"/>
      <c r="G610" s="200"/>
      <c r="H610" s="200"/>
      <c r="I610" s="130"/>
      <c r="J610" s="201"/>
      <c r="K610"/>
      <c r="L610" s="131" t="str">
        <f>_xlfn.XLOOKUP(L575,RenewalPlans!B:B,RenewalPlans!AU:AU,"NA",0,1)</f>
        <v>NA</v>
      </c>
      <c r="M610" s="200"/>
      <c r="N610" s="200"/>
      <c r="O610" s="200"/>
      <c r="P610" s="130"/>
      <c r="Q610" s="200"/>
      <c r="R610" s="201"/>
      <c r="T610" s="131" t="str">
        <f>_xlfn.XLOOKUP(T575,RenewalPlans!B:B,RenewalPlans!AU:AU,"NA",0,1)</f>
        <v>NA</v>
      </c>
      <c r="U610" s="200"/>
      <c r="V610" s="200"/>
      <c r="W610" s="200"/>
      <c r="X610" s="130"/>
      <c r="Y610" s="200"/>
      <c r="Z610" s="201"/>
    </row>
    <row r="611" spans="1:26" ht="18" customHeight="1" hidden="1" thickBot="1">
      <c r="A611" s="140"/>
      <c r="B611" s="140"/>
      <c r="D611" s="224" t="s">
        <v>256</v>
      </c>
      <c r="E611" s="137" t="str">
        <f>_xlfn.XLOOKUP(E575,CurrentPlans!B:B,CurrentPlans!AS:AS,"NA",0,1)</f>
        <v>NA</v>
      </c>
      <c r="F611" s="225"/>
      <c r="G611" s="225"/>
      <c r="H611" s="225"/>
      <c r="I611" s="137"/>
      <c r="J611" s="226"/>
      <c r="K611"/>
      <c r="L611" s="138" t="str">
        <f>_xlfn.XLOOKUP(L575,RenewalPlans!B:B,RenewalPlans!AV:AV,"NA",0,1)</f>
        <v>NA</v>
      </c>
      <c r="M611" s="225"/>
      <c r="N611" s="225"/>
      <c r="O611" s="225"/>
      <c r="P611" s="137"/>
      <c r="Q611" s="225"/>
      <c r="R611" s="226"/>
      <c r="T611" s="138" t="str">
        <f>_xlfn.XLOOKUP(T575,RenewalPlans!B:B,RenewalPlans!AV:AV,"NA",0,1)</f>
        <v>NA</v>
      </c>
      <c r="U611" s="225"/>
      <c r="V611" s="225"/>
      <c r="W611" s="225"/>
      <c r="X611" s="137"/>
      <c r="Y611" s="225"/>
      <c r="Z611" s="226"/>
    </row>
    <row r="612" spans="1:26" ht="18" customHeight="1">
      <c r="A612" s="140"/>
      <c r="B612" s="140"/>
      <c r="D612" s="227"/>
      <c r="E612" s="176"/>
      <c r="F612" s="178"/>
      <c r="G612" s="179"/>
      <c r="H612" s="178"/>
      <c r="I612" s="176"/>
      <c r="J612" s="228"/>
      <c r="K612"/>
      <c r="L612" s="178"/>
      <c r="M612" s="176"/>
      <c r="N612" s="139"/>
      <c r="O612" s="178"/>
      <c r="P612" s="178"/>
      <c r="Q612" s="178"/>
      <c r="R612" s="228"/>
      <c r="T612" s="178"/>
      <c r="U612" s="176"/>
      <c r="V612" s="139"/>
      <c r="W612" s="178"/>
      <c r="X612" s="178"/>
      <c r="Y612" s="178"/>
      <c r="Z612" s="228"/>
    </row>
    <row r="613" spans="1:26" ht="5.25" customHeight="1" thickBot="1">
      <c r="A613" s="140"/>
      <c r="B613" s="140"/>
      <c r="D613" s="229"/>
      <c r="E613" s="229"/>
      <c r="F613" s="230"/>
      <c r="G613" s="231"/>
      <c r="H613" s="232"/>
      <c r="I613" s="233"/>
      <c r="J613" s="233"/>
      <c r="K613"/>
      <c r="L613" s="233"/>
      <c r="M613" s="233"/>
      <c r="N613" s="233"/>
      <c r="O613" s="233"/>
      <c r="P613" s="233"/>
      <c r="Q613" s="233"/>
      <c r="R613" s="233"/>
      <c r="T613" s="233"/>
      <c r="U613" s="233"/>
      <c r="V613" s="233"/>
      <c r="W613" s="233"/>
      <c r="X613" s="233"/>
      <c r="Y613" s="233"/>
      <c r="Z613" s="233"/>
    </row>
    <row r="614" spans="1:26" ht="50.15" customHeight="1">
      <c r="A614" s="140"/>
      <c r="B614" s="140"/>
      <c r="C614" s="164" t="s">
        <v>287</v>
      </c>
      <c r="D614" s="275" t="s">
        <v>285</v>
      </c>
      <c r="E614" s="165"/>
      <c r="F614" s="272"/>
      <c r="G614" s="166"/>
      <c r="H614" s="167"/>
      <c r="I614" s="168"/>
      <c r="J614" s="169"/>
      <c r="K614"/>
      <c r="L614" s="274" t="s">
        <v>38</v>
      </c>
      <c r="M614" s="170"/>
      <c r="N614" s="274" t="s">
        <v>237</v>
      </c>
      <c r="O614" s="171"/>
      <c r="P614" s="171"/>
      <c r="Q614" s="171"/>
      <c r="R614" s="169"/>
      <c r="T614" s="274" t="s">
        <v>38</v>
      </c>
      <c r="U614" s="170"/>
      <c r="V614" s="274" t="s">
        <v>237</v>
      </c>
      <c r="W614" s="171"/>
      <c r="X614" s="171"/>
      <c r="Y614" s="171"/>
      <c r="Z614" s="169"/>
    </row>
    <row r="615" spans="1:26" ht="18.75" customHeight="1">
      <c r="A615" s="140"/>
      <c r="B615" s="140"/>
      <c r="D615" s="172" t="s">
        <v>238</v>
      </c>
      <c r="E615" s="407"/>
      <c r="F615" s="449"/>
      <c r="G615" s="470"/>
      <c r="H615" s="449"/>
      <c r="I615" s="450" t="str">
        <f>IFERROR(IF(E615="","",F615-H615),"")</f>
        <v/>
      </c>
      <c r="J615" s="410"/>
      <c r="K615" s="411"/>
      <c r="L615" s="408" t="str" cm="1">
        <f t="array" ca="1" aca="1" ref="L615">_xlfn.IFNA(VLOOKUP(INDIRECT("L"&amp;ROW()-1)&amp;"_"&amp;$D$12,BEGIN_RENEW_HEALTH:END_RENEW_HEALTH,RENEW_COL_EO,FALSE),"")</f>
        <v/>
      </c>
      <c r="M615" s="412" t="str">
        <f>IF(E615="","",E615)</f>
        <v/>
      </c>
      <c r="N615" s="413"/>
      <c r="O615" s="414"/>
      <c r="P615" s="415" t="str">
        <f>IFERROR(IF($N614="Keep Contribution Same",H615,IF($N614="Enter Percentages",IF(N615="","",N615*L615),IF($N614="Keep Percentage Same",IF(G615="","",G615*L615),IF($N614="Enter Dollar Amount",IF(O615="","",O615),"")))),"")</f>
        <v/>
      </c>
      <c r="Q615" s="408" t="str">
        <f ca="1">IFERROR(L615-P615,"")</f>
        <v/>
      </c>
      <c r="R615" s="410" t="str">
        <f>IFERROR(IF(P615="","",M615*P615),"")</f>
        <v/>
      </c>
      <c r="S615" s="411"/>
      <c r="T615" s="408" t="str" cm="1">
        <f t="array" ca="1" aca="1" ref="T615">_xlfn.IFNA(VLOOKUP(INDIRECT("T"&amp;ROW()-1)&amp;"_"&amp;$D$12,BEGIN_RENEW_HEALTH:END_RENEW_HEALTH,RENEW_COL_EO,FALSE),"")</f>
        <v/>
      </c>
      <c r="U615" s="412" t="str">
        <f>IF(E615="","",E615)</f>
        <v/>
      </c>
      <c r="V615" s="413"/>
      <c r="W615" s="414"/>
      <c r="X615" s="415" t="str">
        <f>IFERROR(IF($V614="Keep Contribution Same",H615,IF($V614="Enter Percentages",IF(V615="","",V615*T615),IF($V614="Keep Percentage Same",IF(G615="","",G615*T615),IF($V614="Enter Dollar Amount",IF(W615="","",W615),"")))),"")</f>
        <v/>
      </c>
      <c r="Y615" s="408" t="str">
        <f ca="1">IFERROR(T615-X615,"")</f>
        <v/>
      </c>
      <c r="Z615" s="410" t="str">
        <f>IFERROR(IF(X615="","",U615*X615),"")</f>
        <v/>
      </c>
    </row>
    <row r="616" spans="1:26" ht="18.75" customHeight="1">
      <c r="A616" s="140"/>
      <c r="B616" s="140"/>
      <c r="D616" s="172" t="s">
        <v>239</v>
      </c>
      <c r="E616" s="407"/>
      <c r="F616" s="449"/>
      <c r="G616" s="470"/>
      <c r="H616" s="449"/>
      <c r="I616" s="450" t="str">
        <f t="shared" si="60" ref="I616:I618">IFERROR(IF(E616="","",F616-H616),"")</f>
        <v/>
      </c>
      <c r="J616" s="410"/>
      <c r="K616" s="411"/>
      <c r="L616" s="408" t="str" cm="1">
        <f t="array" ca="1" aca="1" ref="L616">_xlfn.IFNA(VLOOKUP(INDIRECT("L"&amp;ROW()-2)&amp;"_"&amp;$D$12,BEGIN_RENEW_HEALTH:END_RENEW_HEALTH,RENEW_COL_ES,FALSE),"")</f>
        <v/>
      </c>
      <c r="M616" s="412" t="str">
        <f>IF(E616="","",E616)</f>
        <v/>
      </c>
      <c r="N616" s="413"/>
      <c r="O616" s="414"/>
      <c r="P616" s="415" t="str">
        <f>IFERROR(IF($N614="Keep Contribution Same",H616,IF($N614="Enter Percentages",IF(N616="","",N616*L616),IF($N614="Keep Percentage Same",IF(G616="","",G616*L616),IF($N614="Enter Dollar Amount",IF(O616="","",O616),"")))),"")</f>
        <v/>
      </c>
      <c r="Q616" s="408" t="str">
        <f ca="1" t="shared" si="61" ref="Q616:Q618">IFERROR(L616-P616,"")</f>
        <v/>
      </c>
      <c r="R616" s="410" t="str">
        <f>IFERROR(IF(P616="","",M616*P616),"")</f>
        <v/>
      </c>
      <c r="S616" s="411"/>
      <c r="T616" s="408" t="str" cm="1">
        <f t="array" ca="1" aca="1" ref="T616">_xlfn.IFNA(VLOOKUP(INDIRECT("T"&amp;ROW()-2)&amp;"_"&amp;$D$12,BEGIN_RENEW_HEALTH:END_RENEW_HEALTH,RENEW_COL_ES,FALSE),"")</f>
        <v/>
      </c>
      <c r="U616" s="412" t="str">
        <f t="shared" si="62" ref="U616:U618">IF(E616="","",E616)</f>
        <v/>
      </c>
      <c r="V616" s="413"/>
      <c r="W616" s="414"/>
      <c r="X616" s="415" t="str">
        <f>IFERROR(IF($V614="Keep Contribution Same",H616,IF($V614="Enter Percentages",IF(V616="","",V616*T616),IF($V614="Keep Percentage Same",IF(G616="","",G616*T616),IF($V614="Enter Dollar Amount",IF(W616="","",W616),"")))),"")</f>
        <v/>
      </c>
      <c r="Y616" s="408" t="str">
        <f ca="1" t="shared" si="63" ref="Y616:Y618">IFERROR(T616-X616,"")</f>
        <v/>
      </c>
      <c r="Z616" s="410" t="str">
        <f t="shared" si="64" ref="Z616:Z618">IFERROR(IF(X616="","",U616*X616),"")</f>
        <v/>
      </c>
    </row>
    <row r="617" spans="1:26" ht="18.75" customHeight="1">
      <c r="A617" s="140"/>
      <c r="B617" s="140"/>
      <c r="D617" s="172" t="s">
        <v>240</v>
      </c>
      <c r="E617" s="407"/>
      <c r="F617" s="449"/>
      <c r="G617" s="470"/>
      <c r="H617" s="449"/>
      <c r="I617" s="450" t="str">
        <f t="shared" si="60"/>
        <v/>
      </c>
      <c r="J617" s="410"/>
      <c r="K617" s="411"/>
      <c r="L617" s="408" t="str" cm="1">
        <f t="array" ca="1" aca="1" ref="L617">_xlfn.IFNA(VLOOKUP(INDIRECT("L"&amp;ROW()-3)&amp;"_"&amp;$D$12,BEGIN_RENEW_HEALTH:END_RENEW_HEALTH,RENEW_COL_EC,FALSE),"")</f>
        <v/>
      </c>
      <c r="M617" s="412" t="str">
        <f>IF(E617="","",E617)</f>
        <v/>
      </c>
      <c r="N617" s="413"/>
      <c r="O617" s="414"/>
      <c r="P617" s="415" t="str">
        <f>IFERROR(IF($N614="Keep Contribution Same",H617,IF($N614="Enter Percentages",IF(N617="","",N617*L617),IF($N614="Keep Percentage Same",IF(G617="","",G617*L617),IF($N614="Enter Dollar Amount",IF(O617="","",O617),"")))),"")</f>
        <v/>
      </c>
      <c r="Q617" s="408" t="str">
        <f t="shared" ca="1" si="61"/>
        <v/>
      </c>
      <c r="R617" s="410" t="str">
        <f>IFERROR(IF(P617="","",M617*P617),"")</f>
        <v/>
      </c>
      <c r="S617" s="411"/>
      <c r="T617" s="408" t="str" cm="1">
        <f t="array" ca="1" aca="1" ref="T617">_xlfn.IFNA(VLOOKUP(INDIRECT("T"&amp;ROW()-3)&amp;"_"&amp;$D$12,BEGIN_RENEW_HEALTH:END_RENEW_HEALTH,RENEW_COL_EC,FALSE),"")</f>
        <v/>
      </c>
      <c r="U617" s="412" t="str">
        <f t="shared" si="62"/>
        <v/>
      </c>
      <c r="V617" s="413"/>
      <c r="W617" s="414"/>
      <c r="X617" s="415" t="str">
        <f>IFERROR(IF($V614="Keep Contribution Same",H617,IF($V614="Enter Percentages",IF(V617="","",V617*T617),IF($V614="Keep Percentage Same",IF(G617="","",G617*T617),IF($V614="Enter Dollar Amount",IF(W617="","",W617),"")))),"")</f>
        <v/>
      </c>
      <c r="Y617" s="408" t="str">
        <f t="shared" ca="1" si="63"/>
        <v/>
      </c>
      <c r="Z617" s="410" t="str">
        <f t="shared" si="64"/>
        <v/>
      </c>
    </row>
    <row r="618" spans="1:26" ht="18.75" customHeight="1" thickBot="1">
      <c r="A618" s="140"/>
      <c r="B618" s="140"/>
      <c r="D618" s="174" t="s">
        <v>241</v>
      </c>
      <c r="E618" s="416"/>
      <c r="F618" s="451"/>
      <c r="G618" s="471"/>
      <c r="H618" s="451"/>
      <c r="I618" s="452" t="str">
        <f t="shared" si="60"/>
        <v/>
      </c>
      <c r="J618" s="419"/>
      <c r="K618" s="411"/>
      <c r="L618" s="417" t="str" cm="1">
        <f t="array" ca="1" aca="1" ref="L618">_xlfn.IFNA(VLOOKUP(INDIRECT("L"&amp;ROW()-4)&amp;"_"&amp;$D$12,BEGIN_RENEW_HEALTH:END_RENEW_HEALTH,RENEW_COL_FAM,FALSE),"")</f>
        <v/>
      </c>
      <c r="M618" s="423" t="str">
        <f>IF(E618="","",E618)</f>
        <v/>
      </c>
      <c r="N618" s="420"/>
      <c r="O618" s="421"/>
      <c r="P618" s="422" t="str">
        <f>IFERROR(IF($N614="Keep Contribution Same",H618,IF($N614="Enter Percentages",IF(N618="","",N618*L618),IF($N614="Keep Percentage Same",IF(G618="","",G618*L618),IF($N614="Enter Dollar Amount",IF(O618="","",O618),"")))),"")</f>
        <v/>
      </c>
      <c r="Q618" s="417" t="str">
        <f t="shared" ca="1" si="61"/>
        <v/>
      </c>
      <c r="R618" s="419" t="str">
        <f>IFERROR(IF(P618="","",M618*P618),"")</f>
        <v/>
      </c>
      <c r="S618" s="411"/>
      <c r="T618" s="417" t="str" cm="1">
        <f t="array" ca="1" aca="1" ref="T618">_xlfn.IFNA(VLOOKUP(INDIRECT("T"&amp;ROW()-4)&amp;"_"&amp;$D$12,BEGIN_RENEW_HEALTH:END_RENEW_HEALTH,RENEW_COL_FAM,FALSE),"")</f>
        <v/>
      </c>
      <c r="U618" s="423" t="str">
        <f t="shared" si="62"/>
        <v/>
      </c>
      <c r="V618" s="420"/>
      <c r="W618" s="421"/>
      <c r="X618" s="422" t="str">
        <f>IFERROR(IF($V614="Keep Contribution Same",H618,IF($V614="Enter Percentages",IF(V618="","",V618*T618),IF($V614="Keep Percentage Same",IF(G618="","",G618*T618),IF($V614="Enter Dollar Amount",IF(W618="","",W618),"")))),"")</f>
        <v/>
      </c>
      <c r="Y618" s="417" t="str">
        <f t="shared" ca="1" si="63"/>
        <v/>
      </c>
      <c r="Z618" s="419" t="str">
        <f t="shared" si="64"/>
        <v/>
      </c>
    </row>
    <row r="619" spans="1:26" ht="18.75" customHeight="1" thickTop="1">
      <c r="A619" s="140"/>
      <c r="B619" s="140"/>
      <c r="D619" s="175" t="s">
        <v>242</v>
      </c>
      <c r="E619" s="459"/>
      <c r="F619" s="447">
        <f>IFERROR((F615*E615)+(F616*E616)+(F617*E617)+(F618*E618),"")</f>
        <v>0</v>
      </c>
      <c r="G619" s="426"/>
      <c r="H619" s="427"/>
      <c r="I619" s="428"/>
      <c r="J619" s="429" t="str">
        <f>IFERROR(IF(J615="","",SUM(J615:J618)),0)</f>
        <v/>
      </c>
      <c r="K619" s="1"/>
      <c r="L619" s="430" t="str">
        <f ca="1">IFERROR((M615*L615)+(M616*L616)+(M617*L617)+(M618*L618),"")</f>
        <v/>
      </c>
      <c r="M619" s="427"/>
      <c r="N619" s="426"/>
      <c r="O619" s="427"/>
      <c r="P619" s="431"/>
      <c r="Q619" s="432"/>
      <c r="R619" s="429" t="str">
        <f>IFERROR(IF(R615="","",SUM(R615:R618)),0)</f>
        <v/>
      </c>
      <c r="T619" s="430" t="str">
        <f ca="1">IFERROR((U615*T615)+(U616*T616)+(U617*T617)+(U618*T618),"")</f>
        <v/>
      </c>
      <c r="U619" s="427"/>
      <c r="V619" s="426"/>
      <c r="W619" s="427"/>
      <c r="X619" s="431"/>
      <c r="Y619" s="432"/>
      <c r="Z619" s="429" t="str">
        <f>IFERROR(IF(Z615="","",SUM(Z615:Z618)),0)</f>
        <v/>
      </c>
    </row>
    <row r="620" spans="1:26" ht="18.75" customHeight="1">
      <c r="A620" s="140"/>
      <c r="B620" s="140"/>
      <c r="D620" s="177" t="s">
        <v>243</v>
      </c>
      <c r="E620" s="460"/>
      <c r="F620" s="448">
        <f>IFERROR(F619*12,"")</f>
        <v>0</v>
      </c>
      <c r="G620" s="435"/>
      <c r="H620" s="436"/>
      <c r="I620" s="432"/>
      <c r="J620" s="437" t="str">
        <f>IF(J619="","",J619*12)</f>
        <v/>
      </c>
      <c r="K620" s="1"/>
      <c r="L620" s="438" t="str">
        <f ca="1">IFERROR(L619*12,"")</f>
        <v/>
      </c>
      <c r="M620" s="436"/>
      <c r="N620" s="435"/>
      <c r="O620" s="436"/>
      <c r="P620" s="432"/>
      <c r="Q620" s="432"/>
      <c r="R620" s="437" t="str">
        <f>IF(R619="","",R619*12)</f>
        <v/>
      </c>
      <c r="T620" s="438" t="str">
        <f ca="1">IFERROR(T619*12,"")</f>
        <v/>
      </c>
      <c r="U620" s="436"/>
      <c r="V620" s="435"/>
      <c r="W620" s="436"/>
      <c r="X620" s="432"/>
      <c r="Y620" s="432"/>
      <c r="Z620" s="437" t="str">
        <f>IF(Z619="","",Z619*12)</f>
        <v/>
      </c>
    </row>
    <row r="621" spans="1:26" ht="18.75" customHeight="1">
      <c r="A621" s="140"/>
      <c r="B621" s="140"/>
      <c r="D621" s="177" t="s">
        <v>244</v>
      </c>
      <c r="E621" s="433"/>
      <c r="F621" s="436"/>
      <c r="G621" s="435"/>
      <c r="H621" s="436"/>
      <c r="I621" s="432"/>
      <c r="J621" s="437" t="str">
        <f>IFERROR(IF(J620="","",R620-J620),0)</f>
        <v/>
      </c>
      <c r="K621" s="1"/>
      <c r="L621" s="434" t="str">
        <f ca="1">IFERROR(L620-F620,"")</f>
        <v/>
      </c>
      <c r="M621" s="436"/>
      <c r="N621" s="435"/>
      <c r="O621" s="436"/>
      <c r="P621" s="432"/>
      <c r="Q621" s="432"/>
      <c r="R621" s="437" t="str">
        <f>IFERROR(IF(J620="","",R620-J620),0)</f>
        <v/>
      </c>
      <c r="T621" s="434" t="str">
        <f ca="1">IFERROR(T620-F620,"")</f>
        <v/>
      </c>
      <c r="U621" s="436"/>
      <c r="V621" s="435"/>
      <c r="W621" s="436"/>
      <c r="X621" s="432"/>
      <c r="Y621" s="432"/>
      <c r="Z621" s="437" t="str">
        <f>IFERROR(IF(R620="","",Z620-R620),0)</f>
        <v/>
      </c>
    </row>
    <row r="622" spans="1:26" ht="18" customHeight="1" thickBot="1">
      <c r="A622" s="140"/>
      <c r="B622" s="140"/>
      <c r="D622" s="180" t="s">
        <v>245</v>
      </c>
      <c r="E622" s="439"/>
      <c r="F622" s="440"/>
      <c r="G622" s="441"/>
      <c r="H622" s="440"/>
      <c r="I622" s="442"/>
      <c r="J622" s="437" t="str">
        <f>IFERROR(IF(J620="","",(R620/J620)-1),0)</f>
        <v/>
      </c>
      <c r="K622" s="1"/>
      <c r="L622" s="444" t="str">
        <f ca="1">IFERROR(L620/F620-1,"")</f>
        <v/>
      </c>
      <c r="M622" s="440"/>
      <c r="N622" s="441"/>
      <c r="O622" s="440"/>
      <c r="P622" s="445"/>
      <c r="Q622" s="445"/>
      <c r="R622" s="453" t="str">
        <f>IFERROR(IF(J620="","",(R620/J620)-1),0)</f>
        <v/>
      </c>
      <c r="T622" s="444" t="str">
        <f ca="1">IFERROR(T620/F620-1,"")</f>
        <v/>
      </c>
      <c r="U622" s="440"/>
      <c r="V622" s="441"/>
      <c r="W622" s="440"/>
      <c r="X622" s="445"/>
      <c r="Y622" s="445"/>
      <c r="Z622" s="446" t="str">
        <f>IFERROR(IF(R620="","",(Z620/R620)-1),0)</f>
        <v/>
      </c>
    </row>
    <row r="623" spans="1:26" ht="18" customHeight="1">
      <c r="A623" s="140"/>
      <c r="B623" s="140"/>
      <c r="D623" s="181" t="s">
        <v>246</v>
      </c>
      <c r="E623" s="182"/>
      <c r="F623" s="182"/>
      <c r="G623" s="182"/>
      <c r="H623" s="182"/>
      <c r="I623" s="182"/>
      <c r="J623" s="183"/>
      <c r="K623"/>
      <c r="L623" s="184"/>
      <c r="M623" s="182"/>
      <c r="N623" s="182"/>
      <c r="O623" s="182"/>
      <c r="P623" s="182"/>
      <c r="Q623" s="182"/>
      <c r="R623" s="183"/>
      <c r="T623" s="184"/>
      <c r="U623" s="182"/>
      <c r="V623" s="182"/>
      <c r="W623" s="182"/>
      <c r="X623" s="182"/>
      <c r="Y623" s="182"/>
      <c r="Z623" s="183"/>
    </row>
    <row r="624" spans="1:26" ht="18" customHeight="1" hidden="1">
      <c r="A624" s="140"/>
      <c r="B624" s="140"/>
      <c r="D624" s="185" t="s">
        <v>247</v>
      </c>
      <c r="E624" s="186"/>
      <c r="F624" s="186"/>
      <c r="G624" s="186"/>
      <c r="H624" s="186"/>
      <c r="I624" s="186"/>
      <c r="J624" s="187"/>
      <c r="K624"/>
      <c r="L624" s="188"/>
      <c r="M624" s="186"/>
      <c r="N624" s="186"/>
      <c r="O624" s="186"/>
      <c r="P624" s="186"/>
      <c r="Q624" s="186"/>
      <c r="R624" s="187"/>
      <c r="T624" s="188"/>
      <c r="U624" s="186"/>
      <c r="V624" s="186"/>
      <c r="W624" s="186"/>
      <c r="X624" s="186"/>
      <c r="Y624" s="186"/>
      <c r="Z624" s="187"/>
    </row>
    <row r="625" spans="1:26" ht="18" customHeight="1" hidden="1">
      <c r="A625" s="140"/>
      <c r="B625" s="140"/>
      <c r="D625" s="189" t="s">
        <v>248</v>
      </c>
      <c r="E625" s="190" t="str">
        <f>D614&amp;"_"&amp;D12</f>
        <v>NEW PLAN_OWNERS</v>
      </c>
      <c r="F625" s="191"/>
      <c r="G625" s="191"/>
      <c r="H625" s="191"/>
      <c r="I625" s="190"/>
      <c r="J625" s="192"/>
      <c r="K625"/>
      <c r="L625" s="193" t="str">
        <f>L614&amp;"_"&amp;D12</f>
        <v>SELECT PLAN_OWNERS</v>
      </c>
      <c r="M625" s="191"/>
      <c r="N625" s="191"/>
      <c r="O625" s="191"/>
      <c r="P625" s="190"/>
      <c r="Q625" s="191"/>
      <c r="R625" s="192"/>
      <c r="T625" s="193" t="str">
        <f>T614&amp;"_"&amp;D12</f>
        <v>SELECT PLAN_OWNERS</v>
      </c>
      <c r="U625" s="191"/>
      <c r="V625" s="191"/>
      <c r="W625" s="191"/>
      <c r="X625" s="190"/>
      <c r="Y625" s="191"/>
      <c r="Z625" s="192"/>
    </row>
    <row r="626" spans="1:26" ht="18" customHeight="1" hidden="1">
      <c r="A626" s="140"/>
      <c r="B626" s="140"/>
      <c r="D626" s="189" t="s">
        <v>249</v>
      </c>
      <c r="E626" s="191"/>
      <c r="F626" s="191"/>
      <c r="G626" s="191"/>
      <c r="H626" s="191"/>
      <c r="I626" s="191"/>
      <c r="J626" s="192"/>
      <c r="K626"/>
      <c r="L626" s="189"/>
      <c r="M626" s="191"/>
      <c r="N626" s="191"/>
      <c r="O626" s="191"/>
      <c r="P626" s="191"/>
      <c r="Q626" s="191"/>
      <c r="R626" s="192"/>
      <c r="T626" s="189"/>
      <c r="U626" s="191"/>
      <c r="V626" s="191"/>
      <c r="W626" s="191"/>
      <c r="X626" s="191"/>
      <c r="Y626" s="191"/>
      <c r="Z626" s="192"/>
    </row>
    <row r="627" spans="1:26" ht="32.25" customHeight="1" hidden="1">
      <c r="A627" s="140"/>
      <c r="B627" s="140"/>
      <c r="D627" s="194" t="s">
        <v>250</v>
      </c>
      <c r="E627" s="195"/>
      <c r="F627" s="195"/>
      <c r="G627" s="195"/>
      <c r="H627" s="195"/>
      <c r="I627" s="195"/>
      <c r="J627" s="196"/>
      <c r="K627"/>
      <c r="L627" s="197"/>
      <c r="M627" s="195"/>
      <c r="N627" s="195"/>
      <c r="O627" s="195"/>
      <c r="P627" s="195"/>
      <c r="Q627" s="195"/>
      <c r="R627" s="196"/>
      <c r="T627" s="197"/>
      <c r="U627" s="195"/>
      <c r="V627" s="195"/>
      <c r="W627" s="195"/>
      <c r="X627" s="195"/>
      <c r="Y627" s="195"/>
      <c r="Z627" s="196"/>
    </row>
    <row r="628" spans="1:26" ht="18" customHeight="1" hidden="1">
      <c r="A628" s="140"/>
      <c r="B628" s="140"/>
      <c r="D628" s="198" t="s">
        <v>251</v>
      </c>
      <c r="E628" s="199" t="str">
        <f>_xlfn.XLOOKUP(E625,CurrentPlans!B:B,CurrentPlans!X:X,"NA",0,1)</f>
        <v>NA</v>
      </c>
      <c r="F628" s="200"/>
      <c r="G628" s="200"/>
      <c r="H628" s="200"/>
      <c r="I628" s="199"/>
      <c r="J628" s="201"/>
      <c r="K628"/>
      <c r="L628" s="202" t="str">
        <f>_xlfn.XLOOKUP(L625,RenewalPlans!B:B,RenewalPlans!AA:AA,"NA",0,1)</f>
        <v>NA</v>
      </c>
      <c r="M628" s="200"/>
      <c r="N628" s="200"/>
      <c r="O628" s="200"/>
      <c r="P628" s="199"/>
      <c r="Q628" s="200"/>
      <c r="R628" s="201"/>
      <c r="T628" s="202" t="str">
        <f>_xlfn.XLOOKUP(T625,RenewalPlans!B:B,RenewalPlans!AA:AA,"NA",0,1)</f>
        <v>NA</v>
      </c>
      <c r="U628" s="200"/>
      <c r="V628" s="200"/>
      <c r="W628" s="200"/>
      <c r="X628" s="199"/>
      <c r="Y628" s="200"/>
      <c r="Z628" s="201"/>
    </row>
    <row r="629" spans="1:26" ht="18" customHeight="1" hidden="1">
      <c r="A629" s="140"/>
      <c r="B629" s="140"/>
      <c r="D629" s="198" t="s">
        <v>252</v>
      </c>
      <c r="E629" s="199" t="str">
        <f>_xlfn.XLOOKUP(E625,CurrentPlans!B:B,CurrentPlans!Y:Y,"NA",0,1)</f>
        <v>NA</v>
      </c>
      <c r="F629" s="200"/>
      <c r="G629" s="200"/>
      <c r="H629" s="200"/>
      <c r="I629" s="199"/>
      <c r="J629" s="201"/>
      <c r="K629"/>
      <c r="L629" s="202" t="str">
        <f>_xlfn.XLOOKUP(L625,RenewalPlans!B:B,RenewalPlans!AB:AB,"NA",0,1)</f>
        <v>NA</v>
      </c>
      <c r="M629" s="200"/>
      <c r="N629" s="200"/>
      <c r="O629" s="200"/>
      <c r="P629" s="199"/>
      <c r="Q629" s="200"/>
      <c r="R629" s="201"/>
      <c r="T629" s="202" t="str">
        <f>_xlfn.XLOOKUP(T625,RenewalPlans!B:B,RenewalPlans!AB:AB,"NA",0,1)</f>
        <v>NA</v>
      </c>
      <c r="U629" s="200"/>
      <c r="V629" s="200"/>
      <c r="W629" s="200"/>
      <c r="X629" s="199"/>
      <c r="Y629" s="200"/>
      <c r="Z629" s="201"/>
    </row>
    <row r="630" spans="1:26" ht="18" customHeight="1" hidden="1">
      <c r="A630" s="140"/>
      <c r="B630" s="140"/>
      <c r="D630" s="120" t="s">
        <v>253</v>
      </c>
      <c r="E630" s="121" t="str">
        <f>_xlfn.XLOOKUP(E625,CurrentPlans!B:B,CurrentPlans!W:W,"NA",0,1)</f>
        <v>NA</v>
      </c>
      <c r="F630" s="122"/>
      <c r="G630" s="122"/>
      <c r="H630" s="122"/>
      <c r="I630" s="121"/>
      <c r="J630" s="123"/>
      <c r="K630"/>
      <c r="L630" s="124" t="str">
        <f>_xlfn.XLOOKUP(L625,RenewalPlans!B:B,RenewalPlans!Z:Z,"NA",0,1)</f>
        <v>NA</v>
      </c>
      <c r="M630" s="122"/>
      <c r="N630" s="122"/>
      <c r="O630" s="122"/>
      <c r="P630" s="121"/>
      <c r="Q630" s="122"/>
      <c r="R630" s="123"/>
      <c r="T630" s="124" t="str">
        <f>_xlfn.XLOOKUP(T625,RenewalPlans!B:B,RenewalPlans!Z:Z,"NA",0,1)</f>
        <v>NA</v>
      </c>
      <c r="U630" s="122"/>
      <c r="V630" s="122"/>
      <c r="W630" s="122"/>
      <c r="X630" s="121"/>
      <c r="Y630" s="122"/>
      <c r="Z630" s="123"/>
    </row>
    <row r="631" spans="1:26" ht="18" customHeight="1" hidden="1">
      <c r="A631" s="140"/>
      <c r="B631" s="140"/>
      <c r="D631" s="203" t="s">
        <v>254</v>
      </c>
      <c r="E631" s="204"/>
      <c r="F631" s="205"/>
      <c r="G631" s="205"/>
      <c r="H631" s="205"/>
      <c r="I631" s="204"/>
      <c r="J631" s="206"/>
      <c r="K631"/>
      <c r="L631" s="207"/>
      <c r="M631" s="205"/>
      <c r="N631" s="205"/>
      <c r="O631" s="205"/>
      <c r="P631" s="204"/>
      <c r="Q631" s="205"/>
      <c r="R631" s="206"/>
      <c r="T631" s="207"/>
      <c r="U631" s="205"/>
      <c r="V631" s="205"/>
      <c r="W631" s="205"/>
      <c r="X631" s="204"/>
      <c r="Y631" s="205"/>
      <c r="Z631" s="206"/>
    </row>
    <row r="632" spans="1:26" ht="18" customHeight="1" hidden="1">
      <c r="A632" s="140"/>
      <c r="B632" s="140"/>
      <c r="D632" s="125" t="s">
        <v>255</v>
      </c>
      <c r="E632" s="126" t="str">
        <f>_xlfn.XLOOKUP(E625,CurrentPlans!B:B,CurrentPlans!Z:Z,"NA",0,1)</f>
        <v>NA</v>
      </c>
      <c r="F632" s="127"/>
      <c r="G632" s="127"/>
      <c r="H632" s="127"/>
      <c r="I632" s="126"/>
      <c r="J632" s="128"/>
      <c r="K632"/>
      <c r="L632" s="129" t="str">
        <f>_xlfn.XLOOKUP(L625,RenewalPlans!B:B,RenewalPlans!AC:AC,"NA",0,1)</f>
        <v>NA</v>
      </c>
      <c r="M632" s="127"/>
      <c r="N632" s="127"/>
      <c r="O632" s="127"/>
      <c r="P632" s="126"/>
      <c r="Q632" s="127"/>
      <c r="R632" s="128"/>
      <c r="T632" s="129" t="str">
        <f>_xlfn.XLOOKUP(T625,RenewalPlans!B:B,RenewalPlans!AC:AC,"NA",0,1)</f>
        <v>NA</v>
      </c>
      <c r="U632" s="127"/>
      <c r="V632" s="127"/>
      <c r="W632" s="127"/>
      <c r="X632" s="126"/>
      <c r="Y632" s="127"/>
      <c r="Z632" s="128"/>
    </row>
    <row r="633" spans="1:26" ht="18" customHeight="1" hidden="1">
      <c r="A633" s="140"/>
      <c r="B633" s="140"/>
      <c r="D633" s="198" t="s">
        <v>256</v>
      </c>
      <c r="E633" s="208" t="str">
        <f>_xlfn.XLOOKUP(E625,CurrentPlans!B:B,CurrentPlans!AA:AA,"NA",0,1)</f>
        <v>NA</v>
      </c>
      <c r="F633" s="200"/>
      <c r="G633" s="200"/>
      <c r="H633" s="200"/>
      <c r="I633" s="208"/>
      <c r="J633" s="201"/>
      <c r="K633"/>
      <c r="L633" s="209" t="str">
        <f>_xlfn.XLOOKUP(L625,RenewalPlans!B:B,RenewalPlans!AD:AD,"NA",0,1)</f>
        <v>NA</v>
      </c>
      <c r="M633" s="200"/>
      <c r="N633" s="200"/>
      <c r="O633" s="200"/>
      <c r="P633" s="208"/>
      <c r="Q633" s="200"/>
      <c r="R633" s="201"/>
      <c r="T633" s="209" t="str">
        <f>_xlfn.XLOOKUP(T625,RenewalPlans!B:B,RenewalPlans!AD:AD,"NA",0,1)</f>
        <v>NA</v>
      </c>
      <c r="U633" s="200"/>
      <c r="V633" s="200"/>
      <c r="W633" s="200"/>
      <c r="X633" s="208"/>
      <c r="Y633" s="200"/>
      <c r="Z633" s="201"/>
    </row>
    <row r="634" spans="1:26" ht="18" customHeight="1" hidden="1">
      <c r="A634" s="140"/>
      <c r="B634" s="140"/>
      <c r="D634" s="203" t="s">
        <v>257</v>
      </c>
      <c r="E634" s="204"/>
      <c r="F634" s="205"/>
      <c r="G634" s="205"/>
      <c r="H634" s="205"/>
      <c r="I634" s="204"/>
      <c r="J634" s="206"/>
      <c r="K634"/>
      <c r="L634" s="207"/>
      <c r="M634" s="205"/>
      <c r="N634" s="205"/>
      <c r="O634" s="205"/>
      <c r="P634" s="204"/>
      <c r="Q634" s="205"/>
      <c r="R634" s="206"/>
      <c r="T634" s="207"/>
      <c r="U634" s="205"/>
      <c r="V634" s="205"/>
      <c r="W634" s="205"/>
      <c r="X634" s="204"/>
      <c r="Y634" s="205"/>
      <c r="Z634" s="206"/>
    </row>
    <row r="635" spans="1:26" ht="18" customHeight="1" hidden="1">
      <c r="A635" s="140"/>
      <c r="B635" s="140"/>
      <c r="D635" s="198" t="s">
        <v>258</v>
      </c>
      <c r="E635" s="208" t="str">
        <f>_xlfn.XLOOKUP(E625,CurrentPlans!B:B,CurrentPlans!AB:AB,"NA",0,1)</f>
        <v>NA</v>
      </c>
      <c r="F635" s="200"/>
      <c r="G635" s="200"/>
      <c r="H635" s="200"/>
      <c r="I635" s="208"/>
      <c r="J635" s="201"/>
      <c r="K635"/>
      <c r="L635" s="209" t="str">
        <f>_xlfn.XLOOKUP(L625,RenewalPlans!B:B,RenewalPlans!AE:AE,"NA",0,1)</f>
        <v>NA</v>
      </c>
      <c r="M635" s="200"/>
      <c r="N635" s="200"/>
      <c r="O635" s="200"/>
      <c r="P635" s="208"/>
      <c r="Q635" s="200"/>
      <c r="R635" s="201"/>
      <c r="T635" s="209" t="str">
        <f>_xlfn.XLOOKUP(T625,RenewalPlans!B:B,RenewalPlans!AE:AE,"NA",0,1)</f>
        <v>NA</v>
      </c>
      <c r="U635" s="200"/>
      <c r="V635" s="200"/>
      <c r="W635" s="200"/>
      <c r="X635" s="208"/>
      <c r="Y635" s="200"/>
      <c r="Z635" s="201"/>
    </row>
    <row r="636" spans="1:26" ht="18" customHeight="1" hidden="1">
      <c r="A636" s="140"/>
      <c r="B636" s="140"/>
      <c r="D636" s="198" t="s">
        <v>259</v>
      </c>
      <c r="E636" s="208" t="str">
        <f>_xlfn.XLOOKUP(E625,CurrentPlans!B:B,CurrentPlans!AC:AC,"NA",0,1)</f>
        <v>NA</v>
      </c>
      <c r="F636" s="200"/>
      <c r="G636" s="200"/>
      <c r="H636" s="200"/>
      <c r="I636" s="208"/>
      <c r="J636" s="201"/>
      <c r="K636"/>
      <c r="L636" s="209" t="str">
        <f>_xlfn.XLOOKUP(L625,RenewalPlans!B:B,RenewalPlans!AF:AF,"NA",0,1)</f>
        <v>NA</v>
      </c>
      <c r="M636" s="200"/>
      <c r="N636" s="200"/>
      <c r="O636" s="200"/>
      <c r="P636" s="208"/>
      <c r="Q636" s="200"/>
      <c r="R636" s="201"/>
      <c r="T636" s="209" t="str">
        <f>_xlfn.XLOOKUP(T625,RenewalPlans!B:B,RenewalPlans!AF:AF,"NA",0,1)</f>
        <v>NA</v>
      </c>
      <c r="U636" s="200"/>
      <c r="V636" s="200"/>
      <c r="W636" s="200"/>
      <c r="X636" s="208"/>
      <c r="Y636" s="200"/>
      <c r="Z636" s="201"/>
    </row>
    <row r="637" spans="1:26" ht="18" customHeight="1" hidden="1">
      <c r="A637" s="140"/>
      <c r="B637" s="140"/>
      <c r="D637" s="210"/>
      <c r="E637" s="211"/>
      <c r="F637" s="211"/>
      <c r="G637" s="211"/>
      <c r="H637" s="211"/>
      <c r="I637" s="211"/>
      <c r="J637" s="212"/>
      <c r="K637"/>
      <c r="L637" s="210"/>
      <c r="M637" s="211"/>
      <c r="N637" s="211"/>
      <c r="O637" s="211"/>
      <c r="P637" s="211"/>
      <c r="Q637" s="211"/>
      <c r="R637" s="212"/>
      <c r="T637" s="210"/>
      <c r="U637" s="211"/>
      <c r="V637" s="211"/>
      <c r="W637" s="211"/>
      <c r="X637" s="211"/>
      <c r="Y637" s="211"/>
      <c r="Z637" s="212"/>
    </row>
    <row r="638" spans="1:26" ht="18" customHeight="1" hidden="1">
      <c r="A638" s="140"/>
      <c r="B638" s="140"/>
      <c r="D638" s="185" t="s">
        <v>260</v>
      </c>
      <c r="E638" s="186"/>
      <c r="F638" s="186"/>
      <c r="G638" s="186"/>
      <c r="H638" s="186"/>
      <c r="I638" s="186"/>
      <c r="J638" s="187"/>
      <c r="K638"/>
      <c r="L638" s="188"/>
      <c r="M638" s="186"/>
      <c r="N638" s="186"/>
      <c r="O638" s="186"/>
      <c r="P638" s="186"/>
      <c r="Q638" s="186"/>
      <c r="R638" s="187"/>
      <c r="T638" s="188"/>
      <c r="U638" s="186"/>
      <c r="V638" s="186"/>
      <c r="W638" s="186"/>
      <c r="X638" s="186"/>
      <c r="Y638" s="186"/>
      <c r="Z638" s="187"/>
    </row>
    <row r="639" spans="1:26" ht="18" customHeight="1" hidden="1">
      <c r="A639" s="140"/>
      <c r="B639" s="140"/>
      <c r="D639" s="213" t="s">
        <v>261</v>
      </c>
      <c r="E639" s="130" t="str">
        <f>_xlfn.XLOOKUP(E625,CurrentPlans!B:B,CurrentPlans!AJ:AJ,"NA",0,1)</f>
        <v>NA</v>
      </c>
      <c r="F639" s="214"/>
      <c r="G639" s="214"/>
      <c r="H639" s="214"/>
      <c r="I639" s="130"/>
      <c r="J639" s="215"/>
      <c r="K639"/>
      <c r="L639" s="131" t="str">
        <f>_xlfn.XLOOKUP(L625,RenewalPlans!B:B,RenewalPlans!AM:AM,"NA",0,1)</f>
        <v>NA</v>
      </c>
      <c r="M639" s="214"/>
      <c r="N639" s="214"/>
      <c r="O639" s="214"/>
      <c r="P639" s="130"/>
      <c r="Q639" s="214"/>
      <c r="R639" s="215"/>
      <c r="T639" s="131" t="str">
        <f>_xlfn.XLOOKUP(T625,RenewalPlans!B:B,RenewalPlans!AM:AM,"NA",0,1)</f>
        <v>NA</v>
      </c>
      <c r="U639" s="214"/>
      <c r="V639" s="214"/>
      <c r="W639" s="214"/>
      <c r="X639" s="130"/>
      <c r="Y639" s="214"/>
      <c r="Z639" s="215"/>
    </row>
    <row r="640" spans="1:26" ht="18" customHeight="1" hidden="1">
      <c r="A640" s="140"/>
      <c r="B640" s="140"/>
      <c r="D640" s="198" t="s">
        <v>262</v>
      </c>
      <c r="E640" s="130" t="str">
        <f>_xlfn.XLOOKUP(E625,CurrentPlans!B:B,CurrentPlans!AM:AM,"NA",0,1)</f>
        <v>NA</v>
      </c>
      <c r="F640" s="200"/>
      <c r="G640" s="200"/>
      <c r="H640" s="200"/>
      <c r="I640" s="130"/>
      <c r="J640" s="201"/>
      <c r="K640"/>
      <c r="L640" s="131" t="str">
        <f>_xlfn.XLOOKUP(L625,RenewalPlans!B:B,RenewalPlans!AP:AP,"NA",0,1)</f>
        <v>NA</v>
      </c>
      <c r="M640" s="200"/>
      <c r="N640" s="200"/>
      <c r="O640" s="200"/>
      <c r="P640" s="130"/>
      <c r="Q640" s="200"/>
      <c r="R640" s="201"/>
      <c r="T640" s="131" t="str">
        <f>_xlfn.XLOOKUP(T625,RenewalPlans!B:B,RenewalPlans!AP:AP,"NA",0,1)</f>
        <v>NA</v>
      </c>
      <c r="U640" s="200"/>
      <c r="V640" s="200"/>
      <c r="W640" s="200"/>
      <c r="X640" s="130"/>
      <c r="Y640" s="200"/>
      <c r="Z640" s="201"/>
    </row>
    <row r="641" spans="1:26" ht="18" customHeight="1" hidden="1">
      <c r="A641" s="140"/>
      <c r="B641" s="140"/>
      <c r="D641" s="198" t="s">
        <v>263</v>
      </c>
      <c r="E641" s="130" t="str">
        <f>_xlfn.XLOOKUP(E625,CurrentPlans!B:B,CurrentPlans!AI:AI,"NA",0,1)</f>
        <v>NA</v>
      </c>
      <c r="F641" s="200"/>
      <c r="G641" s="200"/>
      <c r="H641" s="200"/>
      <c r="I641" s="130"/>
      <c r="J641" s="201"/>
      <c r="K641"/>
      <c r="L641" s="131" t="str">
        <f>_xlfn.XLOOKUP(L625,RenewalPlans!B:B,RenewalPlans!AL:AL,"NA",0,1)</f>
        <v>NA</v>
      </c>
      <c r="M641" s="200"/>
      <c r="N641" s="200"/>
      <c r="O641" s="200"/>
      <c r="P641" s="130"/>
      <c r="Q641" s="200"/>
      <c r="R641" s="201"/>
      <c r="T641" s="131" t="str">
        <f>_xlfn.XLOOKUP(T625,RenewalPlans!B:B,RenewalPlans!AL:AL,"NA",0,1)</f>
        <v>NA</v>
      </c>
      <c r="U641" s="200"/>
      <c r="V641" s="200"/>
      <c r="W641" s="200"/>
      <c r="X641" s="130"/>
      <c r="Y641" s="200"/>
      <c r="Z641" s="201"/>
    </row>
    <row r="642" spans="1:26" ht="18" customHeight="1" hidden="1">
      <c r="A642" s="140"/>
      <c r="B642" s="140"/>
      <c r="D642" s="198" t="s">
        <v>264</v>
      </c>
      <c r="E642" s="208" t="str">
        <f>_xlfn.XLOOKUP(E625,CurrentPlans!B:B,CurrentPlans!AN:AN,"NA",0,1)</f>
        <v>NA</v>
      </c>
      <c r="F642" s="200"/>
      <c r="G642" s="200"/>
      <c r="H642" s="200"/>
      <c r="I642" s="208"/>
      <c r="J642" s="201"/>
      <c r="K642"/>
      <c r="L642" s="209" t="str">
        <f>_xlfn.XLOOKUP(L625,RenewalPlans!B:B,RenewalPlans!AQ:AQ,"NA",0,1)</f>
        <v>NA</v>
      </c>
      <c r="M642" s="200"/>
      <c r="N642" s="200"/>
      <c r="O642" s="200"/>
      <c r="P642" s="208"/>
      <c r="Q642" s="200"/>
      <c r="R642" s="201"/>
      <c r="T642" s="209" t="str">
        <f>_xlfn.XLOOKUP(T625,RenewalPlans!B:B,RenewalPlans!AQ:AQ,"NA",0,1)</f>
        <v>NA</v>
      </c>
      <c r="U642" s="200"/>
      <c r="V642" s="200"/>
      <c r="W642" s="200"/>
      <c r="X642" s="208"/>
      <c r="Y642" s="200"/>
      <c r="Z642" s="201"/>
    </row>
    <row r="643" spans="1:26" ht="18" customHeight="1" hidden="1">
      <c r="A643" s="140"/>
      <c r="B643" s="140"/>
      <c r="D643" s="210"/>
      <c r="E643" s="211"/>
      <c r="F643" s="211"/>
      <c r="G643" s="211"/>
      <c r="H643" s="211"/>
      <c r="I643" s="211"/>
      <c r="J643" s="212"/>
      <c r="K643"/>
      <c r="L643" s="210"/>
      <c r="M643" s="211"/>
      <c r="N643" s="211"/>
      <c r="O643" s="211"/>
      <c r="P643" s="211"/>
      <c r="Q643" s="211"/>
      <c r="R643" s="212"/>
      <c r="T643" s="210"/>
      <c r="U643" s="211"/>
      <c r="V643" s="211"/>
      <c r="W643" s="211"/>
      <c r="X643" s="211"/>
      <c r="Y643" s="211"/>
      <c r="Z643" s="212"/>
    </row>
    <row r="644" spans="1:26" ht="18" customHeight="1" hidden="1">
      <c r="A644" s="140"/>
      <c r="B644" s="140"/>
      <c r="D644" s="185" t="s">
        <v>265</v>
      </c>
      <c r="E644" s="186"/>
      <c r="F644" s="186"/>
      <c r="G644" s="186"/>
      <c r="H644" s="186"/>
      <c r="I644" s="186"/>
      <c r="J644" s="187"/>
      <c r="K644"/>
      <c r="L644" s="188"/>
      <c r="M644" s="186"/>
      <c r="N644" s="186"/>
      <c r="O644" s="186"/>
      <c r="P644" s="186"/>
      <c r="Q644" s="186"/>
      <c r="R644" s="187"/>
      <c r="T644" s="188"/>
      <c r="U644" s="186"/>
      <c r="V644" s="186"/>
      <c r="W644" s="186"/>
      <c r="X644" s="186"/>
      <c r="Y644" s="186"/>
      <c r="Z644" s="187"/>
    </row>
    <row r="645" spans="1:26" ht="18" customHeight="1" hidden="1">
      <c r="A645" s="140"/>
      <c r="B645" s="140"/>
      <c r="D645" s="132" t="s">
        <v>266</v>
      </c>
      <c r="E645" s="133" t="str">
        <f>_xlfn.XLOOKUP(E625,CurrentPlans!B:B,CurrentPlans!AE:AE,"NA",0,1)</f>
        <v>NA</v>
      </c>
      <c r="F645" s="134"/>
      <c r="G645" s="134"/>
      <c r="H645" s="134"/>
      <c r="I645" s="133"/>
      <c r="J645" s="135"/>
      <c r="K645"/>
      <c r="L645" s="136" t="str">
        <f>_xlfn.XLOOKUP(L625,RenewalPlans!B:B,RenewalPlans!AH:AH,"NA",0,1)</f>
        <v>NA</v>
      </c>
      <c r="M645" s="134"/>
      <c r="N645" s="134"/>
      <c r="O645" s="134"/>
      <c r="P645" s="133"/>
      <c r="Q645" s="134"/>
      <c r="R645" s="135"/>
      <c r="T645" s="136" t="str">
        <f>_xlfn.XLOOKUP(T625,RenewalPlans!B:B,RenewalPlans!AH:AH,"NA",0,1)</f>
        <v>NA</v>
      </c>
      <c r="U645" s="134"/>
      <c r="V645" s="134"/>
      <c r="W645" s="134"/>
      <c r="X645" s="133"/>
      <c r="Y645" s="134"/>
      <c r="Z645" s="135"/>
    </row>
    <row r="646" spans="1:26" ht="18" customHeight="1" hidden="1">
      <c r="A646" s="140"/>
      <c r="B646" s="140"/>
      <c r="D646" s="120" t="s">
        <v>267</v>
      </c>
      <c r="E646" s="130" t="str">
        <f>_xlfn.XLOOKUP(E625,CurrentPlans!B:B,CurrentPlans!AF:AF,"NA",0,1)</f>
        <v>NA</v>
      </c>
      <c r="F646" s="122"/>
      <c r="G646" s="122"/>
      <c r="H646" s="122"/>
      <c r="I646" s="130"/>
      <c r="J646" s="123"/>
      <c r="K646"/>
      <c r="L646" s="131" t="str">
        <f>_xlfn.XLOOKUP(L625,RenewalPlans!B:B,RenewalPlans!AI:AI,"NA",0,1)</f>
        <v>NA</v>
      </c>
      <c r="M646" s="122"/>
      <c r="N646" s="122"/>
      <c r="O646" s="122"/>
      <c r="P646" s="130"/>
      <c r="Q646" s="122"/>
      <c r="R646" s="123"/>
      <c r="T646" s="131" t="str">
        <f>_xlfn.XLOOKUP(T625,RenewalPlans!B:B,RenewalPlans!AI:AI,"NA",0,1)</f>
        <v>NA</v>
      </c>
      <c r="U646" s="122"/>
      <c r="V646" s="122"/>
      <c r="W646" s="122"/>
      <c r="X646" s="130"/>
      <c r="Y646" s="122"/>
      <c r="Z646" s="123"/>
    </row>
    <row r="647" spans="1:26" ht="18" customHeight="1" hidden="1">
      <c r="A647" s="140"/>
      <c r="B647" s="140"/>
      <c r="D647" s="198" t="s">
        <v>268</v>
      </c>
      <c r="E647" s="130" t="str">
        <f>_xlfn.XLOOKUP(E625,CurrentPlans!B:B,CurrentPlans!AH:AH,"NA",0,1)</f>
        <v>NA</v>
      </c>
      <c r="F647" s="200"/>
      <c r="G647" s="200"/>
      <c r="H647" s="200"/>
      <c r="I647" s="130"/>
      <c r="J647" s="201"/>
      <c r="K647"/>
      <c r="L647" s="131" t="str">
        <f>_xlfn.XLOOKUP(L625,RenewalPlans!B:B,RenewalPlans!AK:AK,"NA",0,1)</f>
        <v>NA</v>
      </c>
      <c r="M647" s="200"/>
      <c r="N647" s="200"/>
      <c r="O647" s="200"/>
      <c r="P647" s="130"/>
      <c r="Q647" s="200"/>
      <c r="R647" s="201"/>
      <c r="T647" s="131" t="str">
        <f>_xlfn.XLOOKUP(T625,RenewalPlans!B:B,RenewalPlans!AK:AK,"NA",0,1)</f>
        <v>NA</v>
      </c>
      <c r="U647" s="200"/>
      <c r="V647" s="200"/>
      <c r="W647" s="200"/>
      <c r="X647" s="130"/>
      <c r="Y647" s="200"/>
      <c r="Z647" s="201"/>
    </row>
    <row r="648" spans="1:26" ht="18" customHeight="1" hidden="1">
      <c r="A648" s="140"/>
      <c r="B648" s="140"/>
      <c r="D648" s="198" t="s">
        <v>269</v>
      </c>
      <c r="E648" s="130" t="str">
        <f>_xlfn.XLOOKUP(E625,CurrentPlans!B:B,CurrentPlans!AG:AG,"NA",0,1)</f>
        <v>NA</v>
      </c>
      <c r="F648" s="200"/>
      <c r="G648" s="200"/>
      <c r="H648" s="200"/>
      <c r="I648" s="130"/>
      <c r="J648" s="201"/>
      <c r="K648"/>
      <c r="L648" s="131" t="str">
        <f>_xlfn.XLOOKUP(L625,RenewalPlans!B:B,RenewalPlans!AJ:AJ,"NA",0,1)</f>
        <v>NA</v>
      </c>
      <c r="M648" s="200"/>
      <c r="N648" s="200"/>
      <c r="O648" s="200"/>
      <c r="P648" s="130"/>
      <c r="Q648" s="200"/>
      <c r="R648" s="201"/>
      <c r="T648" s="131" t="str">
        <f>_xlfn.XLOOKUP(T625,RenewalPlans!B:B,RenewalPlans!AJ:AJ,"NA",0,1)</f>
        <v>NA</v>
      </c>
      <c r="U648" s="200"/>
      <c r="V648" s="200"/>
      <c r="W648" s="200"/>
      <c r="X648" s="130"/>
      <c r="Y648" s="200"/>
      <c r="Z648" s="201"/>
    </row>
    <row r="649" spans="1:26" ht="18" customHeight="1" hidden="1">
      <c r="A649" s="140"/>
      <c r="B649" s="140"/>
      <c r="D649" s="213" t="s">
        <v>270</v>
      </c>
      <c r="E649" s="216" t="str">
        <f>_xlfn.XLOOKUP(E625,CurrentPlans!B:B,CurrentPlans!AU:AU,"NA",0,1)</f>
        <v>NA</v>
      </c>
      <c r="F649" s="214"/>
      <c r="G649" s="214"/>
      <c r="H649" s="214"/>
      <c r="I649" s="217"/>
      <c r="J649" s="215"/>
      <c r="K649"/>
      <c r="L649" s="218" t="str">
        <f>_xlfn.XLOOKUP(L625,RenewalPlans!B:B,RenewalPlans!AX:AX,"NA",0,1)</f>
        <v>NA</v>
      </c>
      <c r="M649" s="214"/>
      <c r="N649" s="214"/>
      <c r="O649" s="214"/>
      <c r="P649" s="217"/>
      <c r="Q649" s="214"/>
      <c r="R649" s="215"/>
      <c r="T649" s="218" t="str">
        <f>_xlfn.XLOOKUP(T625,RenewalPlans!B:B,RenewalPlans!AX:AX,"NA",0,1)</f>
        <v>NA</v>
      </c>
      <c r="U649" s="214"/>
      <c r="V649" s="214"/>
      <c r="W649" s="214"/>
      <c r="X649" s="217"/>
      <c r="Y649" s="214"/>
      <c r="Z649" s="215"/>
    </row>
    <row r="650" spans="1:26" ht="18" customHeight="1" hidden="1">
      <c r="A650" s="140"/>
      <c r="B650" s="140"/>
      <c r="D650" s="213" t="s">
        <v>271</v>
      </c>
      <c r="E650" s="216" t="str">
        <f>_xlfn.XLOOKUP(E625,CurrentPlans!B:B,CurrentPlans!AT:AT,"NA",0,1)</f>
        <v>NA</v>
      </c>
      <c r="F650" s="214"/>
      <c r="G650" s="214"/>
      <c r="H650" s="214"/>
      <c r="I650" s="217"/>
      <c r="J650" s="215"/>
      <c r="K650"/>
      <c r="L650" s="218" t="str">
        <f>_xlfn.XLOOKUP(L625,RenewalPlans!B:B,RenewalPlans!AW:AW,"NA",0,1)</f>
        <v>NA</v>
      </c>
      <c r="M650" s="214"/>
      <c r="N650" s="214"/>
      <c r="O650" s="214"/>
      <c r="P650" s="217"/>
      <c r="Q650" s="214"/>
      <c r="R650" s="215"/>
      <c r="T650" s="218" t="str">
        <f>_xlfn.XLOOKUP(T625,RenewalPlans!B:B,RenewalPlans!AW:AW,"NA",0,1)</f>
        <v>NA</v>
      </c>
      <c r="U650" s="214"/>
      <c r="V650" s="214"/>
      <c r="W650" s="214"/>
      <c r="X650" s="217"/>
      <c r="Y650" s="214"/>
      <c r="Z650" s="215"/>
    </row>
    <row r="651" spans="1:26" ht="18" customHeight="1" hidden="1">
      <c r="A651" s="140"/>
      <c r="B651" s="140"/>
      <c r="D651" s="198" t="s">
        <v>272</v>
      </c>
      <c r="E651" s="130" t="str">
        <f>_xlfn.XLOOKUP(E625,CurrentPlans!B:B,CurrentPlans!AD:AD,"NA",0,1)</f>
        <v>NA</v>
      </c>
      <c r="F651" s="200"/>
      <c r="G651" s="200"/>
      <c r="H651" s="200"/>
      <c r="I651" s="130"/>
      <c r="J651" s="201"/>
      <c r="K651"/>
      <c r="L651" s="131" t="str">
        <f>_xlfn.XLOOKUP(L625,RenewalPlans!B:B,RenewalPlans!AG:AG,"NA",0,1)</f>
        <v>NA</v>
      </c>
      <c r="M651" s="200"/>
      <c r="N651" s="200"/>
      <c r="O651" s="200"/>
      <c r="P651" s="130"/>
      <c r="Q651" s="200"/>
      <c r="R651" s="201"/>
      <c r="T651" s="131" t="str">
        <f>_xlfn.XLOOKUP(T625,RenewalPlans!B:B,RenewalPlans!AG:AG,"NA",0,1)</f>
        <v>NA</v>
      </c>
      <c r="U651" s="200"/>
      <c r="V651" s="200"/>
      <c r="W651" s="200"/>
      <c r="X651" s="130"/>
      <c r="Y651" s="200"/>
      <c r="Z651" s="201"/>
    </row>
    <row r="652" spans="1:26" ht="18" customHeight="1" hidden="1">
      <c r="A652" s="140"/>
      <c r="B652" s="140"/>
      <c r="D652" s="198" t="s">
        <v>273</v>
      </c>
      <c r="E652" s="200"/>
      <c r="F652" s="200"/>
      <c r="G652" s="200"/>
      <c r="H652" s="200"/>
      <c r="I652" s="200"/>
      <c r="J652" s="201"/>
      <c r="K652"/>
      <c r="L652" s="198"/>
      <c r="M652" s="200"/>
      <c r="N652" s="200"/>
      <c r="O652" s="200"/>
      <c r="P652" s="200"/>
      <c r="Q652" s="200"/>
      <c r="R652" s="201"/>
      <c r="T652" s="198"/>
      <c r="U652" s="200"/>
      <c r="V652" s="200"/>
      <c r="W652" s="200"/>
      <c r="X652" s="200"/>
      <c r="Y652" s="200"/>
      <c r="Z652" s="201"/>
    </row>
    <row r="653" spans="1:26" ht="18" customHeight="1" hidden="1">
      <c r="A653" s="140"/>
      <c r="B653" s="140"/>
      <c r="D653" s="210"/>
      <c r="E653" s="211"/>
      <c r="F653" s="211"/>
      <c r="G653" s="211"/>
      <c r="H653" s="211"/>
      <c r="I653" s="211"/>
      <c r="J653" s="212"/>
      <c r="K653"/>
      <c r="L653" s="210"/>
      <c r="M653" s="211"/>
      <c r="N653" s="211"/>
      <c r="O653" s="211"/>
      <c r="P653" s="211"/>
      <c r="Q653" s="211"/>
      <c r="R653" s="212"/>
      <c r="T653" s="210"/>
      <c r="U653" s="211"/>
      <c r="V653" s="211"/>
      <c r="W653" s="211"/>
      <c r="X653" s="211"/>
      <c r="Y653" s="211"/>
      <c r="Z653" s="212"/>
    </row>
    <row r="654" spans="1:26" ht="18" customHeight="1" hidden="1">
      <c r="A654" s="140"/>
      <c r="B654" s="140"/>
      <c r="D654" s="219" t="s">
        <v>274</v>
      </c>
      <c r="E654" s="220"/>
      <c r="F654" s="220"/>
      <c r="G654" s="220"/>
      <c r="H654" s="220"/>
      <c r="I654" s="220"/>
      <c r="J654" s="221"/>
      <c r="K654"/>
      <c r="L654" s="222"/>
      <c r="M654" s="220"/>
      <c r="N654" s="220"/>
      <c r="O654" s="220"/>
      <c r="P654" s="220"/>
      <c r="Q654" s="220"/>
      <c r="R654" s="221"/>
      <c r="T654" s="222"/>
      <c r="U654" s="220"/>
      <c r="V654" s="220"/>
      <c r="W654" s="220"/>
      <c r="X654" s="220"/>
      <c r="Y654" s="220"/>
      <c r="Z654" s="221"/>
    </row>
    <row r="655" spans="1:26" ht="18" customHeight="1" hidden="1">
      <c r="A655" s="140"/>
      <c r="B655" s="140"/>
      <c r="D655" s="223" t="s">
        <v>250</v>
      </c>
      <c r="E655" s="205"/>
      <c r="F655" s="205"/>
      <c r="G655" s="205"/>
      <c r="H655" s="205"/>
      <c r="I655" s="205"/>
      <c r="J655" s="206"/>
      <c r="K655"/>
      <c r="L655" s="203"/>
      <c r="M655" s="205"/>
      <c r="N655" s="205"/>
      <c r="O655" s="205"/>
      <c r="P655" s="205"/>
      <c r="Q655" s="205"/>
      <c r="R655" s="206"/>
      <c r="T655" s="203"/>
      <c r="U655" s="205"/>
      <c r="V655" s="205"/>
      <c r="W655" s="205"/>
      <c r="X655" s="205"/>
      <c r="Y655" s="205"/>
      <c r="Z655" s="206"/>
    </row>
    <row r="656" spans="1:26" ht="18" customHeight="1" hidden="1">
      <c r="A656" s="140"/>
      <c r="B656" s="140"/>
      <c r="D656" s="198" t="s">
        <v>251</v>
      </c>
      <c r="E656" s="130" t="str">
        <f>_xlfn.XLOOKUP(E625,CurrentPlans!B:B,CurrentPlans!AP:AP,"NA",0,1)</f>
        <v>NA</v>
      </c>
      <c r="F656" s="200"/>
      <c r="G656" s="200"/>
      <c r="H656" s="200"/>
      <c r="I656" s="130"/>
      <c r="J656" s="201"/>
      <c r="K656"/>
      <c r="L656" s="131" t="str">
        <f>_xlfn.XLOOKUP(L625,RenewalPlans!B:B,RenewalPlans!AS:AS,"NA",0,1)</f>
        <v>NA</v>
      </c>
      <c r="M656" s="200"/>
      <c r="N656" s="200"/>
      <c r="O656" s="200"/>
      <c r="P656" s="130"/>
      <c r="Q656" s="200"/>
      <c r="R656" s="201"/>
      <c r="T656" s="131" t="str">
        <f>_xlfn.XLOOKUP(T625,RenewalPlans!B:B,RenewalPlans!AS:AS,"NA",0,1)</f>
        <v>NA</v>
      </c>
      <c r="U656" s="200"/>
      <c r="V656" s="200"/>
      <c r="W656" s="200"/>
      <c r="X656" s="130"/>
      <c r="Y656" s="200"/>
      <c r="Z656" s="201"/>
    </row>
    <row r="657" spans="1:26" ht="18" customHeight="1" hidden="1">
      <c r="A657" s="140"/>
      <c r="B657" s="140"/>
      <c r="D657" s="198" t="s">
        <v>252</v>
      </c>
      <c r="E657" s="130" t="str">
        <f>_xlfn.XLOOKUP(E625,CurrentPlans!B:B,CurrentPlans!AQ:AQ,"NA",0,1)</f>
        <v>NA</v>
      </c>
      <c r="F657" s="200"/>
      <c r="G657" s="200"/>
      <c r="H657" s="200"/>
      <c r="I657" s="130"/>
      <c r="J657" s="201"/>
      <c r="K657"/>
      <c r="L657" s="131" t="str">
        <f>_xlfn.XLOOKUP(L625,RenewalPlans!B:B,RenewalPlans!AT:AT,"NA",0,1)</f>
        <v>NA</v>
      </c>
      <c r="M657" s="200"/>
      <c r="N657" s="200"/>
      <c r="O657" s="200"/>
      <c r="P657" s="130"/>
      <c r="Q657" s="200"/>
      <c r="R657" s="201"/>
      <c r="T657" s="131" t="str">
        <f>_xlfn.XLOOKUP(T625,RenewalPlans!B:B,RenewalPlans!AT:AT,"NA",0,1)</f>
        <v>NA</v>
      </c>
      <c r="U657" s="200"/>
      <c r="V657" s="200"/>
      <c r="W657" s="200"/>
      <c r="X657" s="130"/>
      <c r="Y657" s="200"/>
      <c r="Z657" s="201"/>
    </row>
    <row r="658" spans="1:26" ht="18" customHeight="1" hidden="1">
      <c r="A658" s="140"/>
      <c r="B658" s="140"/>
      <c r="D658" s="120" t="s">
        <v>253</v>
      </c>
      <c r="E658" s="133" t="str">
        <f>_xlfn.XLOOKUP(E625,CurrentPlans!B:B,CurrentPlans!AO:AO,"NA",0,1)</f>
        <v>NA</v>
      </c>
      <c r="F658" s="122"/>
      <c r="G658" s="122"/>
      <c r="H658" s="122"/>
      <c r="I658" s="133"/>
      <c r="J658" s="123"/>
      <c r="K658"/>
      <c r="L658" s="136" t="str">
        <f>_xlfn.XLOOKUP(L625,RenewalPlans!B:B,RenewalPlans!AR:AR,"NA",0,1)</f>
        <v>NA</v>
      </c>
      <c r="M658" s="122"/>
      <c r="N658" s="122"/>
      <c r="O658" s="122"/>
      <c r="P658" s="133"/>
      <c r="Q658" s="122"/>
      <c r="R658" s="123"/>
      <c r="T658" s="136" t="str">
        <f>_xlfn.XLOOKUP(T625,RenewalPlans!B:B,RenewalPlans!AR:AR,"NA",0,1)</f>
        <v>NA</v>
      </c>
      <c r="U658" s="122"/>
      <c r="V658" s="122"/>
      <c r="W658" s="122"/>
      <c r="X658" s="133"/>
      <c r="Y658" s="122"/>
      <c r="Z658" s="123"/>
    </row>
    <row r="659" spans="1:26" ht="18" customHeight="1" hidden="1">
      <c r="A659" s="140"/>
      <c r="B659" s="140"/>
      <c r="D659" s="223" t="s">
        <v>254</v>
      </c>
      <c r="E659" s="205"/>
      <c r="F659" s="205"/>
      <c r="G659" s="205"/>
      <c r="H659" s="205"/>
      <c r="I659" s="205"/>
      <c r="J659" s="206"/>
      <c r="K659"/>
      <c r="L659" s="203"/>
      <c r="M659" s="205"/>
      <c r="N659" s="205"/>
      <c r="O659" s="205"/>
      <c r="P659" s="205"/>
      <c r="Q659" s="205"/>
      <c r="R659" s="206"/>
      <c r="T659" s="203"/>
      <c r="U659" s="205"/>
      <c r="V659" s="205"/>
      <c r="W659" s="205"/>
      <c r="X659" s="205"/>
      <c r="Y659" s="205"/>
      <c r="Z659" s="206"/>
    </row>
    <row r="660" spans="1:26" ht="18" customHeight="1" hidden="1">
      <c r="A660" s="140"/>
      <c r="B660" s="140"/>
      <c r="D660" s="198" t="s">
        <v>255</v>
      </c>
      <c r="E660" s="130" t="str">
        <f>_xlfn.XLOOKUP(E625,CurrentPlans!B:B,CurrentPlans!AR:AR,"NA",0,1)</f>
        <v>NA</v>
      </c>
      <c r="F660" s="200"/>
      <c r="G660" s="200"/>
      <c r="H660" s="200"/>
      <c r="I660" s="130"/>
      <c r="J660" s="201"/>
      <c r="K660"/>
      <c r="L660" s="131" t="str">
        <f>_xlfn.XLOOKUP(L625,RenewalPlans!B:B,RenewalPlans!AU:AU,"NA",0,1)</f>
        <v>NA</v>
      </c>
      <c r="M660" s="200"/>
      <c r="N660" s="200"/>
      <c r="O660" s="200"/>
      <c r="P660" s="130"/>
      <c r="Q660" s="200"/>
      <c r="R660" s="201"/>
      <c r="T660" s="131" t="str">
        <f>_xlfn.XLOOKUP(T625,RenewalPlans!B:B,RenewalPlans!AU:AU,"NA",0,1)</f>
        <v>NA</v>
      </c>
      <c r="U660" s="200"/>
      <c r="V660" s="200"/>
      <c r="W660" s="200"/>
      <c r="X660" s="130"/>
      <c r="Y660" s="200"/>
      <c r="Z660" s="201"/>
    </row>
    <row r="661" spans="1:26" ht="18" customHeight="1" hidden="1" thickBot="1">
      <c r="A661" s="140"/>
      <c r="B661" s="140"/>
      <c r="D661" s="224" t="s">
        <v>256</v>
      </c>
      <c r="E661" s="137" t="str">
        <f>_xlfn.XLOOKUP(E625,CurrentPlans!B:B,CurrentPlans!AS:AS,"NA",0,1)</f>
        <v>NA</v>
      </c>
      <c r="F661" s="225"/>
      <c r="G661" s="225"/>
      <c r="H661" s="225"/>
      <c r="I661" s="137"/>
      <c r="J661" s="226"/>
      <c r="K661"/>
      <c r="L661" s="138" t="str">
        <f>_xlfn.XLOOKUP(L625,RenewalPlans!B:B,RenewalPlans!AV:AV,"NA",0,1)</f>
        <v>NA</v>
      </c>
      <c r="M661" s="225"/>
      <c r="N661" s="225"/>
      <c r="O661" s="225"/>
      <c r="P661" s="137"/>
      <c r="Q661" s="225"/>
      <c r="R661" s="226"/>
      <c r="T661" s="138" t="str">
        <f>_xlfn.XLOOKUP(T625,RenewalPlans!B:B,RenewalPlans!AV:AV,"NA",0,1)</f>
        <v>NA</v>
      </c>
      <c r="U661" s="225"/>
      <c r="V661" s="225"/>
      <c r="W661" s="225"/>
      <c r="X661" s="137"/>
      <c r="Y661" s="225"/>
      <c r="Z661" s="226"/>
    </row>
    <row r="662" spans="1:27" ht="18" customHeight="1">
      <c r="A662" s="140"/>
      <c r="B662" s="140"/>
      <c r="D662" s="227"/>
      <c r="E662" s="176"/>
      <c r="F662" s="178"/>
      <c r="G662" s="179"/>
      <c r="H662" s="178"/>
      <c r="I662" s="176"/>
      <c r="J662" s="228"/>
      <c r="K662"/>
      <c r="L662" s="178"/>
      <c r="M662" s="176"/>
      <c r="N662" s="139"/>
      <c r="O662" s="178"/>
      <c r="P662" s="178"/>
      <c r="Q662" s="178"/>
      <c r="R662" s="228"/>
      <c r="T662" s="178"/>
      <c r="U662" s="176"/>
      <c r="V662" s="139"/>
      <c r="W662" s="178"/>
      <c r="X662" s="178"/>
      <c r="Y662" s="178"/>
      <c r="Z662" s="228"/>
      <c r="AA662"/>
    </row>
    <row r="663" spans="1:140" s="162" customFormat="1" ht="5.25" customHeight="1" thickBot="1">
      <c r="A663" s="140"/>
      <c r="B663" s="140"/>
      <c r="C663" s="141"/>
      <c r="D663" s="229"/>
      <c r="E663" s="229"/>
      <c r="F663" s="230"/>
      <c r="G663" s="231"/>
      <c r="H663" s="232"/>
      <c r="I663" s="233"/>
      <c r="J663" s="233"/>
      <c r="K663"/>
      <c r="L663" s="233"/>
      <c r="M663" s="233"/>
      <c r="N663" s="233"/>
      <c r="O663" s="233"/>
      <c r="P663" s="233"/>
      <c r="Q663" s="233"/>
      <c r="R663" s="233"/>
      <c r="S663" s="1"/>
      <c r="T663" s="233"/>
      <c r="U663" s="233"/>
      <c r="V663" s="233"/>
      <c r="W663" s="233"/>
      <c r="X663" s="233"/>
      <c r="Y663" s="233"/>
      <c r="Z663" s="23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row>
    <row r="664" spans="1:27" ht="38.25" customHeight="1" thickTop="1" thickBot="1">
      <c r="A664" s="153"/>
      <c r="B664" s="153"/>
      <c r="C664" s="234"/>
      <c r="D664" s="484" t="s">
        <v>288</v>
      </c>
      <c r="E664" s="485"/>
      <c r="F664" s="485"/>
      <c r="G664" s="485"/>
      <c r="H664" s="485"/>
      <c r="I664" s="485"/>
      <c r="J664" s="485"/>
      <c r="K664" s="485"/>
      <c r="L664" s="485"/>
      <c r="M664" s="485"/>
      <c r="N664" s="485"/>
      <c r="O664" s="485"/>
      <c r="P664" s="485"/>
      <c r="Q664" s="485"/>
      <c r="R664" s="486"/>
      <c r="S664" s="162"/>
      <c r="T664" s="235"/>
      <c r="U664" s="236"/>
      <c r="V664" s="236"/>
      <c r="W664" s="236"/>
      <c r="X664" s="236"/>
      <c r="Y664" s="236"/>
      <c r="Z664" s="236"/>
      <c r="AA664"/>
    </row>
    <row r="665" spans="1:27" ht="50.15" customHeight="1">
      <c r="A665" s="140">
        <v>1</v>
      </c>
      <c r="B665" s="140">
        <f>IF(A665&gt;Class2_CurrentDentalCount,"DELETE",Class2_CurrentDentalStart+A665)</f>
        <v>16</v>
      </c>
      <c r="C665" s="164" t="s">
        <v>289</v>
      </c>
      <c r="D665" s="273" t="e">
        <f ca="1">IF(B665="Delete","",VLOOKUP(F665,BEGIN_CURRENT_DENTAL:END_CURRENT_DENTAL,3,FALSE))</f>
        <v>#N/A</v>
      </c>
      <c r="E665" s="165"/>
      <c r="F665" s="272" cm="1">
        <f t="array" ca="1" aca="1" ref="F665">IF(B665="Delete","",INDIRECT("CurrentPlans!A"&amp;B665,TRUE))</f>
        <v>0</v>
      </c>
      <c r="G665" s="166"/>
      <c r="H665" s="167"/>
      <c r="I665" s="168"/>
      <c r="J665" s="169"/>
      <c r="K665"/>
      <c r="L665" s="274" t="str">
        <f ca="1">_xlfn.IFNA(VLOOKUP(F665,BEGIN_RENEWEDFROM_DENTAL:ROW_RenewDental_PlanID,3,FALSE),"SELECT PLAN")</f>
        <v>SELECT PLAN</v>
      </c>
      <c r="M665" s="170"/>
      <c r="N665" s="274" t="s">
        <v>237</v>
      </c>
      <c r="O665" s="171"/>
      <c r="P665" s="171"/>
      <c r="Q665" s="171"/>
      <c r="R665" s="169"/>
      <c r="T665" s="274" t="s">
        <v>38</v>
      </c>
      <c r="U665" s="170"/>
      <c r="V665" s="274" t="s">
        <v>237</v>
      </c>
      <c r="W665" s="171"/>
      <c r="X665" s="171"/>
      <c r="Y665" s="171"/>
      <c r="Z665" s="169"/>
      <c r="AA665"/>
    </row>
    <row r="666" spans="1:26" ht="18.75" customHeight="1">
      <c r="A666" s="140"/>
      <c r="B666" s="140"/>
      <c r="D666" s="172" t="s">
        <v>238</v>
      </c>
      <c r="E666" s="407" t="str">
        <f ca="1">_xlfn.IFNA(VLOOKUP(F665,BEGIN_CURRENT_DENTAL:END_CURRENT_DENTAL,CURRENT_COL_EO_count,FALSE),"")</f>
        <v/>
      </c>
      <c r="F666" s="408" t="str">
        <f ca="1">_xlfn.IFNA(VLOOKUP(F665,BEGIN_CURRENT_DENTAL:END_CURRENT_DENTAL,CURRENT_COL_EO,FALSE),"")</f>
        <v/>
      </c>
      <c r="G666" s="468" t="str">
        <f ca="1" t="shared" si="65" ref="G666:G669">IF(F666="","",H666/F666)</f>
        <v/>
      </c>
      <c r="H666" s="408" t="str">
        <f ca="1">_xlfn.IFNA(VLOOKUP(F665,BEGIN_CURRENT_DENTAL:END_CURRENT_DENTAL,CURRENT_COL_EOContrib,FALSE),"")</f>
        <v/>
      </c>
      <c r="I666" s="409" t="str">
        <f ca="1">IFERROR(F666-H666,"")</f>
        <v/>
      </c>
      <c r="J666" s="410" t="str">
        <f ca="1">IF(F666="","",H666*E666)</f>
        <v/>
      </c>
      <c r="K666" s="411"/>
      <c r="L666" s="408" t="str" cm="1">
        <f t="array" ca="1" aca="1" ref="L666">_xlfn.IFNA(VLOOKUP(INDIRECT("L"&amp;ROW()-1)&amp;"_"&amp;$D$12,BEGIN_Renew_Dental:END_RENEW_DENTAL,RENEW_COL_EO,FALSE),"")</f>
        <v/>
      </c>
      <c r="M666" s="412" t="str">
        <f ca="1">IF(E666="","",E666)</f>
        <v/>
      </c>
      <c r="N666" s="413"/>
      <c r="O666" s="414"/>
      <c r="P666" s="415" t="str">
        <f>IFERROR(IF($N665="Keep Contribution Same",H666,IF($N665="Enter Percentages",IF(N666="","",N666*L666),IF($N665="Keep Percentage Same",IF(G666="","",G666*L666),IF($N665="Enter Dollar Amount",IF(O666="","",O666),"")))),"")</f>
        <v/>
      </c>
      <c r="Q666" s="408" t="str">
        <f ca="1">IFERROR(L666-P666,"")</f>
        <v/>
      </c>
      <c r="R666" s="410" t="str">
        <f>IFERROR(IF(P666="","",M666*P666),"")</f>
        <v/>
      </c>
      <c r="S666" s="411"/>
      <c r="T666" s="408" t="str" cm="1">
        <f t="array" ca="1" aca="1" ref="T666">_xlfn.IFNA(VLOOKUP(INDIRECT("T"&amp;ROW()-1)&amp;"_"&amp;$D$12,BEGIN_Renew_Dental:END_RENEW_DENTAL,RENEW_COL_EO,FALSE),"")</f>
        <v/>
      </c>
      <c r="U666" s="412" t="str">
        <f ca="1">IF(E666="","",E666)</f>
        <v/>
      </c>
      <c r="V666" s="413"/>
      <c r="W666" s="414"/>
      <c r="X666" s="415" t="str">
        <f>IFERROR(IF($V665="Keep Contribution Same",H666,IF($V665="Enter Percentages",IF(V666="","",V666*T666),IF($V665="Keep Percentage Same",IF(G666="","",G666*T666),IF($V665="Enter Dollar Amount",IF(W666="","",W666),"")))),"")</f>
        <v/>
      </c>
      <c r="Y666" s="408" t="str">
        <f ca="1">IFERROR(T666-X666,"")</f>
        <v/>
      </c>
      <c r="Z666" s="410" t="str">
        <f>IFERROR(IF(X666="","",U666*X666),"")</f>
        <v/>
      </c>
    </row>
    <row r="667" spans="1:26" ht="18.75" customHeight="1">
      <c r="A667" s="140"/>
      <c r="B667" s="140"/>
      <c r="D667" s="172" t="s">
        <v>239</v>
      </c>
      <c r="E667" s="407" t="str">
        <f ca="1">_xlfn.IFNA(VLOOKUP(F665,BEGIN_CURRENT_DENTAL:END_CURRENT_DENTAL,CURRENT_COL_ES_count,FALSE),"")</f>
        <v/>
      </c>
      <c r="F667" s="408" t="str">
        <f ca="1">_xlfn.IFNA(VLOOKUP(F665,BEGIN_CURRENT_DENTAL:END_CURRENT_DENTAL,CURRENT_COL_ES,FALSE),"")</f>
        <v/>
      </c>
      <c r="G667" s="468" t="str">
        <f t="shared" ca="1" si="65"/>
        <v/>
      </c>
      <c r="H667" s="408" t="str">
        <f ca="1">_xlfn.IFNA(VLOOKUP(F665,BEGIN_CURRENT_DENTAL:END_CURRENT_DENTAL,CURRENT_COL_ESContrib,FALSE),"")</f>
        <v/>
      </c>
      <c r="I667" s="409" t="str">
        <f ca="1" t="shared" si="66" ref="I667:I669">IFERROR(F667-H667,"")</f>
        <v/>
      </c>
      <c r="J667" s="410" t="str">
        <f ca="1">IF(F667="","",H667*E667)</f>
        <v/>
      </c>
      <c r="K667" s="411"/>
      <c r="L667" s="408" t="str" cm="1">
        <f t="array" ca="1" aca="1" ref="L667">_xlfn.IFNA(VLOOKUP(INDIRECT("L"&amp;ROW()-2)&amp;"_"&amp;$D$12,BEGIN_Renew_Dental:END_RENEW_DENTAL,RENEW_COL_ES,FALSE),"")</f>
        <v/>
      </c>
      <c r="M667" s="412" t="str">
        <f ca="1">IF(E667="","",E667)</f>
        <v/>
      </c>
      <c r="N667" s="413"/>
      <c r="O667" s="414"/>
      <c r="P667" s="415" t="str">
        <f>IFERROR(IF($N665="Keep Contribution Same",H667,IF($N665="Enter Percentages",IF(N667="","",N667*L667),IF($N665="Keep Percentage Same",IF(G667="","",G667*L667),IF($N665="Enter Dollar Amount",IF(O667="","",O667),"")))),"")</f>
        <v/>
      </c>
      <c r="Q667" s="408" t="str">
        <f ca="1">IFERROR(L667-P667,"")</f>
        <v/>
      </c>
      <c r="R667" s="410" t="str">
        <f>IFERROR(IF(P667="","",M667*P667),"")</f>
        <v/>
      </c>
      <c r="S667" s="411"/>
      <c r="T667" s="408" t="str" cm="1">
        <f t="array" ca="1" aca="1" ref="T667">_xlfn.IFNA(VLOOKUP(INDIRECT("T"&amp;ROW()-2)&amp;"_"&amp;$D$12,BEGIN_Renew_Dental:END_RENEW_DENTAL,RENEW_COL_ES,FALSE),"")</f>
        <v/>
      </c>
      <c r="U667" s="412" t="str">
        <f ca="1" t="shared" si="67" ref="U667:U669">IF(E667="","",E667)</f>
        <v/>
      </c>
      <c r="V667" s="413"/>
      <c r="W667" s="414"/>
      <c r="X667" s="415" t="str">
        <f>IFERROR(IF($V665="Keep Contribution Same",H667,IF($V665="Enter Percentages",IF(V667="","",V667*T667),IF($V665="Keep Percentage Same",IF(G667="","",G667*T667),IF($V665="Enter Dollar Amount",IF(W667="","",W667),"")))),"")</f>
        <v/>
      </c>
      <c r="Y667" s="408" t="str">
        <f ca="1" t="shared" si="68" ref="Y667:Y669">IFERROR(T667-X667,"")</f>
        <v/>
      </c>
      <c r="Z667" s="410" t="str">
        <f t="shared" si="69" ref="Z667:Z669">IFERROR(IF(X667="","",U667*X667),"")</f>
        <v/>
      </c>
    </row>
    <row r="668" spans="1:26" ht="18.75" customHeight="1">
      <c r="A668" s="140"/>
      <c r="B668" s="140"/>
      <c r="D668" s="172" t="s">
        <v>240</v>
      </c>
      <c r="E668" s="407" t="str">
        <f ca="1">_xlfn.IFNA(VLOOKUP(F665,BEGIN_CURRENT_DENTAL:END_CURRENT_DENTAL,CURRENT_COL_EC_count,FALSE),"")</f>
        <v/>
      </c>
      <c r="F668" s="408" t="str">
        <f ca="1">_xlfn.IFNA(VLOOKUP(F665,BEGIN_CURRENT_DENTAL:END_CURRENT_DENTAL,CURRENT_COL_EC,FALSE),"")</f>
        <v/>
      </c>
      <c r="G668" s="468" t="str">
        <f t="shared" ca="1" si="65"/>
        <v/>
      </c>
      <c r="H668" s="408" t="str">
        <f ca="1">_xlfn.IFNA(VLOOKUP(F665,BEGIN_CURRENT_DENTAL:END_CURRENT_DENTAL,CURRENT_COL_ECContrib,FALSE),"")</f>
        <v/>
      </c>
      <c r="I668" s="409" t="str">
        <f t="shared" ca="1" si="66"/>
        <v/>
      </c>
      <c r="J668" s="410" t="str">
        <f ca="1">IF(F668="","",H668*E668)</f>
        <v/>
      </c>
      <c r="K668" s="411"/>
      <c r="L668" s="408" t="str" cm="1">
        <f t="array" ca="1" aca="1" ref="L668">_xlfn.IFNA(VLOOKUP(INDIRECT("L"&amp;ROW()-3)&amp;"_"&amp;$D$12,BEGIN_Renew_Dental:END_RENEW_DENTAL,RENEW_COL_EC,FALSE),"")</f>
        <v/>
      </c>
      <c r="M668" s="412" t="str">
        <f ca="1">IF(E668="","",E668)</f>
        <v/>
      </c>
      <c r="N668" s="413"/>
      <c r="O668" s="414"/>
      <c r="P668" s="415" t="str">
        <f>IFERROR(IF($N665="Keep Contribution Same",H668,IF($N665="Enter Percentages",IF(N668="","",N668*L668),IF($N665="Keep Percentage Same",IF(G668="","",G668*L668),IF($N665="Enter Dollar Amount",IF(O668="","",O668),"")))),"")</f>
        <v/>
      </c>
      <c r="Q668" s="408" t="str">
        <f ca="1">IFERROR(L668-P668,"")</f>
        <v/>
      </c>
      <c r="R668" s="410" t="str">
        <f>IFERROR(IF(P668="","",M668*P668),"")</f>
        <v/>
      </c>
      <c r="S668" s="411"/>
      <c r="T668" s="408" t="str" cm="1">
        <f t="array" ca="1" aca="1" ref="T668">_xlfn.IFNA(VLOOKUP(INDIRECT("T"&amp;ROW()-3)&amp;"_"&amp;$D$12,BEGIN_Renew_Dental:END_RENEW_DENTAL,RENEW_COL_EC,FALSE),"")</f>
        <v/>
      </c>
      <c r="U668" s="412" t="str">
        <f t="shared" ca="1" si="67"/>
        <v/>
      </c>
      <c r="V668" s="413"/>
      <c r="W668" s="414"/>
      <c r="X668" s="415" t="str">
        <f>IFERROR(IF($V665="Keep Contribution Same",H668,IF($V665="Enter Percentages",IF(V668="","",V668*T668),IF($V665="Keep Percentage Same",IF(G668="","",G668*T668),IF($V665="Enter Dollar Amount",IF(W668="","",W668),"")))),"")</f>
        <v/>
      </c>
      <c r="Y668" s="408" t="str">
        <f t="shared" ca="1" si="68"/>
        <v/>
      </c>
      <c r="Z668" s="410" t="str">
        <f t="shared" si="69"/>
        <v/>
      </c>
    </row>
    <row r="669" spans="1:26" ht="18.75" customHeight="1" thickBot="1">
      <c r="A669" s="140"/>
      <c r="B669" s="140"/>
      <c r="D669" s="174" t="s">
        <v>241</v>
      </c>
      <c r="E669" s="416" t="str">
        <f ca="1">_xlfn.IFNA(VLOOKUP(F665,BEGIN_CURRENT_DENTAL:END_CURRENT_DENTAL,CURRENT_COL_FAM_count,FALSE),"")</f>
        <v/>
      </c>
      <c r="F669" s="417" t="str">
        <f ca="1">_xlfn.IFNA(VLOOKUP(F665,BEGIN_CURRENT_DENTAL:END_CURRENT_DENTAL,CURRENT_COL_FAM,FALSE),"")</f>
        <v/>
      </c>
      <c r="G669" s="469" t="str">
        <f t="shared" ca="1" si="65"/>
        <v/>
      </c>
      <c r="H669" s="417" t="str">
        <f ca="1">_xlfn.IFNA(VLOOKUP(F665,BEGIN_CURRENT_DENTAL:END_CURRENT_DENTAL,CURRENT_COL_FAMContrib,FALSE),"")</f>
        <v/>
      </c>
      <c r="I669" s="418" t="str">
        <f t="shared" ca="1" si="66"/>
        <v/>
      </c>
      <c r="J669" s="419" t="str">
        <f ca="1">IF(F669="","",H669*E669)</f>
        <v/>
      </c>
      <c r="K669" s="411"/>
      <c r="L669" s="417" t="str" cm="1">
        <f t="array" ca="1" aca="1" ref="L669">_xlfn.IFNA(VLOOKUP(INDIRECT("L"&amp;ROW()-4)&amp;"_"&amp;$D$12,BEGIN_Renew_Dental:END_RENEW_DENTAL,RENEW_COL_FAM,FALSE),"")</f>
        <v/>
      </c>
      <c r="M669" s="423" t="str">
        <f ca="1">IF(E669="","",E669)</f>
        <v/>
      </c>
      <c r="N669" s="420"/>
      <c r="O669" s="421"/>
      <c r="P669" s="422" t="str">
        <f>IFERROR(IF($N665="Keep Contribution Same",H669,IF($N665="Enter Percentages",IF(N669="","",N669*L669),IF($N665="Keep Percentage Same",IF(G669="","",G669*L669),IF($N665="Enter Dollar Amount",IF(O669="","",O669),"")))),"")</f>
        <v/>
      </c>
      <c r="Q669" s="417" t="str">
        <f ca="1">IFERROR(L669-P669,"")</f>
        <v/>
      </c>
      <c r="R669" s="419" t="str">
        <f>IFERROR(IF(P669="","",M669*P669),"")</f>
        <v/>
      </c>
      <c r="S669" s="411"/>
      <c r="T669" s="417" t="str" cm="1">
        <f t="array" ca="1" aca="1" ref="T669">_xlfn.IFNA(VLOOKUP(INDIRECT("T"&amp;ROW()-4)&amp;"_"&amp;$D$12,BEGIN_Renew_Dental:END_RENEW_DENTAL,RENEW_COL_FAM,FALSE),"")</f>
        <v/>
      </c>
      <c r="U669" s="423" t="str">
        <f t="shared" ca="1" si="67"/>
        <v/>
      </c>
      <c r="V669" s="420"/>
      <c r="W669" s="421"/>
      <c r="X669" s="422" t="str">
        <f>IFERROR(IF($V665="Keep Contribution Same",H669,IF($V665="Enter Percentages",IF(V669="","",V669*T669),IF($V665="Keep Percentage Same",IF(G669="","",G669*T669),IF($V665="Enter Dollar Amount",IF(W669="","",W669),"")))),"")</f>
        <v/>
      </c>
      <c r="Y669" s="417" t="str">
        <f t="shared" ca="1" si="68"/>
        <v/>
      </c>
      <c r="Z669" s="419" t="str">
        <f t="shared" si="69"/>
        <v/>
      </c>
    </row>
    <row r="670" spans="1:26" ht="18.75" customHeight="1" thickTop="1">
      <c r="A670" s="140"/>
      <c r="B670" s="140"/>
      <c r="D670" s="175" t="s">
        <v>242</v>
      </c>
      <c r="E670" s="424"/>
      <c r="F670" s="427"/>
      <c r="G670" s="426"/>
      <c r="H670" s="427"/>
      <c r="I670" s="428"/>
      <c r="J670" s="429" t="str">
        <f ca="1">IFERROR(IF(J666="","",SUM(J666:J669)),0)</f>
        <v/>
      </c>
      <c r="K670" s="1"/>
      <c r="L670" s="424"/>
      <c r="M670" s="427"/>
      <c r="N670" s="426"/>
      <c r="O670" s="427"/>
      <c r="P670" s="431"/>
      <c r="Q670" s="432"/>
      <c r="R670" s="429" t="str">
        <f>IFERROR(IF(R666="","",SUM(R666:R669)),0)</f>
        <v/>
      </c>
      <c r="T670" s="424"/>
      <c r="U670" s="427"/>
      <c r="V670" s="426"/>
      <c r="W670" s="427"/>
      <c r="X670" s="431"/>
      <c r="Y670" s="432"/>
      <c r="Z670" s="429" t="str">
        <f>IFERROR(IF(Z666="","",SUM(Z666:Z669)),0)</f>
        <v/>
      </c>
    </row>
    <row r="671" spans="1:26" ht="18.75" customHeight="1">
      <c r="A671" s="140"/>
      <c r="B671" s="140"/>
      <c r="D671" s="177" t="s">
        <v>243</v>
      </c>
      <c r="E671" s="433"/>
      <c r="F671" s="436"/>
      <c r="G671" s="435"/>
      <c r="H671" s="436"/>
      <c r="I671" s="432"/>
      <c r="J671" s="437" t="str">
        <f ca="1">IF(J670="","",J670*12)</f>
        <v/>
      </c>
      <c r="K671" s="1"/>
      <c r="L671" s="433"/>
      <c r="M671" s="436"/>
      <c r="N671" s="435"/>
      <c r="O671" s="436"/>
      <c r="P671" s="432"/>
      <c r="Q671" s="432"/>
      <c r="R671" s="437" t="str">
        <f>IF(R670="","",R670*12)</f>
        <v/>
      </c>
      <c r="T671" s="433"/>
      <c r="U671" s="436"/>
      <c r="V671" s="435"/>
      <c r="W671" s="436"/>
      <c r="X671" s="432"/>
      <c r="Y671" s="432"/>
      <c r="Z671" s="437" t="str">
        <f>IF(Z670="","",Z670*12)</f>
        <v/>
      </c>
    </row>
    <row r="672" spans="1:26" ht="18.75" customHeight="1">
      <c r="A672" s="140"/>
      <c r="B672" s="140"/>
      <c r="D672" s="177" t="s">
        <v>244</v>
      </c>
      <c r="E672" s="433"/>
      <c r="F672" s="436"/>
      <c r="G672" s="435"/>
      <c r="H672" s="436"/>
      <c r="I672" s="432"/>
      <c r="J672" s="437"/>
      <c r="K672" s="1"/>
      <c r="L672" s="433"/>
      <c r="M672" s="436"/>
      <c r="N672" s="435"/>
      <c r="O672" s="436"/>
      <c r="P672" s="432"/>
      <c r="Q672" s="432"/>
      <c r="R672" s="437" t="str">
        <f ca="1">IFERROR(IF(J671="","",R671-J671),0)</f>
        <v/>
      </c>
      <c r="T672" s="433"/>
      <c r="U672" s="436"/>
      <c r="V672" s="435"/>
      <c r="W672" s="436"/>
      <c r="X672" s="432"/>
      <c r="Y672" s="432"/>
      <c r="Z672" s="437" t="str">
        <f>IFERROR(IF(R671="","",Z671-R671),0)</f>
        <v/>
      </c>
    </row>
    <row r="673" spans="1:26" ht="18" customHeight="1" thickBot="1">
      <c r="A673" s="140"/>
      <c r="B673" s="140"/>
      <c r="D673" s="180" t="s">
        <v>245</v>
      </c>
      <c r="E673" s="439"/>
      <c r="F673" s="440"/>
      <c r="G673" s="441"/>
      <c r="H673" s="440"/>
      <c r="I673" s="442"/>
      <c r="J673" s="437"/>
      <c r="K673" s="1"/>
      <c r="L673" s="439"/>
      <c r="M673" s="440"/>
      <c r="N673" s="441"/>
      <c r="O673" s="440"/>
      <c r="P673" s="445"/>
      <c r="Q673" s="445"/>
      <c r="R673" s="453" t="str">
        <f ca="1">IFERROR(IF(J671="","",(R671/J671)-1),0)</f>
        <v/>
      </c>
      <c r="T673" s="439"/>
      <c r="U673" s="440"/>
      <c r="V673" s="441"/>
      <c r="W673" s="440"/>
      <c r="X673" s="445"/>
      <c r="Y673" s="445"/>
      <c r="Z673" s="446" t="str">
        <f>IFERROR(IF(R671="","",(Z671/R671)-1),0)</f>
        <v/>
      </c>
    </row>
    <row r="674" spans="1:26" ht="5.25" customHeight="1" thickBot="1">
      <c r="A674" s="140"/>
      <c r="B674" s="140"/>
      <c r="D674" s="229"/>
      <c r="E674" s="454"/>
      <c r="F674" s="455"/>
      <c r="G674" s="456"/>
      <c r="H674" s="457"/>
      <c r="I674" s="458"/>
      <c r="J674" s="458"/>
      <c r="K674" s="1"/>
      <c r="L674" s="458"/>
      <c r="M674" s="458"/>
      <c r="N674" s="458"/>
      <c r="O674" s="458"/>
      <c r="P674" s="458"/>
      <c r="Q674" s="458"/>
      <c r="R674" s="458"/>
      <c r="T674" s="458"/>
      <c r="U674" s="458"/>
      <c r="V674" s="458"/>
      <c r="W674" s="458"/>
      <c r="X674" s="458"/>
      <c r="Y674" s="458"/>
      <c r="Z674" s="458"/>
    </row>
    <row r="675" spans="1:26" ht="50.15" customHeight="1">
      <c r="A675" s="140">
        <v>2</v>
      </c>
      <c r="B675" s="140">
        <f>IF(A675&gt;Class2_CurrentDentalCount,"DELETE",Class2_CurrentDentalStart+A675)</f>
        <v>17</v>
      </c>
      <c r="C675" s="164" t="s">
        <v>290</v>
      </c>
      <c r="D675" s="273" t="e">
        <f ca="1">IF(B675="Delete","",VLOOKUP(F675,BEGIN_CURRENT_DENTAL:END_CURRENT_DENTAL,3,FALSE))</f>
        <v>#N/A</v>
      </c>
      <c r="E675" s="165"/>
      <c r="F675" s="272" t="str" cm="1">
        <f t="array" ca="1" aca="1" ref="F675">IF(B675="Delete","",INDIRECT("CurrentPlans!A"&amp;B675,TRUE))</f>
        <v>Other</v>
      </c>
      <c r="G675" s="166"/>
      <c r="H675" s="167"/>
      <c r="I675" s="168"/>
      <c r="J675" s="169"/>
      <c r="K675"/>
      <c r="L675" s="274" t="str">
        <f ca="1">_xlfn.IFNA(VLOOKUP(F675,BEGIN_RENEWEDFROM_DENTAL:ROW_RenewDental_PlanID,3,FALSE),"SELECT PLAN")</f>
        <v>SELECT PLAN</v>
      </c>
      <c r="M675" s="170"/>
      <c r="N675" s="274" t="s">
        <v>237</v>
      </c>
      <c r="O675" s="171"/>
      <c r="P675" s="171"/>
      <c r="Q675" s="171"/>
      <c r="R675" s="169"/>
      <c r="T675" s="274" t="s">
        <v>38</v>
      </c>
      <c r="U675" s="170"/>
      <c r="V675" s="274" t="s">
        <v>237</v>
      </c>
      <c r="W675" s="171"/>
      <c r="X675" s="171"/>
      <c r="Y675" s="171"/>
      <c r="Z675" s="169"/>
    </row>
    <row r="676" spans="1:26" ht="18.75" customHeight="1">
      <c r="A676" s="140"/>
      <c r="B676" s="140"/>
      <c r="D676" s="172" t="s">
        <v>238</v>
      </c>
      <c r="E676" s="407" t="str">
        <f ca="1">_xlfn.IFNA(VLOOKUP(F675,BEGIN_CURRENT_DENTAL:END_CURRENT_DENTAL,CURRENT_COL_EO_count,FALSE),"")</f>
        <v/>
      </c>
      <c r="F676" s="408" t="str">
        <f ca="1">_xlfn.IFNA(VLOOKUP(F675,BEGIN_CURRENT_DENTAL:END_CURRENT_DENTAL,CURRENT_COL_EO,FALSE),"")</f>
        <v/>
      </c>
      <c r="G676" s="468" t="str">
        <f ca="1" t="shared" si="70" ref="G676:G679">IF(F676="","",H676/F676)</f>
        <v/>
      </c>
      <c r="H676" s="408" t="str">
        <f ca="1">_xlfn.IFNA(VLOOKUP(F675,BEGIN_CURRENT_DENTAL:END_CURRENT_DENTAL,CURRENT_COL_EOContrib,FALSE),"")</f>
        <v/>
      </c>
      <c r="I676" s="409" t="str">
        <f ca="1">IFERROR(F676-H676,"")</f>
        <v/>
      </c>
      <c r="J676" s="410" t="str">
        <f ca="1">IF(F676="","",H676*E676)</f>
        <v/>
      </c>
      <c r="K676" s="411"/>
      <c r="L676" s="408" t="str" cm="1">
        <f t="array" ca="1" aca="1" ref="L676">_xlfn.IFNA(VLOOKUP(INDIRECT("L"&amp;ROW()-1)&amp;"_"&amp;$D$12,BEGIN_Renew_Dental:END_RENEW_DENTAL,RENEW_COL_EO,FALSE),"")</f>
        <v/>
      </c>
      <c r="M676" s="412" t="str">
        <f ca="1">IF(E676="","",E676)</f>
        <v/>
      </c>
      <c r="N676" s="413"/>
      <c r="O676" s="414"/>
      <c r="P676" s="415" t="str">
        <f>IFERROR(IF($N675="Keep Contribution Same",H676,IF($N675="Enter Percentages",IF(N676="","",N676*L676),IF($N675="Keep Percentage Same",IF(G676="","",G676*L676),IF($N675="Enter Dollar Amount",IF(O676="","",O676),"")))),"")</f>
        <v/>
      </c>
      <c r="Q676" s="408" t="str">
        <f ca="1">IFERROR(L676-P676,"")</f>
        <v/>
      </c>
      <c r="R676" s="410" t="str">
        <f>IFERROR(IF(P676="","",M676*P676),"")</f>
        <v/>
      </c>
      <c r="S676" s="411"/>
      <c r="T676" s="408" t="str" cm="1">
        <f t="array" ca="1" aca="1" ref="T676">_xlfn.IFNA(VLOOKUP(INDIRECT("T"&amp;ROW()-1)&amp;"_"&amp;$D$12,BEGIN_Renew_Dental:END_RENEW_DENTAL,RENEW_COL_EO,FALSE),"")</f>
        <v/>
      </c>
      <c r="U676" s="412" t="str">
        <f ca="1">IF(E676="","",E676)</f>
        <v/>
      </c>
      <c r="V676" s="413"/>
      <c r="W676" s="414"/>
      <c r="X676" s="415" t="str">
        <f>IFERROR(IF($V675="Keep Contribution Same",H676,IF($V675="Enter Percentages",IF(V676="","",V676*T676),IF($V675="Keep Percentage Same",IF(G676="","",G676*T676),IF($V675="Enter Dollar Amount",IF(W676="","",W676),"")))),"")</f>
        <v/>
      </c>
      <c r="Y676" s="408" t="str">
        <f ca="1">IFERROR(T676-X676,"")</f>
        <v/>
      </c>
      <c r="Z676" s="410" t="str">
        <f>IFERROR(IF(X676="","",U676*X676),"")</f>
        <v/>
      </c>
    </row>
    <row r="677" spans="1:26" ht="18.75" customHeight="1">
      <c r="A677" s="140"/>
      <c r="B677" s="140"/>
      <c r="D677" s="172" t="s">
        <v>239</v>
      </c>
      <c r="E677" s="407" t="str">
        <f ca="1">_xlfn.IFNA(VLOOKUP(F675,BEGIN_CURRENT_DENTAL:END_CURRENT_DENTAL,CURRENT_COL_ES_count,FALSE),"")</f>
        <v/>
      </c>
      <c r="F677" s="408" t="str">
        <f ca="1">_xlfn.IFNA(VLOOKUP(F675,BEGIN_CURRENT_DENTAL:END_CURRENT_DENTAL,CURRENT_COL_ES,FALSE),"")</f>
        <v/>
      </c>
      <c r="G677" s="468" t="str">
        <f t="shared" ca="1" si="70"/>
        <v/>
      </c>
      <c r="H677" s="408" t="str">
        <f ca="1">_xlfn.IFNA(VLOOKUP(F675,BEGIN_CURRENT_DENTAL:END_CURRENT_DENTAL,CURRENT_COL_ESContrib,FALSE),"")</f>
        <v/>
      </c>
      <c r="I677" s="409" t="str">
        <f ca="1" t="shared" si="71" ref="I677:I679">IFERROR(F677-H677,"")</f>
        <v/>
      </c>
      <c r="J677" s="410" t="str">
        <f ca="1">IF(F677="","",H677*E677)</f>
        <v/>
      </c>
      <c r="K677" s="411"/>
      <c r="L677" s="408" t="str" cm="1">
        <f t="array" ca="1" aca="1" ref="L677">_xlfn.IFNA(VLOOKUP(INDIRECT("L"&amp;ROW()-2)&amp;"_"&amp;$D$12,BEGIN_Renew_Dental:END_RENEW_DENTAL,RENEW_COL_ES,FALSE),"")</f>
        <v/>
      </c>
      <c r="M677" s="412" t="str">
        <f ca="1">IF(E677="","",E677)</f>
        <v/>
      </c>
      <c r="N677" s="413"/>
      <c r="O677" s="414"/>
      <c r="P677" s="415" t="str">
        <f>IFERROR(IF($N675="Keep Contribution Same",H677,IF($N675="Enter Percentages",IF(N677="","",N677*L677),IF($N675="Keep Percentage Same",IF(G677="","",G677*L677),IF($N675="Enter Dollar Amount",IF(O677="","",O677),"")))),"")</f>
        <v/>
      </c>
      <c r="Q677" s="408" t="str">
        <f ca="1">IFERROR(L677-P677,"")</f>
        <v/>
      </c>
      <c r="R677" s="410" t="str">
        <f>IFERROR(IF(P677="","",M677*P677),"")</f>
        <v/>
      </c>
      <c r="S677" s="411"/>
      <c r="T677" s="408" t="str" cm="1">
        <f t="array" ca="1" aca="1" ref="T677">_xlfn.IFNA(VLOOKUP(INDIRECT("T"&amp;ROW()-2)&amp;"_"&amp;$D$12,BEGIN_Renew_Dental:END_RENEW_DENTAL,RENEW_COL_ES,FALSE),"")</f>
        <v/>
      </c>
      <c r="U677" s="412" t="str">
        <f ca="1" t="shared" si="72" ref="U677:U679">IF(E677="","",E677)</f>
        <v/>
      </c>
      <c r="V677" s="413"/>
      <c r="W677" s="414"/>
      <c r="X677" s="415" t="str">
        <f>IFERROR(IF($V675="Keep Contribution Same",H677,IF($V675="Enter Percentages",IF(V677="","",V677*T677),IF($V675="Keep Percentage Same",IF(G677="","",G677*T677),IF($V675="Enter Dollar Amount",IF(W677="","",W677),"")))),"")</f>
        <v/>
      </c>
      <c r="Y677" s="408" t="str">
        <f ca="1" t="shared" si="73" ref="Y677:Y679">IFERROR(T677-X677,"")</f>
        <v/>
      </c>
      <c r="Z677" s="410" t="str">
        <f t="shared" si="74" ref="Z677:Z679">IFERROR(IF(X677="","",U677*X677),"")</f>
        <v/>
      </c>
    </row>
    <row r="678" spans="1:26" ht="18.75" customHeight="1">
      <c r="A678" s="140"/>
      <c r="B678" s="140"/>
      <c r="D678" s="172" t="s">
        <v>240</v>
      </c>
      <c r="E678" s="407" t="str">
        <f ca="1">_xlfn.IFNA(VLOOKUP(F675,BEGIN_CURRENT_DENTAL:END_CURRENT_DENTAL,CURRENT_COL_EC_count,FALSE),"")</f>
        <v/>
      </c>
      <c r="F678" s="408" t="str">
        <f ca="1">_xlfn.IFNA(VLOOKUP(F675,BEGIN_CURRENT_DENTAL:END_CURRENT_DENTAL,CURRENT_COL_EC,FALSE),"")</f>
        <v/>
      </c>
      <c r="G678" s="468" t="str">
        <f t="shared" ca="1" si="70"/>
        <v/>
      </c>
      <c r="H678" s="408" t="str">
        <f ca="1">_xlfn.IFNA(VLOOKUP(F675,BEGIN_CURRENT_DENTAL:END_CURRENT_DENTAL,CURRENT_COL_ECContrib,FALSE),"")</f>
        <v/>
      </c>
      <c r="I678" s="409" t="str">
        <f t="shared" ca="1" si="71"/>
        <v/>
      </c>
      <c r="J678" s="410" t="str">
        <f ca="1">IF(F678="","",H678*E678)</f>
        <v/>
      </c>
      <c r="K678" s="411"/>
      <c r="L678" s="408" t="str" cm="1">
        <f t="array" ca="1" aca="1" ref="L678">_xlfn.IFNA(VLOOKUP(INDIRECT("L"&amp;ROW()-3)&amp;"_"&amp;$D$12,BEGIN_Renew_Dental:END_RENEW_DENTAL,RENEW_COL_EC,FALSE),"")</f>
        <v/>
      </c>
      <c r="M678" s="412" t="str">
        <f ca="1">IF(E678="","",E678)</f>
        <v/>
      </c>
      <c r="N678" s="413"/>
      <c r="O678" s="414"/>
      <c r="P678" s="415" t="str">
        <f>IFERROR(IF($N675="Keep Contribution Same",H678,IF($N675="Enter Percentages",IF(N678="","",N678*L678),IF($N675="Keep Percentage Same",IF(G678="","",G678*L678),IF($N675="Enter Dollar Amount",IF(O678="","",O678),"")))),"")</f>
        <v/>
      </c>
      <c r="Q678" s="408" t="str">
        <f ca="1">IFERROR(L678-P678,"")</f>
        <v/>
      </c>
      <c r="R678" s="410" t="str">
        <f>IFERROR(IF(P678="","",M678*P678),"")</f>
        <v/>
      </c>
      <c r="S678" s="411"/>
      <c r="T678" s="408" t="str" cm="1">
        <f t="array" ca="1" aca="1" ref="T678">_xlfn.IFNA(VLOOKUP(INDIRECT("T"&amp;ROW()-3)&amp;"_"&amp;$D$12,BEGIN_Renew_Dental:END_RENEW_DENTAL,RENEW_COL_EC,FALSE),"")</f>
        <v/>
      </c>
      <c r="U678" s="412" t="str">
        <f t="shared" ca="1" si="72"/>
        <v/>
      </c>
      <c r="V678" s="413"/>
      <c r="W678" s="414"/>
      <c r="X678" s="415" t="str">
        <f>IFERROR(IF($V675="Keep Contribution Same",H678,IF($V675="Enter Percentages",IF(V678="","",V678*T678),IF($V675="Keep Percentage Same",IF(G678="","",G678*T678),IF($V675="Enter Dollar Amount",IF(W678="","",W678),"")))),"")</f>
        <v/>
      </c>
      <c r="Y678" s="408" t="str">
        <f t="shared" ca="1" si="73"/>
        <v/>
      </c>
      <c r="Z678" s="410" t="str">
        <f t="shared" si="74"/>
        <v/>
      </c>
    </row>
    <row r="679" spans="1:26" ht="18.75" customHeight="1" thickBot="1">
      <c r="A679" s="140"/>
      <c r="B679" s="140"/>
      <c r="D679" s="174" t="s">
        <v>241</v>
      </c>
      <c r="E679" s="416" t="str">
        <f ca="1">_xlfn.IFNA(VLOOKUP(F675,BEGIN_CURRENT_DENTAL:END_CURRENT_DENTAL,CURRENT_COL_FAM_count,FALSE),"")</f>
        <v/>
      </c>
      <c r="F679" s="417" t="str">
        <f ca="1">_xlfn.IFNA(VLOOKUP(F675,BEGIN_CURRENT_DENTAL:END_CURRENT_DENTAL,CURRENT_COL_FAM,FALSE),"")</f>
        <v/>
      </c>
      <c r="G679" s="469" t="str">
        <f t="shared" ca="1" si="70"/>
        <v/>
      </c>
      <c r="H679" s="417" t="str">
        <f ca="1">_xlfn.IFNA(VLOOKUP(F675,BEGIN_CURRENT_DENTAL:END_CURRENT_DENTAL,CURRENT_COL_FAMContrib,FALSE),"")</f>
        <v/>
      </c>
      <c r="I679" s="418" t="str">
        <f t="shared" ca="1" si="71"/>
        <v/>
      </c>
      <c r="J679" s="419" t="str">
        <f ca="1">IF(F679="","",H679*E679)</f>
        <v/>
      </c>
      <c r="K679" s="411"/>
      <c r="L679" s="417" t="str" cm="1">
        <f t="array" ca="1" aca="1" ref="L679">_xlfn.IFNA(VLOOKUP(INDIRECT("L"&amp;ROW()-4)&amp;"_"&amp;$D$12,BEGIN_Renew_Dental:END_RENEW_DENTAL,RENEW_COL_FAM,FALSE),"")</f>
        <v/>
      </c>
      <c r="M679" s="423" t="str">
        <f ca="1">IF(E679="","",E679)</f>
        <v/>
      </c>
      <c r="N679" s="420"/>
      <c r="O679" s="421"/>
      <c r="P679" s="422" t="str">
        <f>IFERROR(IF($N675="Keep Contribution Same",H679,IF($N675="Enter Percentages",IF(N679="","",N679*L679),IF($N675="Keep Percentage Same",IF(G679="","",G679*L679),IF($N675="Enter Dollar Amount",IF(O679="","",O679),"")))),"")</f>
        <v/>
      </c>
      <c r="Q679" s="417" t="str">
        <f ca="1">IFERROR(L679-P679,"")</f>
        <v/>
      </c>
      <c r="R679" s="419" t="str">
        <f>IFERROR(IF(P679="","",M679*P679),"")</f>
        <v/>
      </c>
      <c r="S679" s="411"/>
      <c r="T679" s="417" t="str" cm="1">
        <f t="array" ca="1" aca="1" ref="T679">_xlfn.IFNA(VLOOKUP(INDIRECT("T"&amp;ROW()-4)&amp;"_"&amp;$D$12,BEGIN_Renew_Dental:END_RENEW_DENTAL,RENEW_COL_FAM,FALSE),"")</f>
        <v/>
      </c>
      <c r="U679" s="423" t="str">
        <f t="shared" ca="1" si="72"/>
        <v/>
      </c>
      <c r="V679" s="420"/>
      <c r="W679" s="421"/>
      <c r="X679" s="422" t="str">
        <f>IFERROR(IF($V675="Keep Contribution Same",H679,IF($V675="Enter Percentages",IF(V679="","",V679*T679),IF($V675="Keep Percentage Same",IF(G679="","",G679*T679),IF($V675="Enter Dollar Amount",IF(W679="","",W679),"")))),"")</f>
        <v/>
      </c>
      <c r="Y679" s="417" t="str">
        <f t="shared" ca="1" si="73"/>
        <v/>
      </c>
      <c r="Z679" s="419" t="str">
        <f t="shared" si="74"/>
        <v/>
      </c>
    </row>
    <row r="680" spans="1:26" ht="18.75" customHeight="1" thickTop="1">
      <c r="A680" s="140"/>
      <c r="B680" s="140"/>
      <c r="D680" s="175" t="s">
        <v>242</v>
      </c>
      <c r="E680" s="424"/>
      <c r="F680" s="427"/>
      <c r="G680" s="426"/>
      <c r="H680" s="427"/>
      <c r="I680" s="428"/>
      <c r="J680" s="429" t="str">
        <f ca="1">IFERROR(IF(J676="","",SUM(J676:J679)),0)</f>
        <v/>
      </c>
      <c r="K680" s="1"/>
      <c r="L680" s="424"/>
      <c r="M680" s="427"/>
      <c r="N680" s="426"/>
      <c r="O680" s="427"/>
      <c r="P680" s="431"/>
      <c r="Q680" s="432"/>
      <c r="R680" s="429" t="str">
        <f>IFERROR(IF(R676="","",SUM(R676:R679)),0)</f>
        <v/>
      </c>
      <c r="T680" s="424"/>
      <c r="U680" s="427"/>
      <c r="V680" s="426"/>
      <c r="W680" s="427"/>
      <c r="X680" s="431"/>
      <c r="Y680" s="432"/>
      <c r="Z680" s="429" t="str">
        <f>IFERROR(IF(Z676="","",SUM(Z676:Z679)),0)</f>
        <v/>
      </c>
    </row>
    <row r="681" spans="1:26" ht="18.75" customHeight="1">
      <c r="A681" s="140"/>
      <c r="B681" s="140"/>
      <c r="D681" s="177" t="s">
        <v>243</v>
      </c>
      <c r="E681" s="433"/>
      <c r="F681" s="436"/>
      <c r="G681" s="435"/>
      <c r="H681" s="436"/>
      <c r="I681" s="432"/>
      <c r="J681" s="437" t="str">
        <f ca="1">IF(J680="","",J680*12)</f>
        <v/>
      </c>
      <c r="K681" s="1"/>
      <c r="L681" s="433"/>
      <c r="M681" s="436"/>
      <c r="N681" s="435"/>
      <c r="O681" s="436"/>
      <c r="P681" s="432"/>
      <c r="Q681" s="432"/>
      <c r="R681" s="437" t="str">
        <f>IF(R680="","",R680*12)</f>
        <v/>
      </c>
      <c r="T681" s="433"/>
      <c r="U681" s="436"/>
      <c r="V681" s="435"/>
      <c r="W681" s="436"/>
      <c r="X681" s="432"/>
      <c r="Y681" s="432"/>
      <c r="Z681" s="437" t="str">
        <f>IF(Z680="","",Z680*12)</f>
        <v/>
      </c>
    </row>
    <row r="682" spans="1:26" ht="18.75" customHeight="1">
      <c r="A682" s="140"/>
      <c r="B682" s="140"/>
      <c r="D682" s="177" t="s">
        <v>244</v>
      </c>
      <c r="E682" s="433"/>
      <c r="F682" s="436"/>
      <c r="G682" s="435"/>
      <c r="H682" s="436"/>
      <c r="I682" s="432"/>
      <c r="J682" s="437"/>
      <c r="K682" s="1"/>
      <c r="L682" s="433"/>
      <c r="M682" s="436"/>
      <c r="N682" s="435"/>
      <c r="O682" s="436"/>
      <c r="P682" s="432"/>
      <c r="Q682" s="432"/>
      <c r="R682" s="437" t="str">
        <f ca="1">IFERROR(IF(J681="","",R681-J681),0)</f>
        <v/>
      </c>
      <c r="T682" s="433"/>
      <c r="U682" s="436"/>
      <c r="V682" s="435"/>
      <c r="W682" s="436"/>
      <c r="X682" s="432"/>
      <c r="Y682" s="432"/>
      <c r="Z682" s="437" t="str">
        <f>IFERROR(IF(R681="","",Z681-R681),0)</f>
        <v/>
      </c>
    </row>
    <row r="683" spans="1:26" ht="18" customHeight="1" thickBot="1">
      <c r="A683" s="140"/>
      <c r="B683" s="140"/>
      <c r="D683" s="180" t="s">
        <v>245</v>
      </c>
      <c r="E683" s="439"/>
      <c r="F683" s="440"/>
      <c r="G683" s="441"/>
      <c r="H683" s="440"/>
      <c r="I683" s="442"/>
      <c r="J683" s="437"/>
      <c r="K683" s="1"/>
      <c r="L683" s="439"/>
      <c r="M683" s="440"/>
      <c r="N683" s="441"/>
      <c r="O683" s="440"/>
      <c r="P683" s="445"/>
      <c r="Q683" s="445"/>
      <c r="R683" s="453" t="str">
        <f ca="1">IFERROR(IF(J681="","",(R681/J681)-1),0)</f>
        <v/>
      </c>
      <c r="T683" s="439"/>
      <c r="U683" s="440"/>
      <c r="V683" s="441"/>
      <c r="W683" s="440"/>
      <c r="X683" s="445"/>
      <c r="Y683" s="445"/>
      <c r="Z683" s="446" t="str">
        <f>IFERROR(IF(R681="","",(Z681/R681)-1),0)</f>
        <v/>
      </c>
    </row>
    <row r="684" spans="1:26" ht="5.25" customHeight="1" thickBot="1">
      <c r="A684" s="140"/>
      <c r="B684" s="140"/>
      <c r="D684" s="229"/>
      <c r="E684" s="229"/>
      <c r="F684" s="230"/>
      <c r="G684" s="231"/>
      <c r="H684" s="232"/>
      <c r="I684" s="233"/>
      <c r="J684" s="233"/>
      <c r="K684"/>
      <c r="L684" s="233"/>
      <c r="M684" s="233"/>
      <c r="N684" s="233"/>
      <c r="O684" s="233"/>
      <c r="P684" s="233"/>
      <c r="Q684" s="233"/>
      <c r="R684" s="233"/>
      <c r="T684" s="233"/>
      <c r="U684" s="233"/>
      <c r="V684" s="233"/>
      <c r="W684" s="233"/>
      <c r="X684" s="233"/>
      <c r="Y684" s="233"/>
      <c r="Z684" s="233"/>
    </row>
    <row r="685" spans="1:26" ht="50.15" customHeight="1">
      <c r="A685" s="140">
        <v>3</v>
      </c>
      <c r="B685" s="140">
        <f>IF(A685&gt;Class2_CurrentDentalCount,"DELETE",Class2_CurrentDentalStart+A685)</f>
        <v>18</v>
      </c>
      <c r="C685" s="164" t="s">
        <v>291</v>
      </c>
      <c r="D685" s="273" t="e">
        <f ca="1">IF(B685="Delete","",VLOOKUP(F685,BEGIN_CURRENT_DENTAL:END_CURRENT_DENTAL,3,FALSE))</f>
        <v>#N/A</v>
      </c>
      <c r="E685" s="165"/>
      <c r="F685" s="272" t="str" cm="1">
        <f t="array" ca="1" aca="1" ref="F685">IF(B685="Delete","",INDIRECT("CurrentPlans!A"&amp;B685,TRUE))</f>
        <v>PrimaryKey</v>
      </c>
      <c r="G685" s="166"/>
      <c r="H685" s="167"/>
      <c r="I685" s="168"/>
      <c r="J685" s="169"/>
      <c r="K685"/>
      <c r="L685" s="274" t="str">
        <f ca="1">_xlfn.IFNA(VLOOKUP(F685,BEGIN_RENEWEDFROM_DENTAL:ROW_RenewDental_PlanID,3,FALSE),"SELECT PLAN")</f>
        <v>SELECT PLAN</v>
      </c>
      <c r="M685" s="170"/>
      <c r="N685" s="274" t="s">
        <v>237</v>
      </c>
      <c r="O685" s="171"/>
      <c r="P685" s="171"/>
      <c r="Q685" s="171"/>
      <c r="R685" s="169"/>
      <c r="T685" s="274" t="s">
        <v>38</v>
      </c>
      <c r="U685" s="170"/>
      <c r="V685" s="274" t="s">
        <v>237</v>
      </c>
      <c r="W685" s="171"/>
      <c r="X685" s="171"/>
      <c r="Y685" s="171"/>
      <c r="Z685" s="169"/>
    </row>
    <row r="686" spans="1:26" ht="18.75" customHeight="1">
      <c r="A686" s="140"/>
      <c r="B686" s="140"/>
      <c r="D686" s="172" t="s">
        <v>238</v>
      </c>
      <c r="E686" s="407" t="str">
        <f ca="1">_xlfn.IFNA(VLOOKUP(F685,BEGIN_CURRENT_DENTAL:END_CURRENT_DENTAL,CURRENT_COL_EO_count,FALSE),"")</f>
        <v/>
      </c>
      <c r="F686" s="408" t="str">
        <f ca="1">_xlfn.IFNA(VLOOKUP(F685,BEGIN_CURRENT_DENTAL:END_CURRENT_DENTAL,CURRENT_COL_EO,FALSE),"")</f>
        <v/>
      </c>
      <c r="G686" s="468" t="str">
        <f ca="1" t="shared" si="75" ref="G686:G689">IF(F686="","",H686/F686)</f>
        <v/>
      </c>
      <c r="H686" s="408" t="str">
        <f ca="1">_xlfn.IFNA(VLOOKUP(F685,BEGIN_CURRENT_DENTAL:END_CURRENT_DENTAL,CURRENT_COL_EOContrib,FALSE),"")</f>
        <v/>
      </c>
      <c r="I686" s="409" t="str">
        <f ca="1">IFERROR(F686-H686,"")</f>
        <v/>
      </c>
      <c r="J686" s="410" t="str">
        <f ca="1">IF(F686="","",H686*E686)</f>
        <v/>
      </c>
      <c r="K686" s="411"/>
      <c r="L686" s="408" t="str" cm="1">
        <f t="array" ca="1" aca="1" ref="L686">_xlfn.IFNA(VLOOKUP(INDIRECT("L"&amp;ROW()-1)&amp;"_"&amp;$D$12,BEGIN_Renew_Dental:END_RENEW_DENTAL,RENEW_COL_EO,FALSE),"")</f>
        <v/>
      </c>
      <c r="M686" s="412" t="str">
        <f ca="1">IF(E686="","",E686)</f>
        <v/>
      </c>
      <c r="N686" s="413"/>
      <c r="O686" s="414"/>
      <c r="P686" s="415" t="str">
        <f>IFERROR(IF($N685="Keep Contribution Same",H686,IF($N685="Enter Percentages",IF(N686="","",N686*L686),IF($N685="Keep Percentage Same",IF(G686="","",G686*L686),IF($N685="Enter Dollar Amount",IF(O686="","",O686),"")))),"")</f>
        <v/>
      </c>
      <c r="Q686" s="408" t="str">
        <f ca="1">IFERROR(L686-P686,"")</f>
        <v/>
      </c>
      <c r="R686" s="410" t="str">
        <f>IFERROR(IF(P686="","",M686*P686),"")</f>
        <v/>
      </c>
      <c r="S686" s="411"/>
      <c r="T686" s="408" t="str" cm="1">
        <f t="array" ca="1" aca="1" ref="T686">_xlfn.IFNA(VLOOKUP(INDIRECT("T"&amp;ROW()-1)&amp;"_"&amp;$D$12,BEGIN_Renew_Dental:END_RENEW_DENTAL,RENEW_COL_EO,FALSE),"")</f>
        <v/>
      </c>
      <c r="U686" s="412" t="str">
        <f ca="1">IF(E686="","",E686)</f>
        <v/>
      </c>
      <c r="V686" s="413"/>
      <c r="W686" s="414"/>
      <c r="X686" s="415" t="str">
        <f>IFERROR(IF($V685="Keep Contribution Same",H686,IF($V685="Enter Percentages",IF(V686="","",V686*T686),IF($V685="Keep Percentage Same",IF(G686="","",G686*T686),IF($V685="Enter Dollar Amount",IF(W686="","",W686),"")))),"")</f>
        <v/>
      </c>
      <c r="Y686" s="408" t="str">
        <f ca="1">IFERROR(T686-X686,"")</f>
        <v/>
      </c>
      <c r="Z686" s="410" t="str">
        <f>IFERROR(IF(X686="","",U686*X686),"")</f>
        <v/>
      </c>
    </row>
    <row r="687" spans="1:26" ht="18.75" customHeight="1">
      <c r="A687" s="140"/>
      <c r="B687" s="140"/>
      <c r="D687" s="172" t="s">
        <v>239</v>
      </c>
      <c r="E687" s="407" t="str">
        <f ca="1">_xlfn.IFNA(VLOOKUP(F685,BEGIN_CURRENT_DENTAL:END_CURRENT_DENTAL,CURRENT_COL_ES_count,FALSE),"")</f>
        <v/>
      </c>
      <c r="F687" s="408" t="str">
        <f ca="1">_xlfn.IFNA(VLOOKUP(F685,BEGIN_CURRENT_DENTAL:END_CURRENT_DENTAL,CURRENT_COL_ES,FALSE),"")</f>
        <v/>
      </c>
      <c r="G687" s="468" t="str">
        <f t="shared" ca="1" si="75"/>
        <v/>
      </c>
      <c r="H687" s="408" t="str">
        <f ca="1">_xlfn.IFNA(VLOOKUP(F685,BEGIN_CURRENT_DENTAL:END_CURRENT_DENTAL,CURRENT_COL_ESContrib,FALSE),"")</f>
        <v/>
      </c>
      <c r="I687" s="409" t="str">
        <f ca="1" t="shared" si="76" ref="I687:I689">IFERROR(F687-H687,"")</f>
        <v/>
      </c>
      <c r="J687" s="410" t="str">
        <f ca="1">IF(F687="","",H687*E687)</f>
        <v/>
      </c>
      <c r="K687" s="411"/>
      <c r="L687" s="408" t="str" cm="1">
        <f t="array" ca="1" aca="1" ref="L687">_xlfn.IFNA(VLOOKUP(INDIRECT("L"&amp;ROW()-2)&amp;"_"&amp;$D$12,BEGIN_Renew_Dental:END_RENEW_DENTAL,RENEW_COL_ES,FALSE),"")</f>
        <v/>
      </c>
      <c r="M687" s="412" t="str">
        <f ca="1">IF(E687="","",E687)</f>
        <v/>
      </c>
      <c r="N687" s="413"/>
      <c r="O687" s="414"/>
      <c r="P687" s="415" t="str">
        <f>IFERROR(IF($N685="Keep Contribution Same",H687,IF($N685="Enter Percentages",IF(N687="","",N687*L687),IF($N685="Keep Percentage Same",IF(G687="","",G687*L687),IF($N685="Enter Dollar Amount",IF(O687="","",O687),"")))),"")</f>
        <v/>
      </c>
      <c r="Q687" s="408" t="str">
        <f ca="1">IFERROR(L687-P687,"")</f>
        <v/>
      </c>
      <c r="R687" s="410" t="str">
        <f>IFERROR(IF(P687="","",M687*P687),"")</f>
        <v/>
      </c>
      <c r="S687" s="411"/>
      <c r="T687" s="408" t="str" cm="1">
        <f t="array" ca="1" aca="1" ref="T687">_xlfn.IFNA(VLOOKUP(INDIRECT("T"&amp;ROW()-2)&amp;"_"&amp;$D$12,BEGIN_Renew_Dental:END_RENEW_DENTAL,RENEW_COL_ES,FALSE),"")</f>
        <v/>
      </c>
      <c r="U687" s="412" t="str">
        <f ca="1" t="shared" si="77" ref="U687:U689">IF(E687="","",E687)</f>
        <v/>
      </c>
      <c r="V687" s="413"/>
      <c r="W687" s="414"/>
      <c r="X687" s="415" t="str">
        <f>IFERROR(IF($V685="Keep Contribution Same",H687,IF($V685="Enter Percentages",IF(V687="","",V687*T687),IF($V685="Keep Percentage Same",IF(G687="","",G687*T687),IF($V685="Enter Dollar Amount",IF(W687="","",W687),"")))),"")</f>
        <v/>
      </c>
      <c r="Y687" s="408" t="str">
        <f ca="1" t="shared" si="78" ref="Y687:Y689">IFERROR(T687-X687,"")</f>
        <v/>
      </c>
      <c r="Z687" s="410" t="str">
        <f t="shared" si="79" ref="Z687:Z689">IFERROR(IF(X687="","",U687*X687),"")</f>
        <v/>
      </c>
    </row>
    <row r="688" spans="1:26" ht="18.75" customHeight="1">
      <c r="A688" s="140"/>
      <c r="B688" s="140"/>
      <c r="D688" s="172" t="s">
        <v>240</v>
      </c>
      <c r="E688" s="407" t="str">
        <f ca="1">_xlfn.IFNA(VLOOKUP(F685,BEGIN_CURRENT_DENTAL:END_CURRENT_DENTAL,CURRENT_COL_EC_count,FALSE),"")</f>
        <v/>
      </c>
      <c r="F688" s="408" t="str">
        <f ca="1">_xlfn.IFNA(VLOOKUP(F685,BEGIN_CURRENT_DENTAL:END_CURRENT_DENTAL,CURRENT_COL_EC,FALSE),"")</f>
        <v/>
      </c>
      <c r="G688" s="468" t="str">
        <f t="shared" ca="1" si="75"/>
        <v/>
      </c>
      <c r="H688" s="408" t="str">
        <f ca="1">_xlfn.IFNA(VLOOKUP(F685,BEGIN_CURRENT_DENTAL:END_CURRENT_DENTAL,CURRENT_COL_ECContrib,FALSE),"")</f>
        <v/>
      </c>
      <c r="I688" s="409" t="str">
        <f t="shared" ca="1" si="76"/>
        <v/>
      </c>
      <c r="J688" s="410" t="str">
        <f ca="1">IF(F688="","",H688*E688)</f>
        <v/>
      </c>
      <c r="K688" s="411"/>
      <c r="L688" s="408" t="str" cm="1">
        <f t="array" ca="1" aca="1" ref="L688">_xlfn.IFNA(VLOOKUP(INDIRECT("L"&amp;ROW()-3)&amp;"_"&amp;$D$12,BEGIN_Renew_Dental:END_RENEW_DENTAL,RENEW_COL_EC,FALSE),"")</f>
        <v/>
      </c>
      <c r="M688" s="412" t="str">
        <f ca="1">IF(E688="","",E688)</f>
        <v/>
      </c>
      <c r="N688" s="413"/>
      <c r="O688" s="414"/>
      <c r="P688" s="415" t="str">
        <f>IFERROR(IF($N685="Keep Contribution Same",H688,IF($N685="Enter Percentages",IF(N688="","",N688*L688),IF($N685="Keep Percentage Same",IF(G688="","",G688*L688),IF($N685="Enter Dollar Amount",IF(O688="","",O688),"")))),"")</f>
        <v/>
      </c>
      <c r="Q688" s="408" t="str">
        <f ca="1">IFERROR(L688-P688,"")</f>
        <v/>
      </c>
      <c r="R688" s="410" t="str">
        <f>IFERROR(IF(P688="","",M688*P688),"")</f>
        <v/>
      </c>
      <c r="S688" s="411"/>
      <c r="T688" s="408" t="str" cm="1">
        <f t="array" ca="1" aca="1" ref="T688">_xlfn.IFNA(VLOOKUP(INDIRECT("T"&amp;ROW()-3)&amp;"_"&amp;$D$12,BEGIN_Renew_Dental:END_RENEW_DENTAL,RENEW_COL_EC,FALSE),"")</f>
        <v/>
      </c>
      <c r="U688" s="412" t="str">
        <f t="shared" ca="1" si="77"/>
        <v/>
      </c>
      <c r="V688" s="413"/>
      <c r="W688" s="414"/>
      <c r="X688" s="415" t="str">
        <f>IFERROR(IF($V685="Keep Contribution Same",H688,IF($V685="Enter Percentages",IF(V688="","",V688*T688),IF($V685="Keep Percentage Same",IF(G688="","",G688*T688),IF($V685="Enter Dollar Amount",IF(W688="","",W688),"")))),"")</f>
        <v/>
      </c>
      <c r="Y688" s="408" t="str">
        <f t="shared" ca="1" si="78"/>
        <v/>
      </c>
      <c r="Z688" s="410" t="str">
        <f t="shared" si="79"/>
        <v/>
      </c>
    </row>
    <row r="689" spans="1:26" ht="18.75" customHeight="1" thickBot="1">
      <c r="A689" s="140"/>
      <c r="B689" s="140"/>
      <c r="D689" s="174" t="s">
        <v>241</v>
      </c>
      <c r="E689" s="416" t="str">
        <f ca="1">_xlfn.IFNA(VLOOKUP(F685,BEGIN_CURRENT_DENTAL:END_CURRENT_DENTAL,CURRENT_COL_FAM_count,FALSE),"")</f>
        <v/>
      </c>
      <c r="F689" s="417" t="str">
        <f ca="1">_xlfn.IFNA(VLOOKUP(F685,BEGIN_CURRENT_DENTAL:END_CURRENT_DENTAL,CURRENT_COL_FAM,FALSE),"")</f>
        <v/>
      </c>
      <c r="G689" s="469" t="str">
        <f t="shared" ca="1" si="75"/>
        <v/>
      </c>
      <c r="H689" s="417" t="str">
        <f ca="1">_xlfn.IFNA(VLOOKUP(F685,BEGIN_CURRENT_DENTAL:END_CURRENT_DENTAL,CURRENT_COL_FAMContrib,FALSE),"")</f>
        <v/>
      </c>
      <c r="I689" s="418" t="str">
        <f t="shared" ca="1" si="76"/>
        <v/>
      </c>
      <c r="J689" s="419" t="str">
        <f ca="1">IF(F689="","",H689*E689)</f>
        <v/>
      </c>
      <c r="K689" s="411"/>
      <c r="L689" s="417" t="str" cm="1">
        <f t="array" ca="1" aca="1" ref="L689">_xlfn.IFNA(VLOOKUP(INDIRECT("L"&amp;ROW()-4)&amp;"_"&amp;$D$12,BEGIN_Renew_Dental:END_RENEW_DENTAL,RENEW_COL_FAM,FALSE),"")</f>
        <v/>
      </c>
      <c r="M689" s="423" t="str">
        <f ca="1">IF(E689="","",E689)</f>
        <v/>
      </c>
      <c r="N689" s="420"/>
      <c r="O689" s="421"/>
      <c r="P689" s="422" t="str">
        <f>IFERROR(IF($N685="Keep Contribution Same",H689,IF($N685="Enter Percentages",IF(N689="","",N689*L689),IF($N685="Keep Percentage Same",IF(G689="","",G689*L689),IF($N685="Enter Dollar Amount",IF(O689="","",O689),"")))),"")</f>
        <v/>
      </c>
      <c r="Q689" s="417" t="str">
        <f ca="1">IFERROR(L689-P689,"")</f>
        <v/>
      </c>
      <c r="R689" s="419" t="str">
        <f>IFERROR(IF(P689="","",M689*P689),"")</f>
        <v/>
      </c>
      <c r="S689" s="411"/>
      <c r="T689" s="417" t="str" cm="1">
        <f t="array" ca="1" aca="1" ref="T689">_xlfn.IFNA(VLOOKUP(INDIRECT("T"&amp;ROW()-4)&amp;"_"&amp;$D$12,BEGIN_Renew_Dental:END_RENEW_DENTAL,RENEW_COL_FAM,FALSE),"")</f>
        <v/>
      </c>
      <c r="U689" s="423" t="str">
        <f t="shared" ca="1" si="77"/>
        <v/>
      </c>
      <c r="V689" s="420"/>
      <c r="W689" s="421"/>
      <c r="X689" s="422" t="str">
        <f>IFERROR(IF($V685="Keep Contribution Same",H689,IF($V685="Enter Percentages",IF(V689="","",V689*T689),IF($V685="Keep Percentage Same",IF(G689="","",G689*T689),IF($V685="Enter Dollar Amount",IF(W689="","",W689),"")))),"")</f>
        <v/>
      </c>
      <c r="Y689" s="417" t="str">
        <f t="shared" ca="1" si="78"/>
        <v/>
      </c>
      <c r="Z689" s="419" t="str">
        <f t="shared" si="79"/>
        <v/>
      </c>
    </row>
    <row r="690" spans="1:26" ht="18.75" customHeight="1" thickTop="1">
      <c r="A690" s="140"/>
      <c r="B690" s="140"/>
      <c r="D690" s="175" t="s">
        <v>242</v>
      </c>
      <c r="E690" s="424"/>
      <c r="F690" s="427"/>
      <c r="G690" s="426"/>
      <c r="H690" s="427"/>
      <c r="I690" s="428"/>
      <c r="J690" s="429" t="str">
        <f ca="1">IFERROR(IF(J686="","",SUM(J686:J689)),0)</f>
        <v/>
      </c>
      <c r="K690" s="1"/>
      <c r="L690" s="424"/>
      <c r="M690" s="427"/>
      <c r="N690" s="426"/>
      <c r="O690" s="427"/>
      <c r="P690" s="431"/>
      <c r="Q690" s="432"/>
      <c r="R690" s="429" t="str">
        <f>IFERROR(IF(R686="","",SUM(R686:R689)),0)</f>
        <v/>
      </c>
      <c r="T690" s="424"/>
      <c r="U690" s="427"/>
      <c r="V690" s="426"/>
      <c r="W690" s="427"/>
      <c r="X690" s="431"/>
      <c r="Y690" s="432"/>
      <c r="Z690" s="429" t="str">
        <f>IFERROR(IF(Z686="","",SUM(Z686:Z689)),0)</f>
        <v/>
      </c>
    </row>
    <row r="691" spans="1:26" ht="18.75" customHeight="1">
      <c r="A691" s="140"/>
      <c r="B691" s="140"/>
      <c r="D691" s="177" t="s">
        <v>243</v>
      </c>
      <c r="E691" s="433"/>
      <c r="F691" s="436"/>
      <c r="G691" s="435"/>
      <c r="H691" s="436"/>
      <c r="I691" s="432"/>
      <c r="J691" s="437" t="str">
        <f ca="1">IF(J690="","",J690*12)</f>
        <v/>
      </c>
      <c r="K691" s="1"/>
      <c r="L691" s="433"/>
      <c r="M691" s="436"/>
      <c r="N691" s="435"/>
      <c r="O691" s="436"/>
      <c r="P691" s="432"/>
      <c r="Q691" s="432"/>
      <c r="R691" s="437" t="str">
        <f>IF(R690="","",R690*12)</f>
        <v/>
      </c>
      <c r="T691" s="433"/>
      <c r="U691" s="436"/>
      <c r="V691" s="435"/>
      <c r="W691" s="436"/>
      <c r="X691" s="432"/>
      <c r="Y691" s="432"/>
      <c r="Z691" s="437" t="str">
        <f>IF(Z690="","",Z690*12)</f>
        <v/>
      </c>
    </row>
    <row r="692" spans="1:26" ht="18.75" customHeight="1">
      <c r="A692" s="140"/>
      <c r="B692" s="140"/>
      <c r="D692" s="177" t="s">
        <v>244</v>
      </c>
      <c r="E692" s="433"/>
      <c r="F692" s="436"/>
      <c r="G692" s="435"/>
      <c r="H692" s="436"/>
      <c r="I692" s="432"/>
      <c r="J692" s="437"/>
      <c r="K692" s="1"/>
      <c r="L692" s="433"/>
      <c r="M692" s="436"/>
      <c r="N692" s="435"/>
      <c r="O692" s="436"/>
      <c r="P692" s="432"/>
      <c r="Q692" s="432"/>
      <c r="R692" s="437" t="str">
        <f ca="1">IFERROR(IF(J691="","",R691-J691),0)</f>
        <v/>
      </c>
      <c r="T692" s="433"/>
      <c r="U692" s="436"/>
      <c r="V692" s="435"/>
      <c r="W692" s="436"/>
      <c r="X692" s="432"/>
      <c r="Y692" s="432"/>
      <c r="Z692" s="437" t="str">
        <f>IFERROR(IF(R691="","",Z691-R691),0)</f>
        <v/>
      </c>
    </row>
    <row r="693" spans="1:26" ht="18" customHeight="1" thickBot="1">
      <c r="A693" s="140"/>
      <c r="B693" s="140"/>
      <c r="D693" s="180" t="s">
        <v>245</v>
      </c>
      <c r="E693" s="439"/>
      <c r="F693" s="440"/>
      <c r="G693" s="441"/>
      <c r="H693" s="440"/>
      <c r="I693" s="442"/>
      <c r="J693" s="437"/>
      <c r="K693" s="1"/>
      <c r="L693" s="439"/>
      <c r="M693" s="440"/>
      <c r="N693" s="441"/>
      <c r="O693" s="440"/>
      <c r="P693" s="445"/>
      <c r="Q693" s="445"/>
      <c r="R693" s="453" t="str">
        <f ca="1">IFERROR(IF(J691="","",(R691/J691)-1),0)</f>
        <v/>
      </c>
      <c r="T693" s="439"/>
      <c r="U693" s="440"/>
      <c r="V693" s="441"/>
      <c r="W693" s="440"/>
      <c r="X693" s="445"/>
      <c r="Y693" s="445"/>
      <c r="Z693" s="446" t="str">
        <f>IFERROR(IF(R691="","",(Z691/R691)-1),0)</f>
        <v/>
      </c>
    </row>
    <row r="694" spans="1:26" ht="5.25" customHeight="1" thickBot="1">
      <c r="A694" s="140"/>
      <c r="B694" s="140"/>
      <c r="D694" s="229"/>
      <c r="E694" s="229"/>
      <c r="F694" s="230"/>
      <c r="G694" s="231"/>
      <c r="H694" s="232"/>
      <c r="I694" s="233"/>
      <c r="J694" s="233"/>
      <c r="K694"/>
      <c r="L694" s="233"/>
      <c r="M694" s="233"/>
      <c r="N694" s="233"/>
      <c r="O694" s="233"/>
      <c r="P694" s="233"/>
      <c r="Q694" s="233"/>
      <c r="R694" s="233"/>
      <c r="T694" s="233"/>
      <c r="U694" s="233"/>
      <c r="V694" s="233"/>
      <c r="W694" s="233"/>
      <c r="X694" s="233"/>
      <c r="Y694" s="233"/>
      <c r="Z694" s="233"/>
    </row>
    <row r="695" spans="1:26" ht="50.15" customHeight="1">
      <c r="A695" s="140">
        <v>4</v>
      </c>
      <c r="B695" s="140">
        <f>IF(A695&gt;Class2_CurrentDentalCount,"DELETE",Class2_CurrentDentalStart+A695)</f>
        <v>19</v>
      </c>
      <c r="C695" s="164" t="s">
        <v>292</v>
      </c>
      <c r="D695" s="273" t="e">
        <f ca="1">IF(B695="Delete","",VLOOKUP(F695,BEGIN_CURRENT_DENTAL:END_CURRENT_DENTAL,3,FALSE))</f>
        <v>#N/A</v>
      </c>
      <c r="E695" s="165"/>
      <c r="F695" s="272" cm="1">
        <f t="array" ca="1" aca="1" ref="F695">IF(B695="Delete","",INDIRECT("CurrentPlans!A"&amp;B695,TRUE))</f>
        <v>0</v>
      </c>
      <c r="G695" s="166"/>
      <c r="H695" s="167"/>
      <c r="I695" s="168"/>
      <c r="J695" s="169"/>
      <c r="K695"/>
      <c r="L695" s="274" t="str">
        <f ca="1">_xlfn.IFNA(VLOOKUP(F695,BEGIN_RENEWEDFROM_DENTAL:ROW_RenewDental_PlanID,3,FALSE),"SELECT PLAN")</f>
        <v>SELECT PLAN</v>
      </c>
      <c r="M695" s="170"/>
      <c r="N695" s="274" t="s">
        <v>237</v>
      </c>
      <c r="O695" s="171"/>
      <c r="P695" s="171"/>
      <c r="Q695" s="171"/>
      <c r="R695" s="169"/>
      <c r="T695" s="274" t="s">
        <v>38</v>
      </c>
      <c r="U695" s="170"/>
      <c r="V695" s="274" t="s">
        <v>237</v>
      </c>
      <c r="W695" s="171"/>
      <c r="X695" s="171"/>
      <c r="Y695" s="171"/>
      <c r="Z695" s="169"/>
    </row>
    <row r="696" spans="1:26" ht="18.75" customHeight="1">
      <c r="A696" s="140"/>
      <c r="B696" s="140"/>
      <c r="D696" s="172" t="s">
        <v>238</v>
      </c>
      <c r="E696" s="407" t="str">
        <f ca="1">_xlfn.IFNA(VLOOKUP(F695,BEGIN_CURRENT_DENTAL:END_CURRENT_DENTAL,CURRENT_COL_EO_count,FALSE),"")</f>
        <v/>
      </c>
      <c r="F696" s="408" t="str">
        <f ca="1">_xlfn.IFNA(VLOOKUP(F695,BEGIN_CURRENT_DENTAL:END_CURRENT_DENTAL,CURRENT_COL_EO,FALSE),"")</f>
        <v/>
      </c>
      <c r="G696" s="468" t="str">
        <f ca="1" t="shared" si="80" ref="G696:G699">IF(F696="","",H696/F696)</f>
        <v/>
      </c>
      <c r="H696" s="408" t="str">
        <f ca="1">_xlfn.IFNA(VLOOKUP(F695,BEGIN_CURRENT_DENTAL:END_CURRENT_DENTAL,CURRENT_COL_EOContrib,FALSE),"")</f>
        <v/>
      </c>
      <c r="I696" s="409" t="str">
        <f ca="1">IFERROR(F696-H696,"")</f>
        <v/>
      </c>
      <c r="J696" s="410" t="str">
        <f ca="1">IF(F696="","",H696*E696)</f>
        <v/>
      </c>
      <c r="K696" s="411"/>
      <c r="L696" s="408" t="str" cm="1">
        <f t="array" ca="1" aca="1" ref="L696">_xlfn.IFNA(VLOOKUP(INDIRECT("L"&amp;ROW()-1)&amp;"_"&amp;$D$12,BEGIN_Renew_Dental:END_RENEW_DENTAL,RENEW_COL_EO,FALSE),"")</f>
        <v/>
      </c>
      <c r="M696" s="412" t="str">
        <f ca="1">IF(E696="","",E696)</f>
        <v/>
      </c>
      <c r="N696" s="413"/>
      <c r="O696" s="414"/>
      <c r="P696" s="415" t="str">
        <f>IFERROR(IF($N695="Keep Contribution Same",H696,IF($N695="Enter Percentages",IF(N696="","",N696*L696),IF($N695="Keep Percentage Same",IF(G696="","",G696*L696),IF($N695="Enter Dollar Amount",IF(O696="","",O696),"")))),"")</f>
        <v/>
      </c>
      <c r="Q696" s="408" t="str">
        <f ca="1">IFERROR(L696-P696,"")</f>
        <v/>
      </c>
      <c r="R696" s="410" t="str">
        <f>IFERROR(IF(P696="","",M696*P696),"")</f>
        <v/>
      </c>
      <c r="S696" s="411"/>
      <c r="T696" s="408" t="str" cm="1">
        <f t="array" ca="1" aca="1" ref="T696">_xlfn.IFNA(VLOOKUP(INDIRECT("T"&amp;ROW()-1)&amp;"_"&amp;$D$12,BEGIN_Renew_Dental:END_RENEW_DENTAL,RENEW_COL_EO,FALSE),"")</f>
        <v/>
      </c>
      <c r="U696" s="412" t="str">
        <f ca="1">IF(E696="","",E696)</f>
        <v/>
      </c>
      <c r="V696" s="413"/>
      <c r="W696" s="414"/>
      <c r="X696" s="415" t="str">
        <f>IFERROR(IF($V695="Keep Contribution Same",H696,IF($V695="Enter Percentages",IF(V696="","",V696*T696),IF($V695="Keep Percentage Same",IF(G696="","",G696*T696),IF($V695="Enter Dollar Amount",IF(W696="","",W696),"")))),"")</f>
        <v/>
      </c>
      <c r="Y696" s="408" t="str">
        <f ca="1">IFERROR(T696-X696,"")</f>
        <v/>
      </c>
      <c r="Z696" s="410" t="str">
        <f>IFERROR(IF(X696="","",U696*X696),"")</f>
        <v/>
      </c>
    </row>
    <row r="697" spans="1:26" ht="18.75" customHeight="1">
      <c r="A697" s="140"/>
      <c r="B697" s="140"/>
      <c r="D697" s="172" t="s">
        <v>239</v>
      </c>
      <c r="E697" s="407" t="str">
        <f ca="1">_xlfn.IFNA(VLOOKUP(F695,BEGIN_CURRENT_DENTAL:END_CURRENT_DENTAL,CURRENT_COL_ES_count,FALSE),"")</f>
        <v/>
      </c>
      <c r="F697" s="408" t="str">
        <f ca="1">_xlfn.IFNA(VLOOKUP(F695,BEGIN_CURRENT_DENTAL:END_CURRENT_DENTAL,CURRENT_COL_ES,FALSE),"")</f>
        <v/>
      </c>
      <c r="G697" s="468" t="str">
        <f t="shared" ca="1" si="80"/>
        <v/>
      </c>
      <c r="H697" s="408" t="str">
        <f ca="1">_xlfn.IFNA(VLOOKUP(F695,BEGIN_CURRENT_DENTAL:END_CURRENT_DENTAL,CURRENT_COL_ESContrib,FALSE),"")</f>
        <v/>
      </c>
      <c r="I697" s="409" t="str">
        <f ca="1" t="shared" si="81" ref="I697:I699">IFERROR(F697-H697,"")</f>
        <v/>
      </c>
      <c r="J697" s="410" t="str">
        <f ca="1">IF(F697="","",H697*E697)</f>
        <v/>
      </c>
      <c r="K697" s="411"/>
      <c r="L697" s="408" t="str" cm="1">
        <f t="array" ca="1" aca="1" ref="L697">_xlfn.IFNA(VLOOKUP(INDIRECT("L"&amp;ROW()-2)&amp;"_"&amp;$D$12,BEGIN_Renew_Dental:END_RENEW_DENTAL,RENEW_COL_ES,FALSE),"")</f>
        <v/>
      </c>
      <c r="M697" s="412" t="str">
        <f ca="1">IF(E697="","",E697)</f>
        <v/>
      </c>
      <c r="N697" s="413"/>
      <c r="O697" s="414"/>
      <c r="P697" s="415" t="str">
        <f>IFERROR(IF($N695="Keep Contribution Same",H697,IF($N695="Enter Percentages",IF(N697="","",N697*L697),IF($N695="Keep Percentage Same",IF(G697="","",G697*L697),IF($N695="Enter Dollar Amount",IF(O697="","",O697),"")))),"")</f>
        <v/>
      </c>
      <c r="Q697" s="408" t="str">
        <f ca="1">IFERROR(L697-P697,"")</f>
        <v/>
      </c>
      <c r="R697" s="410" t="str">
        <f>IFERROR(IF(P697="","",M697*P697),"")</f>
        <v/>
      </c>
      <c r="S697" s="411"/>
      <c r="T697" s="408" t="str" cm="1">
        <f t="array" ca="1" aca="1" ref="T697">_xlfn.IFNA(VLOOKUP(INDIRECT("T"&amp;ROW()-2)&amp;"_"&amp;$D$12,BEGIN_Renew_Dental:END_RENEW_DENTAL,RENEW_COL_ES,FALSE),"")</f>
        <v/>
      </c>
      <c r="U697" s="412" t="str">
        <f ca="1" t="shared" si="82" ref="U697:U699">IF(E697="","",E697)</f>
        <v/>
      </c>
      <c r="V697" s="413"/>
      <c r="W697" s="414"/>
      <c r="X697" s="415" t="str">
        <f>IFERROR(IF($V695="Keep Contribution Same",H697,IF($V695="Enter Percentages",IF(V697="","",V697*T697),IF($V695="Keep Percentage Same",IF(G697="","",G697*T697),IF($V695="Enter Dollar Amount",IF(W697="","",W697),"")))),"")</f>
        <v/>
      </c>
      <c r="Y697" s="408" t="str">
        <f ca="1" t="shared" si="83" ref="Y697:Y699">IFERROR(T697-X697,"")</f>
        <v/>
      </c>
      <c r="Z697" s="410" t="str">
        <f t="shared" si="84" ref="Z697:Z699">IFERROR(IF(X697="","",U697*X697),"")</f>
        <v/>
      </c>
    </row>
    <row r="698" spans="1:26" ht="18.75" customHeight="1">
      <c r="A698" s="140"/>
      <c r="B698" s="140"/>
      <c r="D698" s="172" t="s">
        <v>240</v>
      </c>
      <c r="E698" s="407" t="str">
        <f ca="1">_xlfn.IFNA(VLOOKUP(F695,BEGIN_CURRENT_DENTAL:END_CURRENT_DENTAL,CURRENT_COL_EC_count,FALSE),"")</f>
        <v/>
      </c>
      <c r="F698" s="408" t="str">
        <f ca="1">_xlfn.IFNA(VLOOKUP(F695,BEGIN_CURRENT_DENTAL:END_CURRENT_DENTAL,CURRENT_COL_EC,FALSE),"")</f>
        <v/>
      </c>
      <c r="G698" s="468" t="str">
        <f t="shared" ca="1" si="80"/>
        <v/>
      </c>
      <c r="H698" s="408" t="str">
        <f ca="1">_xlfn.IFNA(VLOOKUP(F695,BEGIN_CURRENT_DENTAL:END_CURRENT_DENTAL,CURRENT_COL_ECContrib,FALSE),"")</f>
        <v/>
      </c>
      <c r="I698" s="409" t="str">
        <f t="shared" ca="1" si="81"/>
        <v/>
      </c>
      <c r="J698" s="410" t="str">
        <f ca="1">IF(F698="","",H698*E698)</f>
        <v/>
      </c>
      <c r="K698" s="411"/>
      <c r="L698" s="408" t="str" cm="1">
        <f t="array" ca="1" aca="1" ref="L698">_xlfn.IFNA(VLOOKUP(INDIRECT("L"&amp;ROW()-3)&amp;"_"&amp;$D$12,BEGIN_Renew_Dental:END_RENEW_DENTAL,RENEW_COL_EC,FALSE),"")</f>
        <v/>
      </c>
      <c r="M698" s="412" t="str">
        <f ca="1">IF(E698="","",E698)</f>
        <v/>
      </c>
      <c r="N698" s="413"/>
      <c r="O698" s="414"/>
      <c r="P698" s="415" t="str">
        <f>IFERROR(IF($N695="Keep Contribution Same",H698,IF($N695="Enter Percentages",IF(N698="","",N698*L698),IF($N695="Keep Percentage Same",IF(G698="","",G698*L698),IF($N695="Enter Dollar Amount",IF(O698="","",O698),"")))),"")</f>
        <v/>
      </c>
      <c r="Q698" s="408" t="str">
        <f ca="1">IFERROR(L698-P698,"")</f>
        <v/>
      </c>
      <c r="R698" s="410" t="str">
        <f>IFERROR(IF(P698="","",M698*P698),"")</f>
        <v/>
      </c>
      <c r="S698" s="411"/>
      <c r="T698" s="408" t="str" cm="1">
        <f t="array" ca="1" aca="1" ref="T698">_xlfn.IFNA(VLOOKUP(INDIRECT("T"&amp;ROW()-3)&amp;"_"&amp;$D$12,BEGIN_Renew_Dental:END_RENEW_DENTAL,RENEW_COL_EC,FALSE),"")</f>
        <v/>
      </c>
      <c r="U698" s="412" t="str">
        <f t="shared" ca="1" si="82"/>
        <v/>
      </c>
      <c r="V698" s="413"/>
      <c r="W698" s="414"/>
      <c r="X698" s="415" t="str">
        <f>IFERROR(IF($V695="Keep Contribution Same",H698,IF($V695="Enter Percentages",IF(V698="","",V698*T698),IF($V695="Keep Percentage Same",IF(G698="","",G698*T698),IF($V695="Enter Dollar Amount",IF(W698="","",W698),"")))),"")</f>
        <v/>
      </c>
      <c r="Y698" s="408" t="str">
        <f t="shared" ca="1" si="83"/>
        <v/>
      </c>
      <c r="Z698" s="410" t="str">
        <f t="shared" si="84"/>
        <v/>
      </c>
    </row>
    <row r="699" spans="1:26" ht="18.75" customHeight="1" thickBot="1">
      <c r="A699" s="140"/>
      <c r="B699" s="140"/>
      <c r="D699" s="174" t="s">
        <v>241</v>
      </c>
      <c r="E699" s="416" t="str">
        <f ca="1">_xlfn.IFNA(VLOOKUP(F695,BEGIN_CURRENT_DENTAL:END_CURRENT_DENTAL,CURRENT_COL_FAM_count,FALSE),"")</f>
        <v/>
      </c>
      <c r="F699" s="417" t="str">
        <f ca="1">_xlfn.IFNA(VLOOKUP(F695,BEGIN_CURRENT_DENTAL:END_CURRENT_DENTAL,CURRENT_COL_FAM,FALSE),"")</f>
        <v/>
      </c>
      <c r="G699" s="469" t="str">
        <f t="shared" ca="1" si="80"/>
        <v/>
      </c>
      <c r="H699" s="417" t="str">
        <f ca="1">_xlfn.IFNA(VLOOKUP(F695,BEGIN_CURRENT_DENTAL:END_CURRENT_DENTAL,CURRENT_COL_FAMContrib,FALSE),"")</f>
        <v/>
      </c>
      <c r="I699" s="418" t="str">
        <f t="shared" ca="1" si="81"/>
        <v/>
      </c>
      <c r="J699" s="419" t="str">
        <f ca="1">IF(F699="","",H699*E699)</f>
        <v/>
      </c>
      <c r="K699" s="411"/>
      <c r="L699" s="417" t="str" cm="1">
        <f t="array" ca="1" aca="1" ref="L699">_xlfn.IFNA(VLOOKUP(INDIRECT("L"&amp;ROW()-4)&amp;"_"&amp;$D$12,BEGIN_Renew_Dental:END_RENEW_DENTAL,RENEW_COL_FAM,FALSE),"")</f>
        <v/>
      </c>
      <c r="M699" s="423" t="str">
        <f ca="1">IF(E699="","",E699)</f>
        <v/>
      </c>
      <c r="N699" s="420"/>
      <c r="O699" s="421"/>
      <c r="P699" s="422" t="str">
        <f>IFERROR(IF($N695="Keep Contribution Same",H699,IF($N695="Enter Percentages",IF(N699="","",N699*L699),IF($N695="Keep Percentage Same",IF(G699="","",G699*L699),IF($N695="Enter Dollar Amount",IF(O699="","",O699),"")))),"")</f>
        <v/>
      </c>
      <c r="Q699" s="417" t="str">
        <f ca="1">IFERROR(L699-P699,"")</f>
        <v/>
      </c>
      <c r="R699" s="419" t="str">
        <f>IFERROR(IF(P699="","",M699*P699),"")</f>
        <v/>
      </c>
      <c r="S699" s="411"/>
      <c r="T699" s="417" t="str" cm="1">
        <f t="array" ca="1" aca="1" ref="T699">_xlfn.IFNA(VLOOKUP(INDIRECT("T"&amp;ROW()-4)&amp;"_"&amp;$D$12,BEGIN_Renew_Dental:END_RENEW_DENTAL,RENEW_COL_FAM,FALSE),"")</f>
        <v/>
      </c>
      <c r="U699" s="423" t="str">
        <f t="shared" ca="1" si="82"/>
        <v/>
      </c>
      <c r="V699" s="420"/>
      <c r="W699" s="421"/>
      <c r="X699" s="422" t="str">
        <f>IFERROR(IF($V695="Keep Contribution Same",H699,IF($V695="Enter Percentages",IF(V699="","",V699*T699),IF($V695="Keep Percentage Same",IF(G699="","",G699*T699),IF($V695="Enter Dollar Amount",IF(W699="","",W699),"")))),"")</f>
        <v/>
      </c>
      <c r="Y699" s="417" t="str">
        <f t="shared" ca="1" si="83"/>
        <v/>
      </c>
      <c r="Z699" s="419" t="str">
        <f t="shared" si="84"/>
        <v/>
      </c>
    </row>
    <row r="700" spans="1:26" ht="18.75" customHeight="1" thickTop="1">
      <c r="A700" s="140"/>
      <c r="B700" s="140"/>
      <c r="D700" s="175" t="s">
        <v>242</v>
      </c>
      <c r="E700" s="424"/>
      <c r="F700" s="427"/>
      <c r="G700" s="426"/>
      <c r="H700" s="427"/>
      <c r="I700" s="428"/>
      <c r="J700" s="429" t="str">
        <f ca="1">IFERROR(IF(J696="","",SUM(J696:J699)),0)</f>
        <v/>
      </c>
      <c r="K700" s="1"/>
      <c r="L700" s="424"/>
      <c r="M700" s="427"/>
      <c r="N700" s="426"/>
      <c r="O700" s="427"/>
      <c r="P700" s="431"/>
      <c r="Q700" s="432"/>
      <c r="R700" s="429" t="str">
        <f>IFERROR(IF(R696="","",SUM(R696:R699)),0)</f>
        <v/>
      </c>
      <c r="T700" s="424"/>
      <c r="U700" s="427"/>
      <c r="V700" s="426"/>
      <c r="W700" s="427"/>
      <c r="X700" s="431"/>
      <c r="Y700" s="432"/>
      <c r="Z700" s="429" t="str">
        <f>IFERROR(IF(Z696="","",SUM(Z696:Z699)),0)</f>
        <v/>
      </c>
    </row>
    <row r="701" spans="1:26" ht="18.75" customHeight="1">
      <c r="A701" s="140"/>
      <c r="B701" s="140"/>
      <c r="D701" s="177" t="s">
        <v>243</v>
      </c>
      <c r="E701" s="433"/>
      <c r="F701" s="436"/>
      <c r="G701" s="435"/>
      <c r="H701" s="436"/>
      <c r="I701" s="432"/>
      <c r="J701" s="437" t="str">
        <f ca="1">IF(J700="","",J700*12)</f>
        <v/>
      </c>
      <c r="K701" s="1"/>
      <c r="L701" s="433"/>
      <c r="M701" s="436"/>
      <c r="N701" s="435"/>
      <c r="O701" s="436"/>
      <c r="P701" s="432"/>
      <c r="Q701" s="432"/>
      <c r="R701" s="437" t="str">
        <f>IF(R700="","",R700*12)</f>
        <v/>
      </c>
      <c r="T701" s="433"/>
      <c r="U701" s="436"/>
      <c r="V701" s="435"/>
      <c r="W701" s="436"/>
      <c r="X701" s="432"/>
      <c r="Y701" s="432"/>
      <c r="Z701" s="437" t="str">
        <f>IF(Z700="","",Z700*12)</f>
        <v/>
      </c>
    </row>
    <row r="702" spans="1:26" ht="18.75" customHeight="1">
      <c r="A702" s="140"/>
      <c r="B702" s="140"/>
      <c r="D702" s="177" t="s">
        <v>244</v>
      </c>
      <c r="E702" s="433"/>
      <c r="F702" s="436"/>
      <c r="G702" s="435"/>
      <c r="H702" s="436"/>
      <c r="I702" s="432"/>
      <c r="J702" s="437"/>
      <c r="K702" s="1"/>
      <c r="L702" s="433"/>
      <c r="M702" s="436"/>
      <c r="N702" s="435"/>
      <c r="O702" s="436"/>
      <c r="P702" s="432"/>
      <c r="Q702" s="432"/>
      <c r="R702" s="437" t="str">
        <f ca="1">IFERROR(IF(J701="","",R701-J701),0)</f>
        <v/>
      </c>
      <c r="T702" s="433"/>
      <c r="U702" s="436"/>
      <c r="V702" s="435"/>
      <c r="W702" s="436"/>
      <c r="X702" s="432"/>
      <c r="Y702" s="432"/>
      <c r="Z702" s="437" t="str">
        <f>IFERROR(IF(R701="","",Z701-R701),0)</f>
        <v/>
      </c>
    </row>
    <row r="703" spans="1:26" ht="18" customHeight="1" thickBot="1">
      <c r="A703" s="140"/>
      <c r="B703" s="140"/>
      <c r="D703" s="180" t="s">
        <v>245</v>
      </c>
      <c r="E703" s="439"/>
      <c r="F703" s="440"/>
      <c r="G703" s="441"/>
      <c r="H703" s="440"/>
      <c r="I703" s="442"/>
      <c r="J703" s="437"/>
      <c r="K703" s="1"/>
      <c r="L703" s="439"/>
      <c r="M703" s="440"/>
      <c r="N703" s="441"/>
      <c r="O703" s="440"/>
      <c r="P703" s="445"/>
      <c r="Q703" s="445"/>
      <c r="R703" s="453" t="str">
        <f ca="1">IFERROR(IF(J701="","",(R701/J701)-1),0)</f>
        <v/>
      </c>
      <c r="T703" s="439"/>
      <c r="U703" s="440"/>
      <c r="V703" s="441"/>
      <c r="W703" s="440"/>
      <c r="X703" s="445"/>
      <c r="Y703" s="445"/>
      <c r="Z703" s="446" t="str">
        <f>IFERROR(IF(R701="","",(Z701/R701)-1),0)</f>
        <v/>
      </c>
    </row>
    <row r="704" spans="1:26" ht="5.25" customHeight="1" thickBot="1">
      <c r="A704" s="140"/>
      <c r="B704" s="140"/>
      <c r="D704" s="229"/>
      <c r="E704" s="229"/>
      <c r="F704" s="230"/>
      <c r="G704" s="231"/>
      <c r="H704" s="232"/>
      <c r="I704" s="233"/>
      <c r="J704" s="233"/>
      <c r="K704"/>
      <c r="L704" s="233"/>
      <c r="M704" s="233"/>
      <c r="N704" s="233"/>
      <c r="O704" s="233"/>
      <c r="P704" s="233"/>
      <c r="Q704" s="233"/>
      <c r="R704" s="233"/>
      <c r="T704" s="233"/>
      <c r="U704" s="233"/>
      <c r="V704" s="233"/>
      <c r="W704" s="233"/>
      <c r="X704" s="233"/>
      <c r="Y704" s="233"/>
      <c r="Z704" s="233"/>
    </row>
    <row r="705" spans="1:26" ht="50.15" customHeight="1">
      <c r="A705" s="140">
        <v>5</v>
      </c>
      <c r="B705" s="140">
        <f>IF(A705&gt;Class2_CurrentDentalCount,"DELETE",Class2_CurrentDentalStart+A705)</f>
        <v>20</v>
      </c>
      <c r="C705" s="164" t="s">
        <v>293</v>
      </c>
      <c r="D705" s="273" t="e">
        <f ca="1">IF(B705="Delete","",VLOOKUP(F705,BEGIN_CURRENT_DENTAL:END_CURRENT_DENTAL,3,FALSE))</f>
        <v>#N/A</v>
      </c>
      <c r="E705" s="165"/>
      <c r="F705" s="272" cm="1">
        <f t="array" ca="1" aca="1" ref="F705">IF(B705="Delete","",INDIRECT("CurrentPlans!A"&amp;B705,TRUE))</f>
        <v>0</v>
      </c>
      <c r="G705" s="166"/>
      <c r="H705" s="167"/>
      <c r="I705" s="168"/>
      <c r="J705" s="169"/>
      <c r="K705"/>
      <c r="L705" s="274" t="str">
        <f ca="1">_xlfn.IFNA(VLOOKUP(F705,BEGIN_RENEWEDFROM_DENTAL:ROW_RenewDental_PlanID,3,FALSE),"SELECT PLAN")</f>
        <v>SELECT PLAN</v>
      </c>
      <c r="M705" s="170"/>
      <c r="N705" s="274" t="s">
        <v>237</v>
      </c>
      <c r="O705" s="171"/>
      <c r="P705" s="171"/>
      <c r="Q705" s="171"/>
      <c r="R705" s="169"/>
      <c r="T705" s="274" t="s">
        <v>38</v>
      </c>
      <c r="U705" s="170"/>
      <c r="V705" s="274" t="s">
        <v>237</v>
      </c>
      <c r="W705" s="171"/>
      <c r="X705" s="171"/>
      <c r="Y705" s="171"/>
      <c r="Z705" s="169"/>
    </row>
    <row r="706" spans="1:26" ht="18.75" customHeight="1">
      <c r="A706" s="140"/>
      <c r="B706" s="140"/>
      <c r="D706" s="172" t="s">
        <v>238</v>
      </c>
      <c r="E706" s="407" t="str">
        <f ca="1">_xlfn.IFNA(VLOOKUP(F705,BEGIN_CURRENT_DENTAL:END_CURRENT_DENTAL,CURRENT_COL_EO_count,FALSE),"")</f>
        <v/>
      </c>
      <c r="F706" s="408" t="str">
        <f ca="1">_xlfn.IFNA(VLOOKUP(F705,BEGIN_CURRENT_DENTAL:END_CURRENT_DENTAL,CURRENT_COL_EO,FALSE),"")</f>
        <v/>
      </c>
      <c r="G706" s="468" t="str">
        <f ca="1" t="shared" si="85" ref="G706:G709">IF(F706="","",H706/F706)</f>
        <v/>
      </c>
      <c r="H706" s="408" t="str">
        <f ca="1">_xlfn.IFNA(VLOOKUP(F705,BEGIN_CURRENT_DENTAL:END_CURRENT_DENTAL,CURRENT_COL_EOContrib,FALSE),"")</f>
        <v/>
      </c>
      <c r="I706" s="409" t="str">
        <f ca="1">IFERROR(F706-H706,"")</f>
        <v/>
      </c>
      <c r="J706" s="410" t="str">
        <f ca="1">IF(F706="","",H706*E706)</f>
        <v/>
      </c>
      <c r="K706" s="411"/>
      <c r="L706" s="408" t="str" cm="1">
        <f t="array" ca="1" aca="1" ref="L706">_xlfn.IFNA(VLOOKUP(INDIRECT("L"&amp;ROW()-1)&amp;"_"&amp;$D$12,BEGIN_Renew_Dental:END_RENEW_DENTAL,RENEW_COL_EO,FALSE),"")</f>
        <v/>
      </c>
      <c r="M706" s="412" t="str">
        <f ca="1">IF(E706="","",E706)</f>
        <v/>
      </c>
      <c r="N706" s="413"/>
      <c r="O706" s="414"/>
      <c r="P706" s="415" t="str">
        <f>IFERROR(IF($N705="Keep Contribution Same",H706,IF($N705="Enter Percentages",IF(N706="","",N706*L706),IF($N705="Keep Percentage Same",IF(G706="","",G706*L706),IF($N705="Enter Dollar Amount",IF(O706="","",O706),"")))),"")</f>
        <v/>
      </c>
      <c r="Q706" s="408" t="str">
        <f ca="1">IFERROR(L706-P706,"")</f>
        <v/>
      </c>
      <c r="R706" s="410" t="str">
        <f>IFERROR(IF(P706="","",M706*P706),"")</f>
        <v/>
      </c>
      <c r="S706" s="411"/>
      <c r="T706" s="408" t="str" cm="1">
        <f t="array" ca="1" aca="1" ref="T706">_xlfn.IFNA(VLOOKUP(INDIRECT("T"&amp;ROW()-1)&amp;"_"&amp;$D$12,BEGIN_Renew_Dental:END_RENEW_DENTAL,RENEW_COL_EO,FALSE),"")</f>
        <v/>
      </c>
      <c r="U706" s="412" t="str">
        <f ca="1">IF(E706="","",E706)</f>
        <v/>
      </c>
      <c r="V706" s="413"/>
      <c r="W706" s="414"/>
      <c r="X706" s="415" t="str">
        <f>IFERROR(IF($V705="Keep Contribution Same",H706,IF($V705="Enter Percentages",IF(V706="","",V706*T706),IF($V705="Keep Percentage Same",IF(G706="","",G706*T706),IF($V705="Enter Dollar Amount",IF(W706="","",W706),"")))),"")</f>
        <v/>
      </c>
      <c r="Y706" s="408" t="str">
        <f ca="1">IFERROR(T706-X706,"")</f>
        <v/>
      </c>
      <c r="Z706" s="410" t="str">
        <f>IFERROR(IF(X706="","",U706*X706),"")</f>
        <v/>
      </c>
    </row>
    <row r="707" spans="1:26" ht="18.75" customHeight="1">
      <c r="A707" s="140"/>
      <c r="B707" s="140"/>
      <c r="D707" s="172" t="s">
        <v>239</v>
      </c>
      <c r="E707" s="407" t="str">
        <f ca="1">_xlfn.IFNA(VLOOKUP(F705,BEGIN_CURRENT_DENTAL:END_CURRENT_DENTAL,CURRENT_COL_ES_count,FALSE),"")</f>
        <v/>
      </c>
      <c r="F707" s="408" t="str">
        <f ca="1">_xlfn.IFNA(VLOOKUP(F705,BEGIN_CURRENT_DENTAL:END_CURRENT_DENTAL,CURRENT_COL_ES,FALSE),"")</f>
        <v/>
      </c>
      <c r="G707" s="468" t="str">
        <f t="shared" ca="1" si="85"/>
        <v/>
      </c>
      <c r="H707" s="408" t="str">
        <f ca="1">_xlfn.IFNA(VLOOKUP(F705,BEGIN_CURRENT_DENTAL:END_CURRENT_DENTAL,CURRENT_COL_ESContrib,FALSE),"")</f>
        <v/>
      </c>
      <c r="I707" s="409" t="str">
        <f ca="1" t="shared" si="86" ref="I707:I709">IFERROR(F707-H707,"")</f>
        <v/>
      </c>
      <c r="J707" s="410" t="str">
        <f ca="1">IF(F707="","",H707*E707)</f>
        <v/>
      </c>
      <c r="K707" s="411"/>
      <c r="L707" s="408" t="str" cm="1">
        <f t="array" ca="1" aca="1" ref="L707">_xlfn.IFNA(VLOOKUP(INDIRECT("L"&amp;ROW()-2)&amp;"_"&amp;$D$12,BEGIN_Renew_Dental:END_RENEW_DENTAL,RENEW_COL_ES,FALSE),"")</f>
        <v/>
      </c>
      <c r="M707" s="412" t="str">
        <f ca="1">IF(E707="","",E707)</f>
        <v/>
      </c>
      <c r="N707" s="413"/>
      <c r="O707" s="414"/>
      <c r="P707" s="415" t="str">
        <f>IFERROR(IF($N705="Keep Contribution Same",H707,IF($N705="Enter Percentages",IF(N707="","",N707*L707),IF($N705="Keep Percentage Same",IF(G707="","",G707*L707),IF($N705="Enter Dollar Amount",IF(O707="","",O707),"")))),"")</f>
        <v/>
      </c>
      <c r="Q707" s="408" t="str">
        <f ca="1">IFERROR(L707-P707,"")</f>
        <v/>
      </c>
      <c r="R707" s="410" t="str">
        <f>IFERROR(IF(P707="","",M707*P707),"")</f>
        <v/>
      </c>
      <c r="S707" s="411"/>
      <c r="T707" s="408" t="str" cm="1">
        <f t="array" ca="1" aca="1" ref="T707">_xlfn.IFNA(VLOOKUP(INDIRECT("T"&amp;ROW()-2)&amp;"_"&amp;$D$12,BEGIN_Renew_Dental:END_RENEW_DENTAL,RENEW_COL_ES,FALSE),"")</f>
        <v/>
      </c>
      <c r="U707" s="412" t="str">
        <f ca="1" t="shared" si="87" ref="U707:U709">IF(E707="","",E707)</f>
        <v/>
      </c>
      <c r="V707" s="413"/>
      <c r="W707" s="414"/>
      <c r="X707" s="415" t="str">
        <f>IFERROR(IF($V705="Keep Contribution Same",H707,IF($V705="Enter Percentages",IF(V707="","",V707*T707),IF($V705="Keep Percentage Same",IF(G707="","",G707*T707),IF($V705="Enter Dollar Amount",IF(W707="","",W707),"")))),"")</f>
        <v/>
      </c>
      <c r="Y707" s="408" t="str">
        <f ca="1" t="shared" si="88" ref="Y707:Y709">IFERROR(T707-X707,"")</f>
        <v/>
      </c>
      <c r="Z707" s="410" t="str">
        <f t="shared" si="89" ref="Z707:Z709">IFERROR(IF(X707="","",U707*X707),"")</f>
        <v/>
      </c>
    </row>
    <row r="708" spans="1:26" ht="18.75" customHeight="1">
      <c r="A708" s="140"/>
      <c r="B708" s="140"/>
      <c r="D708" s="172" t="s">
        <v>240</v>
      </c>
      <c r="E708" s="407" t="str">
        <f ca="1">_xlfn.IFNA(VLOOKUP(F705,BEGIN_CURRENT_DENTAL:END_CURRENT_DENTAL,CURRENT_COL_EC_count,FALSE),"")</f>
        <v/>
      </c>
      <c r="F708" s="408" t="str">
        <f ca="1">_xlfn.IFNA(VLOOKUP(F705,BEGIN_CURRENT_DENTAL:END_CURRENT_DENTAL,CURRENT_COL_EC,FALSE),"")</f>
        <v/>
      </c>
      <c r="G708" s="468" t="str">
        <f t="shared" ca="1" si="85"/>
        <v/>
      </c>
      <c r="H708" s="408" t="str">
        <f ca="1">_xlfn.IFNA(VLOOKUP(F705,BEGIN_CURRENT_DENTAL:END_CURRENT_DENTAL,CURRENT_COL_ECContrib,FALSE),"")</f>
        <v/>
      </c>
      <c r="I708" s="409" t="str">
        <f t="shared" ca="1" si="86"/>
        <v/>
      </c>
      <c r="J708" s="410" t="str">
        <f ca="1">IF(F708="","",H708*E708)</f>
        <v/>
      </c>
      <c r="K708" s="411"/>
      <c r="L708" s="408" t="str" cm="1">
        <f t="array" ca="1" aca="1" ref="L708">_xlfn.IFNA(VLOOKUP(INDIRECT("L"&amp;ROW()-3)&amp;"_"&amp;$D$12,BEGIN_Renew_Dental:END_RENEW_DENTAL,RENEW_COL_EC,FALSE),"")</f>
        <v/>
      </c>
      <c r="M708" s="412" t="str">
        <f ca="1">IF(E708="","",E708)</f>
        <v/>
      </c>
      <c r="N708" s="413"/>
      <c r="O708" s="414"/>
      <c r="P708" s="415" t="str">
        <f>IFERROR(IF($N705="Keep Contribution Same",H708,IF($N705="Enter Percentages",IF(N708="","",N708*L708),IF($N705="Keep Percentage Same",IF(G708="","",G708*L708),IF($N705="Enter Dollar Amount",IF(O708="","",O708),"")))),"")</f>
        <v/>
      </c>
      <c r="Q708" s="408" t="str">
        <f ca="1">IFERROR(L708-P708,"")</f>
        <v/>
      </c>
      <c r="R708" s="410" t="str">
        <f>IFERROR(IF(P708="","",M708*P708),"")</f>
        <v/>
      </c>
      <c r="S708" s="411"/>
      <c r="T708" s="408" t="str" cm="1">
        <f t="array" ca="1" aca="1" ref="T708">_xlfn.IFNA(VLOOKUP(INDIRECT("T"&amp;ROW()-3)&amp;"_"&amp;$D$12,BEGIN_Renew_Dental:END_RENEW_DENTAL,RENEW_COL_EC,FALSE),"")</f>
        <v/>
      </c>
      <c r="U708" s="412" t="str">
        <f t="shared" ca="1" si="87"/>
        <v/>
      </c>
      <c r="V708" s="413"/>
      <c r="W708" s="414"/>
      <c r="X708" s="415" t="str">
        <f>IFERROR(IF($V705="Keep Contribution Same",H708,IF($V705="Enter Percentages",IF(V708="","",V708*T708),IF($V705="Keep Percentage Same",IF(G708="","",G708*T708),IF($V705="Enter Dollar Amount",IF(W708="","",W708),"")))),"")</f>
        <v/>
      </c>
      <c r="Y708" s="408" t="str">
        <f t="shared" ca="1" si="88"/>
        <v/>
      </c>
      <c r="Z708" s="410" t="str">
        <f t="shared" si="89"/>
        <v/>
      </c>
    </row>
    <row r="709" spans="1:26" ht="18.75" customHeight="1" thickBot="1">
      <c r="A709" s="140"/>
      <c r="B709" s="140"/>
      <c r="D709" s="174" t="s">
        <v>241</v>
      </c>
      <c r="E709" s="416" t="str">
        <f ca="1">_xlfn.IFNA(VLOOKUP(F705,BEGIN_CURRENT_DENTAL:END_CURRENT_DENTAL,CURRENT_COL_FAM_count,FALSE),"")</f>
        <v/>
      </c>
      <c r="F709" s="417" t="str">
        <f ca="1">_xlfn.IFNA(VLOOKUP(F705,BEGIN_CURRENT_DENTAL:END_CURRENT_DENTAL,CURRENT_COL_FAM,FALSE),"")</f>
        <v/>
      </c>
      <c r="G709" s="469" t="str">
        <f t="shared" ca="1" si="85"/>
        <v/>
      </c>
      <c r="H709" s="417" t="str">
        <f ca="1">_xlfn.IFNA(VLOOKUP(F705,BEGIN_CURRENT_DENTAL:END_CURRENT_DENTAL,CURRENT_COL_FAMContrib,FALSE),"")</f>
        <v/>
      </c>
      <c r="I709" s="418" t="str">
        <f t="shared" ca="1" si="86"/>
        <v/>
      </c>
      <c r="J709" s="419" t="str">
        <f ca="1">IF(F709="","",H709*E709)</f>
        <v/>
      </c>
      <c r="K709" s="411"/>
      <c r="L709" s="417" t="str" cm="1">
        <f t="array" ca="1" aca="1" ref="L709">_xlfn.IFNA(VLOOKUP(INDIRECT("L"&amp;ROW()-4)&amp;"_"&amp;$D$12,BEGIN_Renew_Dental:END_RENEW_DENTAL,RENEW_COL_FAM,FALSE),"")</f>
        <v/>
      </c>
      <c r="M709" s="423" t="str">
        <f ca="1">IF(E709="","",E709)</f>
        <v/>
      </c>
      <c r="N709" s="420"/>
      <c r="O709" s="421"/>
      <c r="P709" s="422" t="str">
        <f>IFERROR(IF($N705="Keep Contribution Same",H709,IF($N705="Enter Percentages",IF(N709="","",N709*L709),IF($N705="Keep Percentage Same",IF(G709="","",G709*L709),IF($N705="Enter Dollar Amount",IF(O709="","",O709),"")))),"")</f>
        <v/>
      </c>
      <c r="Q709" s="417" t="str">
        <f ca="1">IFERROR(L709-P709,"")</f>
        <v/>
      </c>
      <c r="R709" s="419" t="str">
        <f>IFERROR(IF(P709="","",M709*P709),"")</f>
        <v/>
      </c>
      <c r="S709" s="411"/>
      <c r="T709" s="417" t="str" cm="1">
        <f t="array" ca="1" aca="1" ref="T709">_xlfn.IFNA(VLOOKUP(INDIRECT("T"&amp;ROW()-4)&amp;"_"&amp;$D$12,BEGIN_Renew_Dental:END_RENEW_DENTAL,RENEW_COL_FAM,FALSE),"")</f>
        <v/>
      </c>
      <c r="U709" s="423" t="str">
        <f t="shared" ca="1" si="87"/>
        <v/>
      </c>
      <c r="V709" s="420"/>
      <c r="W709" s="421"/>
      <c r="X709" s="422" t="str">
        <f>IFERROR(IF($V705="Keep Contribution Same",H709,IF($V705="Enter Percentages",IF(V709="","",V709*T709),IF($V705="Keep Percentage Same",IF(G709="","",G709*T709),IF($V705="Enter Dollar Amount",IF(W709="","",W709),"")))),"")</f>
        <v/>
      </c>
      <c r="Y709" s="417" t="str">
        <f t="shared" ca="1" si="88"/>
        <v/>
      </c>
      <c r="Z709" s="419" t="str">
        <f t="shared" si="89"/>
        <v/>
      </c>
    </row>
    <row r="710" spans="1:26" ht="18.75" customHeight="1" thickTop="1">
      <c r="A710" s="140"/>
      <c r="B710" s="140"/>
      <c r="D710" s="175" t="s">
        <v>242</v>
      </c>
      <c r="E710" s="424"/>
      <c r="F710" s="427"/>
      <c r="G710" s="426"/>
      <c r="H710" s="427"/>
      <c r="I710" s="428"/>
      <c r="J710" s="429" t="str">
        <f ca="1">IFERROR(IF(J706="","",SUM(J706:J709)),0)</f>
        <v/>
      </c>
      <c r="K710" s="1"/>
      <c r="L710" s="424"/>
      <c r="M710" s="427"/>
      <c r="N710" s="426"/>
      <c r="O710" s="427"/>
      <c r="P710" s="431"/>
      <c r="Q710" s="432"/>
      <c r="R710" s="429" t="str">
        <f>IFERROR(IF(R706="","",SUM(R706:R709)),0)</f>
        <v/>
      </c>
      <c r="T710" s="424"/>
      <c r="U710" s="427"/>
      <c r="V710" s="426"/>
      <c r="W710" s="427"/>
      <c r="X710" s="431"/>
      <c r="Y710" s="432"/>
      <c r="Z710" s="429" t="str">
        <f>IFERROR(IF(Z706="","",SUM(Z706:Z709)),0)</f>
        <v/>
      </c>
    </row>
    <row r="711" spans="1:26" ht="18.75" customHeight="1">
      <c r="A711" s="140"/>
      <c r="B711" s="140"/>
      <c r="D711" s="177" t="s">
        <v>243</v>
      </c>
      <c r="E711" s="433"/>
      <c r="F711" s="436"/>
      <c r="G711" s="435"/>
      <c r="H711" s="436"/>
      <c r="I711" s="432"/>
      <c r="J711" s="437" t="str">
        <f ca="1">IF(J710="","",J710*12)</f>
        <v/>
      </c>
      <c r="K711" s="1"/>
      <c r="L711" s="433"/>
      <c r="M711" s="436"/>
      <c r="N711" s="435"/>
      <c r="O711" s="436"/>
      <c r="P711" s="432"/>
      <c r="Q711" s="432"/>
      <c r="R711" s="437" t="str">
        <f>IF(R710="","",R710*12)</f>
        <v/>
      </c>
      <c r="T711" s="433"/>
      <c r="U711" s="436"/>
      <c r="V711" s="435"/>
      <c r="W711" s="436"/>
      <c r="X711" s="432"/>
      <c r="Y711" s="432"/>
      <c r="Z711" s="437" t="str">
        <f>IF(Z710="","",Z710*12)</f>
        <v/>
      </c>
    </row>
    <row r="712" spans="1:26" ht="18" customHeight="1">
      <c r="A712" s="140"/>
      <c r="B712" s="140"/>
      <c r="D712" s="177" t="s">
        <v>244</v>
      </c>
      <c r="E712" s="433"/>
      <c r="F712" s="436"/>
      <c r="G712" s="435"/>
      <c r="H712" s="436"/>
      <c r="I712" s="432"/>
      <c r="J712" s="437"/>
      <c r="K712" s="1"/>
      <c r="L712" s="433"/>
      <c r="M712" s="436"/>
      <c r="N712" s="435"/>
      <c r="O712" s="436"/>
      <c r="P712" s="432"/>
      <c r="Q712" s="432"/>
      <c r="R712" s="437" t="str">
        <f ca="1">IFERROR(IF(J711="","",R711-J711),0)</f>
        <v/>
      </c>
      <c r="T712" s="433"/>
      <c r="U712" s="436"/>
      <c r="V712" s="435"/>
      <c r="W712" s="436"/>
      <c r="X712" s="432"/>
      <c r="Y712" s="432"/>
      <c r="Z712" s="437" t="str">
        <f>IFERROR(IF(R711="","",Z711-R711),0)</f>
        <v/>
      </c>
    </row>
    <row r="713" spans="1:26" ht="18" customHeight="1" thickBot="1">
      <c r="A713" s="140"/>
      <c r="B713" s="140"/>
      <c r="D713" s="180" t="s">
        <v>245</v>
      </c>
      <c r="E713" s="439"/>
      <c r="F713" s="440"/>
      <c r="G713" s="441"/>
      <c r="H713" s="440"/>
      <c r="I713" s="442"/>
      <c r="J713" s="437"/>
      <c r="K713" s="1"/>
      <c r="L713" s="439"/>
      <c r="M713" s="440"/>
      <c r="N713" s="441"/>
      <c r="O713" s="440"/>
      <c r="P713" s="445"/>
      <c r="Q713" s="445"/>
      <c r="R713" s="453" t="str">
        <f ca="1">IFERROR(IF(J711="","",(R711/J711)-1),0)</f>
        <v/>
      </c>
      <c r="T713" s="439"/>
      <c r="U713" s="440"/>
      <c r="V713" s="441"/>
      <c r="W713" s="440"/>
      <c r="X713" s="445"/>
      <c r="Y713" s="445"/>
      <c r="Z713" s="446" t="str">
        <f>IFERROR(IF(R711="","",(Z711/R711)-1),0)</f>
        <v/>
      </c>
    </row>
    <row r="714" spans="1:26" ht="5.25" customHeight="1" thickBot="1">
      <c r="A714" s="140"/>
      <c r="B714" s="140"/>
      <c r="D714" s="229"/>
      <c r="E714" s="229"/>
      <c r="F714" s="230"/>
      <c r="G714" s="231"/>
      <c r="H714" s="232"/>
      <c r="I714" s="233"/>
      <c r="J714" s="233"/>
      <c r="K714"/>
      <c r="L714" s="233"/>
      <c r="M714" s="233"/>
      <c r="N714" s="233"/>
      <c r="O714" s="233"/>
      <c r="P714" s="233"/>
      <c r="Q714" s="233"/>
      <c r="R714" s="233"/>
      <c r="T714" s="233"/>
      <c r="U714" s="233"/>
      <c r="V714" s="233"/>
      <c r="W714" s="233"/>
      <c r="X714" s="233"/>
      <c r="Y714" s="233"/>
      <c r="Z714" s="233"/>
    </row>
    <row r="715" spans="1:26" ht="50.15" customHeight="1">
      <c r="A715" s="140"/>
      <c r="B715" s="140"/>
      <c r="C715" s="164" t="s">
        <v>294</v>
      </c>
      <c r="D715" s="275" t="s">
        <v>285</v>
      </c>
      <c r="E715" s="165"/>
      <c r="F715" s="272"/>
      <c r="G715" s="166"/>
      <c r="H715" s="167"/>
      <c r="I715" s="168"/>
      <c r="J715" s="169"/>
      <c r="K715"/>
      <c r="L715" s="274" t="s">
        <v>38</v>
      </c>
      <c r="M715" s="170"/>
      <c r="N715" s="274" t="s">
        <v>237</v>
      </c>
      <c r="O715" s="171"/>
      <c r="P715" s="171"/>
      <c r="Q715" s="171"/>
      <c r="R715" s="169"/>
      <c r="T715" s="274" t="s">
        <v>38</v>
      </c>
      <c r="U715" s="170"/>
      <c r="V715" s="274" t="s">
        <v>237</v>
      </c>
      <c r="W715" s="171"/>
      <c r="X715" s="171"/>
      <c r="Y715" s="171"/>
      <c r="Z715" s="169"/>
    </row>
    <row r="716" spans="1:26" ht="18.75" customHeight="1">
      <c r="A716" s="140"/>
      <c r="B716" s="140"/>
      <c r="D716" s="172" t="s">
        <v>238</v>
      </c>
      <c r="E716" s="407"/>
      <c r="F716" s="449"/>
      <c r="G716" s="470"/>
      <c r="H716" s="449"/>
      <c r="I716" s="450"/>
      <c r="J716" s="410"/>
      <c r="K716" s="411"/>
      <c r="L716" s="408" t="str" cm="1">
        <f t="array" ca="1" aca="1" ref="L716">_xlfn.IFNA(VLOOKUP(INDIRECT("L"&amp;ROW()-1)&amp;"_"&amp;$D$12,BEGIN_Renew_Dental:END_RENEW_DENTAL,RENEW_COL_EO,FALSE),"")</f>
        <v/>
      </c>
      <c r="M716" s="412" t="str">
        <f>IF(E716="","",E716)</f>
        <v/>
      </c>
      <c r="N716" s="413"/>
      <c r="O716" s="414"/>
      <c r="P716" s="415" t="str">
        <f>IFERROR(IF($N715="Keep Contribution Same",H716,IF($N715="Enter Percentages",IF(N716="","",N716*L716),IF($N715="Keep Percentage Same",IF(G716="","",G716*L716),IF($N715="Enter Dollar Amount",IF(O716="","",O716),"")))),"")</f>
        <v/>
      </c>
      <c r="Q716" s="408" t="str">
        <f>IFERROR(R716-P716,"")</f>
        <v/>
      </c>
      <c r="R716" s="410" t="str">
        <f>IFERROR(IF(P716="","",M716*P716),"")</f>
        <v/>
      </c>
      <c r="S716" s="411"/>
      <c r="T716" s="408" t="str" cm="1">
        <f t="array" ca="1" aca="1" ref="T716">_xlfn.IFNA(VLOOKUP(INDIRECT("T"&amp;ROW()-1)&amp;"_"&amp;$D$12,BEGIN_Renew_Dental:END_RENEW_DENTAL,RENEW_COL_EO,FALSE),"")</f>
        <v/>
      </c>
      <c r="U716" s="412" t="str">
        <f>IF(E716="","",E716)</f>
        <v/>
      </c>
      <c r="V716" s="413"/>
      <c r="W716" s="414"/>
      <c r="X716" s="415" t="str">
        <f>IFERROR(IF($V715="Keep Contribution Same",H716,IF($V715="Enter Percentages",IF(V716="","",V716*T716),IF($V715="Keep Percentage Same",IF(G716="","",G716*T716),IF($V715="Enter Dollar Amount",IF(W716="","",W716),"")))),"")</f>
        <v/>
      </c>
      <c r="Y716" s="408" t="str">
        <f ca="1">IFERROR(T716-X716,"")</f>
        <v/>
      </c>
      <c r="Z716" s="410" t="str">
        <f>IFERROR(IF(X716="","",U716*X716),"")</f>
        <v/>
      </c>
    </row>
    <row r="717" spans="1:26" ht="18.75" customHeight="1">
      <c r="A717" s="140"/>
      <c r="B717" s="140"/>
      <c r="D717" s="172" t="s">
        <v>239</v>
      </c>
      <c r="E717" s="407"/>
      <c r="F717" s="449"/>
      <c r="G717" s="470"/>
      <c r="H717" s="449"/>
      <c r="I717" s="450"/>
      <c r="J717" s="410"/>
      <c r="K717" s="411"/>
      <c r="L717" s="408" t="str" cm="1">
        <f t="array" ca="1" aca="1" ref="L717">_xlfn.IFNA(VLOOKUP(INDIRECT("L"&amp;ROW()-2)&amp;"_"&amp;$D$12,BEGIN_Renew_Dental:END_RENEW_DENTAL,RENEW_COL_ES,FALSE),"")</f>
        <v/>
      </c>
      <c r="M717" s="412" t="str">
        <f>IF(E717="","",E717)</f>
        <v/>
      </c>
      <c r="N717" s="413"/>
      <c r="O717" s="414"/>
      <c r="P717" s="415" t="str">
        <f>IFERROR(IF($N715="Keep Contribution Same",H717,IF($N715="Enter Percentages",IF(N717="","",N717*L717),IF($N715="Keep Percentage Same",IF(G717="","",G717*L717),IF($N715="Enter Dollar Amount",IF(O717="","",O717),"")))),"")</f>
        <v/>
      </c>
      <c r="Q717" s="408" t="str">
        <f t="shared" si="90" ref="Q717">IFERROR(R717-P717,"")</f>
        <v/>
      </c>
      <c r="R717" s="410" t="str">
        <f>IFERROR(IF(P717="","",M717*P717),"")</f>
        <v/>
      </c>
      <c r="S717" s="411"/>
      <c r="T717" s="408" t="str" cm="1">
        <f t="array" ca="1" aca="1" ref="T717">_xlfn.IFNA(VLOOKUP(INDIRECT("T"&amp;ROW()-2)&amp;"_"&amp;$D$12,BEGIN_Renew_Dental:END_RENEW_DENTAL,RENEW_COL_ES,FALSE),"")</f>
        <v/>
      </c>
      <c r="U717" s="412" t="str">
        <f t="shared" si="91" ref="U717:U719">IF(E717="","",E717)</f>
        <v/>
      </c>
      <c r="V717" s="413"/>
      <c r="W717" s="414"/>
      <c r="X717" s="415" t="str">
        <f>IFERROR(IF($V715="Keep Contribution Same",H717,IF($V715="Enter Percentages",IF(V717="","",V717*T717),IF($V715="Keep Percentage Same",IF(G717="","",G717*T717),IF($V715="Enter Dollar Amount",IF(W717="","",W717),"")))),"")</f>
        <v/>
      </c>
      <c r="Y717" s="408" t="str">
        <f ca="1" t="shared" si="92" ref="Y717:Y719">IFERROR(T717-X717,"")</f>
        <v/>
      </c>
      <c r="Z717" s="410" t="str">
        <f t="shared" si="93" ref="Z717:Z719">IFERROR(IF(X717="","",U717*X717),"")</f>
        <v/>
      </c>
    </row>
    <row r="718" spans="1:26" ht="18.75" customHeight="1">
      <c r="A718" s="140"/>
      <c r="B718" s="140"/>
      <c r="D718" s="172" t="s">
        <v>240</v>
      </c>
      <c r="E718" s="407"/>
      <c r="F718" s="449"/>
      <c r="G718" s="470"/>
      <c r="H718" s="449"/>
      <c r="I718" s="450"/>
      <c r="J718" s="410"/>
      <c r="K718" s="411"/>
      <c r="L718" s="408" t="str" cm="1">
        <f t="array" ca="1" aca="1" ref="L718">_xlfn.IFNA(VLOOKUP(INDIRECT("L"&amp;ROW()-3)&amp;"_"&amp;$D$12,BEGIN_Renew_Dental:END_RENEW_DENTAL,RENEW_COL_EC,FALSE),"")</f>
        <v/>
      </c>
      <c r="M718" s="412" t="str">
        <f>IF(E718="","",E718)</f>
        <v/>
      </c>
      <c r="N718" s="413"/>
      <c r="O718" s="414"/>
      <c r="P718" s="415" t="str">
        <f>IFERROR(IF($N715="Keep Contribution Same",H718,IF($N715="Enter Percentages",IF(N718="","",N718*L718),IF($N715="Keep Percentage Same",IF(G718="","",G718*L718),IF($N715="Enter Dollar Amount",IF(O718="","",O718),"")))),"")</f>
        <v/>
      </c>
      <c r="Q718" s="408" t="str">
        <f>IFERROR(R718-P718,"")</f>
        <v/>
      </c>
      <c r="R718" s="410" t="str">
        <f>IFERROR(IF(P718="","",M718*P718),"")</f>
        <v/>
      </c>
      <c r="S718" s="411"/>
      <c r="T718" s="408" t="str" cm="1">
        <f t="array" ca="1" aca="1" ref="T718">_xlfn.IFNA(VLOOKUP(INDIRECT("T"&amp;ROW()-3)&amp;"_"&amp;$D$12,BEGIN_Renew_Dental:END_RENEW_DENTAL,RENEW_COL_EC,FALSE),"")</f>
        <v/>
      </c>
      <c r="U718" s="412" t="str">
        <f t="shared" si="91"/>
        <v/>
      </c>
      <c r="V718" s="413"/>
      <c r="W718" s="414"/>
      <c r="X718" s="415" t="str">
        <f>IFERROR(IF($V715="Keep Contribution Same",H718,IF($V715="Enter Percentages",IF(V718="","",V718*T718),IF($V715="Keep Percentage Same",IF(G718="","",G718*T718),IF($V715="Enter Dollar Amount",IF(W718="","",W718),"")))),"")</f>
        <v/>
      </c>
      <c r="Y718" s="408" t="str">
        <f t="shared" ca="1" si="92"/>
        <v/>
      </c>
      <c r="Z718" s="410" t="str">
        <f t="shared" si="93"/>
        <v/>
      </c>
    </row>
    <row r="719" spans="1:26" ht="18.75" customHeight="1" thickBot="1">
      <c r="A719" s="140"/>
      <c r="B719" s="140"/>
      <c r="D719" s="174" t="s">
        <v>241</v>
      </c>
      <c r="E719" s="416"/>
      <c r="F719" s="451"/>
      <c r="G719" s="471"/>
      <c r="H719" s="451"/>
      <c r="I719" s="452"/>
      <c r="J719" s="419"/>
      <c r="K719" s="411"/>
      <c r="L719" s="417" t="str" cm="1">
        <f t="array" ca="1" aca="1" ref="L719">_xlfn.IFNA(VLOOKUP(INDIRECT("L"&amp;ROW()-4)&amp;"_"&amp;$D$12,BEGIN_Renew_Dental:END_RENEW_DENTAL,RENEW_COL_FAM,FALSE),"")</f>
        <v/>
      </c>
      <c r="M719" s="423" t="str">
        <f>IF(E719="","",E719)</f>
        <v/>
      </c>
      <c r="N719" s="420"/>
      <c r="O719" s="421"/>
      <c r="P719" s="422" t="str">
        <f>IFERROR(IF($N715="Keep Contribution Same",H719,IF($N715="Enter Percentages",IF(N719="","",N719*L719),IF($N715="Keep Percentage Same",IF(G719="","",G719*L719),IF($N715="Enter Dollar Amount",IF(O719="","",O719),"")))),"")</f>
        <v/>
      </c>
      <c r="Q719" s="417" t="str">
        <f>IFERROR(R719-P719,"")</f>
        <v/>
      </c>
      <c r="R719" s="419" t="str">
        <f>IFERROR(IF(P719="","",M719*P719),"")</f>
        <v/>
      </c>
      <c r="S719" s="411"/>
      <c r="T719" s="417" t="str" cm="1">
        <f t="array" ca="1" aca="1" ref="T719">_xlfn.IFNA(VLOOKUP(INDIRECT("T"&amp;ROW()-4)&amp;"_"&amp;$D$12,BEGIN_Renew_Dental:END_RENEW_DENTAL,RENEW_COL_FAM,FALSE),"")</f>
        <v/>
      </c>
      <c r="U719" s="423" t="str">
        <f t="shared" si="91"/>
        <v/>
      </c>
      <c r="V719" s="420"/>
      <c r="W719" s="421"/>
      <c r="X719" s="422" t="str">
        <f>IFERROR(IF($V715="Keep Contribution Same",H719,IF($V715="Enter Percentages",IF(V719="","",V719*T719),IF($V715="Keep Percentage Same",IF(G719="","",G719*T719),IF($V715="Enter Dollar Amount",IF(W719="","",W719),"")))),"")</f>
        <v/>
      </c>
      <c r="Y719" s="417" t="str">
        <f t="shared" ca="1" si="92"/>
        <v/>
      </c>
      <c r="Z719" s="419" t="str">
        <f t="shared" si="93"/>
        <v/>
      </c>
    </row>
    <row r="720" spans="1:26" ht="18.75" customHeight="1" thickTop="1">
      <c r="A720" s="140"/>
      <c r="B720" s="140"/>
      <c r="D720" s="175" t="s">
        <v>242</v>
      </c>
      <c r="E720" s="424"/>
      <c r="F720" s="427"/>
      <c r="G720" s="426"/>
      <c r="H720" s="427"/>
      <c r="I720" s="428"/>
      <c r="J720" s="429" t="str">
        <f>IFERROR(IF(J716="","",SUM(J716:J719)),0)</f>
        <v/>
      </c>
      <c r="K720" s="1"/>
      <c r="L720" s="424"/>
      <c r="M720" s="427"/>
      <c r="N720" s="426"/>
      <c r="O720" s="427"/>
      <c r="P720" s="431"/>
      <c r="Q720" s="432"/>
      <c r="R720" s="429" t="str">
        <f>IFERROR(IF(R716="","",SUM(R716:R719)),0)</f>
        <v/>
      </c>
      <c r="T720" s="424"/>
      <c r="U720" s="427"/>
      <c r="V720" s="426"/>
      <c r="W720" s="427"/>
      <c r="X720" s="431"/>
      <c r="Y720" s="432"/>
      <c r="Z720" s="429" t="str">
        <f>IFERROR(IF(Z716="","",SUM(Z716:Z719)),0)</f>
        <v/>
      </c>
    </row>
    <row r="721" spans="1:26" ht="18.75" customHeight="1">
      <c r="A721" s="140"/>
      <c r="B721" s="140"/>
      <c r="D721" s="177" t="s">
        <v>243</v>
      </c>
      <c r="E721" s="433"/>
      <c r="F721" s="436"/>
      <c r="G721" s="435"/>
      <c r="H721" s="436"/>
      <c r="I721" s="432"/>
      <c r="J721" s="437" t="str">
        <f>IF(J720="","",J720*12)</f>
        <v/>
      </c>
      <c r="K721" s="1"/>
      <c r="L721" s="433"/>
      <c r="M721" s="436"/>
      <c r="N721" s="435"/>
      <c r="O721" s="436"/>
      <c r="P721" s="432"/>
      <c r="Q721" s="432"/>
      <c r="R721" s="437" t="str">
        <f>IF(R720="","",R720*12)</f>
        <v/>
      </c>
      <c r="T721" s="433"/>
      <c r="U721" s="436"/>
      <c r="V721" s="435"/>
      <c r="W721" s="436"/>
      <c r="X721" s="432"/>
      <c r="Y721" s="432"/>
      <c r="Z721" s="437" t="str">
        <f>IF(Z720="","",Z720*12)</f>
        <v/>
      </c>
    </row>
    <row r="722" spans="1:26" ht="18" customHeight="1">
      <c r="A722" s="140"/>
      <c r="B722" s="140"/>
      <c r="D722" s="177" t="s">
        <v>244</v>
      </c>
      <c r="E722" s="433"/>
      <c r="F722" s="436"/>
      <c r="G722" s="435"/>
      <c r="H722" s="436"/>
      <c r="I722" s="432"/>
      <c r="J722" s="437" t="str">
        <f>IFERROR(IF(J721="","",R721-J721),0)</f>
        <v/>
      </c>
      <c r="K722" s="1"/>
      <c r="L722" s="433"/>
      <c r="M722" s="436"/>
      <c r="N722" s="435"/>
      <c r="O722" s="436"/>
      <c r="P722" s="432"/>
      <c r="Q722" s="432"/>
      <c r="R722" s="437" t="str">
        <f>IFERROR(IF(J721="","",R721-J721),0)</f>
        <v/>
      </c>
      <c r="T722" s="433"/>
      <c r="U722" s="436"/>
      <c r="V722" s="435"/>
      <c r="W722" s="436"/>
      <c r="X722" s="432"/>
      <c r="Y722" s="432"/>
      <c r="Z722" s="437" t="str">
        <f>IFERROR(IF(R721="","",Z721-R721),0)</f>
        <v/>
      </c>
    </row>
    <row r="723" spans="1:26" ht="18" customHeight="1" thickBot="1">
      <c r="A723" s="140"/>
      <c r="B723" s="140"/>
      <c r="D723" s="180" t="s">
        <v>245</v>
      </c>
      <c r="E723" s="439"/>
      <c r="F723" s="440"/>
      <c r="G723" s="441"/>
      <c r="H723" s="440"/>
      <c r="I723" s="442"/>
      <c r="J723" s="437" t="str">
        <f>IFERROR(IF(J721="","",(R721/J721)-1),0)</f>
        <v/>
      </c>
      <c r="K723" s="1"/>
      <c r="L723" s="439"/>
      <c r="M723" s="440"/>
      <c r="N723" s="441"/>
      <c r="O723" s="440"/>
      <c r="P723" s="445"/>
      <c r="Q723" s="445"/>
      <c r="R723" s="453" t="str">
        <f>IFERROR(IF(J721="","",(R721/J721)-1),0)</f>
        <v/>
      </c>
      <c r="T723" s="439"/>
      <c r="U723" s="440"/>
      <c r="V723" s="441"/>
      <c r="W723" s="440"/>
      <c r="X723" s="445"/>
      <c r="Y723" s="445"/>
      <c r="Z723" s="446" t="str">
        <f>IFERROR(IF(R721="","",(Z721/R721)-1),0)</f>
        <v/>
      </c>
    </row>
    <row r="724" spans="1:26" ht="5.25" customHeight="1" thickBot="1">
      <c r="A724" s="140"/>
      <c r="B724" s="140"/>
      <c r="D724" s="229"/>
      <c r="E724" s="229"/>
      <c r="F724" s="230"/>
      <c r="G724" s="231"/>
      <c r="H724" s="232"/>
      <c r="I724" s="233"/>
      <c r="J724" s="233"/>
      <c r="K724"/>
      <c r="L724" s="233"/>
      <c r="M724" s="233"/>
      <c r="N724" s="233"/>
      <c r="O724" s="233"/>
      <c r="P724" s="233"/>
      <c r="Q724" s="233"/>
      <c r="R724" s="233"/>
      <c r="T724" s="233"/>
      <c r="U724" s="233"/>
      <c r="V724" s="233"/>
      <c r="W724" s="233"/>
      <c r="X724" s="233"/>
      <c r="Y724" s="233"/>
      <c r="Z724" s="233"/>
    </row>
    <row r="725" spans="1:26" ht="50.15" customHeight="1">
      <c r="A725" s="140"/>
      <c r="B725" s="140"/>
      <c r="C725" s="164" t="s">
        <v>295</v>
      </c>
      <c r="D725" s="275" t="s">
        <v>285</v>
      </c>
      <c r="E725" s="165"/>
      <c r="F725" s="272"/>
      <c r="G725" s="166"/>
      <c r="H725" s="167"/>
      <c r="I725" s="168"/>
      <c r="J725" s="169"/>
      <c r="K725"/>
      <c r="L725" s="274" t="s">
        <v>38</v>
      </c>
      <c r="M725" s="170"/>
      <c r="N725" s="274" t="s">
        <v>237</v>
      </c>
      <c r="O725" s="171"/>
      <c r="P725" s="171"/>
      <c r="Q725" s="171"/>
      <c r="R725" s="169"/>
      <c r="T725" s="274" t="s">
        <v>38</v>
      </c>
      <c r="U725" s="170"/>
      <c r="V725" s="274" t="s">
        <v>237</v>
      </c>
      <c r="W725" s="171"/>
      <c r="X725" s="171"/>
      <c r="Y725" s="171"/>
      <c r="Z725" s="169"/>
    </row>
    <row r="726" spans="1:26" ht="18.75" customHeight="1">
      <c r="A726" s="140"/>
      <c r="B726" s="140"/>
      <c r="D726" s="172" t="s">
        <v>238</v>
      </c>
      <c r="E726" s="407"/>
      <c r="F726" s="449"/>
      <c r="G726" s="470"/>
      <c r="H726" s="449"/>
      <c r="I726" s="450"/>
      <c r="J726" s="410"/>
      <c r="K726" s="411"/>
      <c r="L726" s="408" t="str" cm="1">
        <f t="array" ca="1" aca="1" ref="L726">_xlfn.IFNA(VLOOKUP(INDIRECT("L"&amp;ROW()-1)&amp;"_"&amp;$D$12,BEGIN_Renew_Dental:END_RENEW_DENTAL,RENEW_COL_EO,FALSE),"")</f>
        <v/>
      </c>
      <c r="M726" s="412" t="str">
        <f>IF(E726="","",E726)</f>
        <v/>
      </c>
      <c r="N726" s="413"/>
      <c r="O726" s="414"/>
      <c r="P726" s="415" t="str">
        <f>IFERROR(IF($N725="Keep Contribution Same",H726,IF($N725="Enter Percentages",IF(N726="","",N726*L726),IF($N725="Keep Percentage Same",IF(G726="","",G726*L726),IF($N725="Enter Dollar Amount",IF(O726="","",O726),"")))),"")</f>
        <v/>
      </c>
      <c r="Q726" s="408" t="str">
        <f>IFERROR(R726-P726,"")</f>
        <v/>
      </c>
      <c r="R726" s="410" t="str">
        <f>IFERROR(IF(P726="","",M726*P726),"")</f>
        <v/>
      </c>
      <c r="S726" s="411"/>
      <c r="T726" s="408" t="str" cm="1">
        <f t="array" ca="1" aca="1" ref="T726">_xlfn.IFNA(VLOOKUP(INDIRECT("T"&amp;ROW()-1)&amp;"_"&amp;$D$12,BEGIN_Renew_Dental:END_RENEW_DENTAL,RENEW_COL_EO,FALSE),"")</f>
        <v/>
      </c>
      <c r="U726" s="412" t="str">
        <f>IF(E726="","",E726)</f>
        <v/>
      </c>
      <c r="V726" s="413"/>
      <c r="W726" s="414"/>
      <c r="X726" s="415" t="str">
        <f>IFERROR(IF($V725="Keep Contribution Same",H726,IF($V725="Enter Percentages",IF(V726="","",V726*T726),IF($V725="Keep Percentage Same",IF(G726="","",G726*T726),IF($V725="Enter Dollar Amount",IF(W726="","",W726),"")))),"")</f>
        <v/>
      </c>
      <c r="Y726" s="408" t="str">
        <f ca="1">IFERROR(T726-X726,"")</f>
        <v/>
      </c>
      <c r="Z726" s="410" t="str">
        <f>IFERROR(IF(X726="","",U726*X726),"")</f>
        <v/>
      </c>
    </row>
    <row r="727" spans="1:26" ht="18.75" customHeight="1">
      <c r="A727" s="140"/>
      <c r="B727" s="140"/>
      <c r="D727" s="172" t="s">
        <v>239</v>
      </c>
      <c r="E727" s="407"/>
      <c r="F727" s="449"/>
      <c r="G727" s="470"/>
      <c r="H727" s="449"/>
      <c r="I727" s="450"/>
      <c r="J727" s="410"/>
      <c r="K727" s="411"/>
      <c r="L727" s="408" t="str" cm="1">
        <f t="array" ca="1" aca="1" ref="L727">_xlfn.IFNA(VLOOKUP(INDIRECT("L"&amp;ROW()-2)&amp;"_"&amp;$D$12,BEGIN_Renew_Dental:END_RENEW_DENTAL,RENEW_COL_ES,FALSE),"")</f>
        <v/>
      </c>
      <c r="M727" s="412" t="str">
        <f>IF(E727="","",E727)</f>
        <v/>
      </c>
      <c r="N727" s="413"/>
      <c r="O727" s="414"/>
      <c r="P727" s="415" t="str">
        <f>IFERROR(IF($N725="Keep Contribution Same",H727,IF($N725="Enter Percentages",IF(N727="","",N727*L727),IF($N725="Keep Percentage Same",IF(G727="","",G727*L727),IF($N725="Enter Dollar Amount",IF(O727="","",O727),"")))),"")</f>
        <v/>
      </c>
      <c r="Q727" s="408" t="str">
        <f t="shared" si="94" ref="Q727">IFERROR(R727-P727,"")</f>
        <v/>
      </c>
      <c r="R727" s="410" t="str">
        <f>IFERROR(IF(P727="","",M727*P727),"")</f>
        <v/>
      </c>
      <c r="S727" s="411"/>
      <c r="T727" s="408" t="str" cm="1">
        <f t="array" ca="1" aca="1" ref="T727">_xlfn.IFNA(VLOOKUP(INDIRECT("T"&amp;ROW()-2)&amp;"_"&amp;$D$12,BEGIN_Renew_Dental:END_RENEW_DENTAL,RENEW_COL_ES,FALSE),"")</f>
        <v/>
      </c>
      <c r="U727" s="412" t="str">
        <f t="shared" si="95" ref="U727:U729">IF(E727="","",E727)</f>
        <v/>
      </c>
      <c r="V727" s="413"/>
      <c r="W727" s="414"/>
      <c r="X727" s="415" t="str">
        <f>IFERROR(IF($V725="Keep Contribution Same",H727,IF($V725="Enter Percentages",IF(V727="","",V727*T727),IF($V725="Keep Percentage Same",IF(G727="","",G727*T727),IF($V725="Enter Dollar Amount",IF(W727="","",W727),"")))),"")</f>
        <v/>
      </c>
      <c r="Y727" s="408" t="str">
        <f ca="1" t="shared" si="96" ref="Y727:Y729">IFERROR(T727-X727,"")</f>
        <v/>
      </c>
      <c r="Z727" s="410" t="str">
        <f t="shared" si="97" ref="Z727:Z729">IFERROR(IF(X727="","",U727*X727),"")</f>
        <v/>
      </c>
    </row>
    <row r="728" spans="1:26" ht="18.75" customHeight="1">
      <c r="A728" s="140"/>
      <c r="B728" s="140"/>
      <c r="D728" s="172" t="s">
        <v>240</v>
      </c>
      <c r="E728" s="407"/>
      <c r="F728" s="449"/>
      <c r="G728" s="470"/>
      <c r="H728" s="449"/>
      <c r="I728" s="450"/>
      <c r="J728" s="410"/>
      <c r="K728" s="411"/>
      <c r="L728" s="408" t="str" cm="1">
        <f t="array" ca="1" aca="1" ref="L728">_xlfn.IFNA(VLOOKUP(INDIRECT("L"&amp;ROW()-3)&amp;"_"&amp;$D$12,BEGIN_Renew_Dental:END_RENEW_DENTAL,RENEW_COL_EC,FALSE),"")</f>
        <v/>
      </c>
      <c r="M728" s="412" t="str">
        <f>IF(E728="","",E728)</f>
        <v/>
      </c>
      <c r="N728" s="413"/>
      <c r="O728" s="414"/>
      <c r="P728" s="415" t="str">
        <f>IFERROR(IF($N725="Keep Contribution Same",H728,IF($N725="Enter Percentages",IF(N728="","",N728*L728),IF($N725="Keep Percentage Same",IF(G728="","",G728*L728),IF($N725="Enter Dollar Amount",IF(O728="","",O728),"")))),"")</f>
        <v/>
      </c>
      <c r="Q728" s="408" t="str">
        <f>IFERROR(R728-P728,"")</f>
        <v/>
      </c>
      <c r="R728" s="410" t="str">
        <f>IFERROR(IF(P728="","",M728*P728),"")</f>
        <v/>
      </c>
      <c r="S728" s="411"/>
      <c r="T728" s="408" t="str" cm="1">
        <f t="array" ca="1" aca="1" ref="T728">_xlfn.IFNA(VLOOKUP(INDIRECT("T"&amp;ROW()-3)&amp;"_"&amp;$D$12,BEGIN_Renew_Dental:END_RENEW_DENTAL,RENEW_COL_EC,FALSE),"")</f>
        <v/>
      </c>
      <c r="U728" s="412" t="str">
        <f t="shared" si="95"/>
        <v/>
      </c>
      <c r="V728" s="413"/>
      <c r="W728" s="414"/>
      <c r="X728" s="415" t="str">
        <f>IFERROR(IF($V725="Keep Contribution Same",H728,IF($V725="Enter Percentages",IF(V728="","",V728*T728),IF($V725="Keep Percentage Same",IF(G728="","",G728*T728),IF($V725="Enter Dollar Amount",IF(W728="","",W728),"")))),"")</f>
        <v/>
      </c>
      <c r="Y728" s="408" t="str">
        <f t="shared" ca="1" si="96"/>
        <v/>
      </c>
      <c r="Z728" s="410" t="str">
        <f t="shared" si="97"/>
        <v/>
      </c>
    </row>
    <row r="729" spans="1:26" ht="18.75" customHeight="1" thickBot="1">
      <c r="A729" s="140"/>
      <c r="B729" s="140"/>
      <c r="D729" s="174" t="s">
        <v>241</v>
      </c>
      <c r="E729" s="416"/>
      <c r="F729" s="451"/>
      <c r="G729" s="471"/>
      <c r="H729" s="451"/>
      <c r="I729" s="452"/>
      <c r="J729" s="419"/>
      <c r="K729" s="411"/>
      <c r="L729" s="417" t="str" cm="1">
        <f t="array" ca="1" aca="1" ref="L729">_xlfn.IFNA(VLOOKUP(INDIRECT("L"&amp;ROW()-4)&amp;"_"&amp;$D$12,BEGIN_Renew_Dental:END_RENEW_DENTAL,RENEW_COL_FAM,FALSE),"")</f>
        <v/>
      </c>
      <c r="M729" s="423" t="str">
        <f>IF(E729="","",E729)</f>
        <v/>
      </c>
      <c r="N729" s="420"/>
      <c r="O729" s="421"/>
      <c r="P729" s="422" t="str">
        <f>IFERROR(IF($N725="Keep Contribution Same",H729,IF($N725="Enter Percentages",IF(N729="","",N729*L729),IF($N725="Keep Percentage Same",IF(G729="","",G729*L729),IF($N725="Enter Dollar Amount",IF(O729="","",O729),"")))),"")</f>
        <v/>
      </c>
      <c r="Q729" s="417" t="str">
        <f>IFERROR(R729-P729,"")</f>
        <v/>
      </c>
      <c r="R729" s="419" t="str">
        <f>IFERROR(IF(P729="","",M729*P729),"")</f>
        <v/>
      </c>
      <c r="S729" s="411"/>
      <c r="T729" s="417" t="str" cm="1">
        <f t="array" ca="1" aca="1" ref="T729">_xlfn.IFNA(VLOOKUP(INDIRECT("T"&amp;ROW()-4)&amp;"_"&amp;$D$12,BEGIN_Renew_Dental:END_RENEW_DENTAL,RENEW_COL_FAM,FALSE),"")</f>
        <v/>
      </c>
      <c r="U729" s="423" t="str">
        <f t="shared" si="95"/>
        <v/>
      </c>
      <c r="V729" s="420"/>
      <c r="W729" s="421"/>
      <c r="X729" s="422" t="str">
        <f>IFERROR(IF($V725="Keep Contribution Same",H729,IF($V725="Enter Percentages",IF(V729="","",V729*T729),IF($V725="Keep Percentage Same",IF(G729="","",G729*T729),IF($V725="Enter Dollar Amount",IF(W729="","",W729),"")))),"")</f>
        <v/>
      </c>
      <c r="Y729" s="417" t="str">
        <f t="shared" ca="1" si="96"/>
        <v/>
      </c>
      <c r="Z729" s="419" t="str">
        <f t="shared" si="97"/>
        <v/>
      </c>
    </row>
    <row r="730" spans="1:26" ht="18.75" customHeight="1" thickTop="1">
      <c r="A730" s="140"/>
      <c r="B730" s="140"/>
      <c r="D730" s="175" t="s">
        <v>242</v>
      </c>
      <c r="E730" s="424"/>
      <c r="F730" s="427"/>
      <c r="G730" s="426"/>
      <c r="H730" s="427"/>
      <c r="I730" s="428"/>
      <c r="J730" s="429" t="str">
        <f>IFERROR(IF(J726="","",SUM(J726:J729)),0)</f>
        <v/>
      </c>
      <c r="K730" s="1"/>
      <c r="L730" s="424"/>
      <c r="M730" s="427"/>
      <c r="N730" s="426"/>
      <c r="O730" s="427"/>
      <c r="P730" s="431"/>
      <c r="Q730" s="432"/>
      <c r="R730" s="429" t="str">
        <f>IFERROR(IF(R726="","",SUM(R726:R729)),0)</f>
        <v/>
      </c>
      <c r="T730" s="424"/>
      <c r="U730" s="427"/>
      <c r="V730" s="426"/>
      <c r="W730" s="427"/>
      <c r="X730" s="431"/>
      <c r="Y730" s="432"/>
      <c r="Z730" s="429" t="str">
        <f>IFERROR(IF(Z726="","",SUM(Z726:Z729)),0)</f>
        <v/>
      </c>
    </row>
    <row r="731" spans="1:26" ht="18.75" customHeight="1">
      <c r="A731" s="140"/>
      <c r="B731" s="140"/>
      <c r="D731" s="177" t="s">
        <v>243</v>
      </c>
      <c r="E731" s="433"/>
      <c r="F731" s="436"/>
      <c r="G731" s="435"/>
      <c r="H731" s="436"/>
      <c r="I731" s="432"/>
      <c r="J731" s="437" t="str">
        <f>IF(J730="","",J730*12)</f>
        <v/>
      </c>
      <c r="K731" s="1"/>
      <c r="L731" s="433"/>
      <c r="M731" s="436"/>
      <c r="N731" s="435"/>
      <c r="O731" s="436"/>
      <c r="P731" s="432"/>
      <c r="Q731" s="432"/>
      <c r="R731" s="437" t="str">
        <f>IF(R730="","",R730*12)</f>
        <v/>
      </c>
      <c r="T731" s="433"/>
      <c r="U731" s="436"/>
      <c r="V731" s="435"/>
      <c r="W731" s="436"/>
      <c r="X731" s="432"/>
      <c r="Y731" s="432"/>
      <c r="Z731" s="437" t="str">
        <f>IF(Z730="","",Z730*12)</f>
        <v/>
      </c>
    </row>
    <row r="732" spans="1:26" ht="18.75" customHeight="1">
      <c r="A732" s="140"/>
      <c r="B732" s="140"/>
      <c r="D732" s="177" t="s">
        <v>244</v>
      </c>
      <c r="E732" s="433"/>
      <c r="F732" s="436"/>
      <c r="G732" s="435"/>
      <c r="H732" s="436"/>
      <c r="I732" s="432"/>
      <c r="J732" s="437" t="str">
        <f>IFERROR(IF(J731="","",R731-J731),0)</f>
        <v/>
      </c>
      <c r="K732" s="1"/>
      <c r="L732" s="433"/>
      <c r="M732" s="436"/>
      <c r="N732" s="435"/>
      <c r="O732" s="436"/>
      <c r="P732" s="432"/>
      <c r="Q732" s="432"/>
      <c r="R732" s="437" t="str">
        <f>IFERROR(IF(J731="","",R731-J731),0)</f>
        <v/>
      </c>
      <c r="T732" s="433"/>
      <c r="U732" s="436"/>
      <c r="V732" s="435"/>
      <c r="W732" s="436"/>
      <c r="X732" s="432"/>
      <c r="Y732" s="432"/>
      <c r="Z732" s="437" t="str">
        <f>IFERROR(IF(R731="","",Z731-R731),0)</f>
        <v/>
      </c>
    </row>
    <row r="733" spans="1:26" ht="18" customHeight="1" thickBot="1">
      <c r="A733" s="140"/>
      <c r="B733" s="140"/>
      <c r="D733" s="180" t="s">
        <v>245</v>
      </c>
      <c r="E733" s="439"/>
      <c r="F733" s="440"/>
      <c r="G733" s="441"/>
      <c r="H733" s="440"/>
      <c r="I733" s="442"/>
      <c r="J733" s="437" t="str">
        <f>IFERROR(IF(J731="","",(R731/J731)-1),0)</f>
        <v/>
      </c>
      <c r="K733" s="1"/>
      <c r="L733" s="439"/>
      <c r="M733" s="440"/>
      <c r="N733" s="441"/>
      <c r="O733" s="440"/>
      <c r="P733" s="445"/>
      <c r="Q733" s="445"/>
      <c r="R733" s="453" t="str">
        <f>IFERROR(IF(J731="","",(R731/J731)-1),0)</f>
        <v/>
      </c>
      <c r="T733" s="439"/>
      <c r="U733" s="440"/>
      <c r="V733" s="441"/>
      <c r="W733" s="440"/>
      <c r="X733" s="445"/>
      <c r="Y733" s="445"/>
      <c r="Z733" s="446" t="str">
        <f>IFERROR(IF(R731="","",(Z731/R731)-1),0)</f>
        <v/>
      </c>
    </row>
    <row r="734" spans="1:26" ht="5.25" customHeight="1" thickBot="1">
      <c r="A734" s="140"/>
      <c r="B734" s="140"/>
      <c r="D734" s="229"/>
      <c r="E734" s="229"/>
      <c r="F734" s="230"/>
      <c r="G734" s="231"/>
      <c r="H734" s="232"/>
      <c r="I734" s="233"/>
      <c r="J734" s="233"/>
      <c r="K734"/>
      <c r="L734" s="233"/>
      <c r="M734" s="233"/>
      <c r="N734" s="233"/>
      <c r="O734" s="233"/>
      <c r="P734" s="233"/>
      <c r="Q734" s="233"/>
      <c r="R734" s="233"/>
      <c r="T734" s="233"/>
      <c r="U734" s="233"/>
      <c r="V734" s="233"/>
      <c r="W734" s="233"/>
      <c r="X734" s="233"/>
      <c r="Y734" s="233"/>
      <c r="Z734" s="233"/>
    </row>
    <row r="735" spans="1:26" ht="50.15" customHeight="1">
      <c r="A735" s="140"/>
      <c r="B735" s="140"/>
      <c r="C735" s="164" t="s">
        <v>296</v>
      </c>
      <c r="D735" s="275" t="s">
        <v>285</v>
      </c>
      <c r="E735" s="165"/>
      <c r="F735" s="272"/>
      <c r="G735" s="166"/>
      <c r="H735" s="167"/>
      <c r="I735" s="168"/>
      <c r="J735" s="169"/>
      <c r="K735"/>
      <c r="L735" s="274" t="s">
        <v>38</v>
      </c>
      <c r="M735" s="170"/>
      <c r="N735" s="274" t="s">
        <v>237</v>
      </c>
      <c r="O735" s="171"/>
      <c r="P735" s="171"/>
      <c r="Q735" s="171"/>
      <c r="R735" s="169"/>
      <c r="T735" s="274" t="s">
        <v>38</v>
      </c>
      <c r="U735" s="170"/>
      <c r="V735" s="274" t="s">
        <v>237</v>
      </c>
      <c r="W735" s="171"/>
      <c r="X735" s="171"/>
      <c r="Y735" s="171"/>
      <c r="Z735" s="169"/>
    </row>
    <row r="736" spans="1:26" ht="18.75" customHeight="1">
      <c r="A736" s="140"/>
      <c r="B736" s="140"/>
      <c r="D736" s="172" t="s">
        <v>238</v>
      </c>
      <c r="E736" s="407"/>
      <c r="F736" s="449"/>
      <c r="G736" s="470"/>
      <c r="H736" s="449"/>
      <c r="I736" s="450"/>
      <c r="J736" s="410"/>
      <c r="K736" s="411"/>
      <c r="L736" s="408" t="str" cm="1">
        <f t="array" ca="1" aca="1" ref="L736">_xlfn.IFNA(VLOOKUP(INDIRECT("L"&amp;ROW()-1)&amp;"_"&amp;$D$12,BEGIN_Renew_Dental:END_RENEW_DENTAL,RENEW_COL_EO,FALSE),"")</f>
        <v/>
      </c>
      <c r="M736" s="412" t="str">
        <f>IF(E736="","",E736)</f>
        <v/>
      </c>
      <c r="N736" s="413"/>
      <c r="O736" s="414"/>
      <c r="P736" s="415" t="str">
        <f>IFERROR(IF($N735="Keep Contribution Same",H736,IF($N735="Enter Percentages",IF(N736="","",N736*L736),IF($N735="Keep Percentage Same",IF(G736="","",G736*L736),IF($N735="Enter Dollar Amount",IF(O736="","",O736),"")))),"")</f>
        <v/>
      </c>
      <c r="Q736" s="408" t="str">
        <f>IFERROR(R736-P736,"")</f>
        <v/>
      </c>
      <c r="R736" s="410" t="str">
        <f>IFERROR(IF(P736="","",M736*P736),"")</f>
        <v/>
      </c>
      <c r="S736" s="411"/>
      <c r="T736" s="408" t="str" cm="1">
        <f t="array" ca="1" aca="1" ref="T736">_xlfn.IFNA(VLOOKUP(INDIRECT("T"&amp;ROW()-1)&amp;"_"&amp;$D$12,BEGIN_Renew_Dental:END_RENEW_DENTAL,RENEW_COL_EO,FALSE),"")</f>
        <v/>
      </c>
      <c r="U736" s="412" t="str">
        <f>IF(E736="","",E736)</f>
        <v/>
      </c>
      <c r="V736" s="413"/>
      <c r="W736" s="414"/>
      <c r="X736" s="415" t="str">
        <f>IFERROR(IF($V735="Keep Contribution Same",H736,IF($V735="Enter Percentages",IF(V736="","",V736*T736),IF($V735="Keep Percentage Same",IF(G736="","",G736*T736),IF($V735="Enter Dollar Amount",IF(W736="","",W736),"")))),"")</f>
        <v/>
      </c>
      <c r="Y736" s="408" t="str">
        <f ca="1">IFERROR(T736-X736,"")</f>
        <v/>
      </c>
      <c r="Z736" s="410" t="str">
        <f>IFERROR(IF(X736="","",U736*X736),"")</f>
        <v/>
      </c>
    </row>
    <row r="737" spans="1:26" ht="18.75" customHeight="1">
      <c r="A737" s="140"/>
      <c r="B737" s="140"/>
      <c r="D737" s="172" t="s">
        <v>239</v>
      </c>
      <c r="E737" s="407"/>
      <c r="F737" s="449"/>
      <c r="G737" s="470"/>
      <c r="H737" s="449"/>
      <c r="I737" s="450"/>
      <c r="J737" s="410"/>
      <c r="K737" s="411"/>
      <c r="L737" s="408" t="str" cm="1">
        <f t="array" ca="1" aca="1" ref="L737">_xlfn.IFNA(VLOOKUP(INDIRECT("L"&amp;ROW()-2)&amp;"_"&amp;$D$12,BEGIN_Renew_Dental:END_RENEW_DENTAL,RENEW_COL_ES,FALSE),"")</f>
        <v/>
      </c>
      <c r="M737" s="412" t="str">
        <f>IF(E737="","",E737)</f>
        <v/>
      </c>
      <c r="N737" s="413"/>
      <c r="O737" s="414"/>
      <c r="P737" s="415" t="str">
        <f>IFERROR(IF($N735="Keep Contribution Same",H737,IF($N735="Enter Percentages",IF(N737="","",N737*L737),IF($N735="Keep Percentage Same",IF(G737="","",G737*L737),IF($N735="Enter Dollar Amount",IF(O737="","",O737),"")))),"")</f>
        <v/>
      </c>
      <c r="Q737" s="408" t="str">
        <f t="shared" si="98" ref="Q737">IFERROR(R737-P737,"")</f>
        <v/>
      </c>
      <c r="R737" s="410" t="str">
        <f>IFERROR(IF(P737="","",M737*P737),"")</f>
        <v/>
      </c>
      <c r="S737" s="411"/>
      <c r="T737" s="408" t="str" cm="1">
        <f t="array" ca="1" aca="1" ref="T737">_xlfn.IFNA(VLOOKUP(INDIRECT("T"&amp;ROW()-2)&amp;"_"&amp;$D$12,BEGIN_Renew_Dental:END_RENEW_DENTAL,RENEW_COL_ES,FALSE),"")</f>
        <v/>
      </c>
      <c r="U737" s="412" t="str">
        <f t="shared" si="99" ref="U737:U739">IF(E737="","",E737)</f>
        <v/>
      </c>
      <c r="V737" s="413"/>
      <c r="W737" s="414"/>
      <c r="X737" s="415" t="str">
        <f>IFERROR(IF($V735="Keep Contribution Same",H737,IF($V735="Enter Percentages",IF(V737="","",V737*T737),IF($V735="Keep Percentage Same",IF(G737="","",G737*T737),IF($V735="Enter Dollar Amount",IF(W737="","",W737),"")))),"")</f>
        <v/>
      </c>
      <c r="Y737" s="408" t="str">
        <f ca="1" t="shared" si="100" ref="Y737:Y739">IFERROR(T737-X737,"")</f>
        <v/>
      </c>
      <c r="Z737" s="410" t="str">
        <f t="shared" si="101" ref="Z737:Z739">IFERROR(IF(X737="","",U737*X737),"")</f>
        <v/>
      </c>
    </row>
    <row r="738" spans="1:26" ht="18.75" customHeight="1">
      <c r="A738" s="140"/>
      <c r="B738" s="140"/>
      <c r="D738" s="172" t="s">
        <v>240</v>
      </c>
      <c r="E738" s="407"/>
      <c r="F738" s="449"/>
      <c r="G738" s="470"/>
      <c r="H738" s="449"/>
      <c r="I738" s="450"/>
      <c r="J738" s="410"/>
      <c r="K738" s="411"/>
      <c r="L738" s="408" t="str" cm="1">
        <f t="array" ca="1" aca="1" ref="L738">_xlfn.IFNA(VLOOKUP(INDIRECT("L"&amp;ROW()-3)&amp;"_"&amp;$D$12,BEGIN_Renew_Dental:END_RENEW_DENTAL,RENEW_COL_EC,FALSE),"")</f>
        <v/>
      </c>
      <c r="M738" s="412" t="str">
        <f>IF(E738="","",E738)</f>
        <v/>
      </c>
      <c r="N738" s="413"/>
      <c r="O738" s="414"/>
      <c r="P738" s="415" t="str">
        <f>IFERROR(IF($N735="Keep Contribution Same",H738,IF($N735="Enter Percentages",IF(N738="","",N738*L738),IF($N735="Keep Percentage Same",IF(G738="","",G738*L738),IF($N735="Enter Dollar Amount",IF(O738="","",O738),"")))),"")</f>
        <v/>
      </c>
      <c r="Q738" s="408" t="str">
        <f>IFERROR(R738-P738,"")</f>
        <v/>
      </c>
      <c r="R738" s="410" t="str">
        <f>IFERROR(IF(P738="","",M738*P738),"")</f>
        <v/>
      </c>
      <c r="S738" s="411"/>
      <c r="T738" s="408" t="str" cm="1">
        <f t="array" ca="1" aca="1" ref="T738">_xlfn.IFNA(VLOOKUP(INDIRECT("T"&amp;ROW()-3)&amp;"_"&amp;$D$12,BEGIN_Renew_Dental:END_RENEW_DENTAL,RENEW_COL_EC,FALSE),"")</f>
        <v/>
      </c>
      <c r="U738" s="412" t="str">
        <f t="shared" si="99"/>
        <v/>
      </c>
      <c r="V738" s="413"/>
      <c r="W738" s="414"/>
      <c r="X738" s="415" t="str">
        <f>IFERROR(IF($V735="Keep Contribution Same",H738,IF($V735="Enter Percentages",IF(V738="","",V738*T738),IF($V735="Keep Percentage Same",IF(G738="","",G738*T738),IF($V735="Enter Dollar Amount",IF(W738="","",W738),"")))),"")</f>
        <v/>
      </c>
      <c r="Y738" s="408" t="str">
        <f t="shared" ca="1" si="100"/>
        <v/>
      </c>
      <c r="Z738" s="410" t="str">
        <f t="shared" si="101"/>
        <v/>
      </c>
    </row>
    <row r="739" spans="1:26" ht="18.75" customHeight="1" thickBot="1">
      <c r="A739" s="140"/>
      <c r="B739" s="140"/>
      <c r="D739" s="174" t="s">
        <v>241</v>
      </c>
      <c r="E739" s="416"/>
      <c r="F739" s="451"/>
      <c r="G739" s="471"/>
      <c r="H739" s="451"/>
      <c r="I739" s="452"/>
      <c r="J739" s="419"/>
      <c r="K739" s="411"/>
      <c r="L739" s="417" t="str" cm="1">
        <f t="array" ca="1" aca="1" ref="L739">_xlfn.IFNA(VLOOKUP(INDIRECT("L"&amp;ROW()-4)&amp;"_"&amp;$D$12,BEGIN_Renew_Dental:END_RENEW_DENTAL,RENEW_COL_FAM,FALSE),"")</f>
        <v/>
      </c>
      <c r="M739" s="423" t="str">
        <f>IF(E739="","",E739)</f>
        <v/>
      </c>
      <c r="N739" s="420"/>
      <c r="O739" s="421"/>
      <c r="P739" s="422" t="str">
        <f>IFERROR(IF($N735="Keep Contribution Same",H739,IF($N735="Enter Percentages",IF(N739="","",N739*L739),IF($N735="Keep Percentage Same",IF(G739="","",G739*L739),IF($N735="Enter Dollar Amount",IF(O739="","",O739),"")))),"")</f>
        <v/>
      </c>
      <c r="Q739" s="417" t="str">
        <f>IFERROR(R739-P739,"")</f>
        <v/>
      </c>
      <c r="R739" s="419" t="str">
        <f>IFERROR(IF(P739="","",M739*P739),"")</f>
        <v/>
      </c>
      <c r="S739" s="411"/>
      <c r="T739" s="417" t="str" cm="1">
        <f t="array" ca="1" aca="1" ref="T739">_xlfn.IFNA(VLOOKUP(INDIRECT("T"&amp;ROW()-4)&amp;"_"&amp;$D$12,BEGIN_Renew_Dental:END_RENEW_DENTAL,RENEW_COL_FAM,FALSE),"")</f>
        <v/>
      </c>
      <c r="U739" s="423" t="str">
        <f t="shared" si="99"/>
        <v/>
      </c>
      <c r="V739" s="420"/>
      <c r="W739" s="421"/>
      <c r="X739" s="422" t="str">
        <f>IFERROR(IF($V735="Keep Contribution Same",H739,IF($V735="Enter Percentages",IF(V739="","",V739*T739),IF($V735="Keep Percentage Same",IF(G739="","",G739*T739),IF($V735="Enter Dollar Amount",IF(W739="","",W739),"")))),"")</f>
        <v/>
      </c>
      <c r="Y739" s="417" t="str">
        <f t="shared" ca="1" si="100"/>
        <v/>
      </c>
      <c r="Z739" s="419" t="str">
        <f t="shared" si="101"/>
        <v/>
      </c>
    </row>
    <row r="740" spans="1:26" ht="18.75" customHeight="1" thickTop="1">
      <c r="A740" s="140"/>
      <c r="B740" s="140"/>
      <c r="D740" s="175" t="s">
        <v>242</v>
      </c>
      <c r="E740" s="424"/>
      <c r="F740" s="427"/>
      <c r="G740" s="426"/>
      <c r="H740" s="427"/>
      <c r="I740" s="428"/>
      <c r="J740" s="429" t="str">
        <f>IFERROR(IF(J736="","",SUM(J736:J739)),0)</f>
        <v/>
      </c>
      <c r="K740" s="1"/>
      <c r="L740" s="424"/>
      <c r="M740" s="427"/>
      <c r="N740" s="426"/>
      <c r="O740" s="427"/>
      <c r="P740" s="431"/>
      <c r="Q740" s="432"/>
      <c r="R740" s="429" t="str">
        <f>IFERROR(IF(R736="","",SUM(R736:R739)),0)</f>
        <v/>
      </c>
      <c r="T740" s="424"/>
      <c r="U740" s="427"/>
      <c r="V740" s="426"/>
      <c r="W740" s="427"/>
      <c r="X740" s="431"/>
      <c r="Y740" s="432"/>
      <c r="Z740" s="429" t="str">
        <f>IFERROR(IF(Z736="","",SUM(Z736:Z739)),0)</f>
        <v/>
      </c>
    </row>
    <row r="741" spans="1:26" ht="18.75" customHeight="1">
      <c r="A741" s="140"/>
      <c r="B741" s="140"/>
      <c r="D741" s="177" t="s">
        <v>243</v>
      </c>
      <c r="E741" s="433"/>
      <c r="F741" s="436"/>
      <c r="G741" s="435"/>
      <c r="H741" s="436"/>
      <c r="I741" s="432"/>
      <c r="J741" s="437" t="str">
        <f>IF(J740="","",J740*12)</f>
        <v/>
      </c>
      <c r="K741" s="1"/>
      <c r="L741" s="433"/>
      <c r="M741" s="436"/>
      <c r="N741" s="435"/>
      <c r="O741" s="436"/>
      <c r="P741" s="432"/>
      <c r="Q741" s="432"/>
      <c r="R741" s="437" t="str">
        <f>IF(R740="","",R740*12)</f>
        <v/>
      </c>
      <c r="T741" s="433"/>
      <c r="U741" s="436"/>
      <c r="V741" s="435"/>
      <c r="W741" s="436"/>
      <c r="X741" s="432"/>
      <c r="Y741" s="432"/>
      <c r="Z741" s="437" t="str">
        <f>IF(Z740="","",Z740*12)</f>
        <v/>
      </c>
    </row>
    <row r="742" spans="1:26" ht="18" customHeight="1">
      <c r="A742" s="140"/>
      <c r="B742" s="140"/>
      <c r="D742" s="177" t="s">
        <v>244</v>
      </c>
      <c r="E742" s="433"/>
      <c r="F742" s="436"/>
      <c r="G742" s="435"/>
      <c r="H742" s="436"/>
      <c r="I742" s="432"/>
      <c r="J742" s="437" t="str">
        <f>IFERROR(IF(J741="","",R741-J741),0)</f>
        <v/>
      </c>
      <c r="K742" s="1"/>
      <c r="L742" s="433"/>
      <c r="M742" s="436"/>
      <c r="N742" s="435"/>
      <c r="O742" s="436"/>
      <c r="P742" s="432"/>
      <c r="Q742" s="432"/>
      <c r="R742" s="437" t="str">
        <f>IFERROR(IF(J741="","",R741-J741),0)</f>
        <v/>
      </c>
      <c r="T742" s="433"/>
      <c r="U742" s="436"/>
      <c r="V742" s="435"/>
      <c r="W742" s="436"/>
      <c r="X742" s="432"/>
      <c r="Y742" s="432"/>
      <c r="Z742" s="437" t="str">
        <f>IFERROR(IF(R741="","",Z741-R741),0)</f>
        <v/>
      </c>
    </row>
    <row r="743" spans="1:26" ht="18" customHeight="1" thickBot="1">
      <c r="A743" s="140"/>
      <c r="B743" s="140"/>
      <c r="D743" s="180" t="s">
        <v>245</v>
      </c>
      <c r="E743" s="439"/>
      <c r="F743" s="440"/>
      <c r="G743" s="441"/>
      <c r="H743" s="440"/>
      <c r="I743" s="442"/>
      <c r="J743" s="437" t="str">
        <f>IFERROR(IF(J741="","",(R741/J741)-1),0)</f>
        <v/>
      </c>
      <c r="K743" s="1"/>
      <c r="L743" s="439"/>
      <c r="M743" s="440"/>
      <c r="N743" s="441"/>
      <c r="O743" s="440"/>
      <c r="P743" s="445"/>
      <c r="Q743" s="445"/>
      <c r="R743" s="453" t="str">
        <f>IFERROR(IF(J741="","",(R741/J741)-1),0)</f>
        <v/>
      </c>
      <c r="T743" s="439"/>
      <c r="U743" s="440"/>
      <c r="V743" s="441"/>
      <c r="W743" s="440"/>
      <c r="X743" s="445"/>
      <c r="Y743" s="445"/>
      <c r="Z743" s="446" t="str">
        <f>IFERROR(IF(R741="","",(Z741/R741)-1),0)</f>
        <v/>
      </c>
    </row>
    <row r="744" spans="1:26" ht="5.25" customHeight="1" thickBot="1">
      <c r="A744" s="140"/>
      <c r="B744" s="140"/>
      <c r="D744" s="229"/>
      <c r="E744" s="229"/>
      <c r="F744" s="230"/>
      <c r="G744" s="231"/>
      <c r="H744" s="232"/>
      <c r="I744" s="233"/>
      <c r="J744" s="233"/>
      <c r="K744"/>
      <c r="L744" s="233"/>
      <c r="M744" s="233"/>
      <c r="N744" s="233"/>
      <c r="O744" s="233"/>
      <c r="P744" s="233"/>
      <c r="Q744" s="233"/>
      <c r="R744" s="233"/>
      <c r="T744" s="233"/>
      <c r="U744" s="233"/>
      <c r="V744" s="233"/>
      <c r="W744" s="233"/>
      <c r="X744" s="233"/>
      <c r="Y744" s="233"/>
      <c r="Z744" s="233"/>
    </row>
    <row r="745" spans="1:26" ht="50.15" customHeight="1">
      <c r="A745" s="140"/>
      <c r="B745" s="140"/>
      <c r="C745" s="164" t="s">
        <v>297</v>
      </c>
      <c r="D745" s="275" t="s">
        <v>285</v>
      </c>
      <c r="E745" s="165"/>
      <c r="F745" s="272"/>
      <c r="G745" s="166"/>
      <c r="H745" s="167"/>
      <c r="I745" s="168"/>
      <c r="J745" s="169"/>
      <c r="K745"/>
      <c r="L745" s="274" t="s">
        <v>38</v>
      </c>
      <c r="M745" s="170"/>
      <c r="N745" s="274" t="s">
        <v>237</v>
      </c>
      <c r="O745" s="171"/>
      <c r="P745" s="171"/>
      <c r="Q745" s="171"/>
      <c r="R745" s="169"/>
      <c r="T745" s="274" t="s">
        <v>38</v>
      </c>
      <c r="U745" s="170"/>
      <c r="V745" s="274" t="s">
        <v>237</v>
      </c>
      <c r="W745" s="171"/>
      <c r="X745" s="171"/>
      <c r="Y745" s="171"/>
      <c r="Z745" s="169"/>
    </row>
    <row r="746" spans="1:26" ht="18.75" customHeight="1">
      <c r="A746" s="140"/>
      <c r="B746" s="140"/>
      <c r="D746" s="172" t="s">
        <v>238</v>
      </c>
      <c r="E746" s="407"/>
      <c r="F746" s="449"/>
      <c r="G746" s="470"/>
      <c r="H746" s="449"/>
      <c r="I746" s="450"/>
      <c r="J746" s="410"/>
      <c r="K746" s="411"/>
      <c r="L746" s="408" t="str" cm="1">
        <f t="array" ca="1" aca="1" ref="L746">_xlfn.IFNA(VLOOKUP(INDIRECT("L"&amp;ROW()-1)&amp;"_"&amp;$D$12,BEGIN_Renew_Dental:END_RENEW_DENTAL,RENEW_COL_EO,FALSE),"")</f>
        <v/>
      </c>
      <c r="M746" s="412" t="str">
        <f>IF(E746="","",E746)</f>
        <v/>
      </c>
      <c r="N746" s="413"/>
      <c r="O746" s="414"/>
      <c r="P746" s="415" t="str">
        <f>IFERROR(IF($N745="Keep Contribution Same",H746,IF($N745="Enter Percentages",IF(N746="","",N746*L746),IF($N745="Keep Percentage Same",IF(G746="","",G746*L746),IF($N745="Enter Dollar Amount",IF(O746="","",O746),"")))),"")</f>
        <v/>
      </c>
      <c r="Q746" s="408" t="str">
        <f>IFERROR(R746-P746,"")</f>
        <v/>
      </c>
      <c r="R746" s="410" t="str">
        <f>IFERROR(IF(P746="","",M746*P746),"")</f>
        <v/>
      </c>
      <c r="S746" s="411"/>
      <c r="T746" s="408" t="str" cm="1">
        <f t="array" ca="1" aca="1" ref="T746">_xlfn.IFNA(VLOOKUP(INDIRECT("T"&amp;ROW()-1)&amp;"_"&amp;$D$12,BEGIN_Renew_Dental:END_RENEW_DENTAL,RENEW_COL_EO,FALSE),"")</f>
        <v/>
      </c>
      <c r="U746" s="412" t="str">
        <f>IF(E746="","",E746)</f>
        <v/>
      </c>
      <c r="V746" s="413"/>
      <c r="W746" s="414"/>
      <c r="X746" s="415" t="str">
        <f>IFERROR(IF($V745="Keep Contribution Same",H746,IF($V745="Enter Percentages",IF(V746="","",V746*T746),IF($V745="Keep Percentage Same",IF(G746="","",G746*T746),IF($V745="Enter Dollar Amount",IF(W746="","",W746),"")))),"")</f>
        <v/>
      </c>
      <c r="Y746" s="408" t="str">
        <f ca="1">IFERROR(T746-X746,"")</f>
        <v/>
      </c>
      <c r="Z746" s="410" t="str">
        <f>IFERROR(IF(X746="","",U746*X746),"")</f>
        <v/>
      </c>
    </row>
    <row r="747" spans="1:26" ht="18.75" customHeight="1">
      <c r="A747" s="140"/>
      <c r="B747" s="140"/>
      <c r="D747" s="172" t="s">
        <v>239</v>
      </c>
      <c r="E747" s="407"/>
      <c r="F747" s="449"/>
      <c r="G747" s="470"/>
      <c r="H747" s="449"/>
      <c r="I747" s="450"/>
      <c r="J747" s="410"/>
      <c r="K747" s="411"/>
      <c r="L747" s="408" t="str" cm="1">
        <f t="array" ca="1" aca="1" ref="L747">_xlfn.IFNA(VLOOKUP(INDIRECT("L"&amp;ROW()-2)&amp;"_"&amp;$D$12,BEGIN_Renew_Dental:END_RENEW_DENTAL,RENEW_COL_ES,FALSE),"")</f>
        <v/>
      </c>
      <c r="M747" s="412" t="str">
        <f>IF(E747="","",E747)</f>
        <v/>
      </c>
      <c r="N747" s="413"/>
      <c r="O747" s="414"/>
      <c r="P747" s="415" t="str">
        <f>IFERROR(IF($N745="Keep Contribution Same",H747,IF($N745="Enter Percentages",IF(N747="","",N747*L747),IF($N745="Keep Percentage Same",IF(G747="","",G747*L747),IF($N745="Enter Dollar Amount",IF(O747="","",O747),"")))),"")</f>
        <v/>
      </c>
      <c r="Q747" s="408" t="str">
        <f t="shared" si="102" ref="Q747">IFERROR(R747-P747,"")</f>
        <v/>
      </c>
      <c r="R747" s="410" t="str">
        <f>IFERROR(IF(P747="","",M747*P747),"")</f>
        <v/>
      </c>
      <c r="S747" s="411"/>
      <c r="T747" s="408" t="str" cm="1">
        <f t="array" ca="1" aca="1" ref="T747">_xlfn.IFNA(VLOOKUP(INDIRECT("T"&amp;ROW()-2)&amp;"_"&amp;$D$12,BEGIN_Renew_Dental:END_RENEW_DENTAL,RENEW_COL_ES,FALSE),"")</f>
        <v/>
      </c>
      <c r="U747" s="412" t="str">
        <f t="shared" si="103" ref="U747:U749">IF(E747="","",E747)</f>
        <v/>
      </c>
      <c r="V747" s="413"/>
      <c r="W747" s="414"/>
      <c r="X747" s="415" t="str">
        <f>IFERROR(IF($V745="Keep Contribution Same",H747,IF($V745="Enter Percentages",IF(V747="","",V747*T747),IF($V745="Keep Percentage Same",IF(G747="","",G747*T747),IF($V745="Enter Dollar Amount",IF(W747="","",W747),"")))),"")</f>
        <v/>
      </c>
      <c r="Y747" s="408" t="str">
        <f ca="1" t="shared" si="104" ref="Y747:Y749">IFERROR(T747-X747,"")</f>
        <v/>
      </c>
      <c r="Z747" s="410" t="str">
        <f t="shared" si="105" ref="Z747:Z749">IFERROR(IF(X747="","",U747*X747),"")</f>
        <v/>
      </c>
    </row>
    <row r="748" spans="1:26" ht="18.75" customHeight="1">
      <c r="A748" s="140"/>
      <c r="B748" s="140"/>
      <c r="D748" s="172" t="s">
        <v>240</v>
      </c>
      <c r="E748" s="407"/>
      <c r="F748" s="449"/>
      <c r="G748" s="470"/>
      <c r="H748" s="449"/>
      <c r="I748" s="450"/>
      <c r="J748" s="410"/>
      <c r="K748" s="411"/>
      <c r="L748" s="408" t="str" cm="1">
        <f t="array" ca="1" aca="1" ref="L748">_xlfn.IFNA(VLOOKUP(INDIRECT("L"&amp;ROW()-3)&amp;"_"&amp;$D$12,BEGIN_Renew_Dental:END_RENEW_DENTAL,RENEW_COL_EC,FALSE),"")</f>
        <v/>
      </c>
      <c r="M748" s="412" t="str">
        <f>IF(E748="","",E748)</f>
        <v/>
      </c>
      <c r="N748" s="413"/>
      <c r="O748" s="414"/>
      <c r="P748" s="415" t="str">
        <f>IFERROR(IF($N745="Keep Contribution Same",H748,IF($N745="Enter Percentages",IF(N748="","",N748*L748),IF($N745="Keep Percentage Same",IF(G748="","",G748*L748),IF($N745="Enter Dollar Amount",IF(O748="","",O748),"")))),"")</f>
        <v/>
      </c>
      <c r="Q748" s="408" t="str">
        <f>IFERROR(R748-P748,"")</f>
        <v/>
      </c>
      <c r="R748" s="410" t="str">
        <f>IFERROR(IF(P748="","",M748*P748),"")</f>
        <v/>
      </c>
      <c r="S748" s="411"/>
      <c r="T748" s="408" t="str" cm="1">
        <f t="array" ca="1" aca="1" ref="T748">_xlfn.IFNA(VLOOKUP(INDIRECT("T"&amp;ROW()-3)&amp;"_"&amp;$D$12,BEGIN_Renew_Dental:END_RENEW_DENTAL,RENEW_COL_EC,FALSE),"")</f>
        <v/>
      </c>
      <c r="U748" s="412" t="str">
        <f t="shared" si="103"/>
        <v/>
      </c>
      <c r="V748" s="413"/>
      <c r="W748" s="414"/>
      <c r="X748" s="415" t="str">
        <f>IFERROR(IF($V745="Keep Contribution Same",H748,IF($V745="Enter Percentages",IF(V748="","",V748*T748),IF($V745="Keep Percentage Same",IF(G748="","",G748*T748),IF($V745="Enter Dollar Amount",IF(W748="","",W748),"")))),"")</f>
        <v/>
      </c>
      <c r="Y748" s="408" t="str">
        <f t="shared" ca="1" si="104"/>
        <v/>
      </c>
      <c r="Z748" s="410" t="str">
        <f t="shared" si="105"/>
        <v/>
      </c>
    </row>
    <row r="749" spans="1:26" ht="18.75" customHeight="1" thickBot="1">
      <c r="A749" s="140"/>
      <c r="B749" s="140"/>
      <c r="D749" s="174" t="s">
        <v>241</v>
      </c>
      <c r="E749" s="416"/>
      <c r="F749" s="451"/>
      <c r="G749" s="471"/>
      <c r="H749" s="451"/>
      <c r="I749" s="452"/>
      <c r="J749" s="419"/>
      <c r="K749" s="411"/>
      <c r="L749" s="417" t="str" cm="1">
        <f t="array" ca="1" aca="1" ref="L749">_xlfn.IFNA(VLOOKUP(INDIRECT("L"&amp;ROW()-4)&amp;"_"&amp;$D$12,BEGIN_Renew_Dental:END_RENEW_DENTAL,RENEW_COL_FAM,FALSE),"")</f>
        <v/>
      </c>
      <c r="M749" s="423" t="str">
        <f>IF(E749="","",E749)</f>
        <v/>
      </c>
      <c r="N749" s="420"/>
      <c r="O749" s="421"/>
      <c r="P749" s="422" t="str">
        <f>IFERROR(IF($N745="Keep Contribution Same",H749,IF($N745="Enter Percentages",IF(N749="","",N749*L749),IF($N745="Keep Percentage Same",IF(G749="","",G749*L749),IF($N745="Enter Dollar Amount",IF(O749="","",O749),"")))),"")</f>
        <v/>
      </c>
      <c r="Q749" s="417" t="str">
        <f>IFERROR(R749-P749,"")</f>
        <v/>
      </c>
      <c r="R749" s="419" t="str">
        <f>IFERROR(IF(P749="","",M749*P749),"")</f>
        <v/>
      </c>
      <c r="S749" s="411"/>
      <c r="T749" s="417" t="str" cm="1">
        <f t="array" ca="1" aca="1" ref="T749">_xlfn.IFNA(VLOOKUP(INDIRECT("T"&amp;ROW()-4)&amp;"_"&amp;$D$12,BEGIN_Renew_Dental:END_RENEW_DENTAL,RENEW_COL_FAM,FALSE),"")</f>
        <v/>
      </c>
      <c r="U749" s="423" t="str">
        <f t="shared" si="103"/>
        <v/>
      </c>
      <c r="V749" s="420"/>
      <c r="W749" s="421"/>
      <c r="X749" s="422" t="str">
        <f>IFERROR(IF($V745="Keep Contribution Same",H749,IF($V745="Enter Percentages",IF(V749="","",V749*T749),IF($V745="Keep Percentage Same",IF(G749="","",G749*T749),IF($V745="Enter Dollar Amount",IF(W749="","",W749),"")))),"")</f>
        <v/>
      </c>
      <c r="Y749" s="417" t="str">
        <f t="shared" ca="1" si="104"/>
        <v/>
      </c>
      <c r="Z749" s="419" t="str">
        <f t="shared" si="105"/>
        <v/>
      </c>
    </row>
    <row r="750" spans="1:26" ht="18.75" customHeight="1" thickTop="1">
      <c r="A750" s="140"/>
      <c r="B750" s="140"/>
      <c r="D750" s="175" t="s">
        <v>242</v>
      </c>
      <c r="E750" s="424"/>
      <c r="F750" s="427"/>
      <c r="G750" s="426"/>
      <c r="H750" s="427"/>
      <c r="I750" s="428"/>
      <c r="J750" s="429" t="str">
        <f>IFERROR(IF(J746="","",SUM(J746:J749)),0)</f>
        <v/>
      </c>
      <c r="K750" s="1"/>
      <c r="L750" s="424"/>
      <c r="M750" s="427"/>
      <c r="N750" s="426"/>
      <c r="O750" s="427"/>
      <c r="P750" s="431"/>
      <c r="Q750" s="432"/>
      <c r="R750" s="429" t="str">
        <f>IFERROR(IF(R746="","",SUM(R746:R749)),0)</f>
        <v/>
      </c>
      <c r="T750" s="424"/>
      <c r="U750" s="427"/>
      <c r="V750" s="426"/>
      <c r="W750" s="427"/>
      <c r="X750" s="431"/>
      <c r="Y750" s="432"/>
      <c r="Z750" s="429" t="str">
        <f>IFERROR(IF(Z746="","",SUM(Z746:Z749)),0)</f>
        <v/>
      </c>
    </row>
    <row r="751" spans="1:26" ht="18.75" customHeight="1">
      <c r="A751" s="140"/>
      <c r="B751" s="140"/>
      <c r="D751" s="177" t="s">
        <v>243</v>
      </c>
      <c r="E751" s="433"/>
      <c r="F751" s="436"/>
      <c r="G751" s="435"/>
      <c r="H751" s="436"/>
      <c r="I751" s="432"/>
      <c r="J751" s="437" t="str">
        <f>IF(J750="","",J750*12)</f>
        <v/>
      </c>
      <c r="K751" s="1"/>
      <c r="L751" s="433"/>
      <c r="M751" s="436"/>
      <c r="N751" s="435"/>
      <c r="O751" s="436"/>
      <c r="P751" s="432"/>
      <c r="Q751" s="432"/>
      <c r="R751" s="437" t="str">
        <f>IF(R750="","",R750*12)</f>
        <v/>
      </c>
      <c r="T751" s="433"/>
      <c r="U751" s="436"/>
      <c r="V751" s="435"/>
      <c r="W751" s="436"/>
      <c r="X751" s="432"/>
      <c r="Y751" s="432"/>
      <c r="Z751" s="437" t="str">
        <f>IF(Z750="","",Z750*12)</f>
        <v/>
      </c>
    </row>
    <row r="752" spans="1:26" ht="18.75" customHeight="1">
      <c r="A752" s="140"/>
      <c r="B752" s="140"/>
      <c r="D752" s="177" t="s">
        <v>244</v>
      </c>
      <c r="E752" s="433"/>
      <c r="F752" s="436"/>
      <c r="G752" s="435"/>
      <c r="H752" s="436"/>
      <c r="I752" s="432"/>
      <c r="J752" s="437" t="str">
        <f>IFERROR(IF(J751="","",R751-J751),0)</f>
        <v/>
      </c>
      <c r="K752" s="1"/>
      <c r="L752" s="433"/>
      <c r="M752" s="436"/>
      <c r="N752" s="435"/>
      <c r="O752" s="436"/>
      <c r="P752" s="432"/>
      <c r="Q752" s="432"/>
      <c r="R752" s="437" t="str">
        <f>IFERROR(IF(J751="","",R751-J751),0)</f>
        <v/>
      </c>
      <c r="T752" s="433"/>
      <c r="U752" s="436"/>
      <c r="V752" s="435"/>
      <c r="W752" s="436"/>
      <c r="X752" s="432"/>
      <c r="Y752" s="432"/>
      <c r="Z752" s="437" t="str">
        <f>IFERROR(IF(R751="","",Z751-R751),0)</f>
        <v/>
      </c>
    </row>
    <row r="753" spans="1:26" ht="18" customHeight="1" thickBot="1">
      <c r="A753" s="140"/>
      <c r="B753" s="140"/>
      <c r="D753" s="180" t="s">
        <v>245</v>
      </c>
      <c r="E753" s="439"/>
      <c r="F753" s="440"/>
      <c r="G753" s="441"/>
      <c r="H753" s="440"/>
      <c r="I753" s="442"/>
      <c r="J753" s="437" t="str">
        <f>IFERROR(IF(J751="","",(R751/J751)-1),0)</f>
        <v/>
      </c>
      <c r="K753" s="1"/>
      <c r="L753" s="439"/>
      <c r="M753" s="440"/>
      <c r="N753" s="441"/>
      <c r="O753" s="440"/>
      <c r="P753" s="445"/>
      <c r="Q753" s="445"/>
      <c r="R753" s="453" t="str">
        <f>IFERROR(IF(J751="","",(R751/J751)-1),0)</f>
        <v/>
      </c>
      <c r="T753" s="439"/>
      <c r="U753" s="440"/>
      <c r="V753" s="441"/>
      <c r="W753" s="440"/>
      <c r="X753" s="445"/>
      <c r="Y753" s="445"/>
      <c r="Z753" s="446" t="str">
        <f>IFERROR(IF(R751="","",(Z751/R751)-1),0)</f>
        <v/>
      </c>
    </row>
    <row r="754" spans="1:26" ht="5.25" customHeight="1" thickBot="1">
      <c r="A754" s="140"/>
      <c r="B754" s="140"/>
      <c r="D754" s="229"/>
      <c r="E754" s="229"/>
      <c r="F754" s="230"/>
      <c r="G754" s="231"/>
      <c r="H754" s="232"/>
      <c r="I754" s="233"/>
      <c r="J754" s="233"/>
      <c r="K754"/>
      <c r="L754" s="233"/>
      <c r="M754" s="233"/>
      <c r="N754" s="233"/>
      <c r="O754" s="233"/>
      <c r="P754" s="233"/>
      <c r="Q754" s="233"/>
      <c r="R754" s="233"/>
      <c r="T754" s="233"/>
      <c r="U754" s="233"/>
      <c r="V754" s="233"/>
      <c r="W754" s="233"/>
      <c r="X754" s="233"/>
      <c r="Y754" s="233"/>
      <c r="Z754" s="233"/>
    </row>
    <row r="755" spans="1:26" ht="50.15" customHeight="1">
      <c r="A755" s="140"/>
      <c r="B755" s="140"/>
      <c r="C755" s="164" t="s">
        <v>298</v>
      </c>
      <c r="D755" s="275" t="s">
        <v>285</v>
      </c>
      <c r="E755" s="165"/>
      <c r="F755" s="272"/>
      <c r="G755" s="166"/>
      <c r="H755" s="167"/>
      <c r="I755" s="168"/>
      <c r="J755" s="169"/>
      <c r="K755"/>
      <c r="L755" s="274" t="s">
        <v>38</v>
      </c>
      <c r="M755" s="170"/>
      <c r="N755" s="274" t="s">
        <v>237</v>
      </c>
      <c r="O755" s="171"/>
      <c r="P755" s="171"/>
      <c r="Q755" s="171"/>
      <c r="R755" s="169"/>
      <c r="T755" s="274" t="s">
        <v>38</v>
      </c>
      <c r="U755" s="170"/>
      <c r="V755" s="274" t="s">
        <v>237</v>
      </c>
      <c r="W755" s="171"/>
      <c r="X755" s="171"/>
      <c r="Y755" s="171"/>
      <c r="Z755" s="169"/>
    </row>
    <row r="756" spans="1:26" ht="18.75" customHeight="1">
      <c r="A756" s="140"/>
      <c r="B756" s="140"/>
      <c r="D756" s="172" t="s">
        <v>238</v>
      </c>
      <c r="E756" s="407"/>
      <c r="F756" s="449"/>
      <c r="G756" s="470"/>
      <c r="H756" s="449"/>
      <c r="I756" s="450"/>
      <c r="J756" s="410"/>
      <c r="K756" s="411"/>
      <c r="L756" s="408" t="str" cm="1">
        <f t="array" ca="1" aca="1" ref="L756">_xlfn.IFNA(VLOOKUP(INDIRECT("L"&amp;ROW()-1)&amp;"_"&amp;$D$12,BEGIN_Renew_Dental:END_RENEW_DENTAL,RENEW_COL_EO,FALSE),"")</f>
        <v/>
      </c>
      <c r="M756" s="412" t="str">
        <f>IF(E756="","",E756)</f>
        <v/>
      </c>
      <c r="N756" s="413"/>
      <c r="O756" s="414"/>
      <c r="P756" s="415" t="str">
        <f>IFERROR(IF($N755="Keep Contribution Same",H756,IF($N755="Enter Percentages",IF(N756="","",N756*L756),IF($N755="Keep Percentage Same",IF(G756="","",G756*L756),IF($N755="Enter Dollar Amount",IF(O756="","",O756),"")))),"")</f>
        <v/>
      </c>
      <c r="Q756" s="408" t="str">
        <f>IFERROR(R756-P756,"")</f>
        <v/>
      </c>
      <c r="R756" s="410" t="str">
        <f>IFERROR(IF(P756="","",M756*P756),"")</f>
        <v/>
      </c>
      <c r="S756" s="411"/>
      <c r="T756" s="408" t="str" cm="1">
        <f t="array" ca="1" aca="1" ref="T756">_xlfn.IFNA(VLOOKUP(INDIRECT("T"&amp;ROW()-1)&amp;"_"&amp;$D$12,BEGIN_Renew_Dental:END_RENEW_DENTAL,RENEW_COL_EO,FALSE),"")</f>
        <v/>
      </c>
      <c r="U756" s="412" t="str">
        <f>IF(E756="","",E756)</f>
        <v/>
      </c>
      <c r="V756" s="413"/>
      <c r="W756" s="414"/>
      <c r="X756" s="415" t="str">
        <f>IFERROR(IF($V755="Keep Contribution Same",H756,IF($V755="Enter Percentages",IF(V756="","",V756*T756),IF($V755="Keep Percentage Same",IF(G756="","",G756*T756),IF($V755="Enter Dollar Amount",IF(W756="","",W756),"")))),"")</f>
        <v/>
      </c>
      <c r="Y756" s="408" t="str">
        <f ca="1">IFERROR(T756-X756,"")</f>
        <v/>
      </c>
      <c r="Z756" s="410" t="str">
        <f>IFERROR(IF(X756="","",U756*X756),"")</f>
        <v/>
      </c>
    </row>
    <row r="757" spans="1:26" ht="18.75" customHeight="1">
      <c r="A757" s="140"/>
      <c r="B757" s="140"/>
      <c r="D757" s="172" t="s">
        <v>239</v>
      </c>
      <c r="E757" s="407"/>
      <c r="F757" s="449"/>
      <c r="G757" s="470"/>
      <c r="H757" s="449"/>
      <c r="I757" s="450"/>
      <c r="J757" s="410"/>
      <c r="K757" s="411"/>
      <c r="L757" s="408" t="str" cm="1">
        <f t="array" ca="1" aca="1" ref="L757">_xlfn.IFNA(VLOOKUP(INDIRECT("L"&amp;ROW()-2)&amp;"_"&amp;$D$12,BEGIN_Renew_Dental:END_RENEW_DENTAL,RENEW_COL_ES,FALSE),"")</f>
        <v/>
      </c>
      <c r="M757" s="412" t="str">
        <f>IF(E757="","",E757)</f>
        <v/>
      </c>
      <c r="N757" s="413"/>
      <c r="O757" s="414"/>
      <c r="P757" s="415" t="str">
        <f>IFERROR(IF($N755="Keep Contribution Same",H757,IF($N755="Enter Percentages",IF(N757="","",N757*L757),IF($N755="Keep Percentage Same",IF(G757="","",G757*L757),IF($N755="Enter Dollar Amount",IF(O757="","",O757),"")))),"")</f>
        <v/>
      </c>
      <c r="Q757" s="408" t="str">
        <f t="shared" si="106" ref="Q757">IFERROR(R757-P757,"")</f>
        <v/>
      </c>
      <c r="R757" s="410" t="str">
        <f>IFERROR(IF(P757="","",M757*P757),"")</f>
        <v/>
      </c>
      <c r="S757" s="411"/>
      <c r="T757" s="408" t="str" cm="1">
        <f t="array" ca="1" aca="1" ref="T757">_xlfn.IFNA(VLOOKUP(INDIRECT("T"&amp;ROW()-2)&amp;"_"&amp;$D$12,BEGIN_Renew_Dental:END_RENEW_DENTAL,RENEW_COL_ES,FALSE),"")</f>
        <v/>
      </c>
      <c r="U757" s="412" t="str">
        <f t="shared" si="107" ref="U757:U759">IF(E757="","",E757)</f>
        <v/>
      </c>
      <c r="V757" s="413"/>
      <c r="W757" s="414"/>
      <c r="X757" s="415" t="str">
        <f>IFERROR(IF($V755="Keep Contribution Same",H757,IF($V755="Enter Percentages",IF(V757="","",V757*T757),IF($V755="Keep Percentage Same",IF(G757="","",G757*T757),IF($V755="Enter Dollar Amount",IF(W757="","",W757),"")))),"")</f>
        <v/>
      </c>
      <c r="Y757" s="408" t="str">
        <f ca="1" t="shared" si="108" ref="Y757:Y759">IFERROR(T757-X757,"")</f>
        <v/>
      </c>
      <c r="Z757" s="410" t="str">
        <f t="shared" si="109" ref="Z757:Z759">IFERROR(IF(X757="","",U757*X757),"")</f>
        <v/>
      </c>
    </row>
    <row r="758" spans="1:26" ht="18.75" customHeight="1">
      <c r="A758" s="140"/>
      <c r="B758" s="140"/>
      <c r="D758" s="172" t="s">
        <v>240</v>
      </c>
      <c r="E758" s="407"/>
      <c r="F758" s="449"/>
      <c r="G758" s="470"/>
      <c r="H758" s="449"/>
      <c r="I758" s="450"/>
      <c r="J758" s="410"/>
      <c r="K758" s="411"/>
      <c r="L758" s="408" t="str" cm="1">
        <f t="array" ca="1" aca="1" ref="L758">_xlfn.IFNA(VLOOKUP(INDIRECT("L"&amp;ROW()-3)&amp;"_"&amp;$D$12,BEGIN_Renew_Dental:END_RENEW_DENTAL,RENEW_COL_EC,FALSE),"")</f>
        <v/>
      </c>
      <c r="M758" s="412" t="str">
        <f>IF(E758="","",E758)</f>
        <v/>
      </c>
      <c r="N758" s="413"/>
      <c r="O758" s="414"/>
      <c r="P758" s="415" t="str">
        <f>IFERROR(IF($N755="Keep Contribution Same",H758,IF($N755="Enter Percentages",IF(N758="","",N758*L758),IF($N755="Keep Percentage Same",IF(G758="","",G758*L758),IF($N755="Enter Dollar Amount",IF(O758="","",O758),"")))),"")</f>
        <v/>
      </c>
      <c r="Q758" s="408" t="str">
        <f>IFERROR(R758-P758,"")</f>
        <v/>
      </c>
      <c r="R758" s="410" t="str">
        <f>IFERROR(IF(P758="","",M758*P758),"")</f>
        <v/>
      </c>
      <c r="S758" s="411"/>
      <c r="T758" s="408" t="str" cm="1">
        <f t="array" ca="1" aca="1" ref="T758">_xlfn.IFNA(VLOOKUP(INDIRECT("T"&amp;ROW()-3)&amp;"_"&amp;$D$12,BEGIN_Renew_Dental:END_RENEW_DENTAL,RENEW_COL_EC,FALSE),"")</f>
        <v/>
      </c>
      <c r="U758" s="412" t="str">
        <f t="shared" si="107"/>
        <v/>
      </c>
      <c r="V758" s="413"/>
      <c r="W758" s="414"/>
      <c r="X758" s="415" t="str">
        <f>IFERROR(IF($V755="Keep Contribution Same",H758,IF($V755="Enter Percentages",IF(V758="","",V758*T758),IF($V755="Keep Percentage Same",IF(G758="","",G758*T758),IF($V755="Enter Dollar Amount",IF(W758="","",W758),"")))),"")</f>
        <v/>
      </c>
      <c r="Y758" s="408" t="str">
        <f t="shared" ca="1" si="108"/>
        <v/>
      </c>
      <c r="Z758" s="410" t="str">
        <f t="shared" si="109"/>
        <v/>
      </c>
    </row>
    <row r="759" spans="1:26" ht="18.75" customHeight="1" thickBot="1">
      <c r="A759" s="140"/>
      <c r="B759" s="140"/>
      <c r="D759" s="174" t="s">
        <v>241</v>
      </c>
      <c r="E759" s="416"/>
      <c r="F759" s="451"/>
      <c r="G759" s="471"/>
      <c r="H759" s="451"/>
      <c r="I759" s="452"/>
      <c r="J759" s="419"/>
      <c r="K759" s="411"/>
      <c r="L759" s="417" t="str" cm="1">
        <f t="array" ca="1" aca="1" ref="L759">_xlfn.IFNA(VLOOKUP(INDIRECT("L"&amp;ROW()-4)&amp;"_"&amp;$D$12,BEGIN_Renew_Dental:END_RENEW_DENTAL,RENEW_COL_FAM,FALSE),"")</f>
        <v/>
      </c>
      <c r="M759" s="423" t="str">
        <f>IF(E759="","",E759)</f>
        <v/>
      </c>
      <c r="N759" s="420"/>
      <c r="O759" s="421"/>
      <c r="P759" s="422" t="str">
        <f>IFERROR(IF($N755="Keep Contribution Same",H759,IF($N755="Enter Percentages",IF(N759="","",N759*L759),IF($N755="Keep Percentage Same",IF(G759="","",G759*L759),IF($N755="Enter Dollar Amount",IF(O759="","",O759),"")))),"")</f>
        <v/>
      </c>
      <c r="Q759" s="417" t="str">
        <f>IFERROR(R759-P759,"")</f>
        <v/>
      </c>
      <c r="R759" s="419" t="str">
        <f>IFERROR(IF(P759="","",M759*P759),"")</f>
        <v/>
      </c>
      <c r="S759" s="411"/>
      <c r="T759" s="417" t="str" cm="1">
        <f t="array" ca="1" aca="1" ref="T759">_xlfn.IFNA(VLOOKUP(INDIRECT("T"&amp;ROW()-4)&amp;"_"&amp;$D$12,BEGIN_Renew_Dental:END_RENEW_DENTAL,RENEW_COL_FAM,FALSE),"")</f>
        <v/>
      </c>
      <c r="U759" s="423" t="str">
        <f t="shared" si="107"/>
        <v/>
      </c>
      <c r="V759" s="420"/>
      <c r="W759" s="421"/>
      <c r="X759" s="422" t="str">
        <f>IFERROR(IF($V755="Keep Contribution Same",H759,IF($V755="Enter Percentages",IF(V759="","",V759*T759),IF($V755="Keep Percentage Same",IF(G759="","",G759*T759),IF($V755="Enter Dollar Amount",IF(W759="","",W759),"")))),"")</f>
        <v/>
      </c>
      <c r="Y759" s="417" t="str">
        <f t="shared" ca="1" si="108"/>
        <v/>
      </c>
      <c r="Z759" s="419" t="str">
        <f t="shared" si="109"/>
        <v/>
      </c>
    </row>
    <row r="760" spans="1:26" ht="18.75" customHeight="1" thickTop="1">
      <c r="A760" s="140"/>
      <c r="B760" s="140"/>
      <c r="D760" s="175" t="s">
        <v>242</v>
      </c>
      <c r="E760" s="424"/>
      <c r="F760" s="427"/>
      <c r="G760" s="426"/>
      <c r="H760" s="427"/>
      <c r="I760" s="428"/>
      <c r="J760" s="429" t="str">
        <f>IFERROR(IF(J756="","",SUM(J756:J759)),0)</f>
        <v/>
      </c>
      <c r="K760" s="1"/>
      <c r="L760" s="424"/>
      <c r="M760" s="427"/>
      <c r="N760" s="426"/>
      <c r="O760" s="427"/>
      <c r="P760" s="431"/>
      <c r="Q760" s="432"/>
      <c r="R760" s="429" t="str">
        <f>IFERROR(IF(R756="","",SUM(R756:R759)),0)</f>
        <v/>
      </c>
      <c r="T760" s="424"/>
      <c r="U760" s="427"/>
      <c r="V760" s="426"/>
      <c r="W760" s="427"/>
      <c r="X760" s="431"/>
      <c r="Y760" s="432"/>
      <c r="Z760" s="429" t="str">
        <f>IFERROR(IF(Z756="","",SUM(Z756:Z759)),0)</f>
        <v/>
      </c>
    </row>
    <row r="761" spans="1:26" ht="18.75" customHeight="1">
      <c r="A761" s="140"/>
      <c r="B761" s="140"/>
      <c r="D761" s="177" t="s">
        <v>243</v>
      </c>
      <c r="E761" s="433"/>
      <c r="F761" s="436"/>
      <c r="G761" s="435"/>
      <c r="H761" s="436"/>
      <c r="I761" s="432"/>
      <c r="J761" s="437" t="str">
        <f>IF(J760="","",J760*12)</f>
        <v/>
      </c>
      <c r="K761" s="1"/>
      <c r="L761" s="433"/>
      <c r="M761" s="436"/>
      <c r="N761" s="435"/>
      <c r="O761" s="436"/>
      <c r="P761" s="432"/>
      <c r="Q761" s="432"/>
      <c r="R761" s="437" t="str">
        <f>IF(R760="","",R760*12)</f>
        <v/>
      </c>
      <c r="T761" s="433"/>
      <c r="U761" s="436"/>
      <c r="V761" s="435"/>
      <c r="W761" s="436"/>
      <c r="X761" s="432"/>
      <c r="Y761" s="432"/>
      <c r="Z761" s="437" t="str">
        <f>IF(Z760="","",Z760*12)</f>
        <v/>
      </c>
    </row>
    <row r="762" spans="1:26" ht="18.75" customHeight="1">
      <c r="A762" s="140"/>
      <c r="B762" s="140"/>
      <c r="D762" s="177" t="s">
        <v>244</v>
      </c>
      <c r="E762" s="433"/>
      <c r="F762" s="436"/>
      <c r="G762" s="435"/>
      <c r="H762" s="436"/>
      <c r="I762" s="432"/>
      <c r="J762" s="437" t="str">
        <f>IFERROR(IF(J761="","",R761-J761),0)</f>
        <v/>
      </c>
      <c r="K762" s="1"/>
      <c r="L762" s="433"/>
      <c r="M762" s="436"/>
      <c r="N762" s="435"/>
      <c r="O762" s="436"/>
      <c r="P762" s="432"/>
      <c r="Q762" s="432"/>
      <c r="R762" s="437" t="str">
        <f>IFERROR(IF(J761="","",R761-J761),0)</f>
        <v/>
      </c>
      <c r="T762" s="433"/>
      <c r="U762" s="436"/>
      <c r="V762" s="435"/>
      <c r="W762" s="436"/>
      <c r="X762" s="432"/>
      <c r="Y762" s="432"/>
      <c r="Z762" s="437" t="str">
        <f>IFERROR(IF(R761="","",Z761-R761),0)</f>
        <v/>
      </c>
    </row>
    <row r="763" spans="1:26" ht="18" customHeight="1" thickBot="1">
      <c r="A763" s="140"/>
      <c r="B763" s="140"/>
      <c r="D763" s="180" t="s">
        <v>245</v>
      </c>
      <c r="E763" s="439"/>
      <c r="F763" s="440"/>
      <c r="G763" s="441"/>
      <c r="H763" s="440"/>
      <c r="I763" s="442"/>
      <c r="J763" s="437" t="str">
        <f>IFERROR(IF(J761="","",(R761/J761)-1),0)</f>
        <v/>
      </c>
      <c r="K763" s="1"/>
      <c r="L763" s="439"/>
      <c r="M763" s="440"/>
      <c r="N763" s="441"/>
      <c r="O763" s="440"/>
      <c r="P763" s="445"/>
      <c r="Q763" s="445"/>
      <c r="R763" s="453" t="str">
        <f>IFERROR(IF(J761="","",(R761/J761)-1),0)</f>
        <v/>
      </c>
      <c r="T763" s="439"/>
      <c r="U763" s="440"/>
      <c r="V763" s="441"/>
      <c r="W763" s="440"/>
      <c r="X763" s="445"/>
      <c r="Y763" s="445"/>
      <c r="Z763" s="446" t="str">
        <f>IFERROR(IF(R761="","",(Z761/R761)-1),0)</f>
        <v/>
      </c>
    </row>
    <row r="764" spans="1:140" s="162" customFormat="1" ht="5.25" customHeight="1" thickBot="1">
      <c r="A764" s="140"/>
      <c r="B764" s="140"/>
      <c r="C764" s="141"/>
      <c r="D764" s="229"/>
      <c r="E764" s="229"/>
      <c r="F764" s="230"/>
      <c r="G764" s="231"/>
      <c r="H764" s="232"/>
      <c r="I764" s="233"/>
      <c r="J764" s="233"/>
      <c r="K764"/>
      <c r="L764" s="233"/>
      <c r="M764" s="233"/>
      <c r="N764" s="233"/>
      <c r="O764" s="233"/>
      <c r="P764" s="233"/>
      <c r="Q764" s="233"/>
      <c r="R764" s="233"/>
      <c r="S764" s="1"/>
      <c r="T764" s="233"/>
      <c r="U764" s="233"/>
      <c r="V764" s="233"/>
      <c r="W764" s="233"/>
      <c r="X764" s="233"/>
      <c r="Y764" s="233"/>
      <c r="Z764" s="233"/>
      <c r="AA764" s="1"/>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row>
    <row r="765" spans="1:34" ht="38.25" customHeight="1" thickTop="1" thickBot="1">
      <c r="A765" s="153"/>
      <c r="B765" s="153"/>
      <c r="C765" s="234"/>
      <c r="D765" s="484" t="s">
        <v>299</v>
      </c>
      <c r="E765" s="485"/>
      <c r="F765" s="485"/>
      <c r="G765" s="485"/>
      <c r="H765" s="485"/>
      <c r="I765" s="485"/>
      <c r="J765" s="485"/>
      <c r="K765" s="485"/>
      <c r="L765" s="485"/>
      <c r="M765" s="485"/>
      <c r="N765" s="485"/>
      <c r="O765" s="485"/>
      <c r="P765" s="485"/>
      <c r="Q765" s="485"/>
      <c r="R765" s="486"/>
      <c r="S765" s="162"/>
      <c r="T765" s="484"/>
      <c r="U765" s="485"/>
      <c r="V765" s="485"/>
      <c r="W765" s="485"/>
      <c r="X765" s="485"/>
      <c r="Y765" s="485"/>
      <c r="Z765" s="485"/>
      <c r="AA765" s="485"/>
      <c r="AB765" s="485"/>
      <c r="AC765" s="485"/>
      <c r="AD765" s="485"/>
      <c r="AE765" s="485"/>
      <c r="AF765" s="485"/>
      <c r="AG765" s="485"/>
      <c r="AH765" s="486"/>
    </row>
    <row r="766" spans="1:26" ht="50.15" customHeight="1">
      <c r="A766" s="140">
        <v>1</v>
      </c>
      <c r="B766" s="140">
        <f>IF(A766&gt;Class2_CurrentVisionCount,"DELETE",Class2_CurrentVisionStart+A766)</f>
        <v>19</v>
      </c>
      <c r="C766" s="164" t="s">
        <v>300</v>
      </c>
      <c r="D766" s="273" t="e">
        <f ca="1">IF(B766="Delete","",VLOOKUP(F766,BEGIN_CURRENT_VISION:END_CURRENT_VISION,3,FALSE))</f>
        <v>#N/A</v>
      </c>
      <c r="E766" s="165"/>
      <c r="F766" s="272" cm="1">
        <f t="array" ca="1" aca="1" ref="F766">IF(B766="Delete","",INDIRECT("CurrentPlans!A"&amp;B766,TRUE))</f>
        <v>0</v>
      </c>
      <c r="G766" s="166"/>
      <c r="H766" s="167"/>
      <c r="I766" s="168"/>
      <c r="J766" s="169"/>
      <c r="K766"/>
      <c r="L766" s="274" t="str">
        <f ca="1">_xlfn.IFNA(VLOOKUP(F766,BEGIN_RENEWEDFROM_DENTAL:ROW_RenewDental_PlanID,3,FALSE),"SELECT PLAN")</f>
        <v>SELECT PLAN</v>
      </c>
      <c r="M766" s="170"/>
      <c r="N766" s="274" t="s">
        <v>237</v>
      </c>
      <c r="O766" s="171"/>
      <c r="P766" s="171"/>
      <c r="Q766" s="171"/>
      <c r="R766" s="169"/>
      <c r="T766" s="274" t="s">
        <v>38</v>
      </c>
      <c r="U766" s="170"/>
      <c r="V766" s="274" t="s">
        <v>237</v>
      </c>
      <c r="W766" s="171"/>
      <c r="X766" s="171"/>
      <c r="Y766" s="171"/>
      <c r="Z766" s="169"/>
    </row>
    <row r="767" spans="1:26" ht="18.75" customHeight="1">
      <c r="A767" s="140"/>
      <c r="B767" s="140"/>
      <c r="D767" s="172" t="s">
        <v>238</v>
      </c>
      <c r="E767" s="407" t="str">
        <f ca="1">_xlfn.IFNA(VLOOKUP(F766,BEGIN_CURRENT_VISION:END_CURRENT_VISION,CURRENT_COL_EO_count,FALSE),"")</f>
        <v/>
      </c>
      <c r="F767" s="408" t="str">
        <f ca="1">_xlfn.IFNA(VLOOKUP(F766,BEGIN_CURRENT_VISION:END_CURRENT_VISION,CURRENT_COL_EO,FALSE),"")</f>
        <v/>
      </c>
      <c r="G767" s="468" t="str">
        <f ca="1" t="shared" si="110" ref="G767:G770">IF(F767="","",H767/F767)</f>
        <v/>
      </c>
      <c r="H767" s="408" t="str">
        <f ca="1">_xlfn.IFNA(VLOOKUP(F766,BEGIN_CURRENT_VISION:END_CURRENT_VISION,CURRENT_COL_EOContrib,FALSE),"")</f>
        <v/>
      </c>
      <c r="I767" s="409" t="str">
        <f ca="1">IFERROR(F767-H767,"")</f>
        <v/>
      </c>
      <c r="J767" s="410" t="str">
        <f ca="1">IF(F767="","",H767*E767)</f>
        <v/>
      </c>
      <c r="K767" s="411"/>
      <c r="L767" s="408" t="str" cm="1">
        <f t="array" ca="1" aca="1" ref="L767">_xlfn.IFNA(VLOOKUP(INDIRECT("L"&amp;ROW()-1)&amp;"_"&amp;$D$12,BEGIN_Renew_Vision:END_RENEW_VISION,RENEW_COL_EO,FALSE),"")</f>
        <v/>
      </c>
      <c r="M767" s="412" t="str">
        <f ca="1">IF(E767="","",E767)</f>
        <v/>
      </c>
      <c r="N767" s="413"/>
      <c r="O767" s="414"/>
      <c r="P767" s="415" t="str">
        <f>IFERROR(IF($N766="Keep Contribution Same",H767,IF($N766="Enter Percentages",IF(N767="","",N767*L767),IF($N766="Keep Percentage Same",IF(G767="","",G767*L767),IF($N766="Enter Dollar Amount",IF(O767="","",O767),"")))),"")</f>
        <v/>
      </c>
      <c r="Q767" s="408" t="str">
        <f ca="1">IFERROR(L767-P767,"")</f>
        <v/>
      </c>
      <c r="R767" s="410" t="str">
        <f>IFERROR(IF(P767="","",M767*P767),"")</f>
        <v/>
      </c>
      <c r="S767" s="411"/>
      <c r="T767" s="408" t="str" cm="1">
        <f t="array" ca="1" aca="1" ref="T767">_xlfn.IFNA(VLOOKUP(INDIRECT("T"&amp;ROW()-1)&amp;"_"&amp;$D$12,BEGIN_Renew_Vision:END_RENEW_VISION,RENEW_COL_EO,FALSE),"")</f>
        <v/>
      </c>
      <c r="U767" s="412" t="str">
        <f ca="1">IF(E767="","",E767)</f>
        <v/>
      </c>
      <c r="V767" s="413"/>
      <c r="W767" s="414"/>
      <c r="X767" s="415" t="str">
        <f>IFERROR(IF($V766="Keep Contribution Same",H767,IF($V766="Enter Percentages",IF(V767="","",V767*T767),IF($V766="Keep Percentage Same",IF(G767="","",G767*T767),IF($V766="Enter Dollar Amount",IF(W767="","",W767),"")))),"")</f>
        <v/>
      </c>
      <c r="Y767" s="408" t="str">
        <f ca="1">IFERROR(T767-X767,"")</f>
        <v/>
      </c>
      <c r="Z767" s="410" t="str">
        <f>IFERROR(IF(X767="","",U767*X767),"")</f>
        <v/>
      </c>
    </row>
    <row r="768" spans="1:26" ht="18.75" customHeight="1">
      <c r="A768" s="140"/>
      <c r="B768" s="140"/>
      <c r="D768" s="172" t="s">
        <v>239</v>
      </c>
      <c r="E768" s="407" t="str">
        <f ca="1">_xlfn.IFNA(VLOOKUP(F766,BEGIN_CURRENT_VISION:END_CURRENT_VISION,CURRENT_COL_ES_count,FALSE),"")</f>
        <v/>
      </c>
      <c r="F768" s="408" t="str">
        <f ca="1">_xlfn.IFNA(VLOOKUP(F766,BEGIN_CURRENT_VISION:END_CURRENT_VISION,CURRENT_COL_ES,FALSE),"")</f>
        <v/>
      </c>
      <c r="G768" s="468" t="str">
        <f t="shared" ca="1" si="110"/>
        <v/>
      </c>
      <c r="H768" s="408" t="str">
        <f ca="1">_xlfn.IFNA(VLOOKUP(F766,BEGIN_CURRENT_VISION:END_CURRENT_VISION,CURRENT_COL_ESContrib,FALSE),"")</f>
        <v/>
      </c>
      <c r="I768" s="409" t="str">
        <f ca="1" t="shared" si="111" ref="I768:I770">IFERROR(F768-H768,"")</f>
        <v/>
      </c>
      <c r="J768" s="410" t="str">
        <f ca="1" t="shared" si="112" ref="J768:J770">IF(F768="","",H768*E768)</f>
        <v/>
      </c>
      <c r="K768" s="411"/>
      <c r="L768" s="408" t="str" cm="1">
        <f t="array" ca="1" aca="1" ref="L768">_xlfn.IFNA(VLOOKUP(INDIRECT("L"&amp;ROW()-2)&amp;"_"&amp;$D$12,BEGIN_Renew_Vision:END_RENEW_VISION,RENEW_COL_ES,FALSE),"")</f>
        <v/>
      </c>
      <c r="M768" s="412" t="str">
        <f ca="1">IF(E768="","",E768)</f>
        <v/>
      </c>
      <c r="N768" s="413"/>
      <c r="O768" s="414"/>
      <c r="P768" s="415" t="str">
        <f>IFERROR(IF($N766="Keep Contribution Same",H768,IF($N766="Enter Percentages",IF(N768="","",N768*L768),IF($N766="Keep Percentage Same",IF(G768="","",G768*L768),IF($N766="Enter Dollar Amount",IF(O768="","",O768),"")))),"")</f>
        <v/>
      </c>
      <c r="Q768" s="408" t="str">
        <f ca="1" t="shared" si="113" ref="Q768:Q770">IFERROR(L768-P768,"")</f>
        <v/>
      </c>
      <c r="R768" s="410" t="str">
        <f>IFERROR(IF(P768="","",M768*P768),"")</f>
        <v/>
      </c>
      <c r="S768" s="411"/>
      <c r="T768" s="408" t="str" cm="1">
        <f t="array" ca="1" aca="1" ref="T768">_xlfn.IFNA(VLOOKUP(INDIRECT("T"&amp;ROW()-2)&amp;"_"&amp;$D$12,BEGIN_Renew_Vision:END_RENEW_VISION,RENEW_COL_ES,FALSE),"")</f>
        <v/>
      </c>
      <c r="U768" s="412" t="str">
        <f ca="1" t="shared" si="114" ref="U768:U770">IF(E768="","",E768)</f>
        <v/>
      </c>
      <c r="V768" s="413"/>
      <c r="W768" s="414"/>
      <c r="X768" s="415" t="str">
        <f>IFERROR(IF($V766="Keep Contribution Same",H768,IF($V766="Enter Percentages",IF(V768="","",V768*T768),IF($V766="Keep Percentage Same",IF(G768="","",G768*T768),IF($V766="Enter Dollar Amount",IF(W768="","",W768),"")))),"")</f>
        <v/>
      </c>
      <c r="Y768" s="408" t="str">
        <f ca="1" t="shared" si="115" ref="Y768:Y770">IFERROR(T768-X768,"")</f>
        <v/>
      </c>
      <c r="Z768" s="410" t="str">
        <f t="shared" si="116" ref="Z768:Z770">IFERROR(IF(X768="","",U768*X768),"")</f>
        <v/>
      </c>
    </row>
    <row r="769" spans="1:26" ht="18.75" customHeight="1">
      <c r="A769" s="140"/>
      <c r="B769" s="140"/>
      <c r="D769" s="172" t="s">
        <v>240</v>
      </c>
      <c r="E769" s="407" t="str">
        <f ca="1">_xlfn.IFNA(VLOOKUP(F766,BEGIN_CURRENT_VISION:END_CURRENT_VISION,CURRENT_COL_EC_count,FALSE),"")</f>
        <v/>
      </c>
      <c r="F769" s="408" t="str">
        <f ca="1">_xlfn.IFNA(VLOOKUP(F766,BEGIN_CURRENT_VISION:END_CURRENT_VISION,CURRENT_COL_EC,FALSE),"")</f>
        <v/>
      </c>
      <c r="G769" s="468" t="str">
        <f t="shared" ca="1" si="110"/>
        <v/>
      </c>
      <c r="H769" s="408" t="str">
        <f ca="1">_xlfn.IFNA(VLOOKUP(F766,BEGIN_CURRENT_VISION:END_CURRENT_VISION,CURRENT_COL_ECContrib,FALSE),"")</f>
        <v/>
      </c>
      <c r="I769" s="409" t="str">
        <f t="shared" ca="1" si="111"/>
        <v/>
      </c>
      <c r="J769" s="410" t="str">
        <f t="shared" ca="1" si="112"/>
        <v/>
      </c>
      <c r="K769" s="411"/>
      <c r="L769" s="408" t="str" cm="1">
        <f t="array" ca="1" aca="1" ref="L769">_xlfn.IFNA(VLOOKUP(INDIRECT("L"&amp;ROW()-3)&amp;"_"&amp;$D$12,BEGIN_Renew_Vision:END_RENEW_VISION,RENEW_COL_EC,FALSE),"")</f>
        <v/>
      </c>
      <c r="M769" s="412" t="str">
        <f ca="1">IF(E769="","",E769)</f>
        <v/>
      </c>
      <c r="N769" s="413"/>
      <c r="O769" s="414"/>
      <c r="P769" s="415" t="str">
        <f>IFERROR(IF($N766="Keep Contribution Same",H769,IF($N766="Enter Percentages",IF(N769="","",N769*L769),IF($N766="Keep Percentage Same",IF(G769="","",G769*L769),IF($N766="Enter Dollar Amount",IF(O769="","",O769),"")))),"")</f>
        <v/>
      </c>
      <c r="Q769" s="408" t="str">
        <f t="shared" ca="1" si="113"/>
        <v/>
      </c>
      <c r="R769" s="410" t="str">
        <f>IFERROR(IF(P769="","",M769*P769),"")</f>
        <v/>
      </c>
      <c r="S769" s="411"/>
      <c r="T769" s="408" t="str" cm="1">
        <f t="array" ca="1" aca="1" ref="T769">_xlfn.IFNA(VLOOKUP(INDIRECT("T"&amp;ROW()-3)&amp;"_"&amp;$D$12,BEGIN_Renew_Vision:END_RENEW_VISION,RENEW_COL_EC,FALSE),"")</f>
        <v/>
      </c>
      <c r="U769" s="412" t="str">
        <f t="shared" ca="1" si="114"/>
        <v/>
      </c>
      <c r="V769" s="413"/>
      <c r="W769" s="414"/>
      <c r="X769" s="415" t="str">
        <f>IFERROR(IF($V766="Keep Contribution Same",H769,IF($V766="Enter Percentages",IF(V769="","",V769*T769),IF($V766="Keep Percentage Same",IF(G769="","",G769*T769),IF($V766="Enter Dollar Amount",IF(W769="","",W769),"")))),"")</f>
        <v/>
      </c>
      <c r="Y769" s="408" t="str">
        <f t="shared" ca="1" si="115"/>
        <v/>
      </c>
      <c r="Z769" s="410" t="str">
        <f t="shared" si="116"/>
        <v/>
      </c>
    </row>
    <row r="770" spans="1:26" ht="18.75" customHeight="1" thickBot="1">
      <c r="A770" s="140"/>
      <c r="B770" s="140"/>
      <c r="D770" s="174" t="s">
        <v>241</v>
      </c>
      <c r="E770" s="416" t="str">
        <f ca="1">_xlfn.IFNA(VLOOKUP(F766,BEGIN_CURRENT_VISION:END_CURRENT_VISION,CURRENT_COL_FAM_count,FALSE),"")</f>
        <v/>
      </c>
      <c r="F770" s="417" t="str">
        <f ca="1">_xlfn.IFNA(VLOOKUP(F766,BEGIN_CURRENT_VISION:END_CURRENT_VISION,CURRENT_COL_FAM,FALSE),"")</f>
        <v/>
      </c>
      <c r="G770" s="469" t="str">
        <f t="shared" ca="1" si="110"/>
        <v/>
      </c>
      <c r="H770" s="417" t="str">
        <f ca="1">_xlfn.IFNA(VLOOKUP(F766,BEGIN_CURRENT_VISION:END_CURRENT_VISION,CURRENT_COL_FAMContrib,FALSE),"")</f>
        <v/>
      </c>
      <c r="I770" s="409" t="str">
        <f t="shared" ca="1" si="111"/>
        <v/>
      </c>
      <c r="J770" s="410" t="str">
        <f t="shared" ca="1" si="112"/>
        <v/>
      </c>
      <c r="K770" s="411"/>
      <c r="L770" s="417" t="str" cm="1">
        <f t="array" ca="1" aca="1" ref="L770">_xlfn.IFNA(VLOOKUP(INDIRECT("L"&amp;ROW()-4)&amp;"_"&amp;$D$12,BEGIN_Renew_Vision:END_RENEW_VISION,RENEW_COL_FAM,FALSE),"")</f>
        <v/>
      </c>
      <c r="M770" s="423" t="str">
        <f ca="1">IF(E770="","",E770)</f>
        <v/>
      </c>
      <c r="N770" s="420"/>
      <c r="O770" s="421"/>
      <c r="P770" s="422" t="str">
        <f>IFERROR(IF($N766="Keep Contribution Same",H770,IF($N766="Enter Percentages",IF(N770="","",N770*L770),IF($N766="Keep Percentage Same",IF(G770="","",G770*L770),IF($N766="Enter Dollar Amount",IF(O770="","",O770),"")))),"")</f>
        <v/>
      </c>
      <c r="Q770" s="417" t="str">
        <f t="shared" ca="1" si="113"/>
        <v/>
      </c>
      <c r="R770" s="419" t="str">
        <f>IFERROR(IF(P770="","",M770*P770),"")</f>
        <v/>
      </c>
      <c r="S770" s="411"/>
      <c r="T770" s="417" t="str" cm="1">
        <f t="array" ca="1" aca="1" ref="T770">_xlfn.IFNA(VLOOKUP(INDIRECT("T"&amp;ROW()-4)&amp;"_"&amp;$D$12,BEGIN_Renew_Vision:END_RENEW_VISION,RENEW_COL_FAM,FALSE),"")</f>
        <v/>
      </c>
      <c r="U770" s="423" t="str">
        <f t="shared" ca="1" si="114"/>
        <v/>
      </c>
      <c r="V770" s="420"/>
      <c r="W770" s="421"/>
      <c r="X770" s="422" t="str">
        <f>IFERROR(IF($V766="Keep Contribution Same",H770,IF($V766="Enter Percentages",IF(V770="","",V770*T770),IF($V766="Keep Percentage Same",IF(G770="","",G770*T770),IF($V766="Enter Dollar Amount",IF(W770="","",W770),"")))),"")</f>
        <v/>
      </c>
      <c r="Y770" s="417" t="str">
        <f t="shared" ca="1" si="115"/>
        <v/>
      </c>
      <c r="Z770" s="419" t="str">
        <f t="shared" si="116"/>
        <v/>
      </c>
    </row>
    <row r="771" spans="1:26" ht="18.75" customHeight="1" thickTop="1">
      <c r="A771" s="140"/>
      <c r="B771" s="140"/>
      <c r="D771" s="175" t="s">
        <v>242</v>
      </c>
      <c r="E771" s="424"/>
      <c r="F771" s="427"/>
      <c r="G771" s="426"/>
      <c r="H771" s="427"/>
      <c r="I771" s="428"/>
      <c r="J771" s="429" t="str">
        <f ca="1">IFERROR(IF(J767="","",SUM(J767:J770)),0)</f>
        <v/>
      </c>
      <c r="K771" s="1"/>
      <c r="L771" s="424"/>
      <c r="M771" s="427"/>
      <c r="N771" s="426"/>
      <c r="O771" s="427"/>
      <c r="P771" s="431"/>
      <c r="Q771" s="432"/>
      <c r="R771" s="429" t="str">
        <f>IFERROR(IF(R767="","",SUM(R767:R770)),0)</f>
        <v/>
      </c>
      <c r="T771" s="424"/>
      <c r="U771" s="427"/>
      <c r="V771" s="426"/>
      <c r="W771" s="427"/>
      <c r="X771" s="431"/>
      <c r="Y771" s="432"/>
      <c r="Z771" s="429" t="str">
        <f>IFERROR(IF(Z767="","",SUM(Z767:Z770)),0)</f>
        <v/>
      </c>
    </row>
    <row r="772" spans="1:26" ht="18.75" customHeight="1">
      <c r="A772" s="140"/>
      <c r="B772" s="140"/>
      <c r="D772" s="177" t="s">
        <v>243</v>
      </c>
      <c r="E772" s="433"/>
      <c r="F772" s="436"/>
      <c r="G772" s="435"/>
      <c r="H772" s="436"/>
      <c r="I772" s="432"/>
      <c r="J772" s="437" t="str">
        <f ca="1">IF(J771="","",J771*12)</f>
        <v/>
      </c>
      <c r="K772" s="1"/>
      <c r="L772" s="433"/>
      <c r="M772" s="436"/>
      <c r="N772" s="435"/>
      <c r="O772" s="436"/>
      <c r="P772" s="432"/>
      <c r="Q772" s="432"/>
      <c r="R772" s="437" t="str">
        <f>IF(R771="","",R771*12)</f>
        <v/>
      </c>
      <c r="T772" s="433"/>
      <c r="U772" s="436"/>
      <c r="V772" s="435"/>
      <c r="W772" s="436"/>
      <c r="X772" s="432"/>
      <c r="Y772" s="432"/>
      <c r="Z772" s="437" t="str">
        <f>IF(Z771="","",Z771*12)</f>
        <v/>
      </c>
    </row>
    <row r="773" spans="1:26" ht="18.75" customHeight="1">
      <c r="A773" s="140"/>
      <c r="B773" s="140"/>
      <c r="D773" s="177" t="s">
        <v>244</v>
      </c>
      <c r="E773" s="433"/>
      <c r="F773" s="436"/>
      <c r="G773" s="435"/>
      <c r="H773" s="436"/>
      <c r="I773" s="432"/>
      <c r="J773" s="437" t="str">
        <f ca="1">IFERROR(IF(J772="","",R772-J772),0)</f>
        <v/>
      </c>
      <c r="K773" s="1"/>
      <c r="L773" s="433"/>
      <c r="M773" s="436"/>
      <c r="N773" s="435"/>
      <c r="O773" s="436"/>
      <c r="P773" s="432"/>
      <c r="Q773" s="432"/>
      <c r="R773" s="437" t="str">
        <f ca="1">IFERROR(IF(J772="","",R772-J772),0)</f>
        <v/>
      </c>
      <c r="T773" s="433"/>
      <c r="U773" s="436"/>
      <c r="V773" s="435"/>
      <c r="W773" s="436"/>
      <c r="X773" s="432"/>
      <c r="Y773" s="432"/>
      <c r="Z773" s="437" t="str">
        <f>IFERROR(IF(R772="","",Z772-R772),0)</f>
        <v/>
      </c>
    </row>
    <row r="774" spans="1:26" ht="18" customHeight="1" thickBot="1">
      <c r="A774" s="140"/>
      <c r="B774" s="140"/>
      <c r="D774" s="180" t="s">
        <v>245</v>
      </c>
      <c r="E774" s="439"/>
      <c r="F774" s="440"/>
      <c r="G774" s="441"/>
      <c r="H774" s="440"/>
      <c r="I774" s="442"/>
      <c r="J774" s="437" t="str">
        <f ca="1">IFERROR(IF(J772="","",(R772/J772)-1),0)</f>
        <v/>
      </c>
      <c r="K774" s="1"/>
      <c r="L774" s="439"/>
      <c r="M774" s="440"/>
      <c r="N774" s="441"/>
      <c r="O774" s="440"/>
      <c r="P774" s="445"/>
      <c r="Q774" s="445"/>
      <c r="R774" s="453" t="str">
        <f ca="1">IFERROR(IF(J772="","",(R772/J772)-1),0)</f>
        <v/>
      </c>
      <c r="T774" s="439"/>
      <c r="U774" s="440"/>
      <c r="V774" s="441"/>
      <c r="W774" s="440"/>
      <c r="X774" s="445"/>
      <c r="Y774" s="445"/>
      <c r="Z774" s="446" t="str">
        <f>IFERROR(IF(R772="","",(Z772/R772)-1),0)</f>
        <v/>
      </c>
    </row>
    <row r="775" spans="1:26" ht="5.25" customHeight="1" thickBot="1">
      <c r="A775" s="140"/>
      <c r="B775" s="140"/>
      <c r="D775" s="229"/>
      <c r="E775" s="229"/>
      <c r="F775" s="230"/>
      <c r="G775" s="231"/>
      <c r="H775" s="232"/>
      <c r="I775" s="233"/>
      <c r="J775" s="233"/>
      <c r="K775"/>
      <c r="L775" s="233"/>
      <c r="M775" s="233"/>
      <c r="N775" s="233"/>
      <c r="O775" s="233"/>
      <c r="P775" s="233"/>
      <c r="Q775" s="233"/>
      <c r="R775" s="233"/>
      <c r="T775" s="233"/>
      <c r="U775" s="233"/>
      <c r="V775" s="233"/>
      <c r="W775" s="233"/>
      <c r="X775" s="233"/>
      <c r="Y775" s="233"/>
      <c r="Z775" s="233"/>
    </row>
    <row r="776" spans="1:26" ht="50.15" customHeight="1">
      <c r="A776" s="140">
        <v>2</v>
      </c>
      <c r="B776" s="140">
        <f>IF(A776&gt;Class2_CurrentVisionCount,"DELETE",Class2_CurrentVisionStart+A776)</f>
        <v>20</v>
      </c>
      <c r="C776" s="164" t="s">
        <v>301</v>
      </c>
      <c r="D776" s="273" t="e">
        <f ca="1">IF(B776="Delete","",VLOOKUP(F776,BEGIN_CURRENT_VISION:END_CURRENT_VISION,3,FALSE))</f>
        <v>#N/A</v>
      </c>
      <c r="E776" s="165"/>
      <c r="F776" s="272" cm="1">
        <f t="array" ca="1" aca="1" ref="F776">IF(B776="Delete","",INDIRECT("CurrentPlans!A"&amp;B776,TRUE))</f>
        <v>0</v>
      </c>
      <c r="G776" s="166"/>
      <c r="H776" s="167"/>
      <c r="I776" s="168"/>
      <c r="J776" s="169"/>
      <c r="K776"/>
      <c r="L776" s="274" t="str">
        <f ca="1">_xlfn.IFNA(VLOOKUP(F776,BEGIN_RENEWEDFROM_DENTAL:ROW_RenewDental_PlanID,3,FALSE),"SELECT PLAN")</f>
        <v>SELECT PLAN</v>
      </c>
      <c r="M776" s="170"/>
      <c r="N776" s="274" t="s">
        <v>237</v>
      </c>
      <c r="O776" s="171"/>
      <c r="P776" s="171"/>
      <c r="Q776" s="171"/>
      <c r="R776" s="169"/>
      <c r="T776" s="274" t="s">
        <v>38</v>
      </c>
      <c r="U776" s="170"/>
      <c r="V776" s="274" t="s">
        <v>237</v>
      </c>
      <c r="W776" s="171"/>
      <c r="X776" s="171"/>
      <c r="Y776" s="171"/>
      <c r="Z776" s="169"/>
    </row>
    <row r="777" spans="1:26" ht="18.75" customHeight="1">
      <c r="A777" s="140"/>
      <c r="B777" s="140"/>
      <c r="D777" s="172" t="s">
        <v>238</v>
      </c>
      <c r="E777" s="407" t="str">
        <f ca="1">_xlfn.IFNA(VLOOKUP(F776,BEGIN_CURRENT_VISION:END_CURRENT_VISION,CURRENT_COL_EO_count,FALSE),"")</f>
        <v/>
      </c>
      <c r="F777" s="408" t="str">
        <f ca="1">_xlfn.IFNA(VLOOKUP(F776,BEGIN_CURRENT_VISION:END_CURRENT_VISION,CURRENT_COL_EO,FALSE),"")</f>
        <v/>
      </c>
      <c r="G777" s="468" t="str">
        <f ca="1" t="shared" si="117" ref="G777:G780">IF(F777="","",H777/F777)</f>
        <v/>
      </c>
      <c r="H777" s="408" t="str">
        <f ca="1">_xlfn.IFNA(VLOOKUP(F776,BEGIN_CURRENT_VISION:END_CURRENT_VISION,CURRENT_COL_EOContrib,FALSE),"")</f>
        <v/>
      </c>
      <c r="I777" s="409" t="str">
        <f ca="1">IFERROR(F777-H777,"")</f>
        <v/>
      </c>
      <c r="J777" s="410" t="str">
        <f ca="1">IF(F777="","",H777*E777)</f>
        <v/>
      </c>
      <c r="K777" s="411"/>
      <c r="L777" s="408" t="str" cm="1">
        <f t="array" ca="1" aca="1" ref="L777">_xlfn.IFNA(VLOOKUP(INDIRECT("L"&amp;ROW()-1)&amp;"_"&amp;$D$12,BEGIN_Renew_Vision:END_RENEW_VISION,RENEW_COL_EO,FALSE),"")</f>
        <v/>
      </c>
      <c r="M777" s="412" t="str">
        <f ca="1">IF(E777="","",E777)</f>
        <v/>
      </c>
      <c r="N777" s="413"/>
      <c r="O777" s="414"/>
      <c r="P777" s="415" t="str">
        <f>IFERROR(IF($N776="Keep Contribution Same",H777,IF($N776="Enter Percentages",IF(N777="","",N777*L777),IF($N776="Keep Percentage Same",IF(G777="","",G777*L777),IF($N776="Enter Dollar Amount",IF(O777="","",O777),"")))),"")</f>
        <v/>
      </c>
      <c r="Q777" s="408" t="str">
        <f ca="1">IFERROR(L777-P777,"")</f>
        <v/>
      </c>
      <c r="R777" s="410" t="str">
        <f>IFERROR(IF(P777="","",M777*P777),"")</f>
        <v/>
      </c>
      <c r="S777" s="411"/>
      <c r="T777" s="408" t="str" cm="1">
        <f t="array" ca="1" aca="1" ref="T777">_xlfn.IFNA(VLOOKUP(INDIRECT("T"&amp;ROW()-1)&amp;"_"&amp;$D$12,BEGIN_Renew_Vision:END_RENEW_VISION,RENEW_COL_EO,FALSE),"")</f>
        <v/>
      </c>
      <c r="U777" s="412" t="str">
        <f ca="1">IF(E777="","",E777)</f>
        <v/>
      </c>
      <c r="V777" s="413"/>
      <c r="W777" s="414"/>
      <c r="X777" s="415" t="str">
        <f>IFERROR(IF($V776="Keep Contribution Same",H777,IF($V776="Enter Percentages",IF(V777="","",V777*T777),IF($V776="Keep Percentage Same",IF(G777="","",G777*T777),IF($V776="Enter Dollar Amount",IF(W777="","",W777),"")))),"")</f>
        <v/>
      </c>
      <c r="Y777" s="408" t="str">
        <f ca="1">IFERROR(T777-X777,"")</f>
        <v/>
      </c>
      <c r="Z777" s="410" t="str">
        <f>IFERROR(IF(X777="","",U777*X777),"")</f>
        <v/>
      </c>
    </row>
    <row r="778" spans="1:26" ht="18.75" customHeight="1">
      <c r="A778" s="140"/>
      <c r="B778" s="140"/>
      <c r="D778" s="172" t="s">
        <v>239</v>
      </c>
      <c r="E778" s="407" t="str">
        <f ca="1">_xlfn.IFNA(VLOOKUP(F776,BEGIN_CURRENT_VISION:END_CURRENT_VISION,CURRENT_COL_ES_count,FALSE),"")</f>
        <v/>
      </c>
      <c r="F778" s="408" t="str">
        <f ca="1">_xlfn.IFNA(VLOOKUP(F776,BEGIN_CURRENT_VISION:END_CURRENT_VISION,CURRENT_COL_ES,FALSE),"")</f>
        <v/>
      </c>
      <c r="G778" s="468" t="str">
        <f t="shared" ca="1" si="117"/>
        <v/>
      </c>
      <c r="H778" s="408" t="str">
        <f ca="1">_xlfn.IFNA(VLOOKUP(F776,BEGIN_CURRENT_VISION:END_CURRENT_VISION,CURRENT_COL_ESContrib,FALSE),"")</f>
        <v/>
      </c>
      <c r="I778" s="409" t="str">
        <f ca="1" t="shared" si="118" ref="I778:I780">IFERROR(F778-H778,"")</f>
        <v/>
      </c>
      <c r="J778" s="410" t="str">
        <f ca="1" t="shared" si="119" ref="J778:J780">IF(F778="","",H778*E778)</f>
        <v/>
      </c>
      <c r="K778" s="411"/>
      <c r="L778" s="408" t="str" cm="1">
        <f t="array" ca="1" aca="1" ref="L778">_xlfn.IFNA(VLOOKUP(INDIRECT("L"&amp;ROW()-2)&amp;"_"&amp;$D$12,BEGIN_Renew_Vision:END_RENEW_VISION,RENEW_COL_ES,FALSE),"")</f>
        <v/>
      </c>
      <c r="M778" s="412" t="str">
        <f ca="1">IF(E778="","",E778)</f>
        <v/>
      </c>
      <c r="N778" s="413"/>
      <c r="O778" s="414"/>
      <c r="P778" s="415" t="str">
        <f>IFERROR(IF($N776="Keep Contribution Same",H778,IF($N776="Enter Percentages",IF(N778="","",N778*L778),IF($N776="Keep Percentage Same",IF(G778="","",G778*L778),IF($N776="Enter Dollar Amount",IF(O778="","",O778),"")))),"")</f>
        <v/>
      </c>
      <c r="Q778" s="408" t="str">
        <f ca="1" t="shared" si="120" ref="Q778:Q780">IFERROR(L778-P778,"")</f>
        <v/>
      </c>
      <c r="R778" s="410" t="str">
        <f>IFERROR(IF(P778="","",M778*P778),"")</f>
        <v/>
      </c>
      <c r="S778" s="411"/>
      <c r="T778" s="408" t="str" cm="1">
        <f t="array" ca="1" aca="1" ref="T778">_xlfn.IFNA(VLOOKUP(INDIRECT("T"&amp;ROW()-2)&amp;"_"&amp;$D$12,BEGIN_Renew_Vision:END_RENEW_VISION,RENEW_COL_ES,FALSE),"")</f>
        <v/>
      </c>
      <c r="U778" s="412" t="str">
        <f ca="1" t="shared" si="121" ref="U778:U780">IF(E778="","",E778)</f>
        <v/>
      </c>
      <c r="V778" s="413"/>
      <c r="W778" s="414"/>
      <c r="X778" s="415" t="str">
        <f>IFERROR(IF($V776="Keep Contribution Same",H778,IF($V776="Enter Percentages",IF(V778="","",V778*T778),IF($V776="Keep Percentage Same",IF(G778="","",G778*T778),IF($V776="Enter Dollar Amount",IF(W778="","",W778),"")))),"")</f>
        <v/>
      </c>
      <c r="Y778" s="408" t="str">
        <f ca="1" t="shared" si="122" ref="Y778:Y780">IFERROR(T778-X778,"")</f>
        <v/>
      </c>
      <c r="Z778" s="410" t="str">
        <f t="shared" si="123" ref="Z778:Z780">IFERROR(IF(X778="","",U778*X778),"")</f>
        <v/>
      </c>
    </row>
    <row r="779" spans="1:26" ht="18.75" customHeight="1">
      <c r="A779" s="140"/>
      <c r="B779" s="140"/>
      <c r="D779" s="172" t="s">
        <v>240</v>
      </c>
      <c r="E779" s="407" t="str">
        <f ca="1">_xlfn.IFNA(VLOOKUP(F776,BEGIN_CURRENT_VISION:END_CURRENT_VISION,CURRENT_COL_EC_count,FALSE),"")</f>
        <v/>
      </c>
      <c r="F779" s="408" t="str">
        <f ca="1">_xlfn.IFNA(VLOOKUP(F776,BEGIN_CURRENT_VISION:END_CURRENT_VISION,CURRENT_COL_EC,FALSE),"")</f>
        <v/>
      </c>
      <c r="G779" s="468" t="str">
        <f t="shared" ca="1" si="117"/>
        <v/>
      </c>
      <c r="H779" s="408" t="str">
        <f ca="1">_xlfn.IFNA(VLOOKUP(F776,BEGIN_CURRENT_VISION:END_CURRENT_VISION,CURRENT_COL_ECContrib,FALSE),"")</f>
        <v/>
      </c>
      <c r="I779" s="409" t="str">
        <f t="shared" ca="1" si="118"/>
        <v/>
      </c>
      <c r="J779" s="410" t="str">
        <f t="shared" ca="1" si="119"/>
        <v/>
      </c>
      <c r="K779" s="411"/>
      <c r="L779" s="408" t="str" cm="1">
        <f t="array" ca="1" aca="1" ref="L779">_xlfn.IFNA(VLOOKUP(INDIRECT("L"&amp;ROW()-3)&amp;"_"&amp;$D$12,BEGIN_Renew_Vision:END_RENEW_VISION,RENEW_COL_EC,FALSE),"")</f>
        <v/>
      </c>
      <c r="M779" s="412" t="str">
        <f ca="1">IF(E779="","",E779)</f>
        <v/>
      </c>
      <c r="N779" s="413"/>
      <c r="O779" s="414"/>
      <c r="P779" s="415" t="str">
        <f>IFERROR(IF($N776="Keep Contribution Same",H779,IF($N776="Enter Percentages",IF(N779="","",N779*L779),IF($N776="Keep Percentage Same",IF(G779="","",G779*L779),IF($N776="Enter Dollar Amount",IF(O779="","",O779),"")))),"")</f>
        <v/>
      </c>
      <c r="Q779" s="408" t="str">
        <f t="shared" ca="1" si="120"/>
        <v/>
      </c>
      <c r="R779" s="410" t="str">
        <f>IFERROR(IF(P779="","",M779*P779),"")</f>
        <v/>
      </c>
      <c r="S779" s="411"/>
      <c r="T779" s="408" t="str" cm="1">
        <f t="array" ca="1" aca="1" ref="T779">_xlfn.IFNA(VLOOKUP(INDIRECT("T"&amp;ROW()-3)&amp;"_"&amp;$D$12,BEGIN_Renew_Vision:END_RENEW_VISION,RENEW_COL_EC,FALSE),"")</f>
        <v/>
      </c>
      <c r="U779" s="412" t="str">
        <f t="shared" ca="1" si="121"/>
        <v/>
      </c>
      <c r="V779" s="413"/>
      <c r="W779" s="414"/>
      <c r="X779" s="415" t="str">
        <f>IFERROR(IF($V776="Keep Contribution Same",H779,IF($V776="Enter Percentages",IF(V779="","",V779*T779),IF($V776="Keep Percentage Same",IF(G779="","",G779*T779),IF($V776="Enter Dollar Amount",IF(W779="","",W779),"")))),"")</f>
        <v/>
      </c>
      <c r="Y779" s="408" t="str">
        <f t="shared" ca="1" si="122"/>
        <v/>
      </c>
      <c r="Z779" s="410" t="str">
        <f t="shared" si="123"/>
        <v/>
      </c>
    </row>
    <row r="780" spans="1:26" ht="18.75" customHeight="1" thickBot="1">
      <c r="A780" s="140"/>
      <c r="B780" s="140"/>
      <c r="D780" s="174" t="s">
        <v>241</v>
      </c>
      <c r="E780" s="416" t="str">
        <f ca="1">_xlfn.IFNA(VLOOKUP(F776,BEGIN_CURRENT_VISION:END_CURRENT_VISION,CURRENT_COL_FAM_count,FALSE),"")</f>
        <v/>
      </c>
      <c r="F780" s="417" t="str">
        <f ca="1">_xlfn.IFNA(VLOOKUP(F776,BEGIN_CURRENT_VISION:END_CURRENT_VISION,CURRENT_COL_FAM,FALSE),"")</f>
        <v/>
      </c>
      <c r="G780" s="469" t="str">
        <f t="shared" ca="1" si="117"/>
        <v/>
      </c>
      <c r="H780" s="417" t="str">
        <f ca="1">_xlfn.IFNA(VLOOKUP(F776,BEGIN_CURRENT_VISION:END_CURRENT_VISION,CURRENT_COL_FAMContrib,FALSE),"")</f>
        <v/>
      </c>
      <c r="I780" s="409" t="str">
        <f t="shared" ca="1" si="118"/>
        <v/>
      </c>
      <c r="J780" s="410" t="str">
        <f t="shared" ca="1" si="119"/>
        <v/>
      </c>
      <c r="K780" s="411"/>
      <c r="L780" s="417" t="str" cm="1">
        <f t="array" ca="1" aca="1" ref="L780">_xlfn.IFNA(VLOOKUP(INDIRECT("L"&amp;ROW()-4)&amp;"_"&amp;$D$12,BEGIN_Renew_Vision:END_RENEW_VISION,RENEW_COL_FAM,FALSE),"")</f>
        <v/>
      </c>
      <c r="M780" s="423" t="str">
        <f ca="1">IF(E780="","",E780)</f>
        <v/>
      </c>
      <c r="N780" s="420"/>
      <c r="O780" s="421"/>
      <c r="P780" s="422" t="str">
        <f>IFERROR(IF($N776="Keep Contribution Same",H780,IF($N776="Enter Percentages",IF(N780="","",N780*L780),IF($N776="Keep Percentage Same",IF(G780="","",G780*L780),IF($N776="Enter Dollar Amount",IF(O780="","",O780),"")))),"")</f>
        <v/>
      </c>
      <c r="Q780" s="417" t="str">
        <f t="shared" ca="1" si="120"/>
        <v/>
      </c>
      <c r="R780" s="419" t="str">
        <f>IFERROR(IF(P780="","",M780*P780),"")</f>
        <v/>
      </c>
      <c r="S780" s="411"/>
      <c r="T780" s="417" t="str" cm="1">
        <f t="array" ca="1" aca="1" ref="T780">_xlfn.IFNA(VLOOKUP(INDIRECT("T"&amp;ROW()-4)&amp;"_"&amp;$D$12,BEGIN_Renew_Vision:END_RENEW_VISION,RENEW_COL_FAM,FALSE),"")</f>
        <v/>
      </c>
      <c r="U780" s="423" t="str">
        <f t="shared" ca="1" si="121"/>
        <v/>
      </c>
      <c r="V780" s="420"/>
      <c r="W780" s="421"/>
      <c r="X780" s="422" t="str">
        <f>IFERROR(IF($V776="Keep Contribution Same",H780,IF($V776="Enter Percentages",IF(V780="","",V780*T780),IF($V776="Keep Percentage Same",IF(G780="","",G780*T780),IF($V776="Enter Dollar Amount",IF(W780="","",W780),"")))),"")</f>
        <v/>
      </c>
      <c r="Y780" s="417" t="str">
        <f t="shared" ca="1" si="122"/>
        <v/>
      </c>
      <c r="Z780" s="419" t="str">
        <f t="shared" si="123"/>
        <v/>
      </c>
    </row>
    <row r="781" spans="1:26" ht="18.75" customHeight="1" thickTop="1">
      <c r="A781" s="140"/>
      <c r="B781" s="140"/>
      <c r="D781" s="175" t="s">
        <v>242</v>
      </c>
      <c r="E781" s="424"/>
      <c r="F781" s="427"/>
      <c r="G781" s="426"/>
      <c r="H781" s="427"/>
      <c r="I781" s="428"/>
      <c r="J781" s="429" t="str">
        <f ca="1">IFERROR(IF(J777="","",SUM(J777:J780)),0)</f>
        <v/>
      </c>
      <c r="K781" s="1"/>
      <c r="L781" s="424"/>
      <c r="M781" s="427"/>
      <c r="N781" s="426"/>
      <c r="O781" s="427"/>
      <c r="P781" s="431"/>
      <c r="Q781" s="432"/>
      <c r="R781" s="429" t="str">
        <f>IFERROR(IF(R777="","",SUM(R777:R780)),0)</f>
        <v/>
      </c>
      <c r="T781" s="424"/>
      <c r="U781" s="427"/>
      <c r="V781" s="426"/>
      <c r="W781" s="427"/>
      <c r="X781" s="431"/>
      <c r="Y781" s="432"/>
      <c r="Z781" s="429" t="str">
        <f>IFERROR(IF(Z777="","",SUM(Z777:Z780)),0)</f>
        <v/>
      </c>
    </row>
    <row r="782" spans="1:26" ht="18.75" customHeight="1">
      <c r="A782" s="140"/>
      <c r="B782" s="140"/>
      <c r="D782" s="177" t="s">
        <v>243</v>
      </c>
      <c r="E782" s="433"/>
      <c r="F782" s="436"/>
      <c r="G782" s="435"/>
      <c r="H782" s="436"/>
      <c r="I782" s="432"/>
      <c r="J782" s="437" t="str">
        <f ca="1">IF(J781="","",J781*12)</f>
        <v/>
      </c>
      <c r="K782" s="1"/>
      <c r="L782" s="433"/>
      <c r="M782" s="436"/>
      <c r="N782" s="435"/>
      <c r="O782" s="436"/>
      <c r="P782" s="432"/>
      <c r="Q782" s="432"/>
      <c r="R782" s="437" t="str">
        <f>IF(R781="","",R781*12)</f>
        <v/>
      </c>
      <c r="T782" s="433"/>
      <c r="U782" s="436"/>
      <c r="V782" s="435"/>
      <c r="W782" s="436"/>
      <c r="X782" s="432"/>
      <c r="Y782" s="432"/>
      <c r="Z782" s="437" t="str">
        <f>IF(Z781="","",Z781*12)</f>
        <v/>
      </c>
    </row>
    <row r="783" spans="1:26" ht="18" customHeight="1">
      <c r="A783" s="140"/>
      <c r="B783" s="140"/>
      <c r="D783" s="177" t="s">
        <v>244</v>
      </c>
      <c r="E783" s="433"/>
      <c r="F783" s="436"/>
      <c r="G783" s="435"/>
      <c r="H783" s="436"/>
      <c r="I783" s="432"/>
      <c r="J783" s="437" t="str">
        <f ca="1">IFERROR(IF(J782="","",R782-J782),0)</f>
        <v/>
      </c>
      <c r="K783" s="1"/>
      <c r="L783" s="433"/>
      <c r="M783" s="436"/>
      <c r="N783" s="435"/>
      <c r="O783" s="436"/>
      <c r="P783" s="432"/>
      <c r="Q783" s="432"/>
      <c r="R783" s="437" t="str">
        <f ca="1">IFERROR(IF(J782="","",R782-J782),0)</f>
        <v/>
      </c>
      <c r="T783" s="433"/>
      <c r="U783" s="436"/>
      <c r="V783" s="435"/>
      <c r="W783" s="436"/>
      <c r="X783" s="432"/>
      <c r="Y783" s="432"/>
      <c r="Z783" s="437" t="str">
        <f>IFERROR(IF(R782="","",Z782-R782),0)</f>
        <v/>
      </c>
    </row>
    <row r="784" spans="1:26" ht="18" customHeight="1" thickBot="1">
      <c r="A784" s="140"/>
      <c r="B784" s="140"/>
      <c r="D784" s="180" t="s">
        <v>245</v>
      </c>
      <c r="E784" s="439"/>
      <c r="F784" s="440"/>
      <c r="G784" s="441"/>
      <c r="H784" s="440"/>
      <c r="I784" s="442"/>
      <c r="J784" s="437" t="str">
        <f ca="1">IFERROR(IF(J782="","",(R782/J782)-1),0)</f>
        <v/>
      </c>
      <c r="K784" s="1"/>
      <c r="L784" s="439"/>
      <c r="M784" s="440"/>
      <c r="N784" s="441"/>
      <c r="O784" s="440"/>
      <c r="P784" s="445"/>
      <c r="Q784" s="445"/>
      <c r="R784" s="453" t="str">
        <f ca="1">IFERROR(IF(J782="","",(R782/J782)-1),0)</f>
        <v/>
      </c>
      <c r="T784" s="439"/>
      <c r="U784" s="440"/>
      <c r="V784" s="441"/>
      <c r="W784" s="440"/>
      <c r="X784" s="445"/>
      <c r="Y784" s="445"/>
      <c r="Z784" s="446" t="str">
        <f>IFERROR(IF(R782="","",(Z782/R782)-1),0)</f>
        <v/>
      </c>
    </row>
    <row r="785" spans="1:26" ht="5.25" customHeight="1" thickBot="1">
      <c r="A785" s="140"/>
      <c r="B785" s="140"/>
      <c r="D785" s="229"/>
      <c r="E785" s="229"/>
      <c r="F785" s="230"/>
      <c r="G785" s="231"/>
      <c r="H785" s="232"/>
      <c r="I785" s="233"/>
      <c r="J785" s="233"/>
      <c r="K785"/>
      <c r="L785" s="233"/>
      <c r="M785" s="233"/>
      <c r="N785" s="233"/>
      <c r="O785" s="233"/>
      <c r="P785" s="233"/>
      <c r="Q785" s="233"/>
      <c r="R785" s="233"/>
      <c r="T785" s="233"/>
      <c r="U785" s="233"/>
      <c r="V785" s="233"/>
      <c r="W785" s="233"/>
      <c r="X785" s="233"/>
      <c r="Y785" s="233"/>
      <c r="Z785" s="233"/>
    </row>
    <row r="786" spans="1:26" ht="50.15" customHeight="1">
      <c r="A786" s="140">
        <v>3</v>
      </c>
      <c r="B786" s="140">
        <f>IF(A786&gt;Class2_CurrentVisionCount,"DELETE",Class2_CurrentVisionStart+A786)</f>
        <v>21</v>
      </c>
      <c r="C786" s="164" t="s">
        <v>302</v>
      </c>
      <c r="D786" s="273" t="e">
        <f ca="1">IF(B786="Delete","",VLOOKUP(F786,BEGIN_CURRENT_VISION:END_CURRENT_VISION,3,FALSE))</f>
        <v>#N/A</v>
      </c>
      <c r="E786" s="165"/>
      <c r="F786" s="272" cm="1">
        <f t="array" ca="1" aca="1" ref="F786">IF(B786="Delete","",INDIRECT("CurrentPlans!A"&amp;B786,TRUE))</f>
        <v>0</v>
      </c>
      <c r="G786" s="166"/>
      <c r="H786" s="167"/>
      <c r="I786" s="168"/>
      <c r="J786" s="169"/>
      <c r="K786"/>
      <c r="L786" s="274" t="str">
        <f ca="1">_xlfn.IFNA(VLOOKUP(F786,BEGIN_RENEWEDFROM_DENTAL:ROW_RenewDental_PlanID,3,FALSE),"SELECT PLAN")</f>
        <v>SELECT PLAN</v>
      </c>
      <c r="M786" s="170"/>
      <c r="N786" s="274" t="s">
        <v>237</v>
      </c>
      <c r="O786" s="171"/>
      <c r="P786" s="171"/>
      <c r="Q786" s="171"/>
      <c r="R786" s="169"/>
      <c r="T786" s="274" t="s">
        <v>38</v>
      </c>
      <c r="U786" s="170"/>
      <c r="V786" s="274" t="s">
        <v>237</v>
      </c>
      <c r="W786" s="171"/>
      <c r="X786" s="171"/>
      <c r="Y786" s="171"/>
      <c r="Z786" s="169"/>
    </row>
    <row r="787" spans="1:26" ht="18.75" customHeight="1">
      <c r="A787" s="140"/>
      <c r="B787" s="140"/>
      <c r="D787" s="172" t="s">
        <v>238</v>
      </c>
      <c r="E787" s="407" t="str">
        <f ca="1">_xlfn.IFNA(VLOOKUP(F786,BEGIN_CURRENT_VISION:END_CURRENT_VISION,CURRENT_COL_EO_count,FALSE),"")</f>
        <v/>
      </c>
      <c r="F787" s="408" t="str">
        <f ca="1">_xlfn.IFNA(VLOOKUP(F786,BEGIN_CURRENT_VISION:END_CURRENT_VISION,CURRENT_COL_EO,FALSE),"")</f>
        <v/>
      </c>
      <c r="G787" s="468" t="str">
        <f ca="1" t="shared" si="124" ref="G787:G790">IF(F787="","",H787/F787)</f>
        <v/>
      </c>
      <c r="H787" s="408" t="str">
        <f ca="1">_xlfn.IFNA(VLOOKUP(F786,BEGIN_CURRENT_VISION:END_CURRENT_VISION,CURRENT_COL_EOContrib,FALSE),"")</f>
        <v/>
      </c>
      <c r="I787" s="409" t="str">
        <f ca="1">IFERROR(F787-H787,"")</f>
        <v/>
      </c>
      <c r="J787" s="410" t="str">
        <f ca="1">IF(F787="","",H787*E787)</f>
        <v/>
      </c>
      <c r="K787" s="411"/>
      <c r="L787" s="408" t="str" cm="1">
        <f t="array" ca="1" aca="1" ref="L787">_xlfn.IFNA(VLOOKUP(INDIRECT("L"&amp;ROW()-1)&amp;"_"&amp;$D$12,BEGIN_Renew_Vision:END_RENEW_VISION,RENEW_COL_EO,FALSE),"")</f>
        <v/>
      </c>
      <c r="M787" s="412" t="str">
        <f ca="1">IF(E787="","",E787)</f>
        <v/>
      </c>
      <c r="N787" s="413"/>
      <c r="O787" s="414"/>
      <c r="P787" s="415" t="str">
        <f>IFERROR(IF($N786="Keep Contribution Same",H787,IF($N786="Enter Percentages",IF(N787="","",N787*L787),IF($N786="Keep Percentage Same",IF(G787="","",G787*L787),IF($N786="Enter Dollar Amount",IF(O787="","",O787),"")))),"")</f>
        <v/>
      </c>
      <c r="Q787" s="408" t="str">
        <f ca="1">IFERROR(L787-P787,"")</f>
        <v/>
      </c>
      <c r="R787" s="410" t="str">
        <f>IFERROR(IF(P787="","",M787*P787),"")</f>
        <v/>
      </c>
      <c r="S787" s="411"/>
      <c r="T787" s="408" t="str" cm="1">
        <f t="array" ca="1" aca="1" ref="T787">_xlfn.IFNA(VLOOKUP(INDIRECT("T"&amp;ROW()-1)&amp;"_"&amp;$D$12,BEGIN_Renew_Vision:END_RENEW_VISION,RENEW_COL_EO,FALSE),"")</f>
        <v/>
      </c>
      <c r="U787" s="412" t="str">
        <f ca="1">IF(E787="","",E787)</f>
        <v/>
      </c>
      <c r="V787" s="413"/>
      <c r="W787" s="414"/>
      <c r="X787" s="415" t="str">
        <f>IFERROR(IF($V786="Keep Contribution Same",H787,IF($V786="Enter Percentages",IF(V787="","",V787*T787),IF($V786="Keep Percentage Same",IF(G787="","",G787*T787),IF($V786="Enter Dollar Amount",IF(W787="","",W787),"")))),"")</f>
        <v/>
      </c>
      <c r="Y787" s="408" t="str">
        <f ca="1">IFERROR(T787-X787,"")</f>
        <v/>
      </c>
      <c r="Z787" s="410" t="str">
        <f>IFERROR(IF(X787="","",U787*X787),"")</f>
        <v/>
      </c>
    </row>
    <row r="788" spans="1:26" ht="18.75" customHeight="1">
      <c r="A788" s="140"/>
      <c r="B788" s="140"/>
      <c r="D788" s="172" t="s">
        <v>239</v>
      </c>
      <c r="E788" s="407" t="str">
        <f ca="1">_xlfn.IFNA(VLOOKUP(F786,BEGIN_CURRENT_VISION:END_CURRENT_VISION,CURRENT_COL_ES_count,FALSE),"")</f>
        <v/>
      </c>
      <c r="F788" s="408" t="str">
        <f ca="1">_xlfn.IFNA(VLOOKUP(F786,BEGIN_CURRENT_VISION:END_CURRENT_VISION,CURRENT_COL_ES,FALSE),"")</f>
        <v/>
      </c>
      <c r="G788" s="468" t="str">
        <f t="shared" ca="1" si="124"/>
        <v/>
      </c>
      <c r="H788" s="408" t="str">
        <f ca="1">_xlfn.IFNA(VLOOKUP(F786,BEGIN_CURRENT_VISION:END_CURRENT_VISION,CURRENT_COL_ESContrib,FALSE),"")</f>
        <v/>
      </c>
      <c r="I788" s="409" t="str">
        <f ca="1" t="shared" si="125" ref="I788:I790">IFERROR(F788-H788,"")</f>
        <v/>
      </c>
      <c r="J788" s="410" t="str">
        <f ca="1" t="shared" si="126" ref="J788:J790">IF(F788="","",H788*E788)</f>
        <v/>
      </c>
      <c r="K788" s="411"/>
      <c r="L788" s="408" t="str" cm="1">
        <f t="array" ca="1" aca="1" ref="L788">_xlfn.IFNA(VLOOKUP(INDIRECT("L"&amp;ROW()-2)&amp;"_"&amp;$D$12,BEGIN_Renew_Vision:END_RENEW_VISION,RENEW_COL_ES,FALSE),"")</f>
        <v/>
      </c>
      <c r="M788" s="412" t="str">
        <f ca="1">IF(E788="","",E788)</f>
        <v/>
      </c>
      <c r="N788" s="413"/>
      <c r="O788" s="414"/>
      <c r="P788" s="415" t="str">
        <f>IFERROR(IF($N786="Keep Contribution Same",H788,IF($N786="Enter Percentages",IF(N788="","",N788*L788),IF($N786="Keep Percentage Same",IF(G788="","",G788*L788),IF($N786="Enter Dollar Amount",IF(O788="","",O788),"")))),"")</f>
        <v/>
      </c>
      <c r="Q788" s="408" t="str">
        <f ca="1" t="shared" si="127" ref="Q788:Q790">IFERROR(L788-P788,"")</f>
        <v/>
      </c>
      <c r="R788" s="410" t="str">
        <f>IFERROR(IF(P788="","",M788*P788),"")</f>
        <v/>
      </c>
      <c r="S788" s="411"/>
      <c r="T788" s="408" t="str" cm="1">
        <f t="array" ca="1" aca="1" ref="T788">_xlfn.IFNA(VLOOKUP(INDIRECT("T"&amp;ROW()-2)&amp;"_"&amp;$D$12,BEGIN_Renew_Vision:END_RENEW_VISION,RENEW_COL_ES,FALSE),"")</f>
        <v/>
      </c>
      <c r="U788" s="412" t="str">
        <f ca="1" t="shared" si="128" ref="U788:U790">IF(E788="","",E788)</f>
        <v/>
      </c>
      <c r="V788" s="413"/>
      <c r="W788" s="414"/>
      <c r="X788" s="415" t="str">
        <f>IFERROR(IF($V786="Keep Contribution Same",H788,IF($V786="Enter Percentages",IF(V788="","",V788*T788),IF($V786="Keep Percentage Same",IF(G788="","",G788*T788),IF($V786="Enter Dollar Amount",IF(W788="","",W788),"")))),"")</f>
        <v/>
      </c>
      <c r="Y788" s="408" t="str">
        <f ca="1" t="shared" si="129" ref="Y788:Y790">IFERROR(T788-X788,"")</f>
        <v/>
      </c>
      <c r="Z788" s="410" t="str">
        <f t="shared" si="130" ref="Z788:Z790">IFERROR(IF(X788="","",U788*X788),"")</f>
        <v/>
      </c>
    </row>
    <row r="789" spans="1:26" ht="18.75" customHeight="1">
      <c r="A789" s="140"/>
      <c r="B789" s="140"/>
      <c r="D789" s="172" t="s">
        <v>240</v>
      </c>
      <c r="E789" s="407" t="str">
        <f ca="1">_xlfn.IFNA(VLOOKUP(F786,BEGIN_CURRENT_VISION:END_CURRENT_VISION,CURRENT_COL_EC_count,FALSE),"")</f>
        <v/>
      </c>
      <c r="F789" s="408" t="str">
        <f ca="1">_xlfn.IFNA(VLOOKUP(F786,BEGIN_CURRENT_VISION:END_CURRENT_VISION,CURRENT_COL_EC,FALSE),"")</f>
        <v/>
      </c>
      <c r="G789" s="468" t="str">
        <f t="shared" ca="1" si="124"/>
        <v/>
      </c>
      <c r="H789" s="408" t="str">
        <f ca="1">_xlfn.IFNA(VLOOKUP(F786,BEGIN_CURRENT_VISION:END_CURRENT_VISION,CURRENT_COL_ECContrib,FALSE),"")</f>
        <v/>
      </c>
      <c r="I789" s="409" t="str">
        <f t="shared" ca="1" si="125"/>
        <v/>
      </c>
      <c r="J789" s="410" t="str">
        <f t="shared" ca="1" si="126"/>
        <v/>
      </c>
      <c r="K789" s="411"/>
      <c r="L789" s="408" t="str" cm="1">
        <f t="array" ca="1" aca="1" ref="L789">_xlfn.IFNA(VLOOKUP(INDIRECT("L"&amp;ROW()-3)&amp;"_"&amp;$D$12,BEGIN_Renew_Vision:END_RENEW_VISION,RENEW_COL_EC,FALSE),"")</f>
        <v/>
      </c>
      <c r="M789" s="412" t="str">
        <f ca="1">IF(E789="","",E789)</f>
        <v/>
      </c>
      <c r="N789" s="413"/>
      <c r="O789" s="414"/>
      <c r="P789" s="415" t="str">
        <f>IFERROR(IF($N786="Keep Contribution Same",H789,IF($N786="Enter Percentages",IF(N789="","",N789*L789),IF($N786="Keep Percentage Same",IF(G789="","",G789*L789),IF($N786="Enter Dollar Amount",IF(O789="","",O789),"")))),"")</f>
        <v/>
      </c>
      <c r="Q789" s="408" t="str">
        <f t="shared" ca="1" si="127"/>
        <v/>
      </c>
      <c r="R789" s="410" t="str">
        <f>IFERROR(IF(P789="","",M789*P789),"")</f>
        <v/>
      </c>
      <c r="S789" s="411"/>
      <c r="T789" s="408" t="str" cm="1">
        <f t="array" ca="1" aca="1" ref="T789">_xlfn.IFNA(VLOOKUP(INDIRECT("T"&amp;ROW()-3)&amp;"_"&amp;$D$12,BEGIN_Renew_Vision:END_RENEW_VISION,RENEW_COL_EC,FALSE),"")</f>
        <v/>
      </c>
      <c r="U789" s="412" t="str">
        <f t="shared" ca="1" si="128"/>
        <v/>
      </c>
      <c r="V789" s="413"/>
      <c r="W789" s="414"/>
      <c r="X789" s="415" t="str">
        <f>IFERROR(IF($V786="Keep Contribution Same",H789,IF($V786="Enter Percentages",IF(V789="","",V789*T789),IF($V786="Keep Percentage Same",IF(G789="","",G789*T789),IF($V786="Enter Dollar Amount",IF(W789="","",W789),"")))),"")</f>
        <v/>
      </c>
      <c r="Y789" s="408" t="str">
        <f t="shared" ca="1" si="129"/>
        <v/>
      </c>
      <c r="Z789" s="410" t="str">
        <f t="shared" si="130"/>
        <v/>
      </c>
    </row>
    <row r="790" spans="1:26" ht="18.75" customHeight="1" thickBot="1">
      <c r="A790" s="140"/>
      <c r="B790" s="140"/>
      <c r="D790" s="174" t="s">
        <v>241</v>
      </c>
      <c r="E790" s="416" t="str">
        <f ca="1">_xlfn.IFNA(VLOOKUP(F786,BEGIN_CURRENT_VISION:END_CURRENT_VISION,CURRENT_COL_FAM_count,FALSE),"")</f>
        <v/>
      </c>
      <c r="F790" s="417" t="str">
        <f ca="1">_xlfn.IFNA(VLOOKUP(F786,BEGIN_CURRENT_VISION:END_CURRENT_VISION,CURRENT_COL_FAM,FALSE),"")</f>
        <v/>
      </c>
      <c r="G790" s="469" t="str">
        <f t="shared" ca="1" si="124"/>
        <v/>
      </c>
      <c r="H790" s="417" t="str">
        <f ca="1">_xlfn.IFNA(VLOOKUP(F786,BEGIN_CURRENT_VISION:END_CURRENT_VISION,CURRENT_COL_FAMContrib,FALSE),"")</f>
        <v/>
      </c>
      <c r="I790" s="409" t="str">
        <f t="shared" ca="1" si="125"/>
        <v/>
      </c>
      <c r="J790" s="410" t="str">
        <f t="shared" ca="1" si="126"/>
        <v/>
      </c>
      <c r="K790" s="411"/>
      <c r="L790" s="417" t="str" cm="1">
        <f t="array" ca="1" aca="1" ref="L790">_xlfn.IFNA(VLOOKUP(INDIRECT("L"&amp;ROW()-4)&amp;"_"&amp;$D$12,BEGIN_Renew_Vision:END_RENEW_VISION,RENEW_COL_FAM,FALSE),"")</f>
        <v/>
      </c>
      <c r="M790" s="423" t="str">
        <f ca="1">IF(E790="","",E790)</f>
        <v/>
      </c>
      <c r="N790" s="420"/>
      <c r="O790" s="421"/>
      <c r="P790" s="422" t="str">
        <f>IFERROR(IF($N786="Keep Contribution Same",H790,IF($N786="Enter Percentages",IF(N790="","",N790*L790),IF($N786="Keep Percentage Same",IF(G790="","",G790*L790),IF($N786="Enter Dollar Amount",IF(O790="","",O790),"")))),"")</f>
        <v/>
      </c>
      <c r="Q790" s="417" t="str">
        <f t="shared" ca="1" si="127"/>
        <v/>
      </c>
      <c r="R790" s="419" t="str">
        <f>IFERROR(IF(P790="","",M790*P790),"")</f>
        <v/>
      </c>
      <c r="S790" s="411"/>
      <c r="T790" s="417" t="str" cm="1">
        <f t="array" ca="1" aca="1" ref="T790">_xlfn.IFNA(VLOOKUP(INDIRECT("T"&amp;ROW()-4)&amp;"_"&amp;$D$12,BEGIN_Renew_Vision:END_RENEW_VISION,RENEW_COL_FAM,FALSE),"")</f>
        <v/>
      </c>
      <c r="U790" s="423" t="str">
        <f t="shared" ca="1" si="128"/>
        <v/>
      </c>
      <c r="V790" s="420"/>
      <c r="W790" s="421"/>
      <c r="X790" s="422" t="str">
        <f>IFERROR(IF($V786="Keep Contribution Same",H790,IF($V786="Enter Percentages",IF(V790="","",V790*T790),IF($V786="Keep Percentage Same",IF(G790="","",G790*T790),IF($V786="Enter Dollar Amount",IF(W790="","",W790),"")))),"")</f>
        <v/>
      </c>
      <c r="Y790" s="417" t="str">
        <f t="shared" ca="1" si="129"/>
        <v/>
      </c>
      <c r="Z790" s="419" t="str">
        <f t="shared" si="130"/>
        <v/>
      </c>
    </row>
    <row r="791" spans="1:26" ht="18.75" customHeight="1" thickTop="1">
      <c r="A791" s="140"/>
      <c r="B791" s="140"/>
      <c r="D791" s="175" t="s">
        <v>242</v>
      </c>
      <c r="E791" s="424"/>
      <c r="F791" s="427"/>
      <c r="G791" s="426"/>
      <c r="H791" s="427"/>
      <c r="I791" s="428"/>
      <c r="J791" s="429" t="str">
        <f ca="1">IFERROR(IF(J787="","",SUM(J787:J790)),0)</f>
        <v/>
      </c>
      <c r="K791" s="1"/>
      <c r="L791" s="424"/>
      <c r="M791" s="427"/>
      <c r="N791" s="426"/>
      <c r="O791" s="427"/>
      <c r="P791" s="431"/>
      <c r="Q791" s="432"/>
      <c r="R791" s="429" t="str">
        <f>IFERROR(IF(R787="","",SUM(R787:R790)),0)</f>
        <v/>
      </c>
      <c r="T791" s="424"/>
      <c r="U791" s="427"/>
      <c r="V791" s="426"/>
      <c r="W791" s="427"/>
      <c r="X791" s="431"/>
      <c r="Y791" s="432"/>
      <c r="Z791" s="429" t="str">
        <f>IFERROR(IF(Z787="","",SUM(Z787:Z790)),0)</f>
        <v/>
      </c>
    </row>
    <row r="792" spans="1:26" ht="18.75" customHeight="1">
      <c r="A792" s="140"/>
      <c r="B792" s="140"/>
      <c r="D792" s="177" t="s">
        <v>243</v>
      </c>
      <c r="E792" s="433"/>
      <c r="F792" s="436"/>
      <c r="G792" s="435"/>
      <c r="H792" s="436"/>
      <c r="I792" s="432"/>
      <c r="J792" s="437" t="str">
        <f ca="1">IF(J791="","",J791*12)</f>
        <v/>
      </c>
      <c r="K792" s="1"/>
      <c r="L792" s="433"/>
      <c r="M792" s="436"/>
      <c r="N792" s="435"/>
      <c r="O792" s="436"/>
      <c r="P792" s="432"/>
      <c r="Q792" s="432"/>
      <c r="R792" s="437" t="str">
        <f>IF(R791="","",R791*12)</f>
        <v/>
      </c>
      <c r="T792" s="433"/>
      <c r="U792" s="436"/>
      <c r="V792" s="435"/>
      <c r="W792" s="436"/>
      <c r="X792" s="432"/>
      <c r="Y792" s="432"/>
      <c r="Z792" s="437" t="str">
        <f>IF(Z791="","",Z791*12)</f>
        <v/>
      </c>
    </row>
    <row r="793" spans="1:26" ht="18" customHeight="1">
      <c r="A793" s="140"/>
      <c r="B793" s="140"/>
      <c r="D793" s="177" t="s">
        <v>244</v>
      </c>
      <c r="E793" s="433"/>
      <c r="F793" s="436"/>
      <c r="G793" s="435"/>
      <c r="H793" s="436"/>
      <c r="I793" s="432"/>
      <c r="J793" s="437" t="str">
        <f ca="1">IFERROR(IF(J792="","",R792-J792),0)</f>
        <v/>
      </c>
      <c r="K793" s="1"/>
      <c r="L793" s="433"/>
      <c r="M793" s="436"/>
      <c r="N793" s="435"/>
      <c r="O793" s="436"/>
      <c r="P793" s="432"/>
      <c r="Q793" s="432"/>
      <c r="R793" s="437" t="str">
        <f ca="1">IFERROR(IF(J792="","",R792-J792),0)</f>
        <v/>
      </c>
      <c r="T793" s="433"/>
      <c r="U793" s="436"/>
      <c r="V793" s="435"/>
      <c r="W793" s="436"/>
      <c r="X793" s="432"/>
      <c r="Y793" s="432"/>
      <c r="Z793" s="437" t="str">
        <f>IFERROR(IF(R792="","",Z792-R792),0)</f>
        <v/>
      </c>
    </row>
    <row r="794" spans="1:26" ht="18" customHeight="1" thickBot="1">
      <c r="A794" s="140"/>
      <c r="B794" s="140"/>
      <c r="D794" s="180" t="s">
        <v>245</v>
      </c>
      <c r="E794" s="439"/>
      <c r="F794" s="440"/>
      <c r="G794" s="441"/>
      <c r="H794" s="440"/>
      <c r="I794" s="442"/>
      <c r="J794" s="437" t="str">
        <f ca="1">IFERROR(IF(J792="","",(R792/J792)-1),0)</f>
        <v/>
      </c>
      <c r="K794" s="1"/>
      <c r="L794" s="439"/>
      <c r="M794" s="440"/>
      <c r="N794" s="441"/>
      <c r="O794" s="440"/>
      <c r="P794" s="445"/>
      <c r="Q794" s="445"/>
      <c r="R794" s="453" t="str">
        <f ca="1">IFERROR(IF(J792="","",(R792/J792)-1),0)</f>
        <v/>
      </c>
      <c r="T794" s="439"/>
      <c r="U794" s="440"/>
      <c r="V794" s="441"/>
      <c r="W794" s="440"/>
      <c r="X794" s="445"/>
      <c r="Y794" s="445"/>
      <c r="Z794" s="446" t="str">
        <f>IFERROR(IF(R792="","",(Z792/R792)-1),0)</f>
        <v/>
      </c>
    </row>
    <row r="795" spans="1:26" ht="5.25" customHeight="1" thickBot="1">
      <c r="A795" s="140"/>
      <c r="B795" s="140"/>
      <c r="D795" s="229"/>
      <c r="E795" s="229"/>
      <c r="F795" s="230"/>
      <c r="G795" s="231"/>
      <c r="H795" s="232"/>
      <c r="I795" s="233"/>
      <c r="J795" s="233"/>
      <c r="K795"/>
      <c r="L795" s="233"/>
      <c r="M795" s="233"/>
      <c r="N795" s="233"/>
      <c r="O795" s="233"/>
      <c r="P795" s="233"/>
      <c r="Q795" s="233"/>
      <c r="R795" s="233"/>
      <c r="T795" s="233"/>
      <c r="U795" s="233"/>
      <c r="V795" s="233"/>
      <c r="W795" s="233"/>
      <c r="X795" s="233"/>
      <c r="Y795" s="233"/>
      <c r="Z795" s="233"/>
    </row>
    <row r="796" spans="1:26" ht="50.15" customHeight="1">
      <c r="A796" s="140">
        <v>4</v>
      </c>
      <c r="B796" s="140">
        <f>IF(A796&gt;Class2_CurrentVisionCount,"DELETE",Class2_CurrentVisionStart+A796)</f>
        <v>22</v>
      </c>
      <c r="C796" s="164" t="s">
        <v>303</v>
      </c>
      <c r="D796" s="273" t="e">
        <f ca="1">IF(B796="Delete","",VLOOKUP(F796,BEGIN_CURRENT_VISION:END_CURRENT_VISION,3,FALSE))</f>
        <v>#N/A</v>
      </c>
      <c r="E796" s="165"/>
      <c r="F796" s="272" cm="1">
        <f t="array" ca="1" aca="1" ref="F796">IF(B796="Delete","",INDIRECT("CurrentPlans!A"&amp;B796,TRUE))</f>
        <v>0</v>
      </c>
      <c r="G796" s="166"/>
      <c r="H796" s="167"/>
      <c r="I796" s="168"/>
      <c r="J796" s="169"/>
      <c r="K796"/>
      <c r="L796" s="274" t="str">
        <f ca="1">_xlfn.IFNA(VLOOKUP(F796,BEGIN_RENEWEDFROM_DENTAL:ROW_RenewDental_PlanID,3,FALSE),"SELECT PLAN")</f>
        <v>SELECT PLAN</v>
      </c>
      <c r="M796" s="170"/>
      <c r="N796" s="274" t="s">
        <v>237</v>
      </c>
      <c r="O796" s="171"/>
      <c r="P796" s="171"/>
      <c r="Q796" s="171"/>
      <c r="R796" s="169"/>
      <c r="T796" s="274" t="s">
        <v>38</v>
      </c>
      <c r="U796" s="170"/>
      <c r="V796" s="274" t="s">
        <v>237</v>
      </c>
      <c r="W796" s="171"/>
      <c r="X796" s="171"/>
      <c r="Y796" s="171"/>
      <c r="Z796" s="169"/>
    </row>
    <row r="797" spans="1:26" ht="18.75" customHeight="1">
      <c r="A797" s="140"/>
      <c r="B797" s="140"/>
      <c r="D797" s="172" t="s">
        <v>238</v>
      </c>
      <c r="E797" s="407" t="str">
        <f ca="1">_xlfn.IFNA(VLOOKUP(F796,BEGIN_CURRENT_VISION:END_CURRENT_VISION,CURRENT_COL_EO_count,FALSE),"")</f>
        <v/>
      </c>
      <c r="F797" s="408" t="str">
        <f ca="1">_xlfn.IFNA(VLOOKUP(F796,BEGIN_CURRENT_VISION:END_CURRENT_VISION,CURRENT_COL_EO,FALSE),"")</f>
        <v/>
      </c>
      <c r="G797" s="468" t="str">
        <f ca="1" t="shared" si="131" ref="G797:G800">IF(F797="","",H797/F797)</f>
        <v/>
      </c>
      <c r="H797" s="408" t="str">
        <f ca="1">_xlfn.IFNA(VLOOKUP(F796,BEGIN_CURRENT_VISION:END_CURRENT_VISION,CURRENT_COL_EOContrib,FALSE),"")</f>
        <v/>
      </c>
      <c r="I797" s="409" t="str">
        <f ca="1">IFERROR(F797-H797,"")</f>
        <v/>
      </c>
      <c r="J797" s="410" t="str">
        <f ca="1">IF(F797="","",H797*E797)</f>
        <v/>
      </c>
      <c r="K797" s="411"/>
      <c r="L797" s="408" t="str" cm="1">
        <f t="array" ca="1" aca="1" ref="L797">_xlfn.IFNA(VLOOKUP(INDIRECT("L"&amp;ROW()-1)&amp;"_"&amp;$D$12,BEGIN_Renew_Vision:END_RENEW_VISION,RENEW_COL_EO,FALSE),"")</f>
        <v/>
      </c>
      <c r="M797" s="412" t="str">
        <f ca="1">IF(E797="","",E797)</f>
        <v/>
      </c>
      <c r="N797" s="413"/>
      <c r="O797" s="414"/>
      <c r="P797" s="415" t="str">
        <f>IFERROR(IF($N796="Keep Contribution Same",H797,IF($N796="Enter Percentages",IF(N797="","",N797*L797),IF($N796="Keep Percentage Same",IF(G797="","",G797*L797),IF($N796="Enter Dollar Amount",IF(O797="","",O797),"")))),"")</f>
        <v/>
      </c>
      <c r="Q797" s="408" t="str">
        <f ca="1">IFERROR(L797-P797,"")</f>
        <v/>
      </c>
      <c r="R797" s="410" t="str">
        <f>IFERROR(IF(P797="","",M797*P797),"")</f>
        <v/>
      </c>
      <c r="S797" s="411"/>
      <c r="T797" s="408" t="str" cm="1">
        <f t="array" ca="1" aca="1" ref="T797">_xlfn.IFNA(VLOOKUP(INDIRECT("T"&amp;ROW()-1)&amp;"_"&amp;$D$12,BEGIN_Renew_Vision:END_RENEW_VISION,RENEW_COL_EO,FALSE),"")</f>
        <v/>
      </c>
      <c r="U797" s="412" t="str">
        <f ca="1">IF(E797="","",E797)</f>
        <v/>
      </c>
      <c r="V797" s="413"/>
      <c r="W797" s="414"/>
      <c r="X797" s="415" t="str">
        <f>IFERROR(IF($V796="Keep Contribution Same",H797,IF($V796="Enter Percentages",IF(V797="","",V797*T797),IF($V796="Keep Percentage Same",IF(G797="","",G797*T797),IF($V796="Enter Dollar Amount",IF(W797="","",W797),"")))),"")</f>
        <v/>
      </c>
      <c r="Y797" s="408" t="str">
        <f ca="1">IFERROR(T797-X797,"")</f>
        <v/>
      </c>
      <c r="Z797" s="410" t="str">
        <f>IFERROR(IF(X797="","",U797*X797),"")</f>
        <v/>
      </c>
    </row>
    <row r="798" spans="1:26" ht="18.75" customHeight="1">
      <c r="A798" s="140"/>
      <c r="B798" s="140"/>
      <c r="D798" s="172" t="s">
        <v>239</v>
      </c>
      <c r="E798" s="407" t="str">
        <f ca="1">_xlfn.IFNA(VLOOKUP(F796,BEGIN_CURRENT_VISION:END_CURRENT_VISION,CURRENT_COL_ES_count,FALSE),"")</f>
        <v/>
      </c>
      <c r="F798" s="408" t="str">
        <f ca="1">_xlfn.IFNA(VLOOKUP(F796,BEGIN_CURRENT_VISION:END_CURRENT_VISION,CURRENT_COL_ES,FALSE),"")</f>
        <v/>
      </c>
      <c r="G798" s="468" t="str">
        <f t="shared" ca="1" si="131"/>
        <v/>
      </c>
      <c r="H798" s="408" t="str">
        <f ca="1">_xlfn.IFNA(VLOOKUP(F796,BEGIN_CURRENT_VISION:END_CURRENT_VISION,CURRENT_COL_ESContrib,FALSE),"")</f>
        <v/>
      </c>
      <c r="I798" s="409" t="str">
        <f ca="1" t="shared" si="132" ref="I798:I800">IFERROR(F798-H798,"")</f>
        <v/>
      </c>
      <c r="J798" s="410" t="str">
        <f ca="1" t="shared" si="133" ref="J798:J800">IF(F798="","",H798*E798)</f>
        <v/>
      </c>
      <c r="K798" s="411"/>
      <c r="L798" s="408" t="str" cm="1">
        <f t="array" ca="1" aca="1" ref="L798">_xlfn.IFNA(VLOOKUP(INDIRECT("L"&amp;ROW()-2)&amp;"_"&amp;$D$12,BEGIN_Renew_Vision:END_RENEW_VISION,RENEW_COL_ES,FALSE),"")</f>
        <v/>
      </c>
      <c r="M798" s="412" t="str">
        <f ca="1">IF(E798="","",E798)</f>
        <v/>
      </c>
      <c r="N798" s="413"/>
      <c r="O798" s="414"/>
      <c r="P798" s="415" t="str">
        <f>IFERROR(IF($N796="Keep Contribution Same",H798,IF($N796="Enter Percentages",IF(N798="","",N798*L798),IF($N796="Keep Percentage Same",IF(G798="","",G798*L798),IF($N796="Enter Dollar Amount",IF(O798="","",O798),"")))),"")</f>
        <v/>
      </c>
      <c r="Q798" s="408" t="str">
        <f ca="1" t="shared" si="134" ref="Q798:Q800">IFERROR(L798-P798,"")</f>
        <v/>
      </c>
      <c r="R798" s="410" t="str">
        <f>IFERROR(IF(P798="","",M798*P798),"")</f>
        <v/>
      </c>
      <c r="S798" s="411"/>
      <c r="T798" s="408" t="str" cm="1">
        <f t="array" ca="1" aca="1" ref="T798">_xlfn.IFNA(VLOOKUP(INDIRECT("T"&amp;ROW()-2)&amp;"_"&amp;$D$12,BEGIN_Renew_Vision:END_RENEW_VISION,RENEW_COL_ES,FALSE),"")</f>
        <v/>
      </c>
      <c r="U798" s="412" t="str">
        <f ca="1" t="shared" si="135" ref="U798:U800">IF(E798="","",E798)</f>
        <v/>
      </c>
      <c r="V798" s="413"/>
      <c r="W798" s="414"/>
      <c r="X798" s="415" t="str">
        <f>IFERROR(IF($V796="Keep Contribution Same",H798,IF($V796="Enter Percentages",IF(V798="","",V798*T798),IF($V796="Keep Percentage Same",IF(G798="","",G798*T798),IF($V796="Enter Dollar Amount",IF(W798="","",W798),"")))),"")</f>
        <v/>
      </c>
      <c r="Y798" s="408" t="str">
        <f ca="1" t="shared" si="136" ref="Y798:Y800">IFERROR(T798-X798,"")</f>
        <v/>
      </c>
      <c r="Z798" s="410" t="str">
        <f t="shared" si="137" ref="Z798:Z800">IFERROR(IF(X798="","",U798*X798),"")</f>
        <v/>
      </c>
    </row>
    <row r="799" spans="1:26" ht="18.75" customHeight="1">
      <c r="A799" s="140"/>
      <c r="B799" s="140"/>
      <c r="D799" s="172" t="s">
        <v>240</v>
      </c>
      <c r="E799" s="407" t="str">
        <f ca="1">_xlfn.IFNA(VLOOKUP(F796,BEGIN_CURRENT_VISION:END_CURRENT_VISION,CURRENT_COL_EC_count,FALSE),"")</f>
        <v/>
      </c>
      <c r="F799" s="408" t="str">
        <f ca="1">_xlfn.IFNA(VLOOKUP(F796,BEGIN_CURRENT_VISION:END_CURRENT_VISION,CURRENT_COL_EC,FALSE),"")</f>
        <v/>
      </c>
      <c r="G799" s="468" t="str">
        <f t="shared" ca="1" si="131"/>
        <v/>
      </c>
      <c r="H799" s="408" t="str">
        <f ca="1">_xlfn.IFNA(VLOOKUP(F796,BEGIN_CURRENT_VISION:END_CURRENT_VISION,CURRENT_COL_ECContrib,FALSE),"")</f>
        <v/>
      </c>
      <c r="I799" s="409" t="str">
        <f t="shared" ca="1" si="132"/>
        <v/>
      </c>
      <c r="J799" s="410" t="str">
        <f t="shared" ca="1" si="133"/>
        <v/>
      </c>
      <c r="K799" s="411"/>
      <c r="L799" s="408" t="str" cm="1">
        <f t="array" ca="1" aca="1" ref="L799">_xlfn.IFNA(VLOOKUP(INDIRECT("L"&amp;ROW()-3)&amp;"_"&amp;$D$12,BEGIN_Renew_Vision:END_RENEW_VISION,RENEW_COL_EC,FALSE),"")</f>
        <v/>
      </c>
      <c r="M799" s="412" t="str">
        <f ca="1">IF(E799="","",E799)</f>
        <v/>
      </c>
      <c r="N799" s="413"/>
      <c r="O799" s="414"/>
      <c r="P799" s="415" t="str">
        <f>IFERROR(IF($N796="Keep Contribution Same",H799,IF($N796="Enter Percentages",IF(N799="","",N799*L799),IF($N796="Keep Percentage Same",IF(G799="","",G799*L799),IF($N796="Enter Dollar Amount",IF(O799="","",O799),"")))),"")</f>
        <v/>
      </c>
      <c r="Q799" s="408" t="str">
        <f t="shared" ca="1" si="134"/>
        <v/>
      </c>
      <c r="R799" s="410" t="str">
        <f>IFERROR(IF(P799="","",M799*P799),"")</f>
        <v/>
      </c>
      <c r="S799" s="411"/>
      <c r="T799" s="408" t="str" cm="1">
        <f t="array" ca="1" aca="1" ref="T799">_xlfn.IFNA(VLOOKUP(INDIRECT("T"&amp;ROW()-3)&amp;"_"&amp;$D$12,BEGIN_Renew_Vision:END_RENEW_VISION,RENEW_COL_EC,FALSE),"")</f>
        <v/>
      </c>
      <c r="U799" s="412" t="str">
        <f t="shared" ca="1" si="135"/>
        <v/>
      </c>
      <c r="V799" s="413"/>
      <c r="W799" s="414"/>
      <c r="X799" s="415" t="str">
        <f>IFERROR(IF($V796="Keep Contribution Same",H799,IF($V796="Enter Percentages",IF(V799="","",V799*T799),IF($V796="Keep Percentage Same",IF(G799="","",G799*T799),IF($V796="Enter Dollar Amount",IF(W799="","",W799),"")))),"")</f>
        <v/>
      </c>
      <c r="Y799" s="408" t="str">
        <f t="shared" ca="1" si="136"/>
        <v/>
      </c>
      <c r="Z799" s="410" t="str">
        <f t="shared" si="137"/>
        <v/>
      </c>
    </row>
    <row r="800" spans="1:26" ht="18.75" customHeight="1" thickBot="1">
      <c r="A800" s="140"/>
      <c r="B800" s="140"/>
      <c r="D800" s="174" t="s">
        <v>241</v>
      </c>
      <c r="E800" s="416" t="str">
        <f ca="1">_xlfn.IFNA(VLOOKUP(F796,BEGIN_CURRENT_VISION:END_CURRENT_VISION,CURRENT_COL_FAM_count,FALSE),"")</f>
        <v/>
      </c>
      <c r="F800" s="417" t="str">
        <f ca="1">_xlfn.IFNA(VLOOKUP(F796,BEGIN_CURRENT_VISION:END_CURRENT_VISION,CURRENT_COL_FAM,FALSE),"")</f>
        <v/>
      </c>
      <c r="G800" s="469" t="str">
        <f t="shared" ca="1" si="131"/>
        <v/>
      </c>
      <c r="H800" s="417" t="str">
        <f ca="1">_xlfn.IFNA(VLOOKUP(F796,BEGIN_CURRENT_VISION:END_CURRENT_VISION,CURRENT_COL_FAMContrib,FALSE),"")</f>
        <v/>
      </c>
      <c r="I800" s="409" t="str">
        <f t="shared" ca="1" si="132"/>
        <v/>
      </c>
      <c r="J800" s="410" t="str">
        <f t="shared" ca="1" si="133"/>
        <v/>
      </c>
      <c r="K800" s="411"/>
      <c r="L800" s="417" t="str" cm="1">
        <f t="array" ca="1" aca="1" ref="L800">_xlfn.IFNA(VLOOKUP(INDIRECT("L"&amp;ROW()-4)&amp;"_"&amp;$D$12,BEGIN_Renew_Vision:END_RENEW_VISION,RENEW_COL_FAM,FALSE),"")</f>
        <v/>
      </c>
      <c r="M800" s="423" t="str">
        <f ca="1">IF(E800="","",E800)</f>
        <v/>
      </c>
      <c r="N800" s="420"/>
      <c r="O800" s="421"/>
      <c r="P800" s="422" t="str">
        <f>IFERROR(IF($N796="Keep Contribution Same",H800,IF($N796="Enter Percentages",IF(N800="","",N800*L800),IF($N796="Keep Percentage Same",IF(G800="","",G800*L800),IF($N796="Enter Dollar Amount",IF(O800="","",O800),"")))),"")</f>
        <v/>
      </c>
      <c r="Q800" s="417" t="str">
        <f t="shared" ca="1" si="134"/>
        <v/>
      </c>
      <c r="R800" s="419" t="str">
        <f>IFERROR(IF(P800="","",M800*P800),"")</f>
        <v/>
      </c>
      <c r="S800" s="411"/>
      <c r="T800" s="417" t="str" cm="1">
        <f t="array" ca="1" aca="1" ref="T800">_xlfn.IFNA(VLOOKUP(INDIRECT("T"&amp;ROW()-4)&amp;"_"&amp;$D$12,BEGIN_Renew_Vision:END_RENEW_VISION,RENEW_COL_FAM,FALSE),"")</f>
        <v/>
      </c>
      <c r="U800" s="423" t="str">
        <f t="shared" ca="1" si="135"/>
        <v/>
      </c>
      <c r="V800" s="420"/>
      <c r="W800" s="421"/>
      <c r="X800" s="422" t="str">
        <f>IFERROR(IF($V796="Keep Contribution Same",H800,IF($V796="Enter Percentages",IF(V800="","",V800*T800),IF($V796="Keep Percentage Same",IF(G800="","",G800*T800),IF($V796="Enter Dollar Amount",IF(W800="","",W800),"")))),"")</f>
        <v/>
      </c>
      <c r="Y800" s="417" t="str">
        <f t="shared" ca="1" si="136"/>
        <v/>
      </c>
      <c r="Z800" s="419" t="str">
        <f t="shared" si="137"/>
        <v/>
      </c>
    </row>
    <row r="801" spans="1:26" ht="18.75" customHeight="1" thickTop="1">
      <c r="A801" s="140"/>
      <c r="B801" s="140"/>
      <c r="D801" s="175" t="s">
        <v>242</v>
      </c>
      <c r="E801" s="424"/>
      <c r="F801" s="427"/>
      <c r="G801" s="426"/>
      <c r="H801" s="427"/>
      <c r="I801" s="428"/>
      <c r="J801" s="429" t="str">
        <f ca="1">IFERROR(IF(J797="","",SUM(J797:J800)),0)</f>
        <v/>
      </c>
      <c r="K801" s="1"/>
      <c r="L801" s="424"/>
      <c r="M801" s="427"/>
      <c r="N801" s="426"/>
      <c r="O801" s="427"/>
      <c r="P801" s="431"/>
      <c r="Q801" s="432"/>
      <c r="R801" s="429" t="str">
        <f>IFERROR(IF(R797="","",SUM(R797:R800)),0)</f>
        <v/>
      </c>
      <c r="T801" s="424"/>
      <c r="U801" s="427"/>
      <c r="V801" s="426"/>
      <c r="W801" s="427"/>
      <c r="X801" s="431"/>
      <c r="Y801" s="432"/>
      <c r="Z801" s="429" t="str">
        <f>IFERROR(IF(Z797="","",SUM(Z797:Z800)),0)</f>
        <v/>
      </c>
    </row>
    <row r="802" spans="1:26" ht="18.75" customHeight="1">
      <c r="A802" s="140"/>
      <c r="B802" s="140"/>
      <c r="D802" s="177" t="s">
        <v>243</v>
      </c>
      <c r="E802" s="433"/>
      <c r="F802" s="436"/>
      <c r="G802" s="435"/>
      <c r="H802" s="436"/>
      <c r="I802" s="432"/>
      <c r="J802" s="437" t="str">
        <f ca="1">IF(J801="","",J801*12)</f>
        <v/>
      </c>
      <c r="K802" s="1"/>
      <c r="L802" s="433"/>
      <c r="M802" s="436"/>
      <c r="N802" s="435"/>
      <c r="O802" s="436"/>
      <c r="P802" s="432"/>
      <c r="Q802" s="432"/>
      <c r="R802" s="437" t="str">
        <f>IF(R801="","",R801*12)</f>
        <v/>
      </c>
      <c r="T802" s="433"/>
      <c r="U802" s="436"/>
      <c r="V802" s="435"/>
      <c r="W802" s="436"/>
      <c r="X802" s="432"/>
      <c r="Y802" s="432"/>
      <c r="Z802" s="437" t="str">
        <f>IF(Z801="","",Z801*12)</f>
        <v/>
      </c>
    </row>
    <row r="803" spans="1:26" ht="18" customHeight="1">
      <c r="A803" s="140"/>
      <c r="B803" s="140"/>
      <c r="D803" s="177" t="s">
        <v>244</v>
      </c>
      <c r="E803" s="433"/>
      <c r="F803" s="436"/>
      <c r="G803" s="435"/>
      <c r="H803" s="436"/>
      <c r="I803" s="432"/>
      <c r="J803" s="437" t="str">
        <f ca="1">IFERROR(IF(J802="","",R802-J802),0)</f>
        <v/>
      </c>
      <c r="K803" s="1"/>
      <c r="L803" s="433"/>
      <c r="M803" s="436"/>
      <c r="N803" s="435"/>
      <c r="O803" s="436"/>
      <c r="P803" s="432"/>
      <c r="Q803" s="432"/>
      <c r="R803" s="437" t="str">
        <f ca="1">IFERROR(IF(J802="","",R802-J802),0)</f>
        <v/>
      </c>
      <c r="T803" s="433"/>
      <c r="U803" s="436"/>
      <c r="V803" s="435"/>
      <c r="W803" s="436"/>
      <c r="X803" s="432"/>
      <c r="Y803" s="432"/>
      <c r="Z803" s="437" t="str">
        <f>IFERROR(IF(R802="","",Z802-R802),0)</f>
        <v/>
      </c>
    </row>
    <row r="804" spans="1:26" ht="18" customHeight="1" thickBot="1">
      <c r="A804" s="140"/>
      <c r="B804" s="140"/>
      <c r="D804" s="180" t="s">
        <v>245</v>
      </c>
      <c r="E804" s="439"/>
      <c r="F804" s="440"/>
      <c r="G804" s="441"/>
      <c r="H804" s="440"/>
      <c r="I804" s="442"/>
      <c r="J804" s="437" t="str">
        <f ca="1">IFERROR(IF(J802="","",(R802/J802)-1),0)</f>
        <v/>
      </c>
      <c r="K804" s="1"/>
      <c r="L804" s="439"/>
      <c r="M804" s="440"/>
      <c r="N804" s="441"/>
      <c r="O804" s="440"/>
      <c r="P804" s="445"/>
      <c r="Q804" s="445"/>
      <c r="R804" s="453" t="str">
        <f ca="1">IFERROR(IF(J802="","",(R802/J802)-1),0)</f>
        <v/>
      </c>
      <c r="T804" s="439"/>
      <c r="U804" s="440"/>
      <c r="V804" s="441"/>
      <c r="W804" s="440"/>
      <c r="X804" s="445"/>
      <c r="Y804" s="445"/>
      <c r="Z804" s="446" t="str">
        <f>IFERROR(IF(R802="","",(Z802/R802)-1),0)</f>
        <v/>
      </c>
    </row>
    <row r="805" spans="1:26" ht="5.25" customHeight="1" thickBot="1">
      <c r="A805" s="140"/>
      <c r="B805" s="140"/>
      <c r="D805" s="229"/>
      <c r="E805" s="229"/>
      <c r="F805" s="230"/>
      <c r="G805" s="231"/>
      <c r="H805" s="232"/>
      <c r="I805" s="233"/>
      <c r="J805" s="233"/>
      <c r="K805"/>
      <c r="L805" s="233"/>
      <c r="M805" s="233"/>
      <c r="N805" s="233"/>
      <c r="O805" s="233"/>
      <c r="P805" s="233"/>
      <c r="Q805" s="233"/>
      <c r="R805" s="233"/>
      <c r="T805" s="233"/>
      <c r="U805" s="233"/>
      <c r="V805" s="233"/>
      <c r="W805" s="233"/>
      <c r="X805" s="233"/>
      <c r="Y805" s="233"/>
      <c r="Z805" s="233"/>
    </row>
    <row r="806" spans="1:26" ht="50.15" customHeight="1">
      <c r="A806" s="140">
        <v>5</v>
      </c>
      <c r="B806" s="140" t="str">
        <f>IF(A806&gt;Class2_CurrentVisionCount,"DELETE",Class2_CurrentVisionStart+A806)</f>
        <v>DELETE</v>
      </c>
      <c r="C806" s="164" t="s">
        <v>304</v>
      </c>
      <c r="D806" s="273" t="str">
        <f>IF(B806="Delete","",VLOOKUP(F806,BEGIN_CURRENT_VISION:END_CURRENT_VISION,3,FALSE))</f>
        <v/>
      </c>
      <c r="E806" s="165"/>
      <c r="F806" s="272" t="str" cm="1">
        <f t="array" ca="1" aca="1" ref="F806">IF(B806="Delete","",INDIRECT("CurrentPlans!A"&amp;B806,TRUE))</f>
        <v/>
      </c>
      <c r="G806" s="166"/>
      <c r="H806" s="167"/>
      <c r="I806" s="168"/>
      <c r="J806" s="169"/>
      <c r="K806"/>
      <c r="L806" s="274" t="str">
        <f ca="1">_xlfn.IFNA(VLOOKUP(F806,BEGIN_RENEWEDFROM_DENTAL:ROW_RenewDental_PlanID,3,FALSE),"SELECT PLAN")</f>
        <v>SELECT PLAN</v>
      </c>
      <c r="M806" s="170"/>
      <c r="N806" s="274" t="s">
        <v>237</v>
      </c>
      <c r="O806" s="171"/>
      <c r="P806" s="171"/>
      <c r="Q806" s="171"/>
      <c r="R806" s="169"/>
      <c r="T806" s="274" t="s">
        <v>38</v>
      </c>
      <c r="U806" s="170"/>
      <c r="V806" s="274" t="s">
        <v>237</v>
      </c>
      <c r="W806" s="171"/>
      <c r="X806" s="171"/>
      <c r="Y806" s="171"/>
      <c r="Z806" s="169"/>
    </row>
    <row r="807" spans="1:26" ht="18.75" customHeight="1">
      <c r="A807" s="140"/>
      <c r="B807" s="140"/>
      <c r="D807" s="172" t="s">
        <v>238</v>
      </c>
      <c r="E807" s="407" t="str">
        <f ca="1">_xlfn.IFNA(VLOOKUP(F806,BEGIN_CURRENT_VISION:END_CURRENT_VISION,CURRENT_COL_EO_count,FALSE),"")</f>
        <v/>
      </c>
      <c r="F807" s="408" t="str">
        <f ca="1">_xlfn.IFNA(VLOOKUP(F806,BEGIN_CURRENT_VISION:END_CURRENT_VISION,CURRENT_COL_EO,FALSE),"")</f>
        <v/>
      </c>
      <c r="G807" s="468" t="str">
        <f ca="1" t="shared" si="138" ref="G807:G810">IF(F807="","",H807/F807)</f>
        <v/>
      </c>
      <c r="H807" s="408" t="str">
        <f ca="1">_xlfn.IFNA(VLOOKUP(F806,BEGIN_CURRENT_VISION:END_CURRENT_VISION,CURRENT_COL_EOContrib,FALSE),"")</f>
        <v/>
      </c>
      <c r="I807" s="409" t="str">
        <f ca="1">IFERROR(F807-H807,"")</f>
        <v/>
      </c>
      <c r="J807" s="410" t="str">
        <f ca="1">IF(F807="","",H807*E807)</f>
        <v/>
      </c>
      <c r="K807" s="411"/>
      <c r="L807" s="408" t="str" cm="1">
        <f t="array" ca="1" aca="1" ref="L807">_xlfn.IFNA(VLOOKUP(INDIRECT("L"&amp;ROW()-1)&amp;"_"&amp;$D$12,BEGIN_Renew_Vision:END_RENEW_VISION,RENEW_COL_EO,FALSE),"")</f>
        <v/>
      </c>
      <c r="M807" s="412" t="str">
        <f ca="1">IF(E807="","",E807)</f>
        <v/>
      </c>
      <c r="N807" s="413"/>
      <c r="O807" s="414"/>
      <c r="P807" s="415" t="str">
        <f>IFERROR(IF($N806="Keep Contribution Same",H807,IF($N806="Enter Percentages",IF(N807="","",N807*L807),IF($N806="Keep Percentage Same",IF(G807="","",G807*L807),IF($N806="Enter Dollar Amount",IF(O807="","",O807),"")))),"")</f>
        <v/>
      </c>
      <c r="Q807" s="408" t="str">
        <f ca="1">IFERROR(L807-P807,"")</f>
        <v/>
      </c>
      <c r="R807" s="410" t="str">
        <f>IFERROR(IF(P807="","",M807*P807),"")</f>
        <v/>
      </c>
      <c r="S807" s="411"/>
      <c r="T807" s="408" t="str" cm="1">
        <f t="array" ca="1" aca="1" ref="T807">_xlfn.IFNA(VLOOKUP(INDIRECT("T"&amp;ROW()-1)&amp;"_"&amp;$D$12,BEGIN_Renew_Vision:END_RENEW_VISION,RENEW_COL_EO,FALSE),"")</f>
        <v/>
      </c>
      <c r="U807" s="412" t="str">
        <f ca="1">IF(E807="","",E807)</f>
        <v/>
      </c>
      <c r="V807" s="413"/>
      <c r="W807" s="414"/>
      <c r="X807" s="415" t="str">
        <f>IFERROR(IF($V806="Keep Contribution Same",H807,IF($V806="Enter Percentages",IF(V807="","",V807*T807),IF($V806="Keep Percentage Same",IF(G807="","",G807*T807),IF($V806="Enter Dollar Amount",IF(W807="","",W807),"")))),"")</f>
        <v/>
      </c>
      <c r="Y807" s="408" t="str">
        <f ca="1">IFERROR(T807-X807,"")</f>
        <v/>
      </c>
      <c r="Z807" s="410" t="str">
        <f>IFERROR(IF(X807="","",U807*X807),"")</f>
        <v/>
      </c>
    </row>
    <row r="808" spans="1:26" ht="18.75" customHeight="1">
      <c r="A808" s="140"/>
      <c r="B808" s="140"/>
      <c r="D808" s="172" t="s">
        <v>239</v>
      </c>
      <c r="E808" s="407" t="str">
        <f ca="1">_xlfn.IFNA(VLOOKUP(F806,BEGIN_CURRENT_VISION:END_CURRENT_VISION,CURRENT_COL_ES_count,FALSE),"")</f>
        <v/>
      </c>
      <c r="F808" s="408" t="str">
        <f ca="1">_xlfn.IFNA(VLOOKUP(F806,BEGIN_CURRENT_VISION:END_CURRENT_VISION,CURRENT_COL_ES,FALSE),"")</f>
        <v/>
      </c>
      <c r="G808" s="468" t="str">
        <f t="shared" ca="1" si="138"/>
        <v/>
      </c>
      <c r="H808" s="408" t="str">
        <f ca="1">_xlfn.IFNA(VLOOKUP(F806,BEGIN_CURRENT_VISION:END_CURRENT_VISION,CURRENT_COL_ESContrib,FALSE),"")</f>
        <v/>
      </c>
      <c r="I808" s="409" t="str">
        <f ca="1" t="shared" si="139" ref="I808:I810">IFERROR(F808-H808,"")</f>
        <v/>
      </c>
      <c r="J808" s="410" t="str">
        <f ca="1" t="shared" si="140" ref="J808:J810">IF(F808="","",H808*E808)</f>
        <v/>
      </c>
      <c r="K808" s="411"/>
      <c r="L808" s="408" t="str" cm="1">
        <f t="array" ca="1" aca="1" ref="L808">_xlfn.IFNA(VLOOKUP(INDIRECT("L"&amp;ROW()-2)&amp;"_"&amp;$D$12,BEGIN_Renew_Vision:END_RENEW_VISION,RENEW_COL_ES,FALSE),"")</f>
        <v/>
      </c>
      <c r="M808" s="412" t="str">
        <f ca="1">IF(E808="","",E808)</f>
        <v/>
      </c>
      <c r="N808" s="413"/>
      <c r="O808" s="414"/>
      <c r="P808" s="415" t="str">
        <f>IFERROR(IF($N806="Keep Contribution Same",H808,IF($N806="Enter Percentages",IF(N808="","",N808*L808),IF($N806="Keep Percentage Same",IF(G808="","",G808*L808),IF($N806="Enter Dollar Amount",IF(O808="","",O808),"")))),"")</f>
        <v/>
      </c>
      <c r="Q808" s="408" t="str">
        <f ca="1" t="shared" si="141" ref="Q808:Q810">IFERROR(L808-P808,"")</f>
        <v/>
      </c>
      <c r="R808" s="410" t="str">
        <f>IFERROR(IF(P808="","",M808*P808),"")</f>
        <v/>
      </c>
      <c r="S808" s="411"/>
      <c r="T808" s="408" t="str" cm="1">
        <f t="array" ca="1" aca="1" ref="T808">_xlfn.IFNA(VLOOKUP(INDIRECT("T"&amp;ROW()-2)&amp;"_"&amp;$D$12,BEGIN_Renew_Vision:END_RENEW_VISION,RENEW_COL_ES,FALSE),"")</f>
        <v/>
      </c>
      <c r="U808" s="412" t="str">
        <f ca="1" t="shared" si="142" ref="U808:U810">IF(E808="","",E808)</f>
        <v/>
      </c>
      <c r="V808" s="413"/>
      <c r="W808" s="414"/>
      <c r="X808" s="415" t="str">
        <f>IFERROR(IF($V806="Keep Contribution Same",H808,IF($V806="Enter Percentages",IF(V808="","",V808*T808),IF($V806="Keep Percentage Same",IF(G808="","",G808*T808),IF($V806="Enter Dollar Amount",IF(W808="","",W808),"")))),"")</f>
        <v/>
      </c>
      <c r="Y808" s="408" t="str">
        <f ca="1" t="shared" si="143" ref="Y808:Y810">IFERROR(T808-X808,"")</f>
        <v/>
      </c>
      <c r="Z808" s="410" t="str">
        <f t="shared" si="144" ref="Z808:Z810">IFERROR(IF(X808="","",U808*X808),"")</f>
        <v/>
      </c>
    </row>
    <row r="809" spans="1:26" ht="18.75" customHeight="1">
      <c r="A809" s="140"/>
      <c r="B809" s="140"/>
      <c r="D809" s="172" t="s">
        <v>240</v>
      </c>
      <c r="E809" s="407" t="str">
        <f ca="1">_xlfn.IFNA(VLOOKUP(F806,BEGIN_CURRENT_VISION:END_CURRENT_VISION,CURRENT_COL_EC_count,FALSE),"")</f>
        <v/>
      </c>
      <c r="F809" s="408" t="str">
        <f ca="1">_xlfn.IFNA(VLOOKUP(F806,BEGIN_CURRENT_VISION:END_CURRENT_VISION,CURRENT_COL_EC,FALSE),"")</f>
        <v/>
      </c>
      <c r="G809" s="468" t="str">
        <f t="shared" ca="1" si="138"/>
        <v/>
      </c>
      <c r="H809" s="408" t="str">
        <f ca="1">_xlfn.IFNA(VLOOKUP(F806,BEGIN_CURRENT_VISION:END_CURRENT_VISION,CURRENT_COL_ECContrib,FALSE),"")</f>
        <v/>
      </c>
      <c r="I809" s="409" t="str">
        <f t="shared" ca="1" si="139"/>
        <v/>
      </c>
      <c r="J809" s="410" t="str">
        <f t="shared" ca="1" si="140"/>
        <v/>
      </c>
      <c r="K809" s="411"/>
      <c r="L809" s="408" t="str" cm="1">
        <f t="array" ca="1" aca="1" ref="L809">_xlfn.IFNA(VLOOKUP(INDIRECT("L"&amp;ROW()-3)&amp;"_"&amp;$D$12,BEGIN_Renew_Vision:END_RENEW_VISION,RENEW_COL_EC,FALSE),"")</f>
        <v/>
      </c>
      <c r="M809" s="412" t="str">
        <f ca="1">IF(E809="","",E809)</f>
        <v/>
      </c>
      <c r="N809" s="413"/>
      <c r="O809" s="414"/>
      <c r="P809" s="415" t="str">
        <f>IFERROR(IF($N806="Keep Contribution Same",H809,IF($N806="Enter Percentages",IF(N809="","",N809*L809),IF($N806="Keep Percentage Same",IF(G809="","",G809*L809),IF($N806="Enter Dollar Amount",IF(O809="","",O809),"")))),"")</f>
        <v/>
      </c>
      <c r="Q809" s="408" t="str">
        <f t="shared" ca="1" si="141"/>
        <v/>
      </c>
      <c r="R809" s="410" t="str">
        <f>IFERROR(IF(P809="","",M809*P809),"")</f>
        <v/>
      </c>
      <c r="S809" s="411"/>
      <c r="T809" s="408" t="str" cm="1">
        <f t="array" ca="1" aca="1" ref="T809">_xlfn.IFNA(VLOOKUP(INDIRECT("T"&amp;ROW()-3)&amp;"_"&amp;$D$12,BEGIN_Renew_Vision:END_RENEW_VISION,RENEW_COL_EC,FALSE),"")</f>
        <v/>
      </c>
      <c r="U809" s="412" t="str">
        <f t="shared" ca="1" si="142"/>
        <v/>
      </c>
      <c r="V809" s="413"/>
      <c r="W809" s="414"/>
      <c r="X809" s="415" t="str">
        <f>IFERROR(IF($V806="Keep Contribution Same",H809,IF($V806="Enter Percentages",IF(V809="","",V809*T809),IF($V806="Keep Percentage Same",IF(G809="","",G809*T809),IF($V806="Enter Dollar Amount",IF(W809="","",W809),"")))),"")</f>
        <v/>
      </c>
      <c r="Y809" s="408" t="str">
        <f t="shared" ca="1" si="143"/>
        <v/>
      </c>
      <c r="Z809" s="410" t="str">
        <f t="shared" si="144"/>
        <v/>
      </c>
    </row>
    <row r="810" spans="1:26" ht="18.75" customHeight="1" thickBot="1">
      <c r="A810" s="140"/>
      <c r="B810" s="140"/>
      <c r="D810" s="174" t="s">
        <v>241</v>
      </c>
      <c r="E810" s="416" t="str">
        <f ca="1">_xlfn.IFNA(VLOOKUP(F806,BEGIN_CURRENT_VISION:END_CURRENT_VISION,CURRENT_COL_FAM_count,FALSE),"")</f>
        <v/>
      </c>
      <c r="F810" s="417" t="str">
        <f ca="1">_xlfn.IFNA(VLOOKUP(F806,BEGIN_CURRENT_VISION:END_CURRENT_VISION,CURRENT_COL_FAM,FALSE),"")</f>
        <v/>
      </c>
      <c r="G810" s="469" t="str">
        <f t="shared" ca="1" si="138"/>
        <v/>
      </c>
      <c r="H810" s="417" t="str">
        <f ca="1">_xlfn.IFNA(VLOOKUP(F806,BEGIN_CURRENT_VISION:END_CURRENT_VISION,CURRENT_COL_FAMContrib,FALSE),"")</f>
        <v/>
      </c>
      <c r="I810" s="409" t="str">
        <f t="shared" ca="1" si="139"/>
        <v/>
      </c>
      <c r="J810" s="410" t="str">
        <f t="shared" ca="1" si="140"/>
        <v/>
      </c>
      <c r="K810" s="411"/>
      <c r="L810" s="417" t="str" cm="1">
        <f t="array" ca="1" aca="1" ref="L810">_xlfn.IFNA(VLOOKUP(INDIRECT("L"&amp;ROW()-4)&amp;"_"&amp;$D$12,BEGIN_Renew_Vision:END_RENEW_VISION,RENEW_COL_FAM,FALSE),"")</f>
        <v/>
      </c>
      <c r="M810" s="423" t="str">
        <f ca="1">IF(E810="","",E810)</f>
        <v/>
      </c>
      <c r="N810" s="420"/>
      <c r="O810" s="421"/>
      <c r="P810" s="422" t="str">
        <f>IFERROR(IF($N806="Keep Contribution Same",H810,IF($N806="Enter Percentages",IF(N810="","",N810*L810),IF($N806="Keep Percentage Same",IF(G810="","",G810*L810),IF($N806="Enter Dollar Amount",IF(O810="","",O810),"")))),"")</f>
        <v/>
      </c>
      <c r="Q810" s="417" t="str">
        <f t="shared" ca="1" si="141"/>
        <v/>
      </c>
      <c r="R810" s="419" t="str">
        <f>IFERROR(IF(P810="","",M810*P810),"")</f>
        <v/>
      </c>
      <c r="S810" s="411"/>
      <c r="T810" s="417" t="str" cm="1">
        <f t="array" ca="1" aca="1" ref="T810">_xlfn.IFNA(VLOOKUP(INDIRECT("T"&amp;ROW()-4)&amp;"_"&amp;$D$12,BEGIN_Renew_Vision:END_RENEW_VISION,RENEW_COL_FAM,FALSE),"")</f>
        <v/>
      </c>
      <c r="U810" s="423" t="str">
        <f t="shared" ca="1" si="142"/>
        <v/>
      </c>
      <c r="V810" s="420"/>
      <c r="W810" s="421"/>
      <c r="X810" s="422" t="str">
        <f>IFERROR(IF($V806="Keep Contribution Same",H810,IF($V806="Enter Percentages",IF(V810="","",V810*T810),IF($V806="Keep Percentage Same",IF(G810="","",G810*T810),IF($V806="Enter Dollar Amount",IF(W810="","",W810),"")))),"")</f>
        <v/>
      </c>
      <c r="Y810" s="417" t="str">
        <f t="shared" ca="1" si="143"/>
        <v/>
      </c>
      <c r="Z810" s="419" t="str">
        <f t="shared" si="144"/>
        <v/>
      </c>
    </row>
    <row r="811" spans="1:26" ht="18.75" customHeight="1" thickTop="1">
      <c r="A811" s="140"/>
      <c r="B811" s="140"/>
      <c r="D811" s="175" t="s">
        <v>242</v>
      </c>
      <c r="E811" s="424"/>
      <c r="F811" s="427"/>
      <c r="G811" s="426"/>
      <c r="H811" s="427"/>
      <c r="I811" s="428"/>
      <c r="J811" s="429" t="str">
        <f ca="1">IFERROR(IF(J807="","",SUM(J807:J810)),0)</f>
        <v/>
      </c>
      <c r="K811" s="1"/>
      <c r="L811" s="424"/>
      <c r="M811" s="427"/>
      <c r="N811" s="426"/>
      <c r="O811" s="427"/>
      <c r="P811" s="431"/>
      <c r="Q811" s="432"/>
      <c r="R811" s="429" t="str">
        <f>IFERROR(IF(R807="","",SUM(R807:R810)),0)</f>
        <v/>
      </c>
      <c r="T811" s="424"/>
      <c r="U811" s="427"/>
      <c r="V811" s="426"/>
      <c r="W811" s="427"/>
      <c r="X811" s="431"/>
      <c r="Y811" s="432"/>
      <c r="Z811" s="429" t="str">
        <f>IFERROR(IF(Z807="","",SUM(Z807:Z810)),0)</f>
        <v/>
      </c>
    </row>
    <row r="812" spans="1:26" ht="18.75" customHeight="1">
      <c r="A812" s="140"/>
      <c r="B812" s="140"/>
      <c r="D812" s="177" t="s">
        <v>243</v>
      </c>
      <c r="E812" s="433"/>
      <c r="F812" s="436"/>
      <c r="G812" s="435"/>
      <c r="H812" s="436"/>
      <c r="I812" s="432"/>
      <c r="J812" s="437" t="str">
        <f ca="1">IF(J811="","",J811*12)</f>
        <v/>
      </c>
      <c r="K812" s="1"/>
      <c r="L812" s="433"/>
      <c r="M812" s="436"/>
      <c r="N812" s="435"/>
      <c r="O812" s="436"/>
      <c r="P812" s="432"/>
      <c r="Q812" s="432"/>
      <c r="R812" s="437" t="str">
        <f>IF(R811="","",R811*12)</f>
        <v/>
      </c>
      <c r="T812" s="433"/>
      <c r="U812" s="436"/>
      <c r="V812" s="435"/>
      <c r="W812" s="436"/>
      <c r="X812" s="432"/>
      <c r="Y812" s="432"/>
      <c r="Z812" s="437" t="str">
        <f>IF(Z811="","",Z811*12)</f>
        <v/>
      </c>
    </row>
    <row r="813" spans="1:26" ht="18.75" customHeight="1">
      <c r="A813" s="140"/>
      <c r="B813" s="140"/>
      <c r="D813" s="177" t="s">
        <v>244</v>
      </c>
      <c r="E813" s="433"/>
      <c r="F813" s="436"/>
      <c r="G813" s="435"/>
      <c r="H813" s="436"/>
      <c r="I813" s="432"/>
      <c r="J813" s="437" t="str">
        <f ca="1">IFERROR(IF(J812="","",R812-J812),0)</f>
        <v/>
      </c>
      <c r="K813" s="1"/>
      <c r="L813" s="433"/>
      <c r="M813" s="436"/>
      <c r="N813" s="435"/>
      <c r="O813" s="436"/>
      <c r="P813" s="432"/>
      <c r="Q813" s="432"/>
      <c r="R813" s="437" t="str">
        <f ca="1">IFERROR(IF(J812="","",R812-J812),0)</f>
        <v/>
      </c>
      <c r="T813" s="433"/>
      <c r="U813" s="436"/>
      <c r="V813" s="435"/>
      <c r="W813" s="436"/>
      <c r="X813" s="432"/>
      <c r="Y813" s="432"/>
      <c r="Z813" s="437" t="str">
        <f>IFERROR(IF(R812="","",Z812-R812),0)</f>
        <v/>
      </c>
    </row>
    <row r="814" spans="1:26" ht="18" customHeight="1" thickBot="1">
      <c r="A814" s="140"/>
      <c r="B814" s="140"/>
      <c r="D814" s="180" t="s">
        <v>245</v>
      </c>
      <c r="E814" s="439"/>
      <c r="F814" s="440"/>
      <c r="G814" s="441"/>
      <c r="H814" s="440"/>
      <c r="I814" s="442"/>
      <c r="J814" s="437" t="str">
        <f ca="1">IFERROR(IF(J812="","",(R812/J812)-1),0)</f>
        <v/>
      </c>
      <c r="K814" s="1"/>
      <c r="L814" s="439"/>
      <c r="M814" s="440"/>
      <c r="N814" s="441"/>
      <c r="O814" s="440"/>
      <c r="P814" s="445"/>
      <c r="Q814" s="445"/>
      <c r="R814" s="453" t="str">
        <f ca="1">IFERROR(IF(J812="","",(R812/J812)-1),0)</f>
        <v/>
      </c>
      <c r="T814" s="439"/>
      <c r="U814" s="440"/>
      <c r="V814" s="441"/>
      <c r="W814" s="440"/>
      <c r="X814" s="445"/>
      <c r="Y814" s="445"/>
      <c r="Z814" s="446" t="str">
        <f>IFERROR(IF(R812="","",(Z812/R812)-1),0)</f>
        <v/>
      </c>
    </row>
    <row r="815" spans="1:26" ht="5.25" customHeight="1" thickBot="1">
      <c r="A815" s="140"/>
      <c r="B815" s="140"/>
      <c r="D815" s="229"/>
      <c r="E815" s="229"/>
      <c r="F815" s="230"/>
      <c r="G815" s="231"/>
      <c r="H815" s="232"/>
      <c r="I815" s="233"/>
      <c r="J815" s="233"/>
      <c r="K815"/>
      <c r="L815" s="233"/>
      <c r="M815" s="233"/>
      <c r="N815" s="233"/>
      <c r="O815" s="233"/>
      <c r="P815" s="233"/>
      <c r="Q815" s="233"/>
      <c r="R815" s="233"/>
      <c r="T815" s="233"/>
      <c r="U815" s="233"/>
      <c r="V815" s="233"/>
      <c r="W815" s="233"/>
      <c r="X815" s="233"/>
      <c r="Y815" s="233"/>
      <c r="Z815" s="233"/>
    </row>
    <row r="816" spans="1:26" ht="50.15" customHeight="1">
      <c r="A816" s="140"/>
      <c r="B816" s="140"/>
      <c r="C816" s="164" t="s">
        <v>305</v>
      </c>
      <c r="D816" s="275" t="s">
        <v>285</v>
      </c>
      <c r="E816" s="165"/>
      <c r="F816" s="272"/>
      <c r="G816" s="166"/>
      <c r="H816" s="167"/>
      <c r="I816" s="168"/>
      <c r="J816" s="169"/>
      <c r="K816"/>
      <c r="L816" s="274" t="s">
        <v>38</v>
      </c>
      <c r="M816" s="170"/>
      <c r="N816" s="274" t="s">
        <v>237</v>
      </c>
      <c r="O816" s="171"/>
      <c r="P816" s="171"/>
      <c r="Q816" s="171"/>
      <c r="R816" s="169"/>
      <c r="T816" s="274" t="s">
        <v>38</v>
      </c>
      <c r="U816" s="170"/>
      <c r="V816" s="274" t="s">
        <v>237</v>
      </c>
      <c r="W816" s="171"/>
      <c r="X816" s="171"/>
      <c r="Y816" s="171"/>
      <c r="Z816" s="169"/>
    </row>
    <row r="817" spans="1:26" ht="18.75" customHeight="1">
      <c r="A817" s="140"/>
      <c r="B817" s="140"/>
      <c r="D817" s="172" t="s">
        <v>238</v>
      </c>
      <c r="E817" s="407"/>
      <c r="F817" s="449"/>
      <c r="G817" s="470" t="str">
        <f t="shared" si="145" ref="G817:G820">IF(F817="","",H817/F817)</f>
        <v/>
      </c>
      <c r="H817" s="449" t="str">
        <f>_xlfn.IFNA(VLOOKUP(F816,BEGIN_CURRENT_VISION:END_CURRENT_VISION,CURRENT_COL_EOContrib,FALSE),"")</f>
        <v/>
      </c>
      <c r="I817" s="409" t="str">
        <f>IFERROR(F817-H817,"")</f>
        <v/>
      </c>
      <c r="J817" s="410" t="str">
        <f>IF(F817="","",H817*E817)</f>
        <v/>
      </c>
      <c r="K817" s="411"/>
      <c r="L817" s="408" t="str" cm="1">
        <f t="array" ca="1" aca="1" ref="L817">_xlfn.IFNA(VLOOKUP(INDIRECT("L"&amp;ROW()-1)&amp;"_"&amp;$D$12,BEGIN_Renew_Vision:END_RENEW_VISION,RENEW_COL_EO,FALSE),"")</f>
        <v/>
      </c>
      <c r="M817" s="412" t="str">
        <f>IF(E817="","",E817)</f>
        <v/>
      </c>
      <c r="N817" s="413"/>
      <c r="O817" s="414"/>
      <c r="P817" s="415" t="str">
        <f>IFERROR(IF($N816="Keep Contribution Same",H817,IF($N816="Enter Percentages",IF(N817="","",N817*L817),IF($N816="Keep Percentage Same",IF(G817="","",G817*L817),IF($N816="Enter Dollar Amount",IF(O817="","",O817),"")))),"")</f>
        <v/>
      </c>
      <c r="Q817" s="408" t="str">
        <f ca="1">IFERROR(L817-P817,"")</f>
        <v/>
      </c>
      <c r="R817" s="410" t="str">
        <f>IFERROR(IF(P817="","",M817*P817),"")</f>
        <v/>
      </c>
      <c r="S817" s="411"/>
      <c r="T817" s="408" t="str" cm="1">
        <f t="array" ca="1" aca="1" ref="T817">_xlfn.IFNA(VLOOKUP(INDIRECT("T"&amp;ROW()-1)&amp;"_"&amp;$D$12,BEGIN_Renew_Vision:END_RENEW_VISION,RENEW_COL_EO,FALSE),"")</f>
        <v/>
      </c>
      <c r="U817" s="412" t="str">
        <f>IF(E817="","",E817)</f>
        <v/>
      </c>
      <c r="V817" s="413"/>
      <c r="W817" s="414"/>
      <c r="X817" s="415" t="str">
        <f>IFERROR(IF($V816="Keep Contribution Same",H817,IF($V816="Enter Percentages",IF(V817="","",V817*T817),IF($V816="Keep Percentage Same",IF(G817="","",G817*T817),IF($V816="Enter Dollar Amount",IF(W817="","",W817),"")))),"")</f>
        <v/>
      </c>
      <c r="Y817" s="408" t="str">
        <f ca="1">IFERROR(T817-X817,"")</f>
        <v/>
      </c>
      <c r="Z817" s="410" t="str">
        <f>IFERROR(IF(X817="","",U817*X817),"")</f>
        <v/>
      </c>
    </row>
    <row r="818" spans="1:26" ht="18.75" customHeight="1">
      <c r="A818" s="140"/>
      <c r="B818" s="140"/>
      <c r="D818" s="172" t="s">
        <v>239</v>
      </c>
      <c r="E818" s="407"/>
      <c r="F818" s="449" t="str">
        <f>_xlfn.IFNA(VLOOKUP(F816,BEGIN_CURRENT_VISION:END_CURRENT_VISION,CURRENT_COL_ES,FALSE),"")</f>
        <v/>
      </c>
      <c r="G818" s="470" t="str">
        <f t="shared" si="145"/>
        <v/>
      </c>
      <c r="H818" s="449" t="str">
        <f>_xlfn.IFNA(VLOOKUP(F816,BEGIN_CURRENT_VISION:END_CURRENT_VISION,CURRENT_COL_ESContrib,FALSE),"")</f>
        <v/>
      </c>
      <c r="I818" s="409" t="str">
        <f t="shared" si="146" ref="I818:I820">IFERROR(F818-H818,"")</f>
        <v/>
      </c>
      <c r="J818" s="410" t="str">
        <f t="shared" si="147" ref="J818:J820">IF(F818="","",H818*E818)</f>
        <v/>
      </c>
      <c r="K818" s="411"/>
      <c r="L818" s="408" t="str" cm="1">
        <f t="array" ca="1" aca="1" ref="L818">_xlfn.IFNA(VLOOKUP(INDIRECT("L"&amp;ROW()-2)&amp;"_"&amp;$D$12,BEGIN_Renew_Vision:END_RENEW_VISION,RENEW_COL_ES,FALSE),"")</f>
        <v/>
      </c>
      <c r="M818" s="412" t="str">
        <f>IF(E818="","",E818)</f>
        <v/>
      </c>
      <c r="N818" s="413"/>
      <c r="O818" s="414"/>
      <c r="P818" s="415" t="str">
        <f>IFERROR(IF($N816="Keep Contribution Same",H818,IF($N816="Enter Percentages",IF(N818="","",N818*L818),IF($N816="Keep Percentage Same",IF(G818="","",G818*L818),IF($N816="Enter Dollar Amount",IF(O818="","",O818),"")))),"")</f>
        <v/>
      </c>
      <c r="Q818" s="408" t="str">
        <f ca="1" t="shared" si="148" ref="Q818:Q820">IFERROR(L818-P818,"")</f>
        <v/>
      </c>
      <c r="R818" s="410" t="str">
        <f>IFERROR(IF(P818="","",M818*P818),"")</f>
        <v/>
      </c>
      <c r="S818" s="411"/>
      <c r="T818" s="408" t="str" cm="1">
        <f t="array" ca="1" aca="1" ref="T818">_xlfn.IFNA(VLOOKUP(INDIRECT("T"&amp;ROW()-2)&amp;"_"&amp;$D$12,BEGIN_Renew_Vision:END_RENEW_VISION,RENEW_COL_ES,FALSE),"")</f>
        <v/>
      </c>
      <c r="U818" s="412" t="str">
        <f t="shared" si="149" ref="U818:U820">IF(E818="","",E818)</f>
        <v/>
      </c>
      <c r="V818" s="413"/>
      <c r="W818" s="414"/>
      <c r="X818" s="415" t="str">
        <f>IFERROR(IF($V816="Keep Contribution Same",H818,IF($V816="Enter Percentages",IF(V818="","",V818*T818),IF($V816="Keep Percentage Same",IF(G818="","",G818*T818),IF($V816="Enter Dollar Amount",IF(W818="","",W818),"")))),"")</f>
        <v/>
      </c>
      <c r="Y818" s="408" t="str">
        <f ca="1" t="shared" si="150" ref="Y818:Y820">IFERROR(T818-X818,"")</f>
        <v/>
      </c>
      <c r="Z818" s="410" t="str">
        <f t="shared" si="151" ref="Z818:Z820">IFERROR(IF(X818="","",U818*X818),"")</f>
        <v/>
      </c>
    </row>
    <row r="819" spans="1:26" ht="18.75" customHeight="1">
      <c r="A819" s="140"/>
      <c r="B819" s="140"/>
      <c r="D819" s="172" t="s">
        <v>240</v>
      </c>
      <c r="E819" s="407"/>
      <c r="F819" s="449" t="str">
        <f>_xlfn.IFNA(VLOOKUP(F816,BEGIN_CURRENT_VISION:END_CURRENT_VISION,CURRENT_COL_EC,FALSE),"")</f>
        <v/>
      </c>
      <c r="G819" s="470" t="str">
        <f t="shared" si="145"/>
        <v/>
      </c>
      <c r="H819" s="449" t="str">
        <f>_xlfn.IFNA(VLOOKUP(F816,BEGIN_CURRENT_VISION:END_CURRENT_VISION,CURRENT_COL_ECContrib,FALSE),"")</f>
        <v/>
      </c>
      <c r="I819" s="409" t="str">
        <f t="shared" si="146"/>
        <v/>
      </c>
      <c r="J819" s="410" t="str">
        <f t="shared" si="147"/>
        <v/>
      </c>
      <c r="K819" s="411"/>
      <c r="L819" s="408" t="str" cm="1">
        <f t="array" ca="1" aca="1" ref="L819">_xlfn.IFNA(VLOOKUP(INDIRECT("L"&amp;ROW()-3)&amp;"_"&amp;$D$12,BEGIN_Renew_Vision:END_RENEW_VISION,RENEW_COL_EC,FALSE),"")</f>
        <v/>
      </c>
      <c r="M819" s="412" t="str">
        <f>IF(E819="","",E819)</f>
        <v/>
      </c>
      <c r="N819" s="413"/>
      <c r="O819" s="414"/>
      <c r="P819" s="415" t="str">
        <f>IFERROR(IF($N816="Keep Contribution Same",H819,IF($N816="Enter Percentages",IF(N819="","",N819*L819),IF($N816="Keep Percentage Same",IF(G819="","",G819*L819),IF($N816="Enter Dollar Amount",IF(O819="","",O819),"")))),"")</f>
        <v/>
      </c>
      <c r="Q819" s="408" t="str">
        <f t="shared" ca="1" si="148"/>
        <v/>
      </c>
      <c r="R819" s="410" t="str">
        <f>IFERROR(IF(P819="","",M819*P819),"")</f>
        <v/>
      </c>
      <c r="S819" s="411"/>
      <c r="T819" s="408" t="str" cm="1">
        <f t="array" ca="1" aca="1" ref="T819">_xlfn.IFNA(VLOOKUP(INDIRECT("T"&amp;ROW()-3)&amp;"_"&amp;$D$12,BEGIN_Renew_Vision:END_RENEW_VISION,RENEW_COL_EC,FALSE),"")</f>
        <v/>
      </c>
      <c r="U819" s="412" t="str">
        <f t="shared" si="149"/>
        <v/>
      </c>
      <c r="V819" s="413"/>
      <c r="W819" s="414"/>
      <c r="X819" s="415" t="str">
        <f>IFERROR(IF($V816="Keep Contribution Same",H819,IF($V816="Enter Percentages",IF(V819="","",V819*T819),IF($V816="Keep Percentage Same",IF(G819="","",G819*T819),IF($V816="Enter Dollar Amount",IF(W819="","",W819),"")))),"")</f>
        <v/>
      </c>
      <c r="Y819" s="408" t="str">
        <f t="shared" ca="1" si="150"/>
        <v/>
      </c>
      <c r="Z819" s="410" t="str">
        <f t="shared" si="151"/>
        <v/>
      </c>
    </row>
    <row r="820" spans="1:26" ht="18.75" customHeight="1" thickBot="1">
      <c r="A820" s="140"/>
      <c r="B820" s="140"/>
      <c r="D820" s="174" t="s">
        <v>241</v>
      </c>
      <c r="E820" s="416"/>
      <c r="F820" s="451" t="str">
        <f>_xlfn.IFNA(VLOOKUP(F816,BEGIN_CURRENT_VISION:END_CURRENT_VISION,CURRENT_COL_FAM,FALSE),"")</f>
        <v/>
      </c>
      <c r="G820" s="471" t="str">
        <f t="shared" si="145"/>
        <v/>
      </c>
      <c r="H820" s="451" t="str">
        <f>_xlfn.IFNA(VLOOKUP(F816,BEGIN_CURRENT_VISION:END_CURRENT_VISION,CURRENT_COL_FAMContrib,FALSE),"")</f>
        <v/>
      </c>
      <c r="I820" s="409" t="str">
        <f t="shared" si="146"/>
        <v/>
      </c>
      <c r="J820" s="410" t="str">
        <f t="shared" si="147"/>
        <v/>
      </c>
      <c r="K820" s="411"/>
      <c r="L820" s="417" t="str" cm="1">
        <f t="array" ca="1" aca="1" ref="L820">_xlfn.IFNA(VLOOKUP(INDIRECT("L"&amp;ROW()-4)&amp;"_"&amp;$D$12,BEGIN_Renew_Vision:END_RENEW_VISION,RENEW_COL_FAM,FALSE),"")</f>
        <v/>
      </c>
      <c r="M820" s="423" t="str">
        <f>IF(E820="","",E820)</f>
        <v/>
      </c>
      <c r="N820" s="420"/>
      <c r="O820" s="421"/>
      <c r="P820" s="422" t="str">
        <f>IFERROR(IF($N816="Keep Contribution Same",H820,IF($N816="Enter Percentages",IF(N820="","",N820*L820),IF($N816="Keep Percentage Same",IF(G820="","",G820*L820),IF($N816="Enter Dollar Amount",IF(O820="","",O820),"")))),"")</f>
        <v/>
      </c>
      <c r="Q820" s="417" t="str">
        <f t="shared" ca="1" si="148"/>
        <v/>
      </c>
      <c r="R820" s="419" t="str">
        <f>IFERROR(IF(P820="","",M820*P820),"")</f>
        <v/>
      </c>
      <c r="S820" s="411"/>
      <c r="T820" s="417" t="str" cm="1">
        <f t="array" ca="1" aca="1" ref="T820">_xlfn.IFNA(VLOOKUP(INDIRECT("T"&amp;ROW()-4)&amp;"_"&amp;$D$12,BEGIN_Renew_Vision:END_RENEW_VISION,RENEW_COL_FAM,FALSE),"")</f>
        <v/>
      </c>
      <c r="U820" s="423" t="str">
        <f t="shared" si="149"/>
        <v/>
      </c>
      <c r="V820" s="420"/>
      <c r="W820" s="421"/>
      <c r="X820" s="422" t="str">
        <f>IFERROR(IF($V816="Keep Contribution Same",H820,IF($V816="Enter Percentages",IF(V820="","",V820*T820),IF($V816="Keep Percentage Same",IF(G820="","",G820*T820),IF($V816="Enter Dollar Amount",IF(W820="","",W820),"")))),"")</f>
        <v/>
      </c>
      <c r="Y820" s="417" t="str">
        <f t="shared" ca="1" si="150"/>
        <v/>
      </c>
      <c r="Z820" s="419" t="str">
        <f t="shared" si="151"/>
        <v/>
      </c>
    </row>
    <row r="821" spans="1:26" ht="18.75" customHeight="1" thickTop="1">
      <c r="A821" s="140"/>
      <c r="B821" s="140"/>
      <c r="D821" s="175" t="s">
        <v>242</v>
      </c>
      <c r="E821" s="424"/>
      <c r="F821" s="427"/>
      <c r="G821" s="426"/>
      <c r="H821" s="427"/>
      <c r="I821" s="428"/>
      <c r="J821" s="429" t="str">
        <f>IFERROR(IF(J817="","",SUM(J817:J820)),0)</f>
        <v/>
      </c>
      <c r="K821" s="1"/>
      <c r="L821" s="424"/>
      <c r="M821" s="427"/>
      <c r="N821" s="426"/>
      <c r="O821" s="427"/>
      <c r="P821" s="431"/>
      <c r="Q821" s="432"/>
      <c r="R821" s="429" t="str">
        <f>IFERROR(IF(R817="","",SUM(R817:R820)),0)</f>
        <v/>
      </c>
      <c r="T821" s="424"/>
      <c r="U821" s="427"/>
      <c r="V821" s="426"/>
      <c r="W821" s="427"/>
      <c r="X821" s="431"/>
      <c r="Y821" s="432"/>
      <c r="Z821" s="429" t="str">
        <f>IFERROR(IF(Z817="","",SUM(Z817:Z820)),0)</f>
        <v/>
      </c>
    </row>
    <row r="822" spans="1:26" ht="18.75" customHeight="1">
      <c r="A822" s="140"/>
      <c r="B822" s="140"/>
      <c r="D822" s="177" t="s">
        <v>243</v>
      </c>
      <c r="E822" s="433"/>
      <c r="F822" s="436"/>
      <c r="G822" s="435"/>
      <c r="H822" s="436"/>
      <c r="I822" s="432"/>
      <c r="J822" s="437" t="str">
        <f>IF(J821="","",J821*12)</f>
        <v/>
      </c>
      <c r="K822" s="1"/>
      <c r="L822" s="433"/>
      <c r="M822" s="436"/>
      <c r="N822" s="435"/>
      <c r="O822" s="436"/>
      <c r="P822" s="432"/>
      <c r="Q822" s="432"/>
      <c r="R822" s="437" t="str">
        <f>IF(R821="","",R821*12)</f>
        <v/>
      </c>
      <c r="T822" s="433"/>
      <c r="U822" s="436"/>
      <c r="V822" s="435"/>
      <c r="W822" s="436"/>
      <c r="X822" s="432"/>
      <c r="Y822" s="432"/>
      <c r="Z822" s="437" t="str">
        <f>IF(Z821="","",Z821*12)</f>
        <v/>
      </c>
    </row>
    <row r="823" spans="1:26" ht="18" customHeight="1">
      <c r="A823" s="140"/>
      <c r="B823" s="140"/>
      <c r="D823" s="177" t="s">
        <v>244</v>
      </c>
      <c r="E823" s="433"/>
      <c r="F823" s="436"/>
      <c r="G823" s="435"/>
      <c r="H823" s="436"/>
      <c r="I823" s="432"/>
      <c r="J823" s="437" t="str">
        <f>IFERROR(IF(J822="","",R822-J822),0)</f>
        <v/>
      </c>
      <c r="K823" s="1"/>
      <c r="L823" s="433"/>
      <c r="M823" s="436"/>
      <c r="N823" s="435"/>
      <c r="O823" s="436"/>
      <c r="P823" s="432"/>
      <c r="Q823" s="432"/>
      <c r="R823" s="437" t="str">
        <f>IFERROR(IF(J822="","",R822-J822),0)</f>
        <v/>
      </c>
      <c r="T823" s="433"/>
      <c r="U823" s="436"/>
      <c r="V823" s="435"/>
      <c r="W823" s="436"/>
      <c r="X823" s="432"/>
      <c r="Y823" s="432"/>
      <c r="Z823" s="437" t="str">
        <f>IFERROR(IF(R822="","",Z822-R822),0)</f>
        <v/>
      </c>
    </row>
    <row r="824" spans="1:26" ht="18" customHeight="1" thickBot="1">
      <c r="A824" s="140"/>
      <c r="B824" s="140"/>
      <c r="D824" s="180" t="s">
        <v>245</v>
      </c>
      <c r="E824" s="439"/>
      <c r="F824" s="440"/>
      <c r="G824" s="441"/>
      <c r="H824" s="440"/>
      <c r="I824" s="442"/>
      <c r="J824" s="437" t="str">
        <f>IFERROR(IF(J822="","",(R822/J822)-1),0)</f>
        <v/>
      </c>
      <c r="K824" s="1"/>
      <c r="L824" s="439"/>
      <c r="M824" s="440"/>
      <c r="N824" s="441"/>
      <c r="O824" s="440"/>
      <c r="P824" s="445"/>
      <c r="Q824" s="445"/>
      <c r="R824" s="453" t="str">
        <f>IFERROR(IF(J822="","",(R822/J822)-1),0)</f>
        <v/>
      </c>
      <c r="T824" s="439"/>
      <c r="U824" s="440"/>
      <c r="V824" s="441"/>
      <c r="W824" s="440"/>
      <c r="X824" s="445"/>
      <c r="Y824" s="445"/>
      <c r="Z824" s="446" t="str">
        <f>IFERROR(IF(R822="","",(Z822/R822)-1),0)</f>
        <v/>
      </c>
    </row>
    <row r="825" spans="1:26" ht="5.25" customHeight="1" thickBot="1">
      <c r="A825" s="140"/>
      <c r="B825" s="140"/>
      <c r="D825" s="229"/>
      <c r="E825" s="229"/>
      <c r="F825" s="230"/>
      <c r="G825" s="231"/>
      <c r="H825" s="232"/>
      <c r="I825" s="233"/>
      <c r="J825" s="233"/>
      <c r="K825"/>
      <c r="L825" s="233"/>
      <c r="M825" s="233"/>
      <c r="N825" s="233"/>
      <c r="O825" s="233"/>
      <c r="P825" s="233"/>
      <c r="Q825" s="233"/>
      <c r="R825" s="233"/>
      <c r="T825" s="233"/>
      <c r="U825" s="233"/>
      <c r="V825" s="233"/>
      <c r="W825" s="233"/>
      <c r="X825" s="233"/>
      <c r="Y825" s="233"/>
      <c r="Z825" s="233"/>
    </row>
    <row r="826" spans="1:26" ht="50.15" customHeight="1">
      <c r="A826" s="140"/>
      <c r="B826" s="140"/>
      <c r="C826" s="164" t="s">
        <v>306</v>
      </c>
      <c r="D826" s="275" t="s">
        <v>285</v>
      </c>
      <c r="E826" s="165"/>
      <c r="F826" s="272"/>
      <c r="G826" s="166"/>
      <c r="H826" s="167"/>
      <c r="I826" s="168"/>
      <c r="J826" s="169"/>
      <c r="K826"/>
      <c r="L826" s="274" t="s">
        <v>38</v>
      </c>
      <c r="M826" s="170"/>
      <c r="N826" s="274" t="s">
        <v>237</v>
      </c>
      <c r="O826" s="171"/>
      <c r="P826" s="171"/>
      <c r="Q826" s="171"/>
      <c r="R826" s="169"/>
      <c r="T826" s="274" t="s">
        <v>38</v>
      </c>
      <c r="U826" s="170"/>
      <c r="V826" s="274" t="s">
        <v>237</v>
      </c>
      <c r="W826" s="171"/>
      <c r="X826" s="171"/>
      <c r="Y826" s="171"/>
      <c r="Z826" s="169"/>
    </row>
    <row r="827" spans="1:26" ht="18.75" customHeight="1">
      <c r="A827" s="140"/>
      <c r="B827" s="140"/>
      <c r="D827" s="172" t="s">
        <v>238</v>
      </c>
      <c r="E827" s="407"/>
      <c r="F827" s="449"/>
      <c r="G827" s="470" t="str">
        <f t="shared" si="152" ref="G827:G830">IF(F827="","",H827/F827)</f>
        <v/>
      </c>
      <c r="H827" s="449" t="str">
        <f>_xlfn.IFNA(VLOOKUP(F826,BEGIN_CURRENT_VISION:END_CURRENT_VISION,CURRENT_COL_EOContrib,FALSE),"")</f>
        <v/>
      </c>
      <c r="I827" s="409" t="str">
        <f>IFERROR(F827-H827,"")</f>
        <v/>
      </c>
      <c r="J827" s="410" t="str">
        <f>IF(F827="","",H827*E827)</f>
        <v/>
      </c>
      <c r="K827" s="411"/>
      <c r="L827" s="408" t="str" cm="1">
        <f t="array" ca="1" aca="1" ref="L827">_xlfn.IFNA(VLOOKUP(INDIRECT("L"&amp;ROW()-1)&amp;"_"&amp;$D$12,BEGIN_Renew_Vision:END_RENEW_VISION,RENEW_COL_EO,FALSE),"")</f>
        <v/>
      </c>
      <c r="M827" s="412" t="str">
        <f>IF(E827="","",E827)</f>
        <v/>
      </c>
      <c r="N827" s="413"/>
      <c r="O827" s="414"/>
      <c r="P827" s="415" t="str">
        <f>IFERROR(IF($N826="Keep Contribution Same",H827,IF($N826="Enter Percentages",IF(N827="","",N827*L827),IF($N826="Keep Percentage Same",IF(G827="","",G827*L827),IF($N826="Enter Dollar Amount",IF(O827="","",O827),"")))),"")</f>
        <v/>
      </c>
      <c r="Q827" s="408" t="str">
        <f ca="1">IFERROR(L827-P827,"")</f>
        <v/>
      </c>
      <c r="R827" s="410" t="str">
        <f>IFERROR(IF(P827="","",M827*P827),"")</f>
        <v/>
      </c>
      <c r="S827" s="411"/>
      <c r="T827" s="408" t="str" cm="1">
        <f t="array" ca="1" aca="1" ref="T827">_xlfn.IFNA(VLOOKUP(INDIRECT("T"&amp;ROW()-1)&amp;"_"&amp;$D$12,BEGIN_Renew_Vision:END_RENEW_VISION,RENEW_COL_EO,FALSE),"")</f>
        <v/>
      </c>
      <c r="U827" s="412" t="str">
        <f>IF(E827="","",E827)</f>
        <v/>
      </c>
      <c r="V827" s="413"/>
      <c r="W827" s="414"/>
      <c r="X827" s="415" t="str">
        <f>IFERROR(IF($V826="Keep Contribution Same",H827,IF($V826="Enter Percentages",IF(V827="","",V827*T827),IF($V826="Keep Percentage Same",IF(G827="","",G827*T827),IF($V826="Enter Dollar Amount",IF(W827="","",W827),"")))),"")</f>
        <v/>
      </c>
      <c r="Y827" s="408" t="str">
        <f ca="1">IFERROR(T827-X827,"")</f>
        <v/>
      </c>
      <c r="Z827" s="410" t="str">
        <f>IFERROR(IF(X827="","",U827*X827),"")</f>
        <v/>
      </c>
    </row>
    <row r="828" spans="1:26" ht="18.75" customHeight="1">
      <c r="A828" s="140"/>
      <c r="B828" s="140"/>
      <c r="D828" s="172" t="s">
        <v>239</v>
      </c>
      <c r="E828" s="407"/>
      <c r="F828" s="449" t="str">
        <f>_xlfn.IFNA(VLOOKUP(F826,BEGIN_CURRENT_VISION:END_CURRENT_VISION,CURRENT_COL_ES,FALSE),"")</f>
        <v/>
      </c>
      <c r="G828" s="470" t="str">
        <f t="shared" si="152"/>
        <v/>
      </c>
      <c r="H828" s="449" t="str">
        <f>_xlfn.IFNA(VLOOKUP(F826,BEGIN_CURRENT_VISION:END_CURRENT_VISION,CURRENT_COL_ESContrib,FALSE),"")</f>
        <v/>
      </c>
      <c r="I828" s="409" t="str">
        <f t="shared" si="153" ref="I828:I830">IFERROR(F828-H828,"")</f>
        <v/>
      </c>
      <c r="J828" s="410" t="str">
        <f t="shared" si="154" ref="J828:J830">IF(F828="","",H828*E828)</f>
        <v/>
      </c>
      <c r="K828" s="411"/>
      <c r="L828" s="408" t="str" cm="1">
        <f t="array" ca="1" aca="1" ref="L828">_xlfn.IFNA(VLOOKUP(INDIRECT("L"&amp;ROW()-2)&amp;"_"&amp;$D$12,BEGIN_Renew_Vision:END_RENEW_VISION,RENEW_COL_ES,FALSE),"")</f>
        <v/>
      </c>
      <c r="M828" s="412" t="str">
        <f>IF(E828="","",E828)</f>
        <v/>
      </c>
      <c r="N828" s="413"/>
      <c r="O828" s="414"/>
      <c r="P828" s="415" t="str">
        <f>IFERROR(IF($N826="Keep Contribution Same",H828,IF($N826="Enter Percentages",IF(N828="","",N828*L828),IF($N826="Keep Percentage Same",IF(G828="","",G828*L828),IF($N826="Enter Dollar Amount",IF(O828="","",O828),"")))),"")</f>
        <v/>
      </c>
      <c r="Q828" s="408" t="str">
        <f ca="1" t="shared" si="155" ref="Q828:Q830">IFERROR(L828-P828,"")</f>
        <v/>
      </c>
      <c r="R828" s="410" t="str">
        <f>IFERROR(IF(P828="","",M828*P828),"")</f>
        <v/>
      </c>
      <c r="S828" s="411"/>
      <c r="T828" s="408" t="str" cm="1">
        <f t="array" ca="1" aca="1" ref="T828">_xlfn.IFNA(VLOOKUP(INDIRECT("T"&amp;ROW()-2)&amp;"_"&amp;$D$12,BEGIN_Renew_Vision:END_RENEW_VISION,RENEW_COL_ES,FALSE),"")</f>
        <v/>
      </c>
      <c r="U828" s="412" t="str">
        <f t="shared" si="156" ref="U828:U830">IF(E828="","",E828)</f>
        <v/>
      </c>
      <c r="V828" s="413"/>
      <c r="W828" s="414"/>
      <c r="X828" s="415" t="str">
        <f>IFERROR(IF($V826="Keep Contribution Same",H828,IF($V826="Enter Percentages",IF(V828="","",V828*T828),IF($V826="Keep Percentage Same",IF(G828="","",G828*T828),IF($V826="Enter Dollar Amount",IF(W828="","",W828),"")))),"")</f>
        <v/>
      </c>
      <c r="Y828" s="408" t="str">
        <f ca="1" t="shared" si="157" ref="Y828:Y830">IFERROR(T828-X828,"")</f>
        <v/>
      </c>
      <c r="Z828" s="410" t="str">
        <f t="shared" si="158" ref="Z828:Z830">IFERROR(IF(X828="","",U828*X828),"")</f>
        <v/>
      </c>
    </row>
    <row r="829" spans="1:26" ht="18.75" customHeight="1">
      <c r="A829" s="140"/>
      <c r="B829" s="140"/>
      <c r="D829" s="172" t="s">
        <v>240</v>
      </c>
      <c r="E829" s="407"/>
      <c r="F829" s="449" t="str">
        <f>_xlfn.IFNA(VLOOKUP(F826,BEGIN_CURRENT_VISION:END_CURRENT_VISION,CURRENT_COL_EC,FALSE),"")</f>
        <v/>
      </c>
      <c r="G829" s="470" t="str">
        <f t="shared" si="152"/>
        <v/>
      </c>
      <c r="H829" s="449" t="str">
        <f>_xlfn.IFNA(VLOOKUP(F826,BEGIN_CURRENT_VISION:END_CURRENT_VISION,CURRENT_COL_ECContrib,FALSE),"")</f>
        <v/>
      </c>
      <c r="I829" s="409" t="str">
        <f t="shared" si="153"/>
        <v/>
      </c>
      <c r="J829" s="410" t="str">
        <f t="shared" si="154"/>
        <v/>
      </c>
      <c r="K829" s="411"/>
      <c r="L829" s="408" t="str" cm="1">
        <f t="array" ca="1" aca="1" ref="L829">_xlfn.IFNA(VLOOKUP(INDIRECT("L"&amp;ROW()-3)&amp;"_"&amp;$D$12,BEGIN_Renew_Vision:END_RENEW_VISION,RENEW_COL_EC,FALSE),"")</f>
        <v/>
      </c>
      <c r="M829" s="412" t="str">
        <f>IF(E829="","",E829)</f>
        <v/>
      </c>
      <c r="N829" s="413"/>
      <c r="O829" s="414"/>
      <c r="P829" s="415" t="str">
        <f>IFERROR(IF($N826="Keep Contribution Same",H829,IF($N826="Enter Percentages",IF(N829="","",N829*L829),IF($N826="Keep Percentage Same",IF(G829="","",G829*L829),IF($N826="Enter Dollar Amount",IF(O829="","",O829),"")))),"")</f>
        <v/>
      </c>
      <c r="Q829" s="408" t="str">
        <f t="shared" ca="1" si="155"/>
        <v/>
      </c>
      <c r="R829" s="410" t="str">
        <f>IFERROR(IF(P829="","",M829*P829),"")</f>
        <v/>
      </c>
      <c r="S829" s="411"/>
      <c r="T829" s="408" t="str" cm="1">
        <f t="array" ca="1" aca="1" ref="T829">_xlfn.IFNA(VLOOKUP(INDIRECT("T"&amp;ROW()-3)&amp;"_"&amp;$D$12,BEGIN_Renew_Vision:END_RENEW_VISION,RENEW_COL_EC,FALSE),"")</f>
        <v/>
      </c>
      <c r="U829" s="412" t="str">
        <f t="shared" si="156"/>
        <v/>
      </c>
      <c r="V829" s="413"/>
      <c r="W829" s="414"/>
      <c r="X829" s="415" t="str">
        <f>IFERROR(IF($V826="Keep Contribution Same",H829,IF($V826="Enter Percentages",IF(V829="","",V829*T829),IF($V826="Keep Percentage Same",IF(G829="","",G829*T829),IF($V826="Enter Dollar Amount",IF(W829="","",W829),"")))),"")</f>
        <v/>
      </c>
      <c r="Y829" s="408" t="str">
        <f t="shared" ca="1" si="157"/>
        <v/>
      </c>
      <c r="Z829" s="410" t="str">
        <f t="shared" si="158"/>
        <v/>
      </c>
    </row>
    <row r="830" spans="1:26" ht="18.75" customHeight="1" thickBot="1">
      <c r="A830" s="140"/>
      <c r="B830" s="140"/>
      <c r="D830" s="174" t="s">
        <v>241</v>
      </c>
      <c r="E830" s="416"/>
      <c r="F830" s="451" t="str">
        <f>_xlfn.IFNA(VLOOKUP(F826,BEGIN_CURRENT_VISION:END_CURRENT_VISION,CURRENT_COL_FAM,FALSE),"")</f>
        <v/>
      </c>
      <c r="G830" s="471" t="str">
        <f t="shared" si="152"/>
        <v/>
      </c>
      <c r="H830" s="451" t="str">
        <f>_xlfn.IFNA(VLOOKUP(F826,BEGIN_CURRENT_VISION:END_CURRENT_VISION,CURRENT_COL_FAMContrib,FALSE),"")</f>
        <v/>
      </c>
      <c r="I830" s="409" t="str">
        <f t="shared" si="153"/>
        <v/>
      </c>
      <c r="J830" s="410" t="str">
        <f t="shared" si="154"/>
        <v/>
      </c>
      <c r="K830" s="411"/>
      <c r="L830" s="417" t="str" cm="1">
        <f t="array" ca="1" aca="1" ref="L830">_xlfn.IFNA(VLOOKUP(INDIRECT("L"&amp;ROW()-4)&amp;"_"&amp;$D$12,BEGIN_Renew_Vision:END_RENEW_VISION,RENEW_COL_FAM,FALSE),"")</f>
        <v/>
      </c>
      <c r="M830" s="423" t="str">
        <f>IF(E830="","",E830)</f>
        <v/>
      </c>
      <c r="N830" s="420"/>
      <c r="O830" s="421"/>
      <c r="P830" s="422" t="str">
        <f>IFERROR(IF($N826="Keep Contribution Same",H830,IF($N826="Enter Percentages",IF(N830="","",N830*L830),IF($N826="Keep Percentage Same",IF(G830="","",G830*L830),IF($N826="Enter Dollar Amount",IF(O830="","",O830),"")))),"")</f>
        <v/>
      </c>
      <c r="Q830" s="417" t="str">
        <f t="shared" ca="1" si="155"/>
        <v/>
      </c>
      <c r="R830" s="419" t="str">
        <f>IFERROR(IF(P830="","",M830*P830),"")</f>
        <v/>
      </c>
      <c r="S830" s="411"/>
      <c r="T830" s="417" t="str" cm="1">
        <f t="array" ca="1" aca="1" ref="T830">_xlfn.IFNA(VLOOKUP(INDIRECT("T"&amp;ROW()-4)&amp;"_"&amp;$D$12,BEGIN_Renew_Vision:END_RENEW_VISION,RENEW_COL_FAM,FALSE),"")</f>
        <v/>
      </c>
      <c r="U830" s="423" t="str">
        <f t="shared" si="156"/>
        <v/>
      </c>
      <c r="V830" s="420"/>
      <c r="W830" s="421"/>
      <c r="X830" s="422" t="str">
        <f>IFERROR(IF($V826="Keep Contribution Same",H830,IF($V826="Enter Percentages",IF(V830="","",V830*T830),IF($V826="Keep Percentage Same",IF(G830="","",G830*T830),IF($V826="Enter Dollar Amount",IF(W830="","",W830),"")))),"")</f>
        <v/>
      </c>
      <c r="Y830" s="417" t="str">
        <f t="shared" ca="1" si="157"/>
        <v/>
      </c>
      <c r="Z830" s="461" t="str">
        <f t="shared" si="158"/>
        <v/>
      </c>
    </row>
    <row r="831" spans="1:26" ht="18.75" customHeight="1" thickTop="1">
      <c r="A831" s="140"/>
      <c r="B831" s="140"/>
      <c r="D831" s="175" t="s">
        <v>242</v>
      </c>
      <c r="E831" s="424"/>
      <c r="F831" s="427"/>
      <c r="G831" s="426"/>
      <c r="H831" s="427"/>
      <c r="I831" s="428"/>
      <c r="J831" s="429" t="str">
        <f>IFERROR(IF(J827="","",SUM(J827:J830)),0)</f>
        <v/>
      </c>
      <c r="K831" s="1"/>
      <c r="L831" s="424"/>
      <c r="M831" s="427"/>
      <c r="N831" s="426"/>
      <c r="O831" s="427"/>
      <c r="P831" s="431"/>
      <c r="Q831" s="432"/>
      <c r="R831" s="429" t="str">
        <f>IFERROR(IF(R827="","",SUM(R827:R830)),0)</f>
        <v/>
      </c>
      <c r="T831" s="424"/>
      <c r="U831" s="427"/>
      <c r="V831" s="426"/>
      <c r="W831" s="427"/>
      <c r="X831" s="431"/>
      <c r="Y831" s="432"/>
      <c r="Z831" s="429" t="str">
        <f>IFERROR(IF(Z827="","",SUM(Z827:Z830)),0)</f>
        <v/>
      </c>
    </row>
    <row r="832" spans="1:26" ht="18.75" customHeight="1">
      <c r="A832" s="140"/>
      <c r="B832" s="140"/>
      <c r="D832" s="177" t="s">
        <v>243</v>
      </c>
      <c r="E832" s="433"/>
      <c r="F832" s="436"/>
      <c r="G832" s="435"/>
      <c r="H832" s="436"/>
      <c r="I832" s="432"/>
      <c r="J832" s="437" t="str">
        <f>IF(J831="","",J831*12)</f>
        <v/>
      </c>
      <c r="K832" s="1"/>
      <c r="L832" s="433"/>
      <c r="M832" s="436"/>
      <c r="N832" s="435"/>
      <c r="O832" s="436"/>
      <c r="P832" s="432"/>
      <c r="Q832" s="432"/>
      <c r="R832" s="437" t="str">
        <f>IF(R831="","",R831*12)</f>
        <v/>
      </c>
      <c r="T832" s="433"/>
      <c r="U832" s="436"/>
      <c r="V832" s="435"/>
      <c r="W832" s="436"/>
      <c r="X832" s="432"/>
      <c r="Y832" s="432"/>
      <c r="Z832" s="437" t="str">
        <f>IF(Z831="","",Z831*12)</f>
        <v/>
      </c>
    </row>
    <row r="833" spans="1:26" ht="18" customHeight="1">
      <c r="A833" s="140"/>
      <c r="B833" s="140"/>
      <c r="D833" s="177" t="s">
        <v>244</v>
      </c>
      <c r="E833" s="433"/>
      <c r="F833" s="436"/>
      <c r="G833" s="435"/>
      <c r="H833" s="436"/>
      <c r="I833" s="432"/>
      <c r="J833" s="437" t="str">
        <f>IFERROR(IF(J832="","",R832-J832),0)</f>
        <v/>
      </c>
      <c r="K833" s="1"/>
      <c r="L833" s="433"/>
      <c r="M833" s="436"/>
      <c r="N833" s="435"/>
      <c r="O833" s="436"/>
      <c r="P833" s="432"/>
      <c r="Q833" s="432"/>
      <c r="R833" s="437" t="str">
        <f>IFERROR(IF(J832="","",R832-J832),0)</f>
        <v/>
      </c>
      <c r="T833" s="433"/>
      <c r="U833" s="436"/>
      <c r="V833" s="435"/>
      <c r="W833" s="436"/>
      <c r="X833" s="432"/>
      <c r="Y833" s="432"/>
      <c r="Z833" s="437" t="str">
        <f>IFERROR(IF(R832="","",Z832-R832),0)</f>
        <v/>
      </c>
    </row>
    <row r="834" spans="1:26" ht="18" customHeight="1" thickBot="1">
      <c r="A834" s="140"/>
      <c r="B834" s="140"/>
      <c r="D834" s="180" t="s">
        <v>245</v>
      </c>
      <c r="E834" s="439"/>
      <c r="F834" s="440"/>
      <c r="G834" s="441"/>
      <c r="H834" s="440"/>
      <c r="I834" s="442"/>
      <c r="J834" s="437" t="str">
        <f>IFERROR(IF(J832="","",(R832/J832)-1),0)</f>
        <v/>
      </c>
      <c r="K834" s="1"/>
      <c r="L834" s="439"/>
      <c r="M834" s="440"/>
      <c r="N834" s="441"/>
      <c r="O834" s="440"/>
      <c r="P834" s="445"/>
      <c r="Q834" s="445"/>
      <c r="R834" s="453" t="str">
        <f>IFERROR(IF(J832="","",(R832/J832)-1),0)</f>
        <v/>
      </c>
      <c r="T834" s="439"/>
      <c r="U834" s="440"/>
      <c r="V834" s="441"/>
      <c r="W834" s="440"/>
      <c r="X834" s="445"/>
      <c r="Y834" s="445"/>
      <c r="Z834" s="453" t="str">
        <f>IFERROR(IF(R832="","",(Z832/R832)-1),0)</f>
        <v/>
      </c>
    </row>
    <row r="835" spans="1:26" ht="5.25" customHeight="1" thickBot="1">
      <c r="A835" s="140"/>
      <c r="B835" s="140"/>
      <c r="D835" s="229"/>
      <c r="E835" s="229"/>
      <c r="F835" s="230"/>
      <c r="G835" s="231"/>
      <c r="H835" s="232"/>
      <c r="I835" s="233"/>
      <c r="J835" s="233"/>
      <c r="K835"/>
      <c r="L835" s="233"/>
      <c r="M835" s="233"/>
      <c r="N835" s="233"/>
      <c r="O835" s="233"/>
      <c r="P835" s="233"/>
      <c r="Q835" s="233"/>
      <c r="R835" s="233"/>
      <c r="T835" s="233"/>
      <c r="U835" s="233"/>
      <c r="V835" s="233"/>
      <c r="W835" s="233"/>
      <c r="X835" s="233"/>
      <c r="Y835" s="233"/>
      <c r="Z835" s="233"/>
    </row>
    <row r="836" spans="1:26" ht="50.15" customHeight="1">
      <c r="A836" s="140"/>
      <c r="B836" s="140"/>
      <c r="C836" s="164" t="s">
        <v>307</v>
      </c>
      <c r="D836" s="275" t="s">
        <v>285</v>
      </c>
      <c r="E836" s="165"/>
      <c r="F836" s="272"/>
      <c r="G836" s="166"/>
      <c r="H836" s="167"/>
      <c r="I836" s="168"/>
      <c r="J836" s="169"/>
      <c r="K836"/>
      <c r="L836" s="274" t="s">
        <v>38</v>
      </c>
      <c r="M836" s="170"/>
      <c r="N836" s="274" t="s">
        <v>237</v>
      </c>
      <c r="O836" s="171"/>
      <c r="P836" s="171"/>
      <c r="Q836" s="171"/>
      <c r="R836" s="169"/>
      <c r="T836" s="274" t="s">
        <v>38</v>
      </c>
      <c r="U836" s="170"/>
      <c r="V836" s="274" t="s">
        <v>237</v>
      </c>
      <c r="W836" s="171"/>
      <c r="X836" s="171"/>
      <c r="Y836" s="171"/>
      <c r="Z836" s="169"/>
    </row>
    <row r="837" spans="1:26" ht="18.75" customHeight="1">
      <c r="A837" s="140"/>
      <c r="B837" s="140"/>
      <c r="D837" s="172" t="s">
        <v>238</v>
      </c>
      <c r="E837" s="407"/>
      <c r="F837" s="449"/>
      <c r="G837" s="470" t="str">
        <f t="shared" si="159" ref="G837:G840">IF(F837="","",H837/F837)</f>
        <v/>
      </c>
      <c r="H837" s="449" t="str">
        <f>_xlfn.IFNA(VLOOKUP(F836,BEGIN_CURRENT_VISION:END_CURRENT_VISION,CURRENT_COL_EOContrib,FALSE),"")</f>
        <v/>
      </c>
      <c r="I837" s="409" t="str">
        <f>IFERROR(F837-H837,"")</f>
        <v/>
      </c>
      <c r="J837" s="410" t="str">
        <f>IF(F837="","",H837*E837)</f>
        <v/>
      </c>
      <c r="K837" s="411"/>
      <c r="L837" s="408" t="str" cm="1">
        <f t="array" ca="1" aca="1" ref="L837">_xlfn.IFNA(VLOOKUP(INDIRECT("L"&amp;ROW()-1)&amp;"_"&amp;$D$12,BEGIN_Renew_Vision:END_RENEW_VISION,RENEW_COL_EO,FALSE),"")</f>
        <v/>
      </c>
      <c r="M837" s="412" t="str">
        <f>IF(E837="","",E837)</f>
        <v/>
      </c>
      <c r="N837" s="413"/>
      <c r="O837" s="414"/>
      <c r="P837" s="415" t="str">
        <f>IFERROR(IF($N836="Keep Contribution Same",H837,IF($N836="Enter Percentages",IF(N837="","",N837*L837),IF($N836="Keep Percentage Same",IF(G837="","",G837*L837),IF($N836="Enter Dollar Amount",IF(O837="","",O837),"")))),"")</f>
        <v/>
      </c>
      <c r="Q837" s="408" t="str">
        <f ca="1">IFERROR(L837-P837,"")</f>
        <v/>
      </c>
      <c r="R837" s="410" t="str">
        <f>IFERROR(IF(P837="","",M837*P837),"")</f>
        <v/>
      </c>
      <c r="S837" s="411"/>
      <c r="T837" s="408" t="str" cm="1">
        <f t="array" ca="1" aca="1" ref="T837">_xlfn.IFNA(VLOOKUP(INDIRECT("T"&amp;ROW()-1)&amp;"_"&amp;$D$12,BEGIN_Renew_Vision:END_RENEW_VISION,RENEW_COL_EO,FALSE),"")</f>
        <v/>
      </c>
      <c r="U837" s="412" t="str">
        <f>IF(E837="","",E837)</f>
        <v/>
      </c>
      <c r="V837" s="413"/>
      <c r="W837" s="414"/>
      <c r="X837" s="415" t="str">
        <f>IFERROR(IF($V836="Keep Contribution Same",H837,IF($V836="Enter Percentages",IF(V837="","",V837*T837),IF($V836="Keep Percentage Same",IF(G837="","",G837*T837),IF($V836="Enter Dollar Amount",IF(W837="","",W837),"")))),"")</f>
        <v/>
      </c>
      <c r="Y837" s="408" t="str">
        <f ca="1">IFERROR(T837-X837,"")</f>
        <v/>
      </c>
      <c r="Z837" s="410" t="str">
        <f>IFERROR(IF(X837="","",U837*X837),"")</f>
        <v/>
      </c>
    </row>
    <row r="838" spans="1:26" ht="18.75" customHeight="1">
      <c r="A838" s="140"/>
      <c r="B838" s="140"/>
      <c r="D838" s="172" t="s">
        <v>239</v>
      </c>
      <c r="E838" s="407"/>
      <c r="F838" s="449" t="str">
        <f>_xlfn.IFNA(VLOOKUP(F836,BEGIN_CURRENT_VISION:END_CURRENT_VISION,CURRENT_COL_ES,FALSE),"")</f>
        <v/>
      </c>
      <c r="G838" s="470" t="str">
        <f t="shared" si="159"/>
        <v/>
      </c>
      <c r="H838" s="449" t="str">
        <f>_xlfn.IFNA(VLOOKUP(F836,BEGIN_CURRENT_VISION:END_CURRENT_VISION,CURRENT_COL_ESContrib,FALSE),"")</f>
        <v/>
      </c>
      <c r="I838" s="409" t="str">
        <f t="shared" si="160" ref="I838:I840">IFERROR(F838-H838,"")</f>
        <v/>
      </c>
      <c r="J838" s="410" t="str">
        <f t="shared" si="161" ref="J838:J840">IF(F838="","",H838*E838)</f>
        <v/>
      </c>
      <c r="K838" s="411"/>
      <c r="L838" s="408" t="str" cm="1">
        <f t="array" ca="1" aca="1" ref="L838">_xlfn.IFNA(VLOOKUP(INDIRECT("L"&amp;ROW()-2)&amp;"_"&amp;$D$12,BEGIN_Renew_Vision:END_RENEW_VISION,RENEW_COL_ES,FALSE),"")</f>
        <v/>
      </c>
      <c r="M838" s="412" t="str">
        <f>IF(E838="","",E838)</f>
        <v/>
      </c>
      <c r="N838" s="413"/>
      <c r="O838" s="414"/>
      <c r="P838" s="415" t="str">
        <f>IFERROR(IF($N836="Keep Contribution Same",H838,IF($N836="Enter Percentages",IF(N838="","",N838*L838),IF($N836="Keep Percentage Same",IF(G838="","",G838*L838),IF($N836="Enter Dollar Amount",IF(O838="","",O838),"")))),"")</f>
        <v/>
      </c>
      <c r="Q838" s="408" t="str">
        <f ca="1" t="shared" si="162" ref="Q838:Q840">IFERROR(L838-P838,"")</f>
        <v/>
      </c>
      <c r="R838" s="410" t="str">
        <f>IFERROR(IF(P838="","",M838*P838),"")</f>
        <v/>
      </c>
      <c r="S838" s="411"/>
      <c r="T838" s="408" t="str" cm="1">
        <f t="array" ca="1" aca="1" ref="T838">_xlfn.IFNA(VLOOKUP(INDIRECT("T"&amp;ROW()-2)&amp;"_"&amp;$D$12,BEGIN_Renew_Vision:END_RENEW_VISION,RENEW_COL_ES,FALSE),"")</f>
        <v/>
      </c>
      <c r="U838" s="412" t="str">
        <f t="shared" si="163" ref="U838:U840">IF(E838="","",E838)</f>
        <v/>
      </c>
      <c r="V838" s="413"/>
      <c r="W838" s="414"/>
      <c r="X838" s="415" t="str">
        <f>IFERROR(IF($V836="Keep Contribution Same",H838,IF($V836="Enter Percentages",IF(V838="","",V838*T838),IF($V836="Keep Percentage Same",IF(G838="","",G838*T838),IF($V836="Enter Dollar Amount",IF(W838="","",W838),"")))),"")</f>
        <v/>
      </c>
      <c r="Y838" s="408" t="str">
        <f ca="1" t="shared" si="164" ref="Y838:Y840">IFERROR(T838-X838,"")</f>
        <v/>
      </c>
      <c r="Z838" s="410" t="str">
        <f t="shared" si="165" ref="Z838:Z840">IFERROR(IF(X838="","",U838*X838),"")</f>
        <v/>
      </c>
    </row>
    <row r="839" spans="1:26" ht="18.75" customHeight="1">
      <c r="A839" s="140"/>
      <c r="B839" s="140"/>
      <c r="D839" s="172" t="s">
        <v>240</v>
      </c>
      <c r="E839" s="407"/>
      <c r="F839" s="449" t="str">
        <f>_xlfn.IFNA(VLOOKUP(F836,BEGIN_CURRENT_VISION:END_CURRENT_VISION,CURRENT_COL_EC,FALSE),"")</f>
        <v/>
      </c>
      <c r="G839" s="470" t="str">
        <f t="shared" si="159"/>
        <v/>
      </c>
      <c r="H839" s="449" t="str">
        <f>_xlfn.IFNA(VLOOKUP(F836,BEGIN_CURRENT_VISION:END_CURRENT_VISION,CURRENT_COL_ECContrib,FALSE),"")</f>
        <v/>
      </c>
      <c r="I839" s="409" t="str">
        <f t="shared" si="160"/>
        <v/>
      </c>
      <c r="J839" s="410" t="str">
        <f t="shared" si="161"/>
        <v/>
      </c>
      <c r="K839" s="411"/>
      <c r="L839" s="408" t="str" cm="1">
        <f t="array" ca="1" aca="1" ref="L839">_xlfn.IFNA(VLOOKUP(INDIRECT("L"&amp;ROW()-3)&amp;"_"&amp;$D$12,BEGIN_Renew_Vision:END_RENEW_VISION,RENEW_COL_EC,FALSE),"")</f>
        <v/>
      </c>
      <c r="M839" s="412" t="str">
        <f>IF(E839="","",E839)</f>
        <v/>
      </c>
      <c r="N839" s="413"/>
      <c r="O839" s="414"/>
      <c r="P839" s="415" t="str">
        <f>IFERROR(IF($N836="Keep Contribution Same",H839,IF($N836="Enter Percentages",IF(N839="","",N839*L839),IF($N836="Keep Percentage Same",IF(G839="","",G839*L839),IF($N836="Enter Dollar Amount",IF(O839="","",O839),"")))),"")</f>
        <v/>
      </c>
      <c r="Q839" s="408" t="str">
        <f t="shared" ca="1" si="162"/>
        <v/>
      </c>
      <c r="R839" s="410" t="str">
        <f>IFERROR(IF(P839="","",M839*P839),"")</f>
        <v/>
      </c>
      <c r="S839" s="411"/>
      <c r="T839" s="408" t="str" cm="1">
        <f t="array" ca="1" aca="1" ref="T839">_xlfn.IFNA(VLOOKUP(INDIRECT("T"&amp;ROW()-3)&amp;"_"&amp;$D$12,BEGIN_Renew_Vision:END_RENEW_VISION,RENEW_COL_EC,FALSE),"")</f>
        <v/>
      </c>
      <c r="U839" s="412" t="str">
        <f t="shared" si="163"/>
        <v/>
      </c>
      <c r="V839" s="413"/>
      <c r="W839" s="414"/>
      <c r="X839" s="415" t="str">
        <f>IFERROR(IF($V836="Keep Contribution Same",H839,IF($V836="Enter Percentages",IF(V839="","",V839*T839),IF($V836="Keep Percentage Same",IF(G839="","",G839*T839),IF($V836="Enter Dollar Amount",IF(W839="","",W839),"")))),"")</f>
        <v/>
      </c>
      <c r="Y839" s="408" t="str">
        <f t="shared" ca="1" si="164"/>
        <v/>
      </c>
      <c r="Z839" s="410" t="str">
        <f t="shared" si="165"/>
        <v/>
      </c>
    </row>
    <row r="840" spans="1:26" ht="18.75" customHeight="1" thickBot="1">
      <c r="A840" s="140"/>
      <c r="B840" s="140"/>
      <c r="D840" s="174" t="s">
        <v>241</v>
      </c>
      <c r="E840" s="416"/>
      <c r="F840" s="451" t="str">
        <f>_xlfn.IFNA(VLOOKUP(F836,BEGIN_CURRENT_VISION:END_CURRENT_VISION,CURRENT_COL_FAM,FALSE),"")</f>
        <v/>
      </c>
      <c r="G840" s="471" t="str">
        <f t="shared" si="159"/>
        <v/>
      </c>
      <c r="H840" s="451" t="str">
        <f>_xlfn.IFNA(VLOOKUP(F836,BEGIN_CURRENT_VISION:END_CURRENT_VISION,CURRENT_COL_FAMContrib,FALSE),"")</f>
        <v/>
      </c>
      <c r="I840" s="409" t="str">
        <f t="shared" si="160"/>
        <v/>
      </c>
      <c r="J840" s="410" t="str">
        <f t="shared" si="161"/>
        <v/>
      </c>
      <c r="K840" s="411"/>
      <c r="L840" s="417" t="str" cm="1">
        <f t="array" ca="1" aca="1" ref="L840">_xlfn.IFNA(VLOOKUP(INDIRECT("L"&amp;ROW()-4)&amp;"_"&amp;$D$12,BEGIN_Renew_Vision:END_RENEW_VISION,RENEW_COL_FAM,FALSE),"")</f>
        <v/>
      </c>
      <c r="M840" s="423" t="str">
        <f>IF(E840="","",E840)</f>
        <v/>
      </c>
      <c r="N840" s="420"/>
      <c r="O840" s="421"/>
      <c r="P840" s="422" t="str">
        <f>IFERROR(IF($N836="Keep Contribution Same",H840,IF($N836="Enter Percentages",IF(N840="","",N840*L840),IF($N836="Keep Percentage Same",IF(G840="","",G840*L840),IF($N836="Enter Dollar Amount",IF(O840="","",O840),"")))),"")</f>
        <v/>
      </c>
      <c r="Q840" s="417" t="str">
        <f t="shared" ca="1" si="162"/>
        <v/>
      </c>
      <c r="R840" s="419" t="str">
        <f>IFERROR(IF(P840="","",M840*P840),"")</f>
        <v/>
      </c>
      <c r="S840" s="411"/>
      <c r="T840" s="417" t="str" cm="1">
        <f t="array" ca="1" aca="1" ref="T840">_xlfn.IFNA(VLOOKUP(INDIRECT("T"&amp;ROW()-4)&amp;"_"&amp;$D$12,BEGIN_Renew_Vision:END_RENEW_VISION,RENEW_COL_FAM,FALSE),"")</f>
        <v/>
      </c>
      <c r="U840" s="423" t="str">
        <f t="shared" si="163"/>
        <v/>
      </c>
      <c r="V840" s="420"/>
      <c r="W840" s="421"/>
      <c r="X840" s="422" t="str">
        <f>IFERROR(IF($V836="Keep Contribution Same",H840,IF($V836="Enter Percentages",IF(V840="","",V840*T840),IF($V836="Keep Percentage Same",IF(G840="","",G840*T840),IF($V836="Enter Dollar Amount",IF(W840="","",W840),"")))),"")</f>
        <v/>
      </c>
      <c r="Y840" s="417" t="str">
        <f t="shared" ca="1" si="164"/>
        <v/>
      </c>
      <c r="Z840" s="461" t="str">
        <f t="shared" si="165"/>
        <v/>
      </c>
    </row>
    <row r="841" spans="1:26" ht="18.75" customHeight="1" thickTop="1">
      <c r="A841" s="140"/>
      <c r="B841" s="140"/>
      <c r="D841" s="175" t="s">
        <v>242</v>
      </c>
      <c r="E841" s="424"/>
      <c r="F841" s="427"/>
      <c r="G841" s="426"/>
      <c r="H841" s="427"/>
      <c r="I841" s="428"/>
      <c r="J841" s="429" t="str">
        <f>IFERROR(IF(J837="","",SUM(J837:J840)),0)</f>
        <v/>
      </c>
      <c r="K841" s="1"/>
      <c r="L841" s="424"/>
      <c r="M841" s="427"/>
      <c r="N841" s="426"/>
      <c r="O841" s="427"/>
      <c r="P841" s="431"/>
      <c r="Q841" s="432"/>
      <c r="R841" s="429" t="str">
        <f>IFERROR(IF(R837="","",SUM(R837:R840)),0)</f>
        <v/>
      </c>
      <c r="T841" s="424"/>
      <c r="U841" s="427"/>
      <c r="V841" s="426"/>
      <c r="W841" s="427"/>
      <c r="X841" s="431"/>
      <c r="Y841" s="432"/>
      <c r="Z841" s="429" t="str">
        <f>IFERROR(IF(Z837="","",SUM(Z837:Z840)),0)</f>
        <v/>
      </c>
    </row>
    <row r="842" spans="1:26" ht="18.75" customHeight="1">
      <c r="A842" s="140"/>
      <c r="B842" s="140"/>
      <c r="D842" s="177" t="s">
        <v>243</v>
      </c>
      <c r="E842" s="433"/>
      <c r="F842" s="436"/>
      <c r="G842" s="435"/>
      <c r="H842" s="436"/>
      <c r="I842" s="432"/>
      <c r="J842" s="437" t="str">
        <f>IF(J841="","",J841*12)</f>
        <v/>
      </c>
      <c r="K842" s="1"/>
      <c r="L842" s="433"/>
      <c r="M842" s="436"/>
      <c r="N842" s="435"/>
      <c r="O842" s="436"/>
      <c r="P842" s="432"/>
      <c r="Q842" s="432"/>
      <c r="R842" s="437" t="str">
        <f>IF(R841="","",R841*12)</f>
        <v/>
      </c>
      <c r="T842" s="433"/>
      <c r="U842" s="436"/>
      <c r="V842" s="435"/>
      <c r="W842" s="436"/>
      <c r="X842" s="432"/>
      <c r="Y842" s="432"/>
      <c r="Z842" s="437" t="str">
        <f>IF(Z841="","",Z841*12)</f>
        <v/>
      </c>
    </row>
    <row r="843" spans="1:26" ht="18.75" customHeight="1">
      <c r="A843" s="140"/>
      <c r="B843" s="140"/>
      <c r="D843" s="177" t="s">
        <v>244</v>
      </c>
      <c r="E843" s="433"/>
      <c r="F843" s="436"/>
      <c r="G843" s="435"/>
      <c r="H843" s="436"/>
      <c r="I843" s="432"/>
      <c r="J843" s="437" t="str">
        <f>IFERROR(IF(J842="","",R842-J842),0)</f>
        <v/>
      </c>
      <c r="K843" s="1"/>
      <c r="L843" s="433"/>
      <c r="M843" s="436"/>
      <c r="N843" s="435"/>
      <c r="O843" s="436"/>
      <c r="P843" s="432"/>
      <c r="Q843" s="432"/>
      <c r="R843" s="437" t="str">
        <f>IFERROR(IF(J842="","",R842-J842),0)</f>
        <v/>
      </c>
      <c r="T843" s="433"/>
      <c r="U843" s="436"/>
      <c r="V843" s="435"/>
      <c r="W843" s="436"/>
      <c r="X843" s="432"/>
      <c r="Y843" s="432"/>
      <c r="Z843" s="437" t="str">
        <f>IFERROR(IF(R842="","",Z842-R842),0)</f>
        <v/>
      </c>
    </row>
    <row r="844" spans="1:26" ht="18" customHeight="1" thickBot="1">
      <c r="A844" s="140"/>
      <c r="B844" s="140"/>
      <c r="D844" s="180" t="s">
        <v>245</v>
      </c>
      <c r="E844" s="439"/>
      <c r="F844" s="440"/>
      <c r="G844" s="441"/>
      <c r="H844" s="440"/>
      <c r="I844" s="442"/>
      <c r="J844" s="437" t="str">
        <f>IFERROR(IF(J842="","",(R842/J842)-1),0)</f>
        <v/>
      </c>
      <c r="K844" s="1"/>
      <c r="L844" s="439"/>
      <c r="M844" s="440"/>
      <c r="N844" s="441"/>
      <c r="O844" s="440"/>
      <c r="P844" s="445"/>
      <c r="Q844" s="445"/>
      <c r="R844" s="453" t="str">
        <f>IFERROR(IF(J842="","",(R842/J842)-1),0)</f>
        <v/>
      </c>
      <c r="T844" s="439"/>
      <c r="U844" s="440"/>
      <c r="V844" s="441"/>
      <c r="W844" s="440"/>
      <c r="X844" s="445"/>
      <c r="Y844" s="445"/>
      <c r="Z844" s="453" t="str">
        <f>IFERROR(IF(R842="","",(Z842/R842)-1),0)</f>
        <v/>
      </c>
    </row>
    <row r="845" spans="1:26" ht="5.25" customHeight="1" thickBot="1">
      <c r="A845" s="140"/>
      <c r="B845" s="140"/>
      <c r="D845" s="229"/>
      <c r="E845" s="229"/>
      <c r="F845" s="230"/>
      <c r="G845" s="231"/>
      <c r="H845" s="232"/>
      <c r="I845" s="233"/>
      <c r="J845" s="233"/>
      <c r="K845"/>
      <c r="L845" s="233"/>
      <c r="M845" s="233"/>
      <c r="N845" s="233"/>
      <c r="O845" s="233"/>
      <c r="P845" s="233"/>
      <c r="Q845" s="233"/>
      <c r="R845" s="233"/>
      <c r="T845" s="233"/>
      <c r="U845" s="233"/>
      <c r="V845" s="233"/>
      <c r="W845" s="233"/>
      <c r="X845" s="233"/>
      <c r="Y845" s="233"/>
      <c r="Z845" s="233"/>
    </row>
    <row r="846" spans="1:26" ht="50.15" customHeight="1">
      <c r="A846" s="140"/>
      <c r="B846" s="140"/>
      <c r="C846" s="164" t="s">
        <v>308</v>
      </c>
      <c r="D846" s="275" t="s">
        <v>285</v>
      </c>
      <c r="E846" s="165"/>
      <c r="F846" s="272"/>
      <c r="G846" s="166"/>
      <c r="H846" s="167"/>
      <c r="I846" s="168"/>
      <c r="J846" s="169"/>
      <c r="K846"/>
      <c r="L846" s="274" t="s">
        <v>38</v>
      </c>
      <c r="M846" s="170"/>
      <c r="N846" s="274" t="s">
        <v>237</v>
      </c>
      <c r="O846" s="171"/>
      <c r="P846" s="171"/>
      <c r="Q846" s="171"/>
      <c r="R846" s="169"/>
      <c r="T846" s="274" t="s">
        <v>38</v>
      </c>
      <c r="U846" s="170"/>
      <c r="V846" s="274" t="s">
        <v>237</v>
      </c>
      <c r="W846" s="171"/>
      <c r="X846" s="171"/>
      <c r="Y846" s="171"/>
      <c r="Z846" s="169"/>
    </row>
    <row r="847" spans="1:26" ht="18.75" customHeight="1">
      <c r="A847" s="140"/>
      <c r="B847" s="140"/>
      <c r="D847" s="172" t="s">
        <v>238</v>
      </c>
      <c r="E847" s="407"/>
      <c r="F847" s="449"/>
      <c r="G847" s="470" t="str">
        <f t="shared" si="166" ref="G847:G850">IF(F847="","",H847/F847)</f>
        <v/>
      </c>
      <c r="H847" s="449" t="str">
        <f>_xlfn.IFNA(VLOOKUP(F846,BEGIN_CURRENT_VISION:END_CURRENT_VISION,CURRENT_COL_EOContrib,FALSE),"")</f>
        <v/>
      </c>
      <c r="I847" s="409" t="str">
        <f>IFERROR(F847-H847,"")</f>
        <v/>
      </c>
      <c r="J847" s="410" t="str">
        <f>IF(F847="","",H847*E847)</f>
        <v/>
      </c>
      <c r="K847" s="411"/>
      <c r="L847" s="408" t="str" cm="1">
        <f t="array" ca="1" aca="1" ref="L847">_xlfn.IFNA(VLOOKUP(INDIRECT("L"&amp;ROW()-1)&amp;"_"&amp;$D$12,BEGIN_Renew_Vision:END_RENEW_VISION,RENEW_COL_EO,FALSE),"")</f>
        <v/>
      </c>
      <c r="M847" s="412" t="str">
        <f>IF(E847="","",E847)</f>
        <v/>
      </c>
      <c r="N847" s="413"/>
      <c r="O847" s="414"/>
      <c r="P847" s="415" t="str">
        <f>IFERROR(IF($N846="Keep Contribution Same",H847,IF($N846="Enter Percentages",IF(N847="","",N847*L847),IF($N846="Keep Percentage Same",IF(G847="","",G847*L847),IF($N846="Enter Dollar Amount",IF(O847="","",O847),"")))),"")</f>
        <v/>
      </c>
      <c r="Q847" s="408" t="str">
        <f ca="1">IFERROR(L847-P847,"")</f>
        <v/>
      </c>
      <c r="R847" s="410" t="str">
        <f>IFERROR(IF(P847="","",M847*P847),"")</f>
        <v/>
      </c>
      <c r="S847" s="411"/>
      <c r="T847" s="408" t="str" cm="1">
        <f t="array" ca="1" aca="1" ref="T847">_xlfn.IFNA(VLOOKUP(INDIRECT("T"&amp;ROW()-1)&amp;"_"&amp;$D$12,BEGIN_Renew_Vision:END_RENEW_VISION,RENEW_COL_EO,FALSE),"")</f>
        <v/>
      </c>
      <c r="U847" s="412" t="str">
        <f>IF(E847="","",E847)</f>
        <v/>
      </c>
      <c r="V847" s="413"/>
      <c r="W847" s="414"/>
      <c r="X847" s="415" t="str">
        <f>IFERROR(IF($V846="Keep Contribution Same",H847,IF($V846="Enter Percentages",IF(V847="","",V847*T847),IF($V846="Keep Percentage Same",IF(G847="","",G847*T847),IF($V846="Enter Dollar Amount",IF(W847="","",W847),"")))),"")</f>
        <v/>
      </c>
      <c r="Y847" s="408" t="str">
        <f ca="1">IFERROR(T847-X847,"")</f>
        <v/>
      </c>
      <c r="Z847" s="410" t="str">
        <f>IFERROR(IF(X847="","",U847*X847),"")</f>
        <v/>
      </c>
    </row>
    <row r="848" spans="1:26" ht="18.75" customHeight="1">
      <c r="A848" s="140"/>
      <c r="B848" s="140"/>
      <c r="D848" s="172" t="s">
        <v>239</v>
      </c>
      <c r="E848" s="407"/>
      <c r="F848" s="449" t="str">
        <f>_xlfn.IFNA(VLOOKUP(F846,BEGIN_CURRENT_VISION:END_CURRENT_VISION,CURRENT_COL_ES,FALSE),"")</f>
        <v/>
      </c>
      <c r="G848" s="470" t="str">
        <f t="shared" si="166"/>
        <v/>
      </c>
      <c r="H848" s="449" t="str">
        <f>_xlfn.IFNA(VLOOKUP(F846,BEGIN_CURRENT_VISION:END_CURRENT_VISION,CURRENT_COL_ESContrib,FALSE),"")</f>
        <v/>
      </c>
      <c r="I848" s="409" t="str">
        <f t="shared" si="167" ref="I848:I850">IFERROR(F848-H848,"")</f>
        <v/>
      </c>
      <c r="J848" s="410" t="str">
        <f t="shared" si="168" ref="J848:J850">IF(F848="","",H848*E848)</f>
        <v/>
      </c>
      <c r="K848" s="411"/>
      <c r="L848" s="408" t="str" cm="1">
        <f t="array" ca="1" aca="1" ref="L848">_xlfn.IFNA(VLOOKUP(INDIRECT("L"&amp;ROW()-2)&amp;"_"&amp;$D$12,BEGIN_Renew_Vision:END_RENEW_VISION,RENEW_COL_ES,FALSE),"")</f>
        <v/>
      </c>
      <c r="M848" s="412" t="str">
        <f>IF(E848="","",E848)</f>
        <v/>
      </c>
      <c r="N848" s="413"/>
      <c r="O848" s="414"/>
      <c r="P848" s="415" t="str">
        <f>IFERROR(IF($N846="Keep Contribution Same",H848,IF($N846="Enter Percentages",IF(N848="","",N848*L848),IF($N846="Keep Percentage Same",IF(G848="","",G848*L848),IF($N846="Enter Dollar Amount",IF(O848="","",O848),"")))),"")</f>
        <v/>
      </c>
      <c r="Q848" s="408" t="str">
        <f ca="1" t="shared" si="169" ref="Q848:Q850">IFERROR(L848-P848,"")</f>
        <v/>
      </c>
      <c r="R848" s="410" t="str">
        <f>IFERROR(IF(P848="","",M848*P848),"")</f>
        <v/>
      </c>
      <c r="S848" s="411"/>
      <c r="T848" s="408" t="str" cm="1">
        <f t="array" ca="1" aca="1" ref="T848">_xlfn.IFNA(VLOOKUP(INDIRECT("T"&amp;ROW()-2)&amp;"_"&amp;$D$12,BEGIN_Renew_Vision:END_RENEW_VISION,RENEW_COL_ES,FALSE),"")</f>
        <v/>
      </c>
      <c r="U848" s="412" t="str">
        <f t="shared" si="170" ref="U848:U850">IF(E848="","",E848)</f>
        <v/>
      </c>
      <c r="V848" s="413"/>
      <c r="W848" s="414"/>
      <c r="X848" s="415" t="str">
        <f>IFERROR(IF($V846="Keep Contribution Same",H848,IF($V846="Enter Percentages",IF(V848="","",V848*T848),IF($V846="Keep Percentage Same",IF(G848="","",G848*T848),IF($V846="Enter Dollar Amount",IF(W848="","",W848),"")))),"")</f>
        <v/>
      </c>
      <c r="Y848" s="408" t="str">
        <f ca="1" t="shared" si="171" ref="Y848:Y850">IFERROR(T848-X848,"")</f>
        <v/>
      </c>
      <c r="Z848" s="410" t="str">
        <f t="shared" si="172" ref="Z848:Z850">IFERROR(IF(X848="","",U848*X848),"")</f>
        <v/>
      </c>
    </row>
    <row r="849" spans="1:26" ht="18.75" customHeight="1">
      <c r="A849" s="140"/>
      <c r="B849" s="140"/>
      <c r="D849" s="172" t="s">
        <v>240</v>
      </c>
      <c r="E849" s="407"/>
      <c r="F849" s="449" t="str">
        <f>_xlfn.IFNA(VLOOKUP(F846,BEGIN_CURRENT_VISION:END_CURRENT_VISION,CURRENT_COL_EC,FALSE),"")</f>
        <v/>
      </c>
      <c r="G849" s="470" t="str">
        <f t="shared" si="166"/>
        <v/>
      </c>
      <c r="H849" s="449" t="str">
        <f>_xlfn.IFNA(VLOOKUP(F846,BEGIN_CURRENT_VISION:END_CURRENT_VISION,CURRENT_COL_ECContrib,FALSE),"")</f>
        <v/>
      </c>
      <c r="I849" s="409" t="str">
        <f t="shared" si="167"/>
        <v/>
      </c>
      <c r="J849" s="410" t="str">
        <f t="shared" si="168"/>
        <v/>
      </c>
      <c r="K849" s="411"/>
      <c r="L849" s="408" t="str" cm="1">
        <f t="array" ca="1" aca="1" ref="L849">_xlfn.IFNA(VLOOKUP(INDIRECT("L"&amp;ROW()-3)&amp;"_"&amp;$D$12,BEGIN_Renew_Vision:END_RENEW_VISION,RENEW_COL_EC,FALSE),"")</f>
        <v/>
      </c>
      <c r="M849" s="412" t="str">
        <f>IF(E849="","",E849)</f>
        <v/>
      </c>
      <c r="N849" s="413"/>
      <c r="O849" s="414"/>
      <c r="P849" s="415" t="str">
        <f>IFERROR(IF($N846="Keep Contribution Same",H849,IF($N846="Enter Percentages",IF(N849="","",N849*L849),IF($N846="Keep Percentage Same",IF(G849="","",G849*L849),IF($N846="Enter Dollar Amount",IF(O849="","",O849),"")))),"")</f>
        <v/>
      </c>
      <c r="Q849" s="408" t="str">
        <f t="shared" ca="1" si="169"/>
        <v/>
      </c>
      <c r="R849" s="410" t="str">
        <f>IFERROR(IF(P849="","",M849*P849),"")</f>
        <v/>
      </c>
      <c r="S849" s="411"/>
      <c r="T849" s="408" t="str" cm="1">
        <f t="array" ca="1" aca="1" ref="T849">_xlfn.IFNA(VLOOKUP(INDIRECT("T"&amp;ROW()-3)&amp;"_"&amp;$D$12,BEGIN_Renew_Vision:END_RENEW_VISION,RENEW_COL_EC,FALSE),"")</f>
        <v/>
      </c>
      <c r="U849" s="412" t="str">
        <f t="shared" si="170"/>
        <v/>
      </c>
      <c r="V849" s="413"/>
      <c r="W849" s="414"/>
      <c r="X849" s="415" t="str">
        <f>IFERROR(IF($V846="Keep Contribution Same",H849,IF($V846="Enter Percentages",IF(V849="","",V849*T849),IF($V846="Keep Percentage Same",IF(G849="","",G849*T849),IF($V846="Enter Dollar Amount",IF(W849="","",W849),"")))),"")</f>
        <v/>
      </c>
      <c r="Y849" s="408" t="str">
        <f t="shared" ca="1" si="171"/>
        <v/>
      </c>
      <c r="Z849" s="410" t="str">
        <f t="shared" si="172"/>
        <v/>
      </c>
    </row>
    <row r="850" spans="1:26" ht="18.75" customHeight="1" thickBot="1">
      <c r="A850" s="140"/>
      <c r="B850" s="140"/>
      <c r="D850" s="174" t="s">
        <v>241</v>
      </c>
      <c r="E850" s="416"/>
      <c r="F850" s="451" t="str">
        <f>_xlfn.IFNA(VLOOKUP(F846,BEGIN_CURRENT_VISION:END_CURRENT_VISION,CURRENT_COL_FAM,FALSE),"")</f>
        <v/>
      </c>
      <c r="G850" s="471" t="str">
        <f t="shared" si="166"/>
        <v/>
      </c>
      <c r="H850" s="451" t="str">
        <f>_xlfn.IFNA(VLOOKUP(F846,BEGIN_CURRENT_VISION:END_CURRENT_VISION,CURRENT_COL_FAMContrib,FALSE),"")</f>
        <v/>
      </c>
      <c r="I850" s="409" t="str">
        <f t="shared" si="167"/>
        <v/>
      </c>
      <c r="J850" s="410" t="str">
        <f t="shared" si="168"/>
        <v/>
      </c>
      <c r="K850" s="411"/>
      <c r="L850" s="417" t="str" cm="1">
        <f t="array" ca="1" aca="1" ref="L850">_xlfn.IFNA(VLOOKUP(INDIRECT("L"&amp;ROW()-4)&amp;"_"&amp;$D$12,BEGIN_Renew_Vision:END_RENEW_VISION,RENEW_COL_FAM,FALSE),"")</f>
        <v/>
      </c>
      <c r="M850" s="423" t="str">
        <f>IF(E850="","",E850)</f>
        <v/>
      </c>
      <c r="N850" s="420"/>
      <c r="O850" s="421"/>
      <c r="P850" s="422" t="str">
        <f>IFERROR(IF($N846="Keep Contribution Same",H850,IF($N846="Enter Percentages",IF(N850="","",N850*L850),IF($N846="Keep Percentage Same",IF(G850="","",G850*L850),IF($N846="Enter Dollar Amount",IF(O850="","",O850),"")))),"")</f>
        <v/>
      </c>
      <c r="Q850" s="417" t="str">
        <f t="shared" ca="1" si="169"/>
        <v/>
      </c>
      <c r="R850" s="419" t="str">
        <f>IFERROR(IF(P850="","",M850*P850),"")</f>
        <v/>
      </c>
      <c r="S850" s="411"/>
      <c r="T850" s="417" t="str" cm="1">
        <f t="array" ca="1" aca="1" ref="T850">_xlfn.IFNA(VLOOKUP(INDIRECT("T"&amp;ROW()-4)&amp;"_"&amp;$D$12,BEGIN_Renew_Vision:END_RENEW_VISION,RENEW_COL_FAM,FALSE),"")</f>
        <v/>
      </c>
      <c r="U850" s="423" t="str">
        <f t="shared" si="170"/>
        <v/>
      </c>
      <c r="V850" s="420"/>
      <c r="W850" s="421"/>
      <c r="X850" s="422" t="str">
        <f>IFERROR(IF($V846="Keep Contribution Same",H850,IF($V846="Enter Percentages",IF(V850="","",V850*T850),IF($V846="Keep Percentage Same",IF(G850="","",G850*T850),IF($V846="Enter Dollar Amount",IF(W850="","",W850),"")))),"")</f>
        <v/>
      </c>
      <c r="Y850" s="417" t="str">
        <f t="shared" ca="1" si="171"/>
        <v/>
      </c>
      <c r="Z850" s="461" t="str">
        <f t="shared" si="172"/>
        <v/>
      </c>
    </row>
    <row r="851" spans="1:26" ht="18.75" customHeight="1" thickTop="1">
      <c r="A851" s="140"/>
      <c r="B851" s="140"/>
      <c r="D851" s="175" t="s">
        <v>242</v>
      </c>
      <c r="E851" s="424"/>
      <c r="F851" s="427"/>
      <c r="G851" s="426"/>
      <c r="H851" s="427"/>
      <c r="I851" s="428"/>
      <c r="J851" s="429" t="str">
        <f>IFERROR(IF(J847="","",SUM(J847:J850)),0)</f>
        <v/>
      </c>
      <c r="K851" s="1"/>
      <c r="L851" s="424"/>
      <c r="M851" s="427"/>
      <c r="N851" s="426"/>
      <c r="O851" s="427"/>
      <c r="P851" s="431"/>
      <c r="Q851" s="432"/>
      <c r="R851" s="429" t="str">
        <f>IFERROR(IF(R847="","",SUM(R847:R850)),0)</f>
        <v/>
      </c>
      <c r="T851" s="424"/>
      <c r="U851" s="427"/>
      <c r="V851" s="426"/>
      <c r="W851" s="427"/>
      <c r="X851" s="431"/>
      <c r="Y851" s="432"/>
      <c r="Z851" s="429" t="str">
        <f>IFERROR(IF(Z847="","",SUM(Z847:Z850)),0)</f>
        <v/>
      </c>
    </row>
    <row r="852" spans="1:26" ht="18.75" customHeight="1">
      <c r="A852" s="140"/>
      <c r="B852" s="140"/>
      <c r="D852" s="177" t="s">
        <v>243</v>
      </c>
      <c r="E852" s="433"/>
      <c r="F852" s="436"/>
      <c r="G852" s="435"/>
      <c r="H852" s="436"/>
      <c r="I852" s="432"/>
      <c r="J852" s="437" t="str">
        <f>IF(J851="","",J851*12)</f>
        <v/>
      </c>
      <c r="K852" s="1"/>
      <c r="L852" s="433"/>
      <c r="M852" s="436"/>
      <c r="N852" s="435"/>
      <c r="O852" s="436"/>
      <c r="P852" s="432"/>
      <c r="Q852" s="432"/>
      <c r="R852" s="437" t="str">
        <f>IF(R851="","",R851*12)</f>
        <v/>
      </c>
      <c r="T852" s="433"/>
      <c r="U852" s="436"/>
      <c r="V852" s="435"/>
      <c r="W852" s="436"/>
      <c r="X852" s="432"/>
      <c r="Y852" s="432"/>
      <c r="Z852" s="437" t="str">
        <f>IF(Z851="","",Z851*12)</f>
        <v/>
      </c>
    </row>
    <row r="853" spans="1:26" ht="18" customHeight="1">
      <c r="A853" s="140"/>
      <c r="B853" s="140"/>
      <c r="D853" s="177" t="s">
        <v>244</v>
      </c>
      <c r="E853" s="433"/>
      <c r="F853" s="436"/>
      <c r="G853" s="435"/>
      <c r="H853" s="436"/>
      <c r="I853" s="432"/>
      <c r="J853" s="437" t="str">
        <f>IFERROR(IF(J852="","",R852-J852),0)</f>
        <v/>
      </c>
      <c r="K853" s="1"/>
      <c r="L853" s="433"/>
      <c r="M853" s="436"/>
      <c r="N853" s="435"/>
      <c r="O853" s="436"/>
      <c r="P853" s="432"/>
      <c r="Q853" s="432"/>
      <c r="R853" s="437" t="str">
        <f>IFERROR(IF(J852="","",R852-J852),0)</f>
        <v/>
      </c>
      <c r="T853" s="433"/>
      <c r="U853" s="436"/>
      <c r="V853" s="435"/>
      <c r="W853" s="436"/>
      <c r="X853" s="432"/>
      <c r="Y853" s="432"/>
      <c r="Z853" s="437" t="str">
        <f>IFERROR(IF(R852="","",Z852-R852),0)</f>
        <v/>
      </c>
    </row>
    <row r="854" spans="1:26" ht="18" customHeight="1" thickBot="1">
      <c r="A854" s="140"/>
      <c r="B854" s="140"/>
      <c r="D854" s="180" t="s">
        <v>245</v>
      </c>
      <c r="E854" s="439"/>
      <c r="F854" s="440"/>
      <c r="G854" s="441"/>
      <c r="H854" s="440"/>
      <c r="I854" s="442"/>
      <c r="J854" s="437" t="str">
        <f>IFERROR(IF(J852="","",(R852/J852)-1),0)</f>
        <v/>
      </c>
      <c r="K854" s="1"/>
      <c r="L854" s="439"/>
      <c r="M854" s="440"/>
      <c r="N854" s="441"/>
      <c r="O854" s="440"/>
      <c r="P854" s="445"/>
      <c r="Q854" s="445"/>
      <c r="R854" s="453" t="str">
        <f>IFERROR(IF(J852="","",(R852/J852)-1),0)</f>
        <v/>
      </c>
      <c r="T854" s="439"/>
      <c r="U854" s="440"/>
      <c r="V854" s="441"/>
      <c r="W854" s="440"/>
      <c r="X854" s="445"/>
      <c r="Y854" s="445"/>
      <c r="Z854" s="453" t="str">
        <f>IFERROR(IF(R852="","",(Z852/R852)-1),0)</f>
        <v/>
      </c>
    </row>
    <row r="855" spans="1:26" ht="5.25" customHeight="1" thickBot="1">
      <c r="A855" s="140"/>
      <c r="B855" s="140"/>
      <c r="D855" s="229"/>
      <c r="E855" s="229"/>
      <c r="F855" s="230"/>
      <c r="G855" s="231"/>
      <c r="H855" s="232"/>
      <c r="I855" s="233"/>
      <c r="J855" s="233"/>
      <c r="K855"/>
      <c r="L855" s="233"/>
      <c r="M855" s="233"/>
      <c r="N855" s="233"/>
      <c r="O855" s="233"/>
      <c r="P855" s="233"/>
      <c r="Q855" s="233"/>
      <c r="R855" s="233"/>
      <c r="T855" s="233"/>
      <c r="U855" s="233"/>
      <c r="V855" s="233"/>
      <c r="W855" s="233"/>
      <c r="X855" s="233"/>
      <c r="Y855" s="233"/>
      <c r="Z855" s="233"/>
    </row>
    <row r="856" spans="1:26" ht="50.15" customHeight="1">
      <c r="A856" s="140"/>
      <c r="B856" s="140"/>
      <c r="C856" s="164" t="s">
        <v>309</v>
      </c>
      <c r="D856" s="275" t="s">
        <v>285</v>
      </c>
      <c r="E856" s="165"/>
      <c r="F856" s="272"/>
      <c r="G856" s="166"/>
      <c r="H856" s="167"/>
      <c r="I856" s="168"/>
      <c r="J856" s="169"/>
      <c r="K856"/>
      <c r="L856" s="274" t="s">
        <v>38</v>
      </c>
      <c r="M856" s="170"/>
      <c r="N856" s="274" t="s">
        <v>237</v>
      </c>
      <c r="O856" s="171"/>
      <c r="P856" s="171"/>
      <c r="Q856" s="171"/>
      <c r="R856" s="169"/>
      <c r="T856" s="274" t="s">
        <v>38</v>
      </c>
      <c r="U856" s="170"/>
      <c r="V856" s="274" t="s">
        <v>237</v>
      </c>
      <c r="W856" s="171"/>
      <c r="X856" s="171"/>
      <c r="Y856" s="171"/>
      <c r="Z856" s="169"/>
    </row>
    <row r="857" spans="1:26" ht="18.75" customHeight="1">
      <c r="A857" s="140"/>
      <c r="B857" s="140"/>
      <c r="D857" s="172" t="s">
        <v>238</v>
      </c>
      <c r="E857" s="407"/>
      <c r="F857" s="449"/>
      <c r="G857" s="470" t="str">
        <f t="shared" si="173" ref="G857:G860">IF(F857="","",H857/F857)</f>
        <v/>
      </c>
      <c r="H857" s="449" t="str">
        <f>_xlfn.IFNA(VLOOKUP(F856,BEGIN_CURRENT_VISION:END_CURRENT_VISION,CURRENT_COL_EOContrib,FALSE),"")</f>
        <v/>
      </c>
      <c r="I857" s="409" t="str">
        <f>IFERROR(F857-H857,"")</f>
        <v/>
      </c>
      <c r="J857" s="410" t="str">
        <f>IF(F857="","",H857*E857)</f>
        <v/>
      </c>
      <c r="K857" s="411"/>
      <c r="L857" s="408" t="str" cm="1">
        <f t="array" ca="1" aca="1" ref="L857">_xlfn.IFNA(VLOOKUP(INDIRECT("L"&amp;ROW()-1)&amp;"_"&amp;$D$12,BEGIN_Renew_Vision:END_RENEW_VISION,RENEW_COL_EO,FALSE),"")</f>
        <v/>
      </c>
      <c r="M857" s="412" t="str">
        <f>IF(E857="","",E857)</f>
        <v/>
      </c>
      <c r="N857" s="413"/>
      <c r="O857" s="414"/>
      <c r="P857" s="415" t="str">
        <f>IFERROR(IF($N856="Keep Contribution Same",H857,IF($N856="Enter Percentages",IF(N857="","",N857*L857),IF($N856="Keep Percentage Same",IF(G857="","",G857*L857),IF($N856="Enter Dollar Amount",IF(O857="","",O857),"")))),"")</f>
        <v/>
      </c>
      <c r="Q857" s="408" t="str">
        <f ca="1">IFERROR(L857-P857,"")</f>
        <v/>
      </c>
      <c r="R857" s="410" t="str">
        <f>IFERROR(IF(P857="","",M857*P857),"")</f>
        <v/>
      </c>
      <c r="S857" s="411"/>
      <c r="T857" s="408" t="str" cm="1">
        <f t="array" ca="1" aca="1" ref="T857">_xlfn.IFNA(VLOOKUP(INDIRECT("T"&amp;ROW()-1)&amp;"_"&amp;$D$12,BEGIN_Renew_Vision:END_RENEW_VISION,RENEW_COL_EO,FALSE),"")</f>
        <v/>
      </c>
      <c r="U857" s="412" t="str">
        <f>IF(E857="","",E857)</f>
        <v/>
      </c>
      <c r="V857" s="413"/>
      <c r="W857" s="414"/>
      <c r="X857" s="415" t="str">
        <f>IFERROR(IF($V856="Keep Contribution Same",H857,IF($V856="Enter Percentages",IF(V857="","",V857*T857),IF($V856="Keep Percentage Same",IF(G857="","",G857*T857),IF($V856="Enter Dollar Amount",IF(W857="","",W857),"")))),"")</f>
        <v/>
      </c>
      <c r="Y857" s="408" t="str">
        <f ca="1">IFERROR(T857-X857,"")</f>
        <v/>
      </c>
      <c r="Z857" s="410" t="str">
        <f>IFERROR(IF(X857="","",U857*X857),"")</f>
        <v/>
      </c>
    </row>
    <row r="858" spans="1:26" ht="18.75" customHeight="1">
      <c r="A858" s="140"/>
      <c r="B858" s="140"/>
      <c r="D858" s="172" t="s">
        <v>239</v>
      </c>
      <c r="E858" s="407"/>
      <c r="F858" s="449" t="str">
        <f>_xlfn.IFNA(VLOOKUP(F856,BEGIN_CURRENT_VISION:END_CURRENT_VISION,CURRENT_COL_ES,FALSE),"")</f>
        <v/>
      </c>
      <c r="G858" s="470" t="str">
        <f t="shared" si="173"/>
        <v/>
      </c>
      <c r="H858" s="449" t="str">
        <f>_xlfn.IFNA(VLOOKUP(F856,BEGIN_CURRENT_VISION:END_CURRENT_VISION,CURRENT_COL_ESContrib,FALSE),"")</f>
        <v/>
      </c>
      <c r="I858" s="409" t="str">
        <f t="shared" si="174" ref="I858:I860">IFERROR(F858-H858,"")</f>
        <v/>
      </c>
      <c r="J858" s="410" t="str">
        <f t="shared" si="175" ref="J858:J860">IF(F858="","",H858*E858)</f>
        <v/>
      </c>
      <c r="K858" s="411"/>
      <c r="L858" s="408" t="str" cm="1">
        <f t="array" ca="1" aca="1" ref="L858">_xlfn.IFNA(VLOOKUP(INDIRECT("L"&amp;ROW()-2)&amp;"_"&amp;$D$12,BEGIN_Renew_Vision:END_RENEW_VISION,RENEW_COL_ES,FALSE),"")</f>
        <v/>
      </c>
      <c r="M858" s="412" t="str">
        <f>IF(E858="","",E858)</f>
        <v/>
      </c>
      <c r="N858" s="413"/>
      <c r="O858" s="414"/>
      <c r="P858" s="415" t="str">
        <f>IFERROR(IF($N856="Keep Contribution Same",H858,IF($N856="Enter Percentages",IF(N858="","",N858*L858),IF($N856="Keep Percentage Same",IF(G858="","",G858*L858),IF($N856="Enter Dollar Amount",IF(O858="","",O858),"")))),"")</f>
        <v/>
      </c>
      <c r="Q858" s="408" t="str">
        <f ca="1" t="shared" si="176" ref="Q858:Q860">IFERROR(L858-P858,"")</f>
        <v/>
      </c>
      <c r="R858" s="410" t="str">
        <f>IFERROR(IF(P858="","",M858*P858),"")</f>
        <v/>
      </c>
      <c r="S858" s="411"/>
      <c r="T858" s="408" t="str" cm="1">
        <f t="array" ca="1" aca="1" ref="T858">_xlfn.IFNA(VLOOKUP(INDIRECT("T"&amp;ROW()-2)&amp;"_"&amp;$D$12,BEGIN_Renew_Vision:END_RENEW_VISION,RENEW_COL_ES,FALSE),"")</f>
        <v/>
      </c>
      <c r="U858" s="412" t="str">
        <f t="shared" si="177" ref="U858:U860">IF(E858="","",E858)</f>
        <v/>
      </c>
      <c r="V858" s="413"/>
      <c r="W858" s="414"/>
      <c r="X858" s="415" t="str">
        <f>IFERROR(IF($V856="Keep Contribution Same",H858,IF($V856="Enter Percentages",IF(V858="","",V858*T858),IF($V856="Keep Percentage Same",IF(G858="","",G858*T858),IF($V856="Enter Dollar Amount",IF(W858="","",W858),"")))),"")</f>
        <v/>
      </c>
      <c r="Y858" s="408" t="str">
        <f ca="1" t="shared" si="178" ref="Y858:Y860">IFERROR(T858-X858,"")</f>
        <v/>
      </c>
      <c r="Z858" s="410" t="str">
        <f t="shared" si="179" ref="Z858:Z860">IFERROR(IF(X858="","",U858*X858),"")</f>
        <v/>
      </c>
    </row>
    <row r="859" spans="1:26" ht="18.75" customHeight="1">
      <c r="A859" s="140"/>
      <c r="B859" s="140"/>
      <c r="D859" s="172" t="s">
        <v>240</v>
      </c>
      <c r="E859" s="407"/>
      <c r="F859" s="449" t="str">
        <f>_xlfn.IFNA(VLOOKUP(F856,BEGIN_CURRENT_VISION:END_CURRENT_VISION,CURRENT_COL_EC,FALSE),"")</f>
        <v/>
      </c>
      <c r="G859" s="470" t="str">
        <f t="shared" si="173"/>
        <v/>
      </c>
      <c r="H859" s="449" t="str">
        <f>_xlfn.IFNA(VLOOKUP(F856,BEGIN_CURRENT_VISION:END_CURRENT_VISION,CURRENT_COL_ECContrib,FALSE),"")</f>
        <v/>
      </c>
      <c r="I859" s="409" t="str">
        <f t="shared" si="174"/>
        <v/>
      </c>
      <c r="J859" s="410" t="str">
        <f t="shared" si="175"/>
        <v/>
      </c>
      <c r="K859" s="411"/>
      <c r="L859" s="408" t="str" cm="1">
        <f t="array" ca="1" aca="1" ref="L859">_xlfn.IFNA(VLOOKUP(INDIRECT("L"&amp;ROW()-3)&amp;"_"&amp;$D$12,BEGIN_Renew_Vision:END_RENEW_VISION,RENEW_COL_EC,FALSE),"")</f>
        <v/>
      </c>
      <c r="M859" s="412" t="str">
        <f>IF(E859="","",E859)</f>
        <v/>
      </c>
      <c r="N859" s="413"/>
      <c r="O859" s="414"/>
      <c r="P859" s="415" t="str">
        <f>IFERROR(IF($N856="Keep Contribution Same",H859,IF($N856="Enter Percentages",IF(N859="","",N859*L859),IF($N856="Keep Percentage Same",IF(G859="","",G859*L859),IF($N856="Enter Dollar Amount",IF(O859="","",O859),"")))),"")</f>
        <v/>
      </c>
      <c r="Q859" s="408" t="str">
        <f t="shared" ca="1" si="176"/>
        <v/>
      </c>
      <c r="R859" s="410" t="str">
        <f>IFERROR(IF(P859="","",M859*P859),"")</f>
        <v/>
      </c>
      <c r="S859" s="411"/>
      <c r="T859" s="408" t="str" cm="1">
        <f t="array" ca="1" aca="1" ref="T859">_xlfn.IFNA(VLOOKUP(INDIRECT("T"&amp;ROW()-3)&amp;"_"&amp;$D$12,BEGIN_Renew_Vision:END_RENEW_VISION,RENEW_COL_EC,FALSE),"")</f>
        <v/>
      </c>
      <c r="U859" s="412" t="str">
        <f t="shared" si="177"/>
        <v/>
      </c>
      <c r="V859" s="413"/>
      <c r="W859" s="414"/>
      <c r="X859" s="415" t="str">
        <f>IFERROR(IF($V856="Keep Contribution Same",H859,IF($V856="Enter Percentages",IF(V859="","",V859*T859),IF($V856="Keep Percentage Same",IF(G859="","",G859*T859),IF($V856="Enter Dollar Amount",IF(W859="","",W859),"")))),"")</f>
        <v/>
      </c>
      <c r="Y859" s="408" t="str">
        <f t="shared" ca="1" si="178"/>
        <v/>
      </c>
      <c r="Z859" s="410" t="str">
        <f t="shared" si="179"/>
        <v/>
      </c>
    </row>
    <row r="860" spans="1:26" ht="18.75" customHeight="1" thickBot="1">
      <c r="A860" s="140"/>
      <c r="B860" s="140"/>
      <c r="D860" s="174" t="s">
        <v>241</v>
      </c>
      <c r="E860" s="416"/>
      <c r="F860" s="451" t="str">
        <f>_xlfn.IFNA(VLOOKUP(F856,BEGIN_CURRENT_VISION:END_CURRENT_VISION,CURRENT_COL_FAM,FALSE),"")</f>
        <v/>
      </c>
      <c r="G860" s="471" t="str">
        <f t="shared" si="173"/>
        <v/>
      </c>
      <c r="H860" s="451" t="str">
        <f>_xlfn.IFNA(VLOOKUP(F856,BEGIN_CURRENT_VISION:END_CURRENT_VISION,CURRENT_COL_FAMContrib,FALSE),"")</f>
        <v/>
      </c>
      <c r="I860" s="409" t="str">
        <f t="shared" si="174"/>
        <v/>
      </c>
      <c r="J860" s="410" t="str">
        <f t="shared" si="175"/>
        <v/>
      </c>
      <c r="K860" s="411"/>
      <c r="L860" s="417" t="str" cm="1">
        <f t="array" ca="1" aca="1" ref="L860">_xlfn.IFNA(VLOOKUP(INDIRECT("L"&amp;ROW()-4)&amp;"_"&amp;$D$12,BEGIN_Renew_Vision:END_RENEW_VISION,RENEW_COL_FAM,FALSE),"")</f>
        <v/>
      </c>
      <c r="M860" s="423" t="str">
        <f>IF(E860="","",E860)</f>
        <v/>
      </c>
      <c r="N860" s="420"/>
      <c r="O860" s="421"/>
      <c r="P860" s="422" t="str">
        <f>IFERROR(IF($N856="Keep Contribution Same",H860,IF($N856="Enter Percentages",IF(N860="","",N860*L860),IF($N856="Keep Percentage Same",IF(G860="","",G860*L860),IF($N856="Enter Dollar Amount",IF(O860="","",O860),"")))),"")</f>
        <v/>
      </c>
      <c r="Q860" s="417" t="str">
        <f t="shared" ca="1" si="176"/>
        <v/>
      </c>
      <c r="R860" s="419" t="str">
        <f>IFERROR(IF(P860="","",M860*P860),"")</f>
        <v/>
      </c>
      <c r="S860" s="411"/>
      <c r="T860" s="417" t="str" cm="1">
        <f t="array" ca="1" aca="1" ref="T860">_xlfn.IFNA(VLOOKUP(INDIRECT("T"&amp;ROW()-4)&amp;"_"&amp;$D$12,BEGIN_Renew_Vision:END_RENEW_VISION,RENEW_COL_FAM,FALSE),"")</f>
        <v/>
      </c>
      <c r="U860" s="423" t="str">
        <f t="shared" si="177"/>
        <v/>
      </c>
      <c r="V860" s="420"/>
      <c r="W860" s="421"/>
      <c r="X860" s="422" t="str">
        <f>IFERROR(IF($V856="Keep Contribution Same",H860,IF($V856="Enter Percentages",IF(V860="","",V860*T860),IF($V856="Keep Percentage Same",IF(G860="","",G860*T860),IF($V856="Enter Dollar Amount",IF(W860="","",W860),"")))),"")</f>
        <v/>
      </c>
      <c r="Y860" s="417" t="str">
        <f t="shared" ca="1" si="178"/>
        <v/>
      </c>
      <c r="Z860" s="419" t="str">
        <f t="shared" si="179"/>
        <v/>
      </c>
    </row>
    <row r="861" spans="1:26" ht="18.75" customHeight="1" thickTop="1">
      <c r="A861" s="140"/>
      <c r="B861" s="140"/>
      <c r="D861" s="175" t="s">
        <v>242</v>
      </c>
      <c r="E861" s="424"/>
      <c r="F861" s="427"/>
      <c r="G861" s="426"/>
      <c r="H861" s="427"/>
      <c r="I861" s="428"/>
      <c r="J861" s="429" t="str">
        <f>IFERROR(IF(J857="","",SUM(J857:J860)),0)</f>
        <v/>
      </c>
      <c r="K861" s="1"/>
      <c r="L861" s="424"/>
      <c r="M861" s="427"/>
      <c r="N861" s="426"/>
      <c r="O861" s="427"/>
      <c r="P861" s="431"/>
      <c r="Q861" s="432"/>
      <c r="R861" s="429" t="str">
        <f>IFERROR(IF(R857="","",SUM(R857:R860)),0)</f>
        <v/>
      </c>
      <c r="T861" s="424"/>
      <c r="U861" s="427"/>
      <c r="V861" s="426"/>
      <c r="W861" s="427"/>
      <c r="X861" s="431"/>
      <c r="Y861" s="432"/>
      <c r="Z861" s="429" t="str">
        <f>IFERROR(IF(Z857="","",SUM(Z857:Z860)),0)</f>
        <v/>
      </c>
    </row>
    <row r="862" spans="1:26" ht="18.75" customHeight="1">
      <c r="A862" s="140"/>
      <c r="B862" s="140"/>
      <c r="D862" s="177" t="s">
        <v>243</v>
      </c>
      <c r="E862" s="433"/>
      <c r="F862" s="436"/>
      <c r="G862" s="435"/>
      <c r="H862" s="436"/>
      <c r="I862" s="432"/>
      <c r="J862" s="437" t="str">
        <f>IF(J861="","",J861*12)</f>
        <v/>
      </c>
      <c r="K862" s="1"/>
      <c r="L862" s="433"/>
      <c r="M862" s="436"/>
      <c r="N862" s="435"/>
      <c r="O862" s="436"/>
      <c r="P862" s="432"/>
      <c r="Q862" s="432"/>
      <c r="R862" s="437" t="str">
        <f>IF(R861="","",R861*12)</f>
        <v/>
      </c>
      <c r="T862" s="433"/>
      <c r="U862" s="436"/>
      <c r="V862" s="435"/>
      <c r="W862" s="436"/>
      <c r="X862" s="432"/>
      <c r="Y862" s="432"/>
      <c r="Z862" s="437" t="str">
        <f>IF(Z861="","",Z861*12)</f>
        <v/>
      </c>
    </row>
    <row r="863" spans="1:26" ht="18" customHeight="1">
      <c r="A863" s="140"/>
      <c r="B863" s="140"/>
      <c r="D863" s="177" t="s">
        <v>244</v>
      </c>
      <c r="E863" s="433"/>
      <c r="F863" s="436"/>
      <c r="G863" s="435"/>
      <c r="H863" s="436"/>
      <c r="I863" s="432"/>
      <c r="J863" s="437" t="str">
        <f>IFERROR(IF(J862="","",R862-J862),0)</f>
        <v/>
      </c>
      <c r="K863" s="1"/>
      <c r="L863" s="433"/>
      <c r="M863" s="436"/>
      <c r="N863" s="435"/>
      <c r="O863" s="436"/>
      <c r="P863" s="432"/>
      <c r="Q863" s="432"/>
      <c r="R863" s="437" t="str">
        <f>IFERROR(IF(J862="","",R862-J862),0)</f>
        <v/>
      </c>
      <c r="T863" s="433"/>
      <c r="U863" s="436"/>
      <c r="V863" s="435"/>
      <c r="W863" s="436"/>
      <c r="X863" s="432"/>
      <c r="Y863" s="432"/>
      <c r="Z863" s="437" t="str">
        <f>IFERROR(IF(R862="","",Z862-R862),0)</f>
        <v/>
      </c>
    </row>
    <row r="864" spans="1:26" ht="18" customHeight="1" thickBot="1">
      <c r="A864" s="140"/>
      <c r="B864" s="140"/>
      <c r="D864" s="180" t="s">
        <v>245</v>
      </c>
      <c r="E864" s="439"/>
      <c r="F864" s="440"/>
      <c r="G864" s="441"/>
      <c r="H864" s="440"/>
      <c r="I864" s="442"/>
      <c r="J864" s="437" t="str">
        <f>IFERROR(IF(J862="","",(R862/J862)-1),0)</f>
        <v/>
      </c>
      <c r="K864" s="1"/>
      <c r="L864" s="439"/>
      <c r="M864" s="440"/>
      <c r="N864" s="441"/>
      <c r="O864" s="440"/>
      <c r="P864" s="445"/>
      <c r="Q864" s="445"/>
      <c r="R864" s="453" t="str">
        <f>IFERROR(IF(J862="","",(R862/J862)-1),0)</f>
        <v/>
      </c>
      <c r="T864" s="439"/>
      <c r="U864" s="440"/>
      <c r="V864" s="441"/>
      <c r="W864" s="440"/>
      <c r="X864" s="445"/>
      <c r="Y864" s="445"/>
      <c r="Z864" s="446" t="str">
        <f>IFERROR(IF(R862="","",(Z862/R862)-1),0)</f>
        <v/>
      </c>
    </row>
    <row r="865" spans="1:26" ht="5.25" customHeight="1" thickBot="1">
      <c r="A865" s="140"/>
      <c r="B865" s="140"/>
      <c r="D865" s="229"/>
      <c r="E865" s="229"/>
      <c r="F865" s="230"/>
      <c r="G865" s="231"/>
      <c r="H865" s="232"/>
      <c r="I865" s="233"/>
      <c r="J865" s="233"/>
      <c r="K865"/>
      <c r="L865" s="233"/>
      <c r="M865" s="233"/>
      <c r="N865" s="233"/>
      <c r="O865" s="233"/>
      <c r="P865" s="233"/>
      <c r="Q865" s="233"/>
      <c r="R865" s="233"/>
      <c r="T865" s="233"/>
      <c r="U865" s="233"/>
      <c r="V865" s="233"/>
      <c r="W865" s="233"/>
      <c r="X865" s="233"/>
      <c r="Y865" s="233"/>
      <c r="Z865" s="233"/>
    </row>
    <row r="866" spans="1:26" ht="13.5" thickTop="1">
      <c r="A866" s="140"/>
      <c r="B866" s="140"/>
      <c r="D866" s="238" t="s">
        <v>310</v>
      </c>
      <c r="E866" s="239"/>
      <c r="F866" s="239"/>
      <c r="G866" s="239"/>
      <c r="H866" s="239"/>
      <c r="I866" s="239"/>
      <c r="J866" s="239"/>
      <c r="K866" s="239"/>
      <c r="L866" s="239"/>
      <c r="M866" s="239"/>
      <c r="N866" s="239"/>
      <c r="O866" s="239"/>
      <c r="P866" s="239"/>
      <c r="Q866" s="239"/>
      <c r="R866" s="240"/>
      <c r="T866" s="240"/>
      <c r="U866" s="240"/>
      <c r="V866" s="240"/>
      <c r="W866" s="240"/>
      <c r="X866" s="240"/>
      <c r="Y866" s="240"/>
      <c r="Z866" s="240"/>
    </row>
    <row r="867" spans="1:26" ht="18" customHeight="1">
      <c r="A867" s="140"/>
      <c r="B867" s="140"/>
      <c r="D867"/>
      <c r="E867"/>
      <c r="F867"/>
      <c r="G867"/>
      <c r="H867"/>
      <c r="I867" s="241" t="s">
        <v>311</v>
      </c>
      <c r="J867" s="462">
        <f ca="1">IFERROR(IF(J19="",0,J19)+IF(J69="",0,J69)+IF(J119="",0,J119)+IF(J169="",0,J169)+IF(J219="",0,J219)+IF(J269="",0,J269)+IF(J319="",0,J319)+IF(J369="",0,J369)+IF(J419="",0,J419)+IF(J469="",0,J469)+IF(J519="",0,J519)+IF(J569="",0,J569)+IF(J619="",0,J619),0)</f>
        <v>0</v>
      </c>
      <c r="K867" s="242"/>
      <c r="L867" s="176"/>
      <c r="M867" s="178"/>
      <c r="N867" s="139"/>
      <c r="O867" s="178"/>
      <c r="P867"/>
      <c r="Q867" s="173" t="s">
        <v>311</v>
      </c>
      <c r="R867" s="462">
        <f>IFERROR(IF(R19="",0,R19)+IF(R69="",0,R69)+IF(R119="",0,R119)+IF(R169="",0,R169)+IF(R219="",0,R219)+IF(R269="",0,R269)+IF(R319="",0,R319)+IF(R369="",0,R369)+IF(R419="",0,R419)+IF(R469="",0,R469)+IF(R519="",0,R519)+IF(R569="",0,R569)+IF(R619="",0,R619),0)</f>
        <v>0</v>
      </c>
      <c r="Y867" s="173" t="s">
        <v>311</v>
      </c>
      <c r="Z867" s="462">
        <f>IFERROR(IF(Z19="",0,Z19)+IF(Z69="",0,Z69)+IF(Z119="",0,Z119)+IF(Z169="",0,Z169)+IF(Z219="",0,Z219)+IF(Z269="",0,Z269)+IF(Z319="",0,Z319)+IF(Z369="",0,Z369)+IF(Z419="",0,Z419)+IF(Z469="",0,Z469)+IF(Z519="",0,Z519)+IF(Z569="",0,Z569)+IF(Z619="",0,Z619),0)</f>
        <v>0</v>
      </c>
    </row>
    <row r="868" spans="1:26" ht="18" customHeight="1">
      <c r="A868" s="140"/>
      <c r="B868" s="140"/>
      <c r="D868"/>
      <c r="E868"/>
      <c r="F868"/>
      <c r="G868"/>
      <c r="H868"/>
      <c r="I868" s="241" t="s">
        <v>312</v>
      </c>
      <c r="J868" s="462">
        <f ca="1">IFERROR(IF(J670="",0,J670)+IF(J680="",0,J680)+IF(J690="",0,J690)+IF(J700="",0,J700)+IF(J710="",0,J710)+IF(J720="",0,J720)+IF(J730="",0,J730)+IF(J740="",0,P740)+IF(J750="",0,P750)+IF(J760="",0,J760),0)</f>
        <v>0</v>
      </c>
      <c r="K868" s="242"/>
      <c r="L868" s="176"/>
      <c r="M868" s="178"/>
      <c r="N868" s="139"/>
      <c r="O868" s="178"/>
      <c r="P868"/>
      <c r="Q868" s="173" t="s">
        <v>312</v>
      </c>
      <c r="R868" s="462">
        <f>IFERROR(IF(R670="",0,R670)+IF(R680="",0,R680)+IF(R690="",0,R690)+IF(R700="",0,R700)+IF(R710="",0,R710)+IF(R720="",0,R720)+IF(R730="",0,R730)+IF(R740="",0,X740)+IF(R750="",0,X750)+IF(R760="",0,R760),0)</f>
        <v>0</v>
      </c>
      <c r="Y868" s="173" t="s">
        <v>312</v>
      </c>
      <c r="Z868" s="462">
        <f>IFERROR(IF(Z670="",0,Z670)+IF(Z680="",0,Z680)+IF(Z690="",0,Z690)+IF(Z700="",0,Z700)+IF(Z710="",0,Z710)+IF(Z720="",0,Z720)+IF(Z730="",0,Z730)+IF(Z740="",0,AF740)+IF(Z750="",0,AF750)+IF(Z760="",0,Z760),0)</f>
        <v>0</v>
      </c>
    </row>
    <row r="869" spans="1:26" ht="18" customHeight="1">
      <c r="A869" s="140"/>
      <c r="B869" s="140"/>
      <c r="D869"/>
      <c r="E869"/>
      <c r="F869"/>
      <c r="G869"/>
      <c r="H869"/>
      <c r="I869" s="241" t="s">
        <v>313</v>
      </c>
      <c r="J869" s="462">
        <f ca="1">IFERROR(IF(J771="",0,J771)+IF(J781="",0,J781)+IF(J791="",0,J791)+IF(J801="",0,J801)+IF(J811="",0,J811)+IF(J821="",0,J821)+IF(J831="",0,J831)+IF(J841="",0,J841)+IF(J851="",0,J851)+IF(J861="",0,J861),0)</f>
        <v>0</v>
      </c>
      <c r="K869" s="242"/>
      <c r="L869" s="176"/>
      <c r="M869" s="178"/>
      <c r="N869" s="139"/>
      <c r="O869" s="178"/>
      <c r="P869"/>
      <c r="Q869" s="173" t="s">
        <v>314</v>
      </c>
      <c r="R869" s="462">
        <f>IFERROR(IF(R771="",0,R771)+IF(R781="",0,R781)+IF(R791="",0,R791)+IF(R801="",0,R801)+IF(R811="",0,R811)+IF(R821="",0,R821)+IF(R831="",0,R831)+IF(R841="",0,R841)+IF(R851="",0,R851)+IF(R861="",0,R861),0)</f>
        <v>0</v>
      </c>
      <c r="Y869" s="173" t="s">
        <v>314</v>
      </c>
      <c r="Z869" s="462">
        <f>IFERROR(IF(Z771="",0,Z771)+IF(Z781="",0,Z781)+IF(Z791="",0,Z791)+IF(Z801="",0,Z801)+IF(Z811="",0,Z811)+IF(Z821="",0,Z821)+IF(Z831="",0,Z831)+IF(Z841="",0,Z841)+IF(Z851="",0,Z851)+IF(Z861="",0,Z861),0)</f>
        <v>0</v>
      </c>
    </row>
    <row r="870" spans="1:26" ht="18" customHeight="1">
      <c r="A870" s="140"/>
      <c r="B870" s="140"/>
      <c r="D870"/>
      <c r="E870"/>
      <c r="F870"/>
      <c r="G870"/>
      <c r="H870"/>
      <c r="I870" s="241" t="s">
        <v>315</v>
      </c>
      <c r="J870" s="11">
        <f ca="1">IFERROR(IF(E15="",0,E15)+IF(E16="",0,E16)+IF(E17="",0,E17)+IF(E18="",0,E18)+IF(E65="",0,E65)+IF(E66="",0,E66)+IF(E67="",0,E67)+IF(E68="",0,E68)+IF(E115="",0,E115)+IF(E116="",0,E116)+IF(E117="",0,E117)+IF(E118="",0,E118)+IF(E165="",0,E165)+IF(E166="",0,E166)+IF(E167="",0,E167)+IF(E168="",0,E168)+IF(E215="",0,E215)+IF(E216="",0,E216)+IF(E217="",0,E217)+IF(E218="",0,E218)+IF(E265="",0,E265)+IF(E266="",0,E266)+IF(E267="",0,E267)+IF(E268="",0,E268)+IF(E315="",0,E315)+IF(E316="",0,E316)+IF(E317="",0,E317)+IF(E318="",0,E318)+IF(E365="",0,E365)+IF(E366="",0,E366)+IF(E367="",0,E367)+IF(E368="",0,E368)+IF(E415="",0,E415)+IF(E416="",0,E416)+IF(E417="",0,E417)+IF(E418="",0,E418)+IF(E465="",0,E465)+IF(E466="",0,E466)+IF(E467="",0,E467)+IF(E468="",0,E468)+IF(E515="",0,E515)+IF(E516="",0,E516)+IF(E517="",0,E517)+IF(E518="",0,E518)+IF(E565="",0,E565)+IF(E566="",0,E566)+IF(E567="",0,E567)+IF(E568="",0,E568)+IF(E615="",0,E615)+IF(E616="",0,E616)+IF(E617="",0,E617)+IF(E618="",0,E618),0)</f>
        <v>0</v>
      </c>
      <c r="K870" s="242"/>
      <c r="L870" s="176"/>
      <c r="M870" s="178"/>
      <c r="N870" s="139"/>
      <c r="O870" s="178"/>
      <c r="P870"/>
      <c r="Q870" s="241" t="s">
        <v>315</v>
      </c>
      <c r="R870" s="11">
        <f ca="1">IFERROR(IF(M15="",0,M15)+IF(M16="",0,M16)+IF(M17="",0,M17)+IF(M18="",0,M18)+IF(M65="",0,M65)+IF(M66="",0,M66)+IF(M67="",0,M67)+IF(M68="",0,M68)+IF(M115="",0,M115)+IF(M116="",0,M116)+IF(M117="",0,M117)+IF(M118="",0,M118)+IF(M165="",0,M165)+IF(M166="",0,M166)+IF(M167="",0,M167)+IF(M168="",0,M168)+IF(M215="",0,M215)+IF(M216="",0,M216)+IF(M217="",0,M217)+IF(M218="",0,M218)+IF(M265="",0,M265)+IF(M266="",0,M266)+IF(M267="",0,M267)+IF(M268="",0,M268)+IF(M315="",0,M315)+IF(M316="",0,M316)+IF(M317="",0,M317)+IF(M318="",0,M318)+IF(M365="",0,M365)+IF(M366="",0,M366)+IF(M367="",0,M367)+IF(M368="",0,M368)+IF(M415="",0,M415)+IF(M416="",0,M416)+IF(M417="",0,M417)+IF(M418="",0,M418)+IF(M465="",0,M465)+IF(M466="",0,M466)+IF(M467="",0,M467)+IF(M468="",0,M468)+IF(M515="",0,M515)+IF(M516="",0,M516)+IF(M517="",0,M517)+IF(M518="",0,M518)+IF(M565="",0,M565)+IF(M566="",0,M566)+IF(M567="",0,M567)+IF(M568="",0,M568)+IF(M615="",0,M615)+IF(M616="",0,M616)+IF(M617="",0,M617)+IF(M618="",0,M618),0)</f>
        <v>0</v>
      </c>
      <c r="Y870" s="241" t="s">
        <v>315</v>
      </c>
      <c r="Z870" s="11">
        <f ca="1">IFERROR(IF(U15="",0,U15)+IF(U16="",0,U16)+IF(U17="",0,U17)+IF(U18="",0,U18)+IF(U65="",0,U65)+IF(U66="",0,U66)+IF(U67="",0,U67)+IF(U68="",0,U68)+IF(U115="",0,U115)+IF(U116="",0,U116)+IF(U117="",0,U117)+IF(U118="",0,U118)+IF(U165="",0,U165)+IF(U166="",0,U166)+IF(U167="",0,U167)+IF(U168="",0,U168)+IF(U215="",0,U215)+IF(U216="",0,U216)+IF(U217="",0,U217)+IF(U218="",0,U218)+IF(U265="",0,U265)+IF(U266="",0,U266)+IF(U267="",0,U267)+IF(U268="",0,U268)+IF(U315="",0,U315)+IF(U316="",0,U316)+IF(U317="",0,U317)+IF(U318="",0,U318)+IF(U365="",0,U365)+IF(U366="",0,U366)+IF(U367="",0,U367)+IF(U368="",0,U368)+IF(U415="",0,U415)+IF(U416="",0,U416)+IF(U417="",0,U417)+IF(U418="",0,U418)+IF(U465="",0,U465)+IF(U466="",0,U466)+IF(U467="",0,U467)+IF(U468="",0,U468)+IF(U515="",0,U515)+IF(U516="",0,U516)+IF(U517="",0,U517)+IF(U518="",0,U518)+IF(U565="",0,U565)+IF(U566="",0,U566)+IF(U567="",0,U567)+IF(U568="",0,U568)+IF(U615="",0,U615)+IF(U616="",0,U616)+IF(U617="",0,U617)+IF(U618="",0,U618),0)</f>
        <v>0</v>
      </c>
    </row>
    <row r="871" spans="1:26" ht="18" customHeight="1">
      <c r="A871" s="140"/>
      <c r="B871" s="140"/>
      <c r="D871"/>
      <c r="E871"/>
      <c r="F871"/>
      <c r="G871"/>
      <c r="H871"/>
      <c r="I871" s="241" t="s">
        <v>316</v>
      </c>
      <c r="J871" s="11">
        <f ca="1">IFERROR(IF(E666="",0,E666)+IF(E667="",0,E667)+IF(E668="",0,E668)+IF(E669="",0,E669)+IF(E676="",0,E676)+IF(E677="",0,E677)+IF(E678="",0,E678)+IF(E679="",0,E679)+IF(E686="",0,E686)+IF(E687="",0,E687)+IF(E688="",0,E688)+IF(E689="",0,E689)+IF(E696="",0,E696)+IF(E697="",0,E697)+IF(E698="",0,E698)+IF(E699="",0,E699)+IF(E706="",0,E706)+IF(E707="",0,E707)+IF(E708="",0,E708)+IF(E709="",0,E709)+IF(E716="",0,E716)+IF(E717="",0,E717)+IF(E718="",0,E718)+IF(E719="",0,E719)+IF(E726="",0,E726)+IF(E727="",0,E727)+IF(E728="",0,E728)+IF(E729="",0,E729)+IF(E736="",0,E736)+IF(E737="",0,E737)+IF(E738="",0,E738)+IF(E739="",0,E739)+IF(E746="",0,E746)+IF(E747="",0,E747)+IF(E748="",0,E748)+IF(E749="",0,E749)+IF(E756="",0,E756)+IF(E757="",0,E757)+IF(E758="",0,E758)+IF(E759="",0,E759),0)</f>
        <v>0</v>
      </c>
      <c r="K871" s="242"/>
      <c r="L871" s="176"/>
      <c r="M871" s="178"/>
      <c r="N871" s="139"/>
      <c r="O871" s="178"/>
      <c r="P871"/>
      <c r="Q871" s="241" t="s">
        <v>316</v>
      </c>
      <c r="R871" s="11">
        <f ca="1">IFERROR(IF(M666="",0,M666)+IF(M667="",0,M667)+IF(M668="",0,M668)+IF(M669="",0,M669)+IF(M676="",0,M676)+IF(M677="",0,M677)+IF(M678="",0,M678)+IF(M679="",0,M679)+IF(M686="",0,M686)+IF(M687="",0,M687)+IF(M688="",0,M688)+IF(M689="",0,M689)+IF(M696="",0,M696)+IF(M697="",0,M697)+IF(M698="",0,M698)+IF(M699="",0,M699)+IF(M706="",0,M706)+IF(M707="",0,M707)+IF(M708="",0,M708)+IF(M709="",0,M709)+IF(M716="",0,M716)+IF(M717="",0,M717)+IF(M718="",0,M718)+IF(M719="",0,M719)+IF(M726="",0,M726)+IF(M727="",0,M727)+IF(M728="",0,M728)+IF(M729="",0,M729)+IF(M736="",0,M736)+IF(M737="",0,M737)+IF(M738="",0,M738)+IF(M739="",0,M739)+IF(M746="",0,M746)+IF(M747="",0,M747)+IF(M748="",0,M748)+IF(M749="",0,M749)+IF(M756="",0,M756)+IF(M757="",0,M757)+IF(M758="",0,M758)+IF(M759="",0,M759),0)</f>
        <v>0</v>
      </c>
      <c r="Y871" s="241" t="s">
        <v>316</v>
      </c>
      <c r="Z871" s="11">
        <f ca="1">IFERROR(IF(U666="",0,U666)+IF(U667="",0,U667)+IF(U668="",0,U668)+IF(U669="",0,U669)+IF(U676="",0,U676)+IF(U677="",0,U677)+IF(U678="",0,U678)+IF(U679="",0,U679)+IF(U686="",0,U686)+IF(U687="",0,U687)+IF(U688="",0,U688)+IF(U689="",0,U689)+IF(U696="",0,U696)+IF(U697="",0,U697)+IF(U698="",0,U698)+IF(U699="",0,U699)+IF(U706="",0,U706)+IF(U707="",0,U707)+IF(U708="",0,U708)+IF(U709="",0,U709)+IF(U716="",0,U716)+IF(U717="",0,U717)+IF(U718="",0,U718)+IF(U719="",0,U719)+IF(U726="",0,U726)+IF(U727="",0,U727)+IF(U728="",0,U728)+IF(U729="",0,U729)+IF(U736="",0,U736)+IF(U737="",0,U737)+IF(U738="",0,U738)+IF(U739="",0,U739)+IF(U746="",0,U746)+IF(U747="",0,U747)+IF(U748="",0,U748)+IF(U749="",0,U749)+IF(U756="",0,U756)+IF(U757="",0,U757)+IF(U758="",0,U758)+IF(U759="",0,U759),0)</f>
        <v>0</v>
      </c>
    </row>
    <row r="872" spans="1:26" ht="18" customHeight="1">
      <c r="A872" s="140"/>
      <c r="B872" s="140"/>
      <c r="D872"/>
      <c r="E872"/>
      <c r="F872"/>
      <c r="G872"/>
      <c r="H872"/>
      <c r="I872" s="241" t="s">
        <v>317</v>
      </c>
      <c r="J872" s="11">
        <f ca="1">IFERROR(IF(E767="",0,E767)+IF(E768="",0,E768)+IF(E769="",0,E769)+IF(E770="",0,E770)+IF(E777="",0,E777)+IF(E778="",0,E778)+IF(E779="",0,E779)+IF(E780="",0,E780)+IF(E787="",0,E787)+IF(E788="",0,E788)+IF(E789="",0,E789)+IF(E790="",0,E790)+IF(E797="",0,E797)+IF(E798="",0,E798)+IF(E799="",0,E799)+IF(E800="",0,E800)+IF(E807="",0,E807)+IF(E808="",0,E808)+IF(E809="",0,E809)+IF(E810="",0,E810)+IF(E817="",0,E817)+IF(E818="",0,E818)+IF(E819="",0,E819)+IF(E820="",0,E820)+IF(E827="",0,E827)+IF(E828="",0,E828)+IF(E829="",0,E829)+IF(E830="",0,E830)+IF(E837="",0,E837)+IF(E838="",0,E838)+IF(E839="",0,E839)+IF(E840="",0,E840)+IF(E847="",0,E847)+IF(E848="",0,E848)+IF(E849="",0,E849)+IF(E850="",0,E850)+IF(E857="",0,E857)+IF(E858="",0,E858)+IF(E859="",0,E859)+IF(E860="",0,E860),0)</f>
        <v>0</v>
      </c>
      <c r="K872" s="242"/>
      <c r="L872" s="176"/>
      <c r="M872" s="178"/>
      <c r="N872" s="139"/>
      <c r="O872" s="178"/>
      <c r="P872"/>
      <c r="Q872" s="241" t="s">
        <v>317</v>
      </c>
      <c r="R872" s="11">
        <f ca="1">IFERROR(IF(M767="",0,M767)+IF(M768="",0,M768)+IF(M769="",0,M769)+IF(M770="",0,M770)+IF(M777="",0,M777)+IF(M778="",0,M778)+IF(M779="",0,M779)+IF(M780="",0,M780)+IF(M787="",0,M787)+IF(M788="",0,M788)+IF(M789="",0,M789)+IF(M790="",0,M790)+IF(M797="",0,M797)+IF(M798="",0,M798)+IF(M799="",0,M799)+IF(M800="",0,M800)+IF(M807="",0,M807)+IF(M808="",0,M808)+IF(M809="",0,M809)+IF(M810="",0,M810)+IF(M817="",0,M817)+IF(M818="",0,M818)+IF(M819="",0,M819)+IF(M820="",0,M820)+IF(M827="",0,M827)+IF(M828="",0,M828)+IF(M829="",0,M829)+IF(M830="",0,M830)+IF(M837="",0,M837)+IF(M838="",0,M838)+IF(M839="",0,M839)+IF(M840="",0,M840)+IF(M847="",0,M847)+IF(M848="",0,M848)+IF(M849="",0,M849)+IF(M850="",0,M850)+IF(M857="",0,M857)+IF(M858="",0,M858)+IF(M859="",0,M859)+IF(M860="",0,M860),0)</f>
        <v>0</v>
      </c>
      <c r="Y872" s="241" t="s">
        <v>317</v>
      </c>
      <c r="Z872" s="11">
        <f ca="1">IFERROR(IF(U767="",0,U767)+IF(U768="",0,U768)+IF(U769="",0,U769)+IF(U770="",0,U770)+IF(U777="",0,U777)+IF(U778="",0,U778)+IF(U779="",0,U779)+IF(U780="",0,U780)+IF(U787="",0,U787)+IF(U788="",0,U788)+IF(U789="",0,U789)+IF(U790="",0,U790)+IF(U797="",0,U797)+IF(U798="",0,U798)+IF(U799="",0,U799)+IF(U800="",0,U800)+IF(U807="",0,U807)+IF(U808="",0,U808)+IF(U809="",0,U809)+IF(U810="",0,U810)+IF(U817="",0,U817)+IF(U818="",0,U818)+IF(U819="",0,U819)+IF(U820="",0,U820)+IF(U827="",0,U827)+IF(U828="",0,U828)+IF(U829="",0,U829)+IF(U830="",0,U830)+IF(U837="",0,U837)+IF(U838="",0,U838)+IF(U839="",0,U839)+IF(U840="",0,U840)+IF(U847="",0,U847)+IF(U848="",0,U848)+IF(U849="",0,U849)+IF(U850="",0,U850)+IF(U857="",0,U857)+IF(U858="",0,U858)+IF(U859="",0,U859)+IF(U860="",0,U860),0)</f>
        <v>0</v>
      </c>
    </row>
    <row r="873" spans="1:140" s="162" customFormat="1" ht="18" customHeight="1" thickBot="1">
      <c r="A873" s="140"/>
      <c r="B873" s="140"/>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row>
    <row r="874" spans="1:27" ht="31.4" customHeight="1" thickBot="1">
      <c r="A874" s="153"/>
      <c r="B874" s="153"/>
      <c r="C874"/>
      <c r="D874" s="474" t="s">
        <v>318</v>
      </c>
      <c r="E874" s="475"/>
      <c r="F874" s="475"/>
      <c r="G874" s="475"/>
      <c r="H874" s="475"/>
      <c r="I874" s="475"/>
      <c r="J874" s="475"/>
      <c r="K874" s="475"/>
      <c r="L874" s="475"/>
      <c r="M874" s="475"/>
      <c r="N874" s="475"/>
      <c r="O874" s="475"/>
      <c r="P874" s="475"/>
      <c r="Q874" s="475"/>
      <c r="R874" s="476"/>
      <c r="S874" s="162"/>
      <c r="T874" s="474"/>
      <c r="U874" s="475"/>
      <c r="V874" s="475"/>
      <c r="W874" s="475"/>
      <c r="X874" s="475"/>
      <c r="Y874" s="475"/>
      <c r="Z874" s="476"/>
      <c r="AA874"/>
    </row>
    <row r="875" spans="1:27" ht="21.75" customHeight="1" thickBot="1">
      <c r="A875" s="140"/>
      <c r="B875" s="140"/>
      <c r="C875"/>
      <c r="D875" s="530" t="s">
        <v>456</v>
      </c>
      <c r="E875" s="531"/>
      <c r="F875" s="531"/>
      <c r="G875" s="531"/>
      <c r="H875" s="531"/>
      <c r="I875" s="531"/>
      <c r="J875" s="531"/>
      <c r="K875" s="531"/>
      <c r="L875" s="531"/>
      <c r="M875" s="531"/>
      <c r="N875" s="531"/>
      <c r="O875" s="531"/>
      <c r="P875" s="531"/>
      <c r="Q875" s="532"/>
      <c r="R875" s="246"/>
      <c r="AA875"/>
    </row>
    <row r="876" spans="1:27" ht="21.75" customHeight="1">
      <c r="A876" s="140"/>
      <c r="B876" s="140"/>
      <c r="C876"/>
      <c r="D876" s="516" t="s">
        <v>320</v>
      </c>
      <c r="E876" s="517"/>
      <c r="F876" s="464"/>
      <c r="G876" s="524"/>
      <c r="H876" s="525"/>
      <c r="I876" s="250" t="s">
        <v>441</v>
      </c>
      <c r="J876"/>
      <c r="K876" s="245"/>
      <c r="L876" s="526" t="s">
        <v>321</v>
      </c>
      <c r="M876" s="527"/>
      <c r="N876" s="528" t="s">
        <v>322</v>
      </c>
      <c r="O876" s="528"/>
      <c r="P876" s="529" t="s">
        <v>323</v>
      </c>
      <c r="Q876" s="529"/>
      <c r="R876" s="245"/>
      <c r="AA876"/>
    </row>
    <row r="877" spans="1:18" ht="21.75" customHeight="1">
      <c r="A877" s="140"/>
      <c r="B877" s="140" t="s">
        <v>38</v>
      </c>
      <c r="D877" s="505" t="s">
        <v>455</v>
      </c>
      <c r="E877" s="506"/>
      <c r="F877" s="509"/>
      <c r="G877" s="510"/>
      <c r="H877" s="511"/>
      <c r="I877"/>
      <c r="J877"/>
      <c r="K877" s="245"/>
      <c r="L877" s="520" t="s">
        <v>325</v>
      </c>
      <c r="M877" s="521"/>
      <c r="N877" s="512" t="str">
        <f>LTDSelect</f>
        <v>SELECT PLAN</v>
      </c>
      <c r="O877" s="512"/>
      <c r="P877" s="513" t="str">
        <f>IFERROR(VLOOKUP(N877,BEGIN_Renew_LTD_PlanID:END_RENEW_LTD,9,FALSE),"--")</f>
        <v>--</v>
      </c>
      <c r="Q877" s="513"/>
      <c r="R877" s="251" t="s">
        <v>446</v>
      </c>
    </row>
    <row r="878" spans="1:18" ht="21.75" customHeight="1">
      <c r="A878" s="140"/>
      <c r="B878" s="140" t="s">
        <v>38</v>
      </c>
      <c r="D878" s="505" t="s">
        <v>324</v>
      </c>
      <c r="E878" s="506"/>
      <c r="F878" s="465" t="s">
        <v>454</v>
      </c>
      <c r="G878" s="463"/>
      <c r="H878" s="463"/>
      <c r="I878"/>
      <c r="J878"/>
      <c r="K878" s="245"/>
      <c r="L878" s="520" t="s">
        <v>326</v>
      </c>
      <c r="M878" s="521"/>
      <c r="N878" s="512" t="str">
        <f>STDSelect</f>
        <v>SELECT PLAN</v>
      </c>
      <c r="O878" s="512"/>
      <c r="P878" s="513" t="str">
        <f>IFERROR(VLOOKUP(N878,BEGIN_Renew_STD_PlanID:END_RENEW_STD,9,FALSE),"--")</f>
        <v>--</v>
      </c>
      <c r="Q878" s="513"/>
      <c r="R878" s="251" t="s">
        <v>442</v>
      </c>
    </row>
    <row r="879" spans="1:18" ht="21.75" customHeight="1" thickBot="1">
      <c r="A879" s="140"/>
      <c r="B879" s="140" t="s">
        <v>38</v>
      </c>
      <c r="D879" s="522" t="s">
        <v>457</v>
      </c>
      <c r="E879" s="523"/>
      <c r="F879" s="466"/>
      <c r="G879" s="463">
        <v>3</v>
      </c>
      <c r="H879" s="463" t="str">
        <f>IFERROR(IF(G879="","","Per EE per Month"),"")</f>
        <v>Per EE per Month</v>
      </c>
      <c r="I879"/>
      <c r="J879"/>
      <c r="K879" s="245"/>
      <c r="L879" s="520" t="s">
        <v>327</v>
      </c>
      <c r="M879" s="521"/>
      <c r="N879" s="512" t="str">
        <f>LifeSelect</f>
        <v>SELECT PLAN</v>
      </c>
      <c r="O879" s="512"/>
      <c r="P879" s="513" t="str">
        <f>IFERROR(VLOOKUP(N879,BEGIN_Renew_LIFE_PlanID:END_RENEW_LIFE,9,FALSE),"--")</f>
        <v>--</v>
      </c>
      <c r="Q879" s="513"/>
      <c r="R879" s="251" t="s">
        <v>443</v>
      </c>
    </row>
    <row r="880" spans="1:20" ht="13">
      <c r="A880" s="140"/>
      <c r="B880" s="140"/>
      <c r="G880" s="253"/>
      <c r="H880" s="253"/>
      <c r="I880"/>
      <c r="J880"/>
      <c r="K880" s="245"/>
      <c r="L880"/>
      <c r="M880"/>
      <c r="N880"/>
      <c r="O880"/>
      <c r="P880"/>
      <c r="Q880"/>
      <c r="R880"/>
      <c r="S880"/>
      <c r="T880"/>
    </row>
    <row r="881" spans="1:8" ht="13">
      <c r="A881" s="140"/>
      <c r="B881" s="140"/>
      <c r="G881" s="253"/>
      <c r="H881" s="253"/>
    </row>
    <row r="882" spans="1:22" ht="13">
      <c r="A882" s="140"/>
      <c r="B882" s="140"/>
      <c r="G882" s="253"/>
      <c r="H882" s="253"/>
      <c r="I882" s="256"/>
      <c r="J882" s="253"/>
      <c r="K882" s="253"/>
      <c r="L882" s="253"/>
      <c r="M882" s="253"/>
      <c r="N882" s="255"/>
      <c r="O882" s="253"/>
      <c r="P882" s="253"/>
      <c r="Q882" s="253"/>
      <c r="R882" s="253"/>
      <c r="S882" s="257"/>
      <c r="T882" s="257"/>
      <c r="U882" s="257"/>
      <c r="V882" s="257"/>
    </row>
    <row r="883" spans="1:22" ht="13">
      <c r="A883" s="140"/>
      <c r="B883" s="140"/>
      <c r="G883" s="253"/>
      <c r="H883" s="253"/>
      <c r="I883" s="256"/>
      <c r="J883" s="253"/>
      <c r="K883" s="253"/>
      <c r="L883" s="253"/>
      <c r="M883" s="253"/>
      <c r="N883" s="255"/>
      <c r="O883" s="253"/>
      <c r="P883" s="253"/>
      <c r="Q883" s="253"/>
      <c r="R883" s="253"/>
      <c r="S883" s="257"/>
      <c r="T883" s="257"/>
      <c r="U883" s="257"/>
      <c r="V883" s="257"/>
    </row>
    <row r="884" spans="1:22" ht="13">
      <c r="A884" s="140"/>
      <c r="B884" s="140"/>
      <c r="G884" s="253"/>
      <c r="H884" s="253"/>
      <c r="I884" s="256"/>
      <c r="J884" s="253"/>
      <c r="K884" s="253"/>
      <c r="L884" s="253"/>
      <c r="M884" s="253"/>
      <c r="N884" s="255"/>
      <c r="O884" s="253"/>
      <c r="P884" s="253"/>
      <c r="Q884" s="253"/>
      <c r="R884" s="253"/>
      <c r="S884" s="257"/>
      <c r="T884" s="257"/>
      <c r="U884" s="257"/>
      <c r="V884" s="257"/>
    </row>
    <row r="885" spans="1:22" ht="13">
      <c r="A885" s="140"/>
      <c r="B885" s="140"/>
      <c r="G885" s="253"/>
      <c r="H885" s="253"/>
      <c r="I885" s="256"/>
      <c r="J885" s="253"/>
      <c r="K885" s="253"/>
      <c r="L885" s="253"/>
      <c r="M885" s="253"/>
      <c r="N885" s="255"/>
      <c r="O885" s="253"/>
      <c r="P885" s="253"/>
      <c r="Q885" s="253"/>
      <c r="R885" s="253"/>
      <c r="S885" s="257"/>
      <c r="T885" s="257"/>
      <c r="U885" s="257"/>
      <c r="V885" s="257"/>
    </row>
    <row r="886" spans="1:22" ht="13">
      <c r="A886" s="140"/>
      <c r="B886" s="140"/>
      <c r="G886" s="253"/>
      <c r="H886" s="253"/>
      <c r="I886" s="256"/>
      <c r="J886" s="253"/>
      <c r="K886" s="253"/>
      <c r="L886" s="253"/>
      <c r="M886" s="253"/>
      <c r="N886" s="255"/>
      <c r="O886" s="253"/>
      <c r="P886" s="253"/>
      <c r="Q886" s="253"/>
      <c r="R886" s="253"/>
      <c r="S886" s="257"/>
      <c r="T886" s="257"/>
      <c r="U886" s="257"/>
      <c r="V886" s="257"/>
    </row>
    <row r="887" spans="1:22" ht="13">
      <c r="A887" s="140"/>
      <c r="B887" s="140"/>
      <c r="G887" s="253"/>
      <c r="H887" s="253"/>
      <c r="I887" s="256"/>
      <c r="J887" s="253"/>
      <c r="K887" s="253"/>
      <c r="L887" s="253"/>
      <c r="M887" s="253"/>
      <c r="N887" s="255"/>
      <c r="O887" s="253"/>
      <c r="P887" s="253"/>
      <c r="Q887" s="253"/>
      <c r="R887" s="253"/>
      <c r="S887" s="257"/>
      <c r="T887" s="257"/>
      <c r="U887" s="257"/>
      <c r="V887" s="257"/>
    </row>
    <row r="888" spans="1:22" ht="13">
      <c r="A888" s="140"/>
      <c r="B888" s="140"/>
      <c r="G888" s="253"/>
      <c r="H888" s="253"/>
      <c r="I888" s="256"/>
      <c r="J888" s="253"/>
      <c r="K888" s="253"/>
      <c r="L888" s="253"/>
      <c r="M888" s="253"/>
      <c r="N888" s="255"/>
      <c r="O888" s="253"/>
      <c r="P888" s="253"/>
      <c r="Q888" s="253"/>
      <c r="R888" s="253"/>
      <c r="S888" s="257"/>
      <c r="T888" s="257"/>
      <c r="U888" s="257"/>
      <c r="V888" s="257"/>
    </row>
    <row r="889" spans="1:22" ht="13">
      <c r="A889" s="140"/>
      <c r="B889" s="140"/>
      <c r="G889" s="253"/>
      <c r="H889" s="253"/>
      <c r="I889" s="256"/>
      <c r="J889" s="253"/>
      <c r="K889" s="253"/>
      <c r="L889" s="253"/>
      <c r="M889" s="253"/>
      <c r="N889" s="255"/>
      <c r="O889" s="253"/>
      <c r="P889" s="253"/>
      <c r="Q889" s="253"/>
      <c r="R889" s="253"/>
      <c r="S889" s="257"/>
      <c r="T889" s="257"/>
      <c r="U889" s="257"/>
      <c r="V889" s="257"/>
    </row>
    <row r="890" spans="1:22" ht="13">
      <c r="A890" s="140"/>
      <c r="B890" s="140"/>
      <c r="G890" s="253"/>
      <c r="H890" s="253"/>
      <c r="I890" s="256"/>
      <c r="J890" s="253"/>
      <c r="K890" s="253"/>
      <c r="L890" s="253"/>
      <c r="M890" s="253"/>
      <c r="N890" s="255"/>
      <c r="O890" s="253"/>
      <c r="P890" s="253"/>
      <c r="Q890" s="253"/>
      <c r="R890" s="253"/>
      <c r="S890" s="257"/>
      <c r="T890" s="257"/>
      <c r="U890" s="257"/>
      <c r="V890" s="257"/>
    </row>
    <row r="891" spans="1:22" ht="13">
      <c r="A891" s="140"/>
      <c r="B891" s="140"/>
      <c r="G891" s="253"/>
      <c r="H891" s="253"/>
      <c r="I891" s="256"/>
      <c r="J891" s="253"/>
      <c r="K891" s="253"/>
      <c r="L891" s="253"/>
      <c r="M891" s="253"/>
      <c r="N891" s="255"/>
      <c r="O891" s="253"/>
      <c r="P891" s="253"/>
      <c r="Q891" s="253"/>
      <c r="R891" s="253"/>
      <c r="S891" s="257"/>
      <c r="T891" s="257"/>
      <c r="U891" s="257"/>
      <c r="V891" s="257"/>
    </row>
    <row r="892" spans="1:22" ht="13">
      <c r="A892" s="140"/>
      <c r="B892" s="140"/>
      <c r="G892" s="253"/>
      <c r="H892" s="253"/>
      <c r="I892" s="256"/>
      <c r="J892" s="253"/>
      <c r="K892" s="253"/>
      <c r="L892" s="253"/>
      <c r="M892" s="253"/>
      <c r="N892" s="255"/>
      <c r="O892" s="253"/>
      <c r="P892" s="253"/>
      <c r="Q892" s="253"/>
      <c r="R892" s="253"/>
      <c r="S892" s="257"/>
      <c r="T892" s="257"/>
      <c r="U892" s="257"/>
      <c r="V892" s="257"/>
    </row>
    <row r="893" spans="1:22" ht="13">
      <c r="A893" s="140"/>
      <c r="B893" s="140"/>
      <c r="G893" s="253"/>
      <c r="H893" s="253"/>
      <c r="I893" s="256"/>
      <c r="J893" s="253"/>
      <c r="K893" s="253"/>
      <c r="L893" s="253"/>
      <c r="M893" s="253"/>
      <c r="N893" s="255"/>
      <c r="O893" s="253"/>
      <c r="P893" s="253"/>
      <c r="Q893" s="253"/>
      <c r="R893" s="253"/>
      <c r="S893" s="257"/>
      <c r="T893" s="257"/>
      <c r="U893" s="257"/>
      <c r="V893" s="257"/>
    </row>
    <row r="894" spans="1:22" ht="13">
      <c r="A894" s="140"/>
      <c r="B894" s="140"/>
      <c r="G894" s="253"/>
      <c r="H894" s="253"/>
      <c r="I894" s="256"/>
      <c r="J894" s="253"/>
      <c r="K894" s="253"/>
      <c r="L894" s="253"/>
      <c r="M894" s="253"/>
      <c r="N894" s="255"/>
      <c r="O894" s="253"/>
      <c r="P894" s="253"/>
      <c r="Q894" s="253"/>
      <c r="R894" s="253"/>
      <c r="S894" s="257"/>
      <c r="T894" s="257"/>
      <c r="U894" s="257"/>
      <c r="V894" s="257"/>
    </row>
    <row r="895" spans="1:22" ht="13">
      <c r="A895" s="140"/>
      <c r="B895" s="140"/>
      <c r="G895" s="253"/>
      <c r="H895" s="253"/>
      <c r="I895" s="256"/>
      <c r="J895" s="253"/>
      <c r="K895" s="253"/>
      <c r="L895" s="253"/>
      <c r="M895" s="253"/>
      <c r="N895" s="255"/>
      <c r="O895" s="253"/>
      <c r="P895" s="253"/>
      <c r="Q895" s="253"/>
      <c r="R895" s="253"/>
      <c r="S895" s="257"/>
      <c r="T895" s="257"/>
      <c r="U895" s="257"/>
      <c r="V895" s="257"/>
    </row>
    <row r="896" spans="1:22" ht="13">
      <c r="A896" s="140"/>
      <c r="B896" s="140"/>
      <c r="G896" s="253"/>
      <c r="H896" s="253"/>
      <c r="I896" s="256"/>
      <c r="J896" s="253"/>
      <c r="K896" s="253"/>
      <c r="L896" s="253"/>
      <c r="M896" s="253"/>
      <c r="N896" s="255"/>
      <c r="O896" s="253"/>
      <c r="P896" s="253"/>
      <c r="Q896" s="253"/>
      <c r="R896" s="253"/>
      <c r="S896" s="257"/>
      <c r="T896" s="257"/>
      <c r="U896" s="257"/>
      <c r="V896" s="257"/>
    </row>
    <row r="897" spans="1:22" ht="13">
      <c r="A897" s="140"/>
      <c r="B897" s="140"/>
      <c r="G897" s="253"/>
      <c r="H897" s="253"/>
      <c r="I897" s="256"/>
      <c r="J897" s="253"/>
      <c r="K897" s="253"/>
      <c r="L897" s="253"/>
      <c r="M897" s="253"/>
      <c r="N897" s="255"/>
      <c r="O897" s="253"/>
      <c r="P897" s="253"/>
      <c r="Q897" s="253"/>
      <c r="R897" s="253"/>
      <c r="S897" s="257"/>
      <c r="T897" s="257"/>
      <c r="U897" s="257"/>
      <c r="V897" s="257"/>
    </row>
    <row r="898" spans="1:22" ht="13">
      <c r="A898" s="140"/>
      <c r="B898" s="140"/>
      <c r="G898" s="253"/>
      <c r="H898" s="253"/>
      <c r="I898" s="256"/>
      <c r="J898" s="253"/>
      <c r="K898" s="253"/>
      <c r="L898" s="253"/>
      <c r="M898" s="253"/>
      <c r="N898" s="255"/>
      <c r="O898" s="253"/>
      <c r="P898" s="253"/>
      <c r="Q898" s="253"/>
      <c r="R898" s="253"/>
      <c r="S898" s="257"/>
      <c r="T898" s="257"/>
      <c r="U898" s="257"/>
      <c r="V898" s="257"/>
    </row>
    <row r="899" spans="1:22" ht="13">
      <c r="A899" s="140"/>
      <c r="B899" s="140"/>
      <c r="G899" s="253"/>
      <c r="H899" s="253"/>
      <c r="I899" s="256"/>
      <c r="J899" s="253"/>
      <c r="K899" s="253"/>
      <c r="L899" s="253"/>
      <c r="M899" s="253"/>
      <c r="N899" s="255"/>
      <c r="O899" s="253"/>
      <c r="P899" s="253"/>
      <c r="Q899" s="253"/>
      <c r="R899" s="253"/>
      <c r="S899" s="257"/>
      <c r="T899" s="257"/>
      <c r="U899" s="257"/>
      <c r="V899" s="257"/>
    </row>
    <row r="900" spans="1:22" ht="13">
      <c r="A900" s="140"/>
      <c r="B900" s="140"/>
      <c r="G900" s="253"/>
      <c r="H900" s="253"/>
      <c r="I900" s="256"/>
      <c r="J900" s="253"/>
      <c r="K900" s="253"/>
      <c r="L900" s="253"/>
      <c r="M900" s="253"/>
      <c r="N900" s="255"/>
      <c r="O900" s="253"/>
      <c r="P900" s="253"/>
      <c r="Q900" s="253"/>
      <c r="R900" s="253"/>
      <c r="S900" s="257"/>
      <c r="T900" s="257"/>
      <c r="U900" s="257"/>
      <c r="V900" s="257"/>
    </row>
    <row r="901" spans="1:22" ht="13">
      <c r="A901" s="140"/>
      <c r="B901" s="140"/>
      <c r="G901" s="253"/>
      <c r="H901" s="253"/>
      <c r="I901" s="256"/>
      <c r="J901" s="253"/>
      <c r="K901" s="253"/>
      <c r="L901" s="253"/>
      <c r="M901" s="253"/>
      <c r="N901" s="255"/>
      <c r="O901" s="253"/>
      <c r="P901" s="253"/>
      <c r="Q901" s="253"/>
      <c r="R901" s="253"/>
      <c r="S901" s="257"/>
      <c r="T901" s="257"/>
      <c r="U901" s="257"/>
      <c r="V901" s="257"/>
    </row>
    <row r="902" spans="1:22" ht="13">
      <c r="A902" s="140"/>
      <c r="B902" s="140"/>
      <c r="G902" s="253"/>
      <c r="H902" s="253"/>
      <c r="I902" s="256"/>
      <c r="J902" s="253"/>
      <c r="K902" s="253"/>
      <c r="L902" s="253"/>
      <c r="M902" s="253"/>
      <c r="N902" s="255"/>
      <c r="O902" s="253"/>
      <c r="P902" s="253"/>
      <c r="Q902" s="253"/>
      <c r="R902" s="253"/>
      <c r="S902" s="257"/>
      <c r="T902" s="257"/>
      <c r="U902" s="257"/>
      <c r="V902" s="257"/>
    </row>
    <row r="903" spans="1:22" ht="13">
      <c r="A903" s="140"/>
      <c r="B903" s="140"/>
      <c r="G903" s="253"/>
      <c r="H903" s="253"/>
      <c r="I903" s="256"/>
      <c r="J903" s="253"/>
      <c r="K903" s="253"/>
      <c r="L903" s="253"/>
      <c r="M903" s="253"/>
      <c r="N903" s="255"/>
      <c r="O903" s="253"/>
      <c r="P903" s="253"/>
      <c r="Q903" s="253"/>
      <c r="R903" s="253"/>
      <c r="S903" s="257"/>
      <c r="T903" s="257"/>
      <c r="U903" s="257"/>
      <c r="V903" s="257"/>
    </row>
    <row r="904" spans="1:22" ht="13">
      <c r="A904" s="140"/>
      <c r="B904" s="140"/>
      <c r="G904" s="253"/>
      <c r="H904" s="253"/>
      <c r="I904" s="256"/>
      <c r="J904" s="253"/>
      <c r="K904" s="253"/>
      <c r="L904" s="253"/>
      <c r="M904" s="253"/>
      <c r="N904" s="255"/>
      <c r="O904" s="253"/>
      <c r="P904" s="253"/>
      <c r="Q904" s="253"/>
      <c r="R904" s="253"/>
      <c r="S904" s="257"/>
      <c r="T904" s="257"/>
      <c r="U904" s="257"/>
      <c r="V904" s="257"/>
    </row>
    <row r="905" spans="1:22" ht="13">
      <c r="A905" s="140"/>
      <c r="B905" s="140"/>
      <c r="G905" s="253"/>
      <c r="H905" s="253"/>
      <c r="I905" s="256"/>
      <c r="J905" s="253"/>
      <c r="K905" s="253"/>
      <c r="L905" s="253"/>
      <c r="M905" s="253"/>
      <c r="N905" s="255"/>
      <c r="O905" s="253"/>
      <c r="P905" s="253"/>
      <c r="Q905" s="253"/>
      <c r="R905" s="253"/>
      <c r="S905" s="257"/>
      <c r="T905" s="257"/>
      <c r="U905" s="257"/>
      <c r="V905" s="257"/>
    </row>
    <row r="906" spans="1:22" ht="13">
      <c r="A906" s="140"/>
      <c r="B906" s="140"/>
      <c r="G906" s="253"/>
      <c r="H906" s="253"/>
      <c r="I906" s="256"/>
      <c r="J906" s="253"/>
      <c r="K906" s="253"/>
      <c r="L906" s="253"/>
      <c r="M906" s="253"/>
      <c r="N906" s="255"/>
      <c r="O906" s="253"/>
      <c r="P906" s="253"/>
      <c r="Q906" s="253"/>
      <c r="R906" s="253"/>
      <c r="S906" s="257"/>
      <c r="T906" s="257"/>
      <c r="U906" s="257"/>
      <c r="V906" s="257"/>
    </row>
    <row r="907" spans="1:22" ht="13">
      <c r="A907" s="140"/>
      <c r="B907" s="140"/>
      <c r="G907" s="253"/>
      <c r="H907" s="253"/>
      <c r="I907" s="256"/>
      <c r="J907" s="253"/>
      <c r="K907" s="253"/>
      <c r="L907" s="253"/>
      <c r="M907" s="253"/>
      <c r="N907" s="255"/>
      <c r="O907" s="253"/>
      <c r="P907" s="253"/>
      <c r="Q907" s="253"/>
      <c r="R907" s="253"/>
      <c r="S907" s="257"/>
      <c r="T907" s="257"/>
      <c r="U907" s="257"/>
      <c r="V907" s="257"/>
    </row>
    <row r="908" spans="1:22" ht="13">
      <c r="A908" s="140"/>
      <c r="B908" s="140"/>
      <c r="G908" s="253"/>
      <c r="H908" s="253"/>
      <c r="I908" s="256"/>
      <c r="J908" s="253"/>
      <c r="K908" s="253"/>
      <c r="L908" s="253"/>
      <c r="M908" s="253"/>
      <c r="N908" s="255"/>
      <c r="O908" s="253"/>
      <c r="P908" s="253"/>
      <c r="Q908" s="253"/>
      <c r="R908" s="253"/>
      <c r="S908" s="257"/>
      <c r="T908" s="257"/>
      <c r="U908" s="257"/>
      <c r="V908" s="257"/>
    </row>
    <row r="909" spans="1:22" ht="13">
      <c r="A909" s="140"/>
      <c r="B909" s="140"/>
      <c r="I909" s="256"/>
      <c r="J909" s="253"/>
      <c r="K909" s="253"/>
      <c r="L909" s="253"/>
      <c r="M909" s="253"/>
      <c r="N909" s="255"/>
      <c r="O909" s="253"/>
      <c r="P909" s="253"/>
      <c r="Q909" s="253"/>
      <c r="R909" s="253"/>
      <c r="S909" s="257"/>
      <c r="T909" s="257"/>
      <c r="U909" s="257"/>
      <c r="V909" s="257"/>
    </row>
    <row r="910" spans="1:22" ht="13">
      <c r="A910" s="140"/>
      <c r="B910" s="140"/>
      <c r="I910" s="256"/>
      <c r="J910" s="253"/>
      <c r="K910" s="253"/>
      <c r="L910" s="253"/>
      <c r="M910" s="253"/>
      <c r="N910" s="255"/>
      <c r="O910" s="253"/>
      <c r="P910" s="253"/>
      <c r="Q910" s="253"/>
      <c r="R910" s="253"/>
      <c r="S910" s="257"/>
      <c r="T910" s="257"/>
      <c r="U910" s="257"/>
      <c r="V910" s="257"/>
    </row>
    <row r="911" spans="1:2" ht="13">
      <c r="A911" s="140"/>
      <c r="B911" s="140"/>
    </row>
    <row r="912" spans="1:2" ht="13">
      <c r="A912" s="140"/>
      <c r="B912" s="140"/>
    </row>
    <row r="913" spans="1:2" ht="13">
      <c r="A913" s="140"/>
      <c r="B913" s="140"/>
    </row>
    <row r="914" spans="1:2" ht="13">
      <c r="A914" s="140"/>
      <c r="B914" s="140"/>
    </row>
    <row r="915" spans="1:2" ht="13">
      <c r="A915" s="140"/>
      <c r="B915" s="140"/>
    </row>
    <row r="916" spans="1:2" ht="13">
      <c r="A916" s="140"/>
      <c r="B916" s="140"/>
    </row>
    <row r="917" spans="1:2" ht="13">
      <c r="A917" s="140"/>
      <c r="B917" s="140"/>
    </row>
    <row r="918" spans="1:2" ht="13">
      <c r="A918" s="140"/>
      <c r="B918" s="140"/>
    </row>
    <row r="919" spans="1:2" ht="13">
      <c r="A919" s="140"/>
      <c r="B919" s="140"/>
    </row>
    <row r="920" spans="1:2" ht="13">
      <c r="A920" s="140"/>
      <c r="B920" s="140"/>
    </row>
    <row r="921" spans="1:2" ht="13">
      <c r="A921" s="140"/>
      <c r="B921" s="140"/>
    </row>
    <row r="922" spans="1:2" ht="13">
      <c r="A922" s="140"/>
      <c r="B922" s="140"/>
    </row>
    <row r="923" spans="1:2" ht="13">
      <c r="A923" s="140"/>
      <c r="B923" s="140"/>
    </row>
    <row r="924" spans="1:2" ht="13">
      <c r="A924" s="140"/>
      <c r="B924" s="140"/>
    </row>
    <row r="925" spans="1:2" ht="13">
      <c r="A925" s="140"/>
      <c r="B925" s="140"/>
    </row>
    <row r="926" spans="1:2" ht="13">
      <c r="A926" s="140"/>
      <c r="B926" s="140"/>
    </row>
    <row r="927" spans="1:2" ht="13">
      <c r="A927" s="140"/>
      <c r="B927" s="140"/>
    </row>
    <row r="928" spans="1:2" ht="13">
      <c r="A928" s="140"/>
      <c r="B928" s="140"/>
    </row>
    <row r="929" spans="1:2" ht="13">
      <c r="A929" s="140"/>
      <c r="B929" s="140"/>
    </row>
    <row r="930" spans="1:2" ht="13">
      <c r="A930" s="140"/>
      <c r="B930" s="140"/>
    </row>
    <row r="931" spans="1:2" ht="13">
      <c r="A931" s="140"/>
      <c r="B931" s="140"/>
    </row>
    <row r="932" spans="1:2" ht="13">
      <c r="A932" s="140"/>
      <c r="B932" s="140"/>
    </row>
    <row r="933" spans="1:2" ht="13">
      <c r="A933" s="140"/>
      <c r="B933" s="140"/>
    </row>
    <row r="934" spans="1:2" ht="13">
      <c r="A934" s="140"/>
      <c r="B934" s="140"/>
    </row>
    <row r="935" spans="1:2" ht="13">
      <c r="A935" s="140"/>
      <c r="B935" s="140"/>
    </row>
    <row r="936" spans="1:2" ht="13">
      <c r="A936" s="140"/>
      <c r="B936" s="140"/>
    </row>
    <row r="937" spans="1:2" ht="13">
      <c r="A937" s="140"/>
      <c r="B937" s="140"/>
    </row>
    <row r="938" spans="1:2" ht="13">
      <c r="A938" s="140"/>
      <c r="B938" s="140"/>
    </row>
    <row r="939" spans="1:2" ht="13">
      <c r="A939" s="140"/>
      <c r="B939" s="140"/>
    </row>
    <row r="940" spans="1:2" ht="13">
      <c r="A940" s="140"/>
      <c r="B940" s="140"/>
    </row>
    <row r="941" spans="1:2" ht="13">
      <c r="A941" s="140"/>
      <c r="B941" s="140"/>
    </row>
    <row r="942" spans="1:2" ht="13">
      <c r="A942" s="140"/>
      <c r="B942" s="140"/>
    </row>
    <row r="943" spans="1:2" ht="13">
      <c r="A943" s="140"/>
      <c r="B943" s="140"/>
    </row>
    <row r="944" spans="1:2" ht="13">
      <c r="A944" s="140"/>
      <c r="B944" s="140"/>
    </row>
    <row r="945" spans="1:2" ht="13">
      <c r="A945" s="140"/>
      <c r="B945" s="140"/>
    </row>
    <row r="946" spans="1:2" ht="13">
      <c r="A946" s="140"/>
      <c r="B946" s="140"/>
    </row>
    <row r="947" spans="1:2" ht="13">
      <c r="A947" s="140"/>
      <c r="B947" s="140"/>
    </row>
    <row r="948" spans="1:2" ht="13">
      <c r="A948" s="140"/>
      <c r="B948" s="140"/>
    </row>
    <row r="949" spans="1:2" ht="13">
      <c r="A949" s="140"/>
      <c r="B949" s="140"/>
    </row>
    <row r="950" spans="1:2" ht="13">
      <c r="A950" s="140"/>
      <c r="B950" s="140"/>
    </row>
    <row r="951" spans="1:2" ht="13">
      <c r="A951" s="140"/>
      <c r="B951" s="140"/>
    </row>
    <row r="952" spans="1:2" ht="13">
      <c r="A952" s="140"/>
      <c r="B952" s="140"/>
    </row>
    <row r="953" spans="1:2" ht="13">
      <c r="A953" s="140"/>
      <c r="B953" s="140"/>
    </row>
    <row r="954" spans="1:2" ht="13">
      <c r="A954" s="140"/>
      <c r="B954" s="140"/>
    </row>
    <row r="955" spans="1:2" ht="13">
      <c r="A955" s="140"/>
      <c r="B955" s="140"/>
    </row>
    <row r="956" spans="1:2" ht="13">
      <c r="A956" s="140"/>
      <c r="B956" s="140"/>
    </row>
    <row r="957" spans="1:2" ht="13">
      <c r="A957" s="140"/>
      <c r="B957" s="140"/>
    </row>
    <row r="958" spans="1:2" ht="13">
      <c r="A958" s="140"/>
      <c r="B958" s="140"/>
    </row>
    <row r="959" spans="1:2" ht="13">
      <c r="A959" s="140"/>
      <c r="B959" s="140"/>
    </row>
    <row r="960" spans="1:2" ht="13">
      <c r="A960" s="140"/>
      <c r="B960" s="140"/>
    </row>
    <row r="961" spans="1:2" ht="13">
      <c r="A961" s="140"/>
      <c r="B961" s="140"/>
    </row>
    <row r="962" spans="1:2" ht="13">
      <c r="A962" s="140"/>
      <c r="B962" s="140"/>
    </row>
    <row r="963" spans="1:2" ht="13">
      <c r="A963" s="140"/>
      <c r="B963" s="140"/>
    </row>
    <row r="964" spans="1:2" ht="13">
      <c r="A964" s="140"/>
      <c r="B964" s="140"/>
    </row>
    <row r="965" spans="1:2" ht="13">
      <c r="A965" s="140"/>
      <c r="B965" s="140"/>
    </row>
    <row r="966" spans="1:2" ht="13">
      <c r="A966" s="140"/>
      <c r="B966" s="140"/>
    </row>
    <row r="967" spans="1:2" ht="13">
      <c r="A967" s="140"/>
      <c r="B967" s="140"/>
    </row>
    <row r="968" spans="1:2" ht="13">
      <c r="A968" s="140"/>
      <c r="B968" s="140"/>
    </row>
    <row r="969" spans="1:2" ht="13">
      <c r="A969" s="140"/>
      <c r="B969" s="140"/>
    </row>
    <row r="970" spans="1:2" ht="13">
      <c r="A970" s="140"/>
      <c r="B970" s="140"/>
    </row>
    <row r="971" spans="1:2" ht="13">
      <c r="A971" s="140"/>
      <c r="B971" s="140"/>
    </row>
    <row r="972" spans="1:2" ht="13">
      <c r="A972" s="140"/>
      <c r="B972" s="140"/>
    </row>
    <row r="973" spans="1:2" ht="13">
      <c r="A973" s="140"/>
      <c r="B973" s="140"/>
    </row>
    <row r="974" spans="1:2" ht="13">
      <c r="A974" s="140"/>
      <c r="B974" s="140"/>
    </row>
    <row r="975" spans="1:2" ht="13">
      <c r="A975" s="140"/>
      <c r="B975" s="140"/>
    </row>
    <row r="976" spans="1:2" ht="13">
      <c r="A976" s="140"/>
      <c r="B976" s="140"/>
    </row>
    <row r="977" spans="1:2" ht="13">
      <c r="A977" s="140"/>
      <c r="B977" s="140"/>
    </row>
    <row r="978" spans="1:2" ht="13">
      <c r="A978" s="140"/>
      <c r="B978" s="140"/>
    </row>
    <row r="979" spans="1:2" ht="13">
      <c r="A979" s="140"/>
      <c r="B979" s="140"/>
    </row>
    <row r="980" spans="1:2" ht="13">
      <c r="A980" s="140"/>
      <c r="B980" s="140"/>
    </row>
    <row r="981" spans="1:2" ht="13">
      <c r="A981" s="140"/>
      <c r="B981" s="140"/>
    </row>
    <row r="982" spans="1:2" ht="13">
      <c r="A982" s="140"/>
      <c r="B982" s="140"/>
    </row>
    <row r="983" spans="1:2" ht="13">
      <c r="A983" s="140"/>
      <c r="B983" s="140"/>
    </row>
    <row r="984" spans="1:2" ht="13">
      <c r="A984" s="140"/>
      <c r="B984" s="140"/>
    </row>
    <row r="985" spans="1:2" ht="13">
      <c r="A985" s="140"/>
      <c r="B985" s="140"/>
    </row>
    <row r="986" spans="1:2" ht="13">
      <c r="A986" s="140"/>
      <c r="B986" s="140"/>
    </row>
    <row r="987" spans="1:2" ht="13">
      <c r="A987" s="140"/>
      <c r="B987" s="140"/>
    </row>
    <row r="988" spans="1:2" ht="13">
      <c r="A988" s="140"/>
      <c r="B988" s="140"/>
    </row>
    <row r="989" spans="1:2" ht="13">
      <c r="A989" s="140"/>
      <c r="B989" s="140"/>
    </row>
    <row r="990" spans="1:2" ht="13">
      <c r="A990" s="140"/>
      <c r="B990" s="140"/>
    </row>
    <row r="991" spans="1:2" ht="13">
      <c r="A991" s="140"/>
      <c r="B991" s="140"/>
    </row>
    <row r="992" spans="1:2" ht="13">
      <c r="A992" s="140"/>
      <c r="B992" s="140"/>
    </row>
    <row r="993" spans="1:2" ht="13">
      <c r="A993" s="140"/>
      <c r="B993" s="140"/>
    </row>
    <row r="994" spans="1:2" ht="13">
      <c r="A994" s="140"/>
      <c r="B994" s="140"/>
    </row>
    <row r="995" spans="1:2" ht="13">
      <c r="A995" s="140"/>
      <c r="B995" s="140"/>
    </row>
    <row r="996" spans="1:2" ht="13">
      <c r="A996" s="140"/>
      <c r="B996" s="140"/>
    </row>
    <row r="997" spans="1:2" ht="13">
      <c r="A997" s="140"/>
      <c r="B997" s="140"/>
    </row>
    <row r="998" spans="1:2" ht="13">
      <c r="A998" s="140"/>
      <c r="B998" s="140"/>
    </row>
    <row r="999" spans="1:2" ht="13">
      <c r="A999" s="140"/>
      <c r="B999" s="140"/>
    </row>
    <row r="1000" spans="1:2" ht="13">
      <c r="A1000" s="140"/>
      <c r="B1000" s="140"/>
    </row>
    <row r="1001" spans="1:2" ht="13">
      <c r="A1001" s="140"/>
      <c r="B1001" s="140"/>
    </row>
    <row r="1002" spans="1:2" ht="13">
      <c r="A1002" s="140"/>
      <c r="B1002" s="140"/>
    </row>
    <row r="1003" spans="1:2" ht="13">
      <c r="A1003" s="140"/>
      <c r="B1003" s="140"/>
    </row>
    <row r="1004" spans="1:2" ht="13">
      <c r="A1004" s="140"/>
      <c r="B1004" s="140"/>
    </row>
    <row r="1005" spans="1:2" ht="13">
      <c r="A1005" s="140"/>
      <c r="B1005" s="140"/>
    </row>
    <row r="1006" spans="1:2" ht="13">
      <c r="A1006" s="140"/>
      <c r="B1006" s="140"/>
    </row>
    <row r="1007" spans="1:2" ht="13">
      <c r="A1007" s="140"/>
      <c r="B1007" s="140"/>
    </row>
    <row r="1008" spans="1:2" ht="13">
      <c r="A1008" s="140"/>
      <c r="B1008" s="140"/>
    </row>
    <row r="1009" spans="1:2" ht="13">
      <c r="A1009" s="140"/>
      <c r="B1009" s="140"/>
    </row>
    <row r="1010" spans="1:2" ht="13">
      <c r="A1010" s="140"/>
      <c r="B1010" s="140"/>
    </row>
    <row r="1011" spans="1:2" ht="13">
      <c r="A1011" s="140"/>
      <c r="B1011" s="140"/>
    </row>
    <row r="1012" spans="1:2" ht="13">
      <c r="A1012" s="140"/>
      <c r="B1012" s="140"/>
    </row>
    <row r="1013" spans="1:2" ht="13">
      <c r="A1013" s="140"/>
      <c r="B1013" s="140"/>
    </row>
    <row r="1014" spans="1:2" ht="13">
      <c r="A1014" s="140"/>
      <c r="B1014" s="140"/>
    </row>
    <row r="1015" spans="1:2" ht="13">
      <c r="A1015" s="140"/>
      <c r="B1015" s="140"/>
    </row>
    <row r="1016" spans="1:2" ht="13">
      <c r="A1016" s="140"/>
      <c r="B1016" s="140"/>
    </row>
    <row r="1017" spans="1:2" ht="13">
      <c r="A1017" s="140"/>
      <c r="B1017" s="140"/>
    </row>
    <row r="1018" spans="1:2" ht="13">
      <c r="A1018" s="140"/>
      <c r="B1018" s="140"/>
    </row>
    <row r="1019" spans="1:2" ht="13">
      <c r="A1019" s="140"/>
      <c r="B1019" s="140"/>
    </row>
    <row r="1020" spans="1:2" ht="13">
      <c r="A1020" s="140"/>
      <c r="B1020" s="140"/>
    </row>
    <row r="1021" spans="1:2" ht="13">
      <c r="A1021" s="140"/>
      <c r="B1021" s="140"/>
    </row>
    <row r="1022" spans="1:2" ht="13">
      <c r="A1022" s="140"/>
      <c r="B1022" s="140"/>
    </row>
    <row r="1023" spans="1:2" ht="13">
      <c r="A1023" s="140"/>
      <c r="B1023" s="140"/>
    </row>
    <row r="1024" spans="1:2" ht="13">
      <c r="A1024" s="140"/>
      <c r="B1024" s="140"/>
    </row>
    <row r="1025" spans="1:2" ht="13">
      <c r="A1025" s="140"/>
      <c r="B1025" s="140"/>
    </row>
    <row r="1026" spans="1:2" ht="13">
      <c r="A1026" s="140"/>
      <c r="B1026" s="140"/>
    </row>
    <row r="1027" spans="1:2" ht="13">
      <c r="A1027" s="140"/>
      <c r="B1027" s="140"/>
    </row>
    <row r="1028" spans="1:2" ht="13">
      <c r="A1028" s="140"/>
      <c r="B1028" s="140"/>
    </row>
    <row r="1029" spans="1:2" ht="13">
      <c r="A1029" s="140"/>
      <c r="B1029" s="140"/>
    </row>
    <row r="1030" spans="1:2" ht="13">
      <c r="A1030" s="140"/>
      <c r="B1030" s="140"/>
    </row>
    <row r="1031" spans="1:2" ht="13">
      <c r="A1031" s="140"/>
      <c r="B1031" s="140"/>
    </row>
    <row r="1032" spans="1:2" ht="13">
      <c r="A1032" s="140"/>
      <c r="B1032" s="140"/>
    </row>
    <row r="1033" spans="1:2" ht="13">
      <c r="A1033" s="140"/>
      <c r="B1033" s="140"/>
    </row>
    <row r="1034" spans="1:2" ht="13">
      <c r="A1034" s="140"/>
      <c r="B1034" s="140"/>
    </row>
    <row r="1035" spans="1:2" ht="13">
      <c r="A1035" s="140"/>
      <c r="B1035" s="140"/>
    </row>
    <row r="1036" spans="1:2" ht="13">
      <c r="A1036" s="140"/>
      <c r="B1036" s="140"/>
    </row>
    <row r="1037" spans="1:2" ht="13">
      <c r="A1037" s="140"/>
      <c r="B1037" s="140"/>
    </row>
    <row r="1038" spans="1:2" ht="13">
      <c r="A1038" s="140"/>
      <c r="B1038" s="140"/>
    </row>
    <row r="1039" spans="1:2" ht="13">
      <c r="A1039" s="140"/>
      <c r="B1039" s="140"/>
    </row>
    <row r="1040" spans="1:2" ht="13">
      <c r="A1040" s="140"/>
      <c r="B1040" s="140"/>
    </row>
    <row r="1041" spans="1:2" ht="13">
      <c r="A1041" s="140"/>
      <c r="B1041" s="140"/>
    </row>
    <row r="1042" spans="1:2" ht="13">
      <c r="A1042" s="140"/>
      <c r="B1042" s="140"/>
    </row>
    <row r="1043" spans="1:2" ht="13">
      <c r="A1043" s="140"/>
      <c r="B1043" s="140"/>
    </row>
    <row r="1044" spans="1:2" ht="13">
      <c r="A1044" s="140"/>
      <c r="B1044" s="140"/>
    </row>
    <row r="1045" spans="1:2" ht="13">
      <c r="A1045" s="140"/>
      <c r="B1045" s="140"/>
    </row>
    <row r="1046" spans="1:2" ht="13">
      <c r="A1046" s="140"/>
      <c r="B1046" s="140"/>
    </row>
    <row r="1047" spans="1:2" ht="13">
      <c r="A1047" s="140"/>
      <c r="B1047" s="140"/>
    </row>
    <row r="1048" spans="1:2" ht="13">
      <c r="A1048" s="140"/>
      <c r="B1048" s="140"/>
    </row>
    <row r="1049" spans="1:2" ht="13">
      <c r="A1049" s="140"/>
      <c r="B1049" s="140"/>
    </row>
    <row r="1050" spans="1:2" ht="13">
      <c r="A1050" s="140"/>
      <c r="B1050" s="140"/>
    </row>
    <row r="1051" spans="1:2" ht="13">
      <c r="A1051" s="140"/>
      <c r="B1051" s="140"/>
    </row>
    <row r="1052" spans="1:2" ht="13">
      <c r="A1052" s="140"/>
      <c r="B1052" s="140"/>
    </row>
    <row r="1053" spans="1:2" ht="13">
      <c r="A1053" s="140"/>
      <c r="B1053" s="140"/>
    </row>
    <row r="1054" spans="1:2" ht="13">
      <c r="A1054" s="140"/>
      <c r="B1054" s="140"/>
    </row>
    <row r="1055" spans="1:2" ht="13">
      <c r="A1055" s="140"/>
      <c r="B1055" s="140"/>
    </row>
    <row r="1056" spans="1:2" ht="13">
      <c r="A1056" s="140"/>
      <c r="B1056" s="140"/>
    </row>
    <row r="1057" spans="1:2" ht="13">
      <c r="A1057" s="140"/>
      <c r="B1057" s="140"/>
    </row>
    <row r="1058" spans="1:2" ht="13">
      <c r="A1058" s="140"/>
      <c r="B1058" s="140"/>
    </row>
    <row r="1059" spans="1:2" ht="13">
      <c r="A1059" s="140"/>
      <c r="B1059" s="140"/>
    </row>
    <row r="1060" spans="1:2" ht="13">
      <c r="A1060" s="140"/>
      <c r="B1060" s="140"/>
    </row>
    <row r="1061" spans="1:2" ht="13">
      <c r="A1061" s="140"/>
      <c r="B1061" s="140"/>
    </row>
    <row r="1062" spans="1:2" ht="13">
      <c r="A1062" s="140"/>
      <c r="B1062" s="140"/>
    </row>
    <row r="1063" spans="1:2" ht="13">
      <c r="A1063" s="140"/>
      <c r="B1063" s="140"/>
    </row>
    <row r="1064" spans="1:2" ht="13">
      <c r="A1064" s="140"/>
      <c r="B1064" s="140"/>
    </row>
    <row r="1065" spans="1:2" ht="13">
      <c r="A1065" s="140"/>
      <c r="B1065" s="140"/>
    </row>
    <row r="1066" spans="1:2" ht="13">
      <c r="A1066" s="140"/>
      <c r="B1066" s="140"/>
    </row>
    <row r="1067" spans="1:2" ht="13">
      <c r="A1067" s="140"/>
      <c r="B1067" s="140"/>
    </row>
    <row r="1068" spans="1:2" ht="13">
      <c r="A1068" s="140"/>
      <c r="B1068" s="140"/>
    </row>
    <row r="1069" spans="1:2" ht="13">
      <c r="A1069" s="140"/>
      <c r="B1069" s="140"/>
    </row>
    <row r="1070" spans="1:2" ht="13">
      <c r="A1070" s="140"/>
      <c r="B1070" s="140"/>
    </row>
    <row r="1071" spans="1:2" ht="13">
      <c r="A1071" s="140"/>
      <c r="B1071" s="140"/>
    </row>
    <row r="1072" spans="1:2" ht="13">
      <c r="A1072" s="140"/>
      <c r="B1072" s="140"/>
    </row>
    <row r="1073" spans="1:2" ht="13">
      <c r="A1073" s="140"/>
      <c r="B1073" s="140"/>
    </row>
    <row r="1074" spans="1:2" ht="13">
      <c r="A1074" s="140"/>
      <c r="B1074" s="140"/>
    </row>
    <row r="1075" spans="1:2" ht="13">
      <c r="A1075" s="140"/>
      <c r="B1075" s="140"/>
    </row>
    <row r="1076" spans="1:2" ht="13">
      <c r="A1076" s="140"/>
      <c r="B1076" s="140"/>
    </row>
    <row r="1077" spans="1:2" ht="13">
      <c r="A1077" s="140"/>
      <c r="B1077" s="140"/>
    </row>
    <row r="1078" spans="1:2" ht="13">
      <c r="A1078" s="140"/>
      <c r="B1078" s="140"/>
    </row>
    <row r="1079" spans="1:2" ht="13">
      <c r="A1079" s="140"/>
      <c r="B1079" s="140"/>
    </row>
    <row r="1080" spans="1:2" ht="13">
      <c r="A1080" s="140"/>
      <c r="B1080" s="140"/>
    </row>
    <row r="1081" spans="1:2" ht="13">
      <c r="A1081" s="140"/>
      <c r="B1081" s="140"/>
    </row>
    <row r="1082" spans="1:2" ht="13">
      <c r="A1082" s="140"/>
      <c r="B1082" s="140"/>
    </row>
    <row r="1083" spans="1:2" ht="13">
      <c r="A1083" s="140"/>
      <c r="B1083" s="140"/>
    </row>
    <row r="1084" spans="1:2" ht="13">
      <c r="A1084" s="140"/>
      <c r="B1084" s="140"/>
    </row>
    <row r="1085" spans="1:2" ht="13">
      <c r="A1085" s="140"/>
      <c r="B1085" s="140"/>
    </row>
    <row r="1086" spans="1:2" ht="13">
      <c r="A1086" s="140"/>
      <c r="B1086" s="140"/>
    </row>
    <row r="1087" spans="1:2" ht="13">
      <c r="A1087" s="140"/>
      <c r="B1087" s="140"/>
    </row>
    <row r="1088" spans="1:2" ht="13">
      <c r="A1088" s="140"/>
      <c r="B1088" s="140"/>
    </row>
    <row r="1089" spans="1:2" ht="13">
      <c r="A1089" s="140"/>
      <c r="B1089" s="140"/>
    </row>
    <row r="1090" spans="1:2" ht="13">
      <c r="A1090" s="140"/>
      <c r="B1090" s="140"/>
    </row>
    <row r="1091" spans="1:2" ht="13">
      <c r="A1091" s="140"/>
      <c r="B1091" s="140"/>
    </row>
    <row r="1092" spans="1:2" ht="13">
      <c r="A1092" s="140"/>
      <c r="B1092" s="140"/>
    </row>
    <row r="1093" spans="1:2" ht="13">
      <c r="A1093" s="140"/>
      <c r="B1093" s="140"/>
    </row>
    <row r="1094" spans="1:2" ht="13">
      <c r="A1094" s="140"/>
      <c r="B1094" s="140"/>
    </row>
    <row r="1095" spans="1:2" ht="13">
      <c r="A1095" s="140"/>
      <c r="B1095" s="140"/>
    </row>
    <row r="1096" spans="1:2" ht="13">
      <c r="A1096" s="140"/>
      <c r="B1096" s="140"/>
    </row>
    <row r="1097" spans="1:2" ht="13">
      <c r="A1097" s="140"/>
      <c r="B1097" s="140"/>
    </row>
    <row r="1098" spans="1:2" ht="13">
      <c r="A1098" s="140"/>
      <c r="B1098" s="140"/>
    </row>
    <row r="1099" spans="1:2" ht="13">
      <c r="A1099" s="140"/>
      <c r="B1099" s="140"/>
    </row>
    <row r="1100" spans="1:2" ht="13">
      <c r="A1100" s="140"/>
      <c r="B1100" s="140"/>
    </row>
    <row r="1101" spans="1:2" ht="13">
      <c r="A1101" s="140"/>
      <c r="B1101" s="140"/>
    </row>
    <row r="1102" spans="1:2" ht="13">
      <c r="A1102" s="140"/>
      <c r="B1102" s="140"/>
    </row>
    <row r="1103" spans="1:2" ht="13">
      <c r="A1103" s="140"/>
      <c r="B1103" s="140"/>
    </row>
    <row r="1104" spans="1:2" ht="13">
      <c r="A1104" s="140"/>
      <c r="B1104" s="140"/>
    </row>
    <row r="1105" spans="1:2" ht="13">
      <c r="A1105" s="140"/>
      <c r="B1105" s="140"/>
    </row>
    <row r="1106" spans="1:2" ht="13">
      <c r="A1106" s="140"/>
      <c r="B1106" s="140"/>
    </row>
    <row r="1107" spans="1:2" ht="13">
      <c r="A1107" s="140"/>
      <c r="B1107" s="140"/>
    </row>
    <row r="1108" spans="1:2" ht="13">
      <c r="A1108" s="140"/>
      <c r="B1108" s="140"/>
    </row>
    <row r="1109" spans="1:2" ht="13">
      <c r="A1109" s="140"/>
      <c r="B1109" s="140"/>
    </row>
    <row r="1110" spans="1:2" ht="13">
      <c r="A1110" s="140"/>
      <c r="B1110" s="140"/>
    </row>
    <row r="1111" spans="1:2" ht="13">
      <c r="A1111" s="140"/>
      <c r="B1111" s="140"/>
    </row>
    <row r="1112" spans="1:2" ht="13">
      <c r="A1112" s="140"/>
      <c r="B1112" s="140"/>
    </row>
    <row r="1113" spans="1:2" ht="13">
      <c r="A1113" s="140"/>
      <c r="B1113" s="140"/>
    </row>
    <row r="1114" spans="1:2" ht="13">
      <c r="A1114" s="140"/>
      <c r="B1114" s="140"/>
    </row>
    <row r="1115" spans="1:2" ht="13">
      <c r="A1115" s="140"/>
      <c r="B1115" s="140"/>
    </row>
    <row r="1116" spans="1:2" ht="13">
      <c r="A1116" s="140"/>
      <c r="B1116" s="140"/>
    </row>
    <row r="1117" spans="1:2" ht="13">
      <c r="A1117" s="140"/>
      <c r="B1117" s="140"/>
    </row>
    <row r="1118" spans="1:2" ht="13">
      <c r="A1118" s="140"/>
      <c r="B1118" s="140"/>
    </row>
    <row r="1119" spans="1:2" ht="13">
      <c r="A1119" s="140"/>
      <c r="B1119" s="140"/>
    </row>
    <row r="1120" spans="1:2" ht="13">
      <c r="A1120" s="140"/>
      <c r="B1120" s="140"/>
    </row>
    <row r="1121" spans="1:2" ht="13">
      <c r="A1121" s="140"/>
      <c r="B1121" s="140"/>
    </row>
    <row r="1122" spans="1:2" ht="13">
      <c r="A1122" s="140"/>
      <c r="B1122" s="140"/>
    </row>
    <row r="1123" spans="1:2" ht="13">
      <c r="A1123" s="140"/>
      <c r="B1123" s="140"/>
    </row>
    <row r="1124" spans="1:2" ht="13">
      <c r="A1124" s="140"/>
      <c r="B1124" s="140"/>
    </row>
    <row r="1125" spans="1:2" ht="13">
      <c r="A1125" s="140"/>
      <c r="B1125" s="140"/>
    </row>
    <row r="1126" spans="1:2" ht="13">
      <c r="A1126" s="140"/>
      <c r="B1126" s="140"/>
    </row>
    <row r="1127" spans="1:2" ht="13">
      <c r="A1127" s="140"/>
      <c r="B1127" s="140"/>
    </row>
    <row r="1128" spans="1:2" ht="13">
      <c r="A1128" s="140"/>
      <c r="B1128" s="140"/>
    </row>
    <row r="1129" spans="1:2" ht="13">
      <c r="A1129" s="140"/>
      <c r="B1129" s="140"/>
    </row>
    <row r="1130" spans="1:2" ht="13">
      <c r="A1130" s="140"/>
      <c r="B1130" s="140"/>
    </row>
    <row r="1131" spans="1:2" ht="13">
      <c r="A1131" s="140"/>
      <c r="B1131" s="140"/>
    </row>
    <row r="1132" spans="1:2" ht="13">
      <c r="A1132" s="140"/>
      <c r="B1132" s="140"/>
    </row>
    <row r="1133" spans="1:2" ht="13">
      <c r="A1133" s="140"/>
      <c r="B1133" s="140"/>
    </row>
    <row r="1134" spans="1:2" ht="13">
      <c r="A1134" s="140"/>
      <c r="B1134" s="140"/>
    </row>
    <row r="1135" spans="1:2" ht="13">
      <c r="A1135" s="140"/>
      <c r="B1135" s="140"/>
    </row>
    <row r="1136" spans="1:2" ht="13">
      <c r="A1136" s="140"/>
      <c r="B1136" s="140"/>
    </row>
    <row r="1137" spans="1:2" ht="13">
      <c r="A1137" s="140"/>
      <c r="B1137" s="140"/>
    </row>
    <row r="1138" spans="1:2" ht="13">
      <c r="A1138" s="140"/>
      <c r="B1138" s="140"/>
    </row>
    <row r="1139" spans="1:2" ht="13">
      <c r="A1139" s="140"/>
      <c r="B1139" s="140"/>
    </row>
    <row r="1140" spans="1:2" ht="13">
      <c r="A1140" s="140"/>
      <c r="B1140" s="140"/>
    </row>
    <row r="1141" spans="1:2" ht="13">
      <c r="A1141" s="140"/>
      <c r="B1141" s="140"/>
    </row>
    <row r="1142" spans="1:2" ht="13">
      <c r="A1142" s="140"/>
      <c r="B1142" s="140"/>
    </row>
    <row r="1143" spans="1:2" ht="13">
      <c r="A1143" s="140"/>
      <c r="B1143" s="140"/>
    </row>
    <row r="1144" spans="1:2" ht="13">
      <c r="A1144" s="140"/>
      <c r="B1144" s="140"/>
    </row>
    <row r="1145" spans="1:2" ht="13">
      <c r="A1145" s="140"/>
      <c r="B1145" s="140"/>
    </row>
    <row r="1146" spans="1:2" ht="13">
      <c r="A1146" s="140"/>
      <c r="B1146" s="140"/>
    </row>
    <row r="1147" spans="1:2" ht="13">
      <c r="A1147" s="140"/>
      <c r="B1147" s="140"/>
    </row>
    <row r="1148" spans="1:2" ht="13">
      <c r="A1148" s="140"/>
      <c r="B1148" s="140"/>
    </row>
    <row r="1149" spans="1:2" ht="13">
      <c r="A1149" s="140"/>
      <c r="B1149" s="140"/>
    </row>
    <row r="1150" spans="1:2" ht="13">
      <c r="A1150" s="140"/>
      <c r="B1150" s="140"/>
    </row>
    <row r="1151" spans="1:2" ht="13">
      <c r="A1151" s="140"/>
      <c r="B1151" s="140"/>
    </row>
    <row r="1152" spans="1:2" ht="13">
      <c r="A1152" s="140"/>
      <c r="B1152" s="140"/>
    </row>
    <row r="1153" spans="1:2" ht="13">
      <c r="A1153" s="140"/>
      <c r="B1153" s="140"/>
    </row>
    <row r="1154" spans="1:2" ht="13">
      <c r="A1154" s="140"/>
      <c r="B1154" s="140"/>
    </row>
    <row r="1155" spans="1:2" ht="13">
      <c r="A1155" s="140"/>
      <c r="B1155" s="140"/>
    </row>
    <row r="1156" spans="1:2" ht="13">
      <c r="A1156" s="140"/>
      <c r="B1156" s="140"/>
    </row>
    <row r="1157" spans="1:2" ht="13">
      <c r="A1157" s="140"/>
      <c r="B1157" s="140"/>
    </row>
    <row r="1158" spans="1:2" ht="13">
      <c r="A1158" s="140"/>
      <c r="B1158" s="140"/>
    </row>
    <row r="1159" spans="1:2" ht="13">
      <c r="A1159" s="140"/>
      <c r="B1159" s="140"/>
    </row>
    <row r="1160" spans="1:2" ht="13">
      <c r="A1160" s="140"/>
      <c r="B1160" s="140"/>
    </row>
    <row r="1161" spans="1:2" ht="13">
      <c r="A1161" s="140"/>
      <c r="B1161" s="140"/>
    </row>
    <row r="1162" spans="1:2" ht="13">
      <c r="A1162" s="140"/>
      <c r="B1162" s="140"/>
    </row>
    <row r="1163" spans="1:2" ht="13">
      <c r="A1163" s="140"/>
      <c r="B1163" s="140"/>
    </row>
    <row r="1164" spans="1:2" ht="13">
      <c r="A1164" s="140"/>
      <c r="B1164" s="140"/>
    </row>
    <row r="1165" spans="1:2" ht="13">
      <c r="A1165" s="140"/>
      <c r="B1165" s="140"/>
    </row>
    <row r="1166" spans="1:2" ht="13">
      <c r="A1166" s="140"/>
      <c r="B1166" s="140"/>
    </row>
    <row r="1167" spans="1:2" ht="13">
      <c r="A1167" s="140"/>
      <c r="B1167" s="140"/>
    </row>
    <row r="1168" spans="1:2" ht="13">
      <c r="A1168" s="140"/>
      <c r="B1168" s="140"/>
    </row>
    <row r="1169" spans="1:2" ht="13">
      <c r="A1169" s="140"/>
      <c r="B1169" s="140"/>
    </row>
    <row r="1170" spans="1:2" ht="13">
      <c r="A1170" s="140"/>
      <c r="B1170" s="140"/>
    </row>
    <row r="1171" spans="1:2" ht="13">
      <c r="A1171" s="140"/>
      <c r="B1171" s="140"/>
    </row>
    <row r="1172" spans="1:2" ht="13">
      <c r="A1172" s="140"/>
      <c r="B1172" s="140"/>
    </row>
    <row r="1173" spans="1:2" ht="13">
      <c r="A1173" s="140"/>
      <c r="B1173" s="140"/>
    </row>
    <row r="1174" spans="1:2" ht="13">
      <c r="A1174" s="140"/>
      <c r="B1174" s="140"/>
    </row>
    <row r="1175" spans="1:2" ht="13">
      <c r="A1175" s="140"/>
      <c r="B1175" s="140"/>
    </row>
    <row r="1176" spans="1:2" ht="13">
      <c r="A1176" s="140"/>
      <c r="B1176" s="140"/>
    </row>
    <row r="1177" spans="1:2" ht="13">
      <c r="A1177" s="140"/>
      <c r="B1177" s="140"/>
    </row>
    <row r="1178" spans="1:2" ht="13">
      <c r="A1178" s="140"/>
      <c r="B1178" s="140"/>
    </row>
    <row r="1179" spans="1:2" ht="13">
      <c r="A1179" s="140"/>
      <c r="B1179" s="140"/>
    </row>
    <row r="1180" spans="1:2" ht="13">
      <c r="A1180" s="140"/>
      <c r="B1180" s="140"/>
    </row>
    <row r="1181" spans="1:2" ht="13">
      <c r="A1181" s="140"/>
      <c r="B1181" s="140"/>
    </row>
    <row r="1182" spans="1:2" ht="13">
      <c r="A1182" s="140"/>
      <c r="B1182" s="140"/>
    </row>
    <row r="1183" spans="1:2" ht="13">
      <c r="A1183" s="140"/>
      <c r="B1183" s="140"/>
    </row>
    <row r="1184" spans="1:2" ht="13">
      <c r="A1184" s="140"/>
      <c r="B1184" s="140"/>
    </row>
    <row r="1185" spans="1:2" ht="13">
      <c r="A1185" s="140"/>
      <c r="B1185" s="140"/>
    </row>
    <row r="1186" spans="1:2" ht="13">
      <c r="A1186" s="140"/>
      <c r="B1186" s="140"/>
    </row>
    <row r="1187" spans="1:2" ht="13">
      <c r="A1187" s="140"/>
      <c r="B1187" s="140"/>
    </row>
    <row r="1188" spans="1:2" ht="13">
      <c r="A1188" s="140"/>
      <c r="B1188" s="140"/>
    </row>
    <row r="1189" spans="1:2" ht="13">
      <c r="A1189" s="140"/>
      <c r="B1189" s="140"/>
    </row>
    <row r="1190" spans="1:2" ht="13">
      <c r="A1190" s="140"/>
      <c r="B1190" s="140"/>
    </row>
    <row r="1191" spans="1:2" ht="13">
      <c r="A1191" s="140"/>
      <c r="B1191" s="140"/>
    </row>
    <row r="1192" spans="1:2" ht="13">
      <c r="A1192" s="140"/>
      <c r="B1192" s="140"/>
    </row>
    <row r="1193" spans="1:2" ht="13">
      <c r="A1193" s="140"/>
      <c r="B1193" s="140"/>
    </row>
    <row r="1194" spans="1:2" ht="13">
      <c r="A1194" s="140"/>
      <c r="B1194" s="140"/>
    </row>
    <row r="1195" spans="1:2" ht="13">
      <c r="A1195" s="140"/>
      <c r="B1195" s="140"/>
    </row>
    <row r="1196" spans="1:2" ht="13">
      <c r="A1196" s="140"/>
      <c r="B1196" s="140"/>
    </row>
    <row r="1197" spans="1:2" ht="13">
      <c r="A1197" s="140"/>
      <c r="B1197" s="140"/>
    </row>
    <row r="1198" spans="1:2" ht="13">
      <c r="A1198" s="140"/>
      <c r="B1198" s="140"/>
    </row>
    <row r="1199" spans="1:2" ht="13">
      <c r="A1199" s="140"/>
      <c r="B1199" s="140"/>
    </row>
    <row r="1200" spans="1:2" ht="13">
      <c r="A1200" s="140"/>
      <c r="B1200" s="140"/>
    </row>
    <row r="1201" spans="1:2" ht="13">
      <c r="A1201" s="140"/>
      <c r="B1201" s="140"/>
    </row>
    <row r="1202" spans="1:2" ht="13">
      <c r="A1202" s="140"/>
      <c r="B1202" s="140"/>
    </row>
    <row r="1203" spans="1:2" ht="13">
      <c r="A1203" s="140"/>
      <c r="B1203" s="140"/>
    </row>
    <row r="1204" spans="1:2" ht="13">
      <c r="A1204" s="140"/>
      <c r="B1204" s="140"/>
    </row>
    <row r="1205" spans="1:2" ht="13">
      <c r="A1205" s="140"/>
      <c r="B1205" s="140"/>
    </row>
    <row r="1206" spans="1:2" ht="13">
      <c r="A1206" s="140"/>
      <c r="B1206" s="140"/>
    </row>
    <row r="1207" spans="1:2" ht="13">
      <c r="A1207" s="140"/>
      <c r="B1207" s="140"/>
    </row>
    <row r="1208" spans="1:2" ht="13">
      <c r="A1208" s="140"/>
      <c r="B1208" s="140"/>
    </row>
    <row r="1209" spans="1:2" ht="13">
      <c r="A1209" s="140"/>
      <c r="B1209" s="140"/>
    </row>
    <row r="1210" spans="1:2" ht="13">
      <c r="A1210" s="140"/>
      <c r="B1210" s="140"/>
    </row>
    <row r="1211" spans="1:2" ht="13">
      <c r="A1211" s="140"/>
      <c r="B1211" s="140"/>
    </row>
    <row r="1212" spans="1:2" ht="13">
      <c r="A1212" s="140"/>
      <c r="B1212" s="140"/>
    </row>
    <row r="1213" spans="1:2" ht="13">
      <c r="A1213" s="140"/>
      <c r="B1213" s="140"/>
    </row>
    <row r="1214" spans="1:2" ht="13">
      <c r="A1214" s="140"/>
      <c r="B1214" s="140"/>
    </row>
    <row r="1215" spans="1:2" ht="13">
      <c r="A1215" s="140"/>
      <c r="B1215" s="140"/>
    </row>
    <row r="1216" spans="1:2" ht="13">
      <c r="A1216" s="140"/>
      <c r="B1216" s="140"/>
    </row>
    <row r="1217" spans="1:2" ht="13">
      <c r="A1217" s="140"/>
      <c r="B1217" s="140"/>
    </row>
    <row r="1218" spans="1:2" ht="13">
      <c r="A1218" s="140"/>
      <c r="B1218" s="140"/>
    </row>
    <row r="1219" spans="1:2" ht="13">
      <c r="A1219" s="140"/>
      <c r="B1219" s="140"/>
    </row>
    <row r="1220" spans="1:2" ht="13">
      <c r="A1220" s="140"/>
      <c r="B1220" s="140"/>
    </row>
    <row r="1221" spans="1:2" ht="13">
      <c r="A1221" s="140"/>
      <c r="B1221" s="140"/>
    </row>
    <row r="1222" spans="1:2" ht="13">
      <c r="A1222" s="140"/>
      <c r="B1222" s="140"/>
    </row>
    <row r="1223" spans="1:2" ht="13">
      <c r="A1223" s="140"/>
      <c r="B1223" s="140"/>
    </row>
    <row r="1224" spans="1:2" ht="13">
      <c r="A1224" s="140"/>
      <c r="B1224" s="140"/>
    </row>
    <row r="1225" spans="1:2" ht="13">
      <c r="A1225" s="140"/>
      <c r="B1225" s="140"/>
    </row>
    <row r="1226" spans="1:2" ht="13">
      <c r="A1226" s="140"/>
      <c r="B1226" s="140"/>
    </row>
    <row r="1227" spans="1:2" ht="13">
      <c r="A1227" s="140"/>
      <c r="B1227" s="140"/>
    </row>
    <row r="1228" spans="1:2" ht="13">
      <c r="A1228" s="140"/>
      <c r="B1228" s="140"/>
    </row>
    <row r="1229" spans="1:2" ht="13">
      <c r="A1229" s="140"/>
      <c r="B1229" s="140"/>
    </row>
    <row r="1230" spans="1:2" ht="13">
      <c r="A1230" s="140"/>
      <c r="B1230" s="140"/>
    </row>
    <row r="1231" spans="1:2" ht="13">
      <c r="A1231" s="140"/>
      <c r="B1231" s="140"/>
    </row>
    <row r="1232" spans="1:2" ht="13">
      <c r="A1232" s="140"/>
      <c r="B1232" s="140"/>
    </row>
    <row r="1233" spans="1:2" ht="13">
      <c r="A1233" s="140"/>
      <c r="B1233" s="140"/>
    </row>
    <row r="1234" spans="1:2" ht="13">
      <c r="A1234" s="140"/>
      <c r="B1234" s="140"/>
    </row>
    <row r="1235" spans="1:2" ht="13">
      <c r="A1235" s="140"/>
      <c r="B1235" s="140"/>
    </row>
    <row r="1236" spans="1:2" ht="13">
      <c r="A1236" s="140"/>
      <c r="B1236" s="140"/>
    </row>
    <row r="1237" spans="1:2" ht="13">
      <c r="A1237" s="140"/>
      <c r="B1237" s="140"/>
    </row>
    <row r="1238" spans="1:2" ht="13">
      <c r="A1238" s="140"/>
      <c r="B1238" s="140"/>
    </row>
    <row r="1239" spans="1:2" ht="13">
      <c r="A1239" s="140"/>
      <c r="B1239" s="140"/>
    </row>
    <row r="1240" spans="1:2" ht="13">
      <c r="A1240" s="140"/>
      <c r="B1240" s="140"/>
    </row>
    <row r="1241" spans="1:2" ht="13">
      <c r="A1241" s="140"/>
      <c r="B1241" s="140"/>
    </row>
    <row r="1242" spans="1:2" ht="13">
      <c r="A1242" s="140"/>
      <c r="B1242" s="140"/>
    </row>
    <row r="1243" spans="1:2" ht="13">
      <c r="A1243" s="140"/>
      <c r="B1243" s="140"/>
    </row>
    <row r="1244" spans="1:2" ht="13">
      <c r="A1244" s="140"/>
      <c r="B1244" s="140"/>
    </row>
    <row r="1245" spans="1:2" ht="13">
      <c r="A1245" s="140"/>
      <c r="B1245" s="140"/>
    </row>
    <row r="1246" spans="1:2" ht="13">
      <c r="A1246" s="140"/>
      <c r="B1246" s="140"/>
    </row>
    <row r="1247" spans="1:2" ht="13">
      <c r="A1247" s="140"/>
      <c r="B1247" s="140"/>
    </row>
    <row r="1248" spans="1:2" ht="13">
      <c r="A1248" s="140"/>
      <c r="B1248" s="140"/>
    </row>
    <row r="1249" spans="1:2" ht="13">
      <c r="A1249" s="140"/>
      <c r="B1249" s="140"/>
    </row>
    <row r="1250" spans="1:2" ht="13">
      <c r="A1250" s="140"/>
      <c r="B1250" s="140"/>
    </row>
    <row r="1251" spans="1:2" ht="13">
      <c r="A1251" s="140"/>
      <c r="B1251" s="140"/>
    </row>
    <row r="1252" spans="1:2" ht="13">
      <c r="A1252" s="140"/>
      <c r="B1252" s="140"/>
    </row>
    <row r="1253" spans="1:2" ht="13">
      <c r="A1253" s="140"/>
      <c r="B1253" s="140"/>
    </row>
    <row r="1254" spans="1:2" ht="13">
      <c r="A1254" s="140"/>
      <c r="B1254" s="140"/>
    </row>
    <row r="1255" spans="1:2" ht="13">
      <c r="A1255" s="140"/>
      <c r="B1255" s="140"/>
    </row>
    <row r="1256" spans="1:2" ht="13">
      <c r="A1256" s="140"/>
      <c r="B1256" s="140"/>
    </row>
    <row r="1257" spans="1:2" ht="13">
      <c r="A1257" s="140"/>
      <c r="B1257" s="140"/>
    </row>
    <row r="1258" spans="1:2" ht="13">
      <c r="A1258" s="140"/>
      <c r="B1258" s="140"/>
    </row>
    <row r="1259" spans="1:2" ht="13">
      <c r="A1259" s="140"/>
      <c r="B1259" s="140"/>
    </row>
    <row r="1260" spans="1:2" ht="13">
      <c r="A1260" s="140"/>
      <c r="B1260" s="140"/>
    </row>
    <row r="1261" spans="1:2" ht="13">
      <c r="A1261" s="140"/>
      <c r="B1261" s="140"/>
    </row>
    <row r="1262" spans="1:2" ht="13">
      <c r="A1262" s="140"/>
      <c r="B1262" s="140"/>
    </row>
    <row r="1263" spans="1:2" ht="13">
      <c r="A1263" s="140"/>
      <c r="B1263" s="140"/>
    </row>
    <row r="1264" spans="1:2" ht="13">
      <c r="A1264" s="140"/>
      <c r="B1264" s="140"/>
    </row>
    <row r="1265" spans="1:2" ht="13">
      <c r="A1265" s="140"/>
      <c r="B1265" s="140"/>
    </row>
    <row r="1266" spans="1:2" ht="13">
      <c r="A1266" s="140"/>
      <c r="B1266" s="140"/>
    </row>
    <row r="1267" spans="1:2" ht="13">
      <c r="A1267" s="140"/>
      <c r="B1267" s="140"/>
    </row>
    <row r="1268" spans="1:2" ht="13">
      <c r="A1268" s="140"/>
      <c r="B1268" s="140"/>
    </row>
    <row r="1269" spans="1:2" ht="13">
      <c r="A1269" s="140"/>
      <c r="B1269" s="140"/>
    </row>
    <row r="1270" spans="1:2" ht="13">
      <c r="A1270" s="140"/>
      <c r="B1270" s="140"/>
    </row>
    <row r="1271" spans="1:2" ht="13">
      <c r="A1271" s="140"/>
      <c r="B1271" s="140"/>
    </row>
    <row r="1272" spans="1:2" ht="13">
      <c r="A1272" s="140"/>
      <c r="B1272" s="140"/>
    </row>
    <row r="1273" spans="1:2" ht="13">
      <c r="A1273" s="140"/>
      <c r="B1273" s="140"/>
    </row>
    <row r="1274" spans="1:2" ht="13">
      <c r="A1274" s="140"/>
      <c r="B1274" s="140"/>
    </row>
    <row r="1275" spans="1:2" ht="13">
      <c r="A1275" s="140"/>
      <c r="B1275" s="140"/>
    </row>
    <row r="1276" spans="1:2" ht="13">
      <c r="A1276" s="140"/>
      <c r="B1276" s="140"/>
    </row>
    <row r="1277" spans="1:2" ht="13">
      <c r="A1277" s="140"/>
      <c r="B1277" s="140"/>
    </row>
    <row r="1278" spans="1:2" ht="13">
      <c r="A1278" s="140"/>
      <c r="B1278" s="140"/>
    </row>
    <row r="1279" spans="1:2" ht="13">
      <c r="A1279" s="140"/>
      <c r="B1279" s="140"/>
    </row>
    <row r="1280" spans="1:2" ht="13">
      <c r="A1280" s="140"/>
      <c r="B1280" s="140"/>
    </row>
    <row r="1281" spans="1:2" ht="13">
      <c r="A1281" s="140"/>
      <c r="B1281" s="140"/>
    </row>
    <row r="1282" spans="1:2" ht="13">
      <c r="A1282" s="140"/>
      <c r="B1282" s="140"/>
    </row>
    <row r="1283" spans="1:2" ht="13">
      <c r="A1283" s="140"/>
      <c r="B1283" s="140"/>
    </row>
    <row r="1284" spans="1:2" ht="13">
      <c r="A1284" s="140"/>
      <c r="B1284" s="140"/>
    </row>
    <row r="1285" spans="1:2" ht="13">
      <c r="A1285" s="140"/>
      <c r="B1285" s="140"/>
    </row>
    <row r="1286" spans="1:2" ht="13">
      <c r="A1286" s="140"/>
      <c r="B1286" s="140"/>
    </row>
    <row r="1287" spans="1:2" ht="13">
      <c r="A1287" s="140"/>
      <c r="B1287" s="140"/>
    </row>
    <row r="1288" spans="1:2" ht="13">
      <c r="A1288" s="140"/>
      <c r="B1288" s="140"/>
    </row>
    <row r="1289" spans="1:2" ht="13">
      <c r="A1289" s="140"/>
      <c r="B1289" s="140"/>
    </row>
    <row r="1290" spans="1:2" ht="13">
      <c r="A1290" s="140"/>
      <c r="B1290" s="140"/>
    </row>
    <row r="1291" spans="1:2" ht="13">
      <c r="A1291" s="140"/>
      <c r="B1291" s="140"/>
    </row>
    <row r="1292" spans="1:2" ht="13">
      <c r="A1292" s="140"/>
      <c r="B1292" s="140"/>
    </row>
    <row r="1293" spans="1:2" ht="13">
      <c r="A1293" s="140"/>
      <c r="B1293" s="140"/>
    </row>
    <row r="1294" spans="1:2" ht="13">
      <c r="A1294" s="140"/>
      <c r="B1294" s="140"/>
    </row>
    <row r="1295" spans="1:2" ht="13">
      <c r="A1295" s="140"/>
      <c r="B1295" s="140"/>
    </row>
    <row r="1296" spans="1:2" ht="13">
      <c r="A1296" s="140"/>
      <c r="B1296" s="140"/>
    </row>
    <row r="1297" spans="1:2" ht="13">
      <c r="A1297" s="140"/>
      <c r="B1297" s="140"/>
    </row>
    <row r="1298" spans="1:2" ht="13">
      <c r="A1298" s="140"/>
      <c r="B1298" s="140"/>
    </row>
    <row r="1299" spans="1:2" ht="13">
      <c r="A1299" s="140"/>
      <c r="B1299" s="140"/>
    </row>
    <row r="1300" spans="1:2" ht="13">
      <c r="A1300" s="140"/>
      <c r="B1300" s="140"/>
    </row>
    <row r="1301" spans="1:2" ht="13">
      <c r="A1301" s="140"/>
      <c r="B1301" s="140"/>
    </row>
    <row r="1302" spans="1:2" ht="13">
      <c r="A1302" s="140"/>
      <c r="B1302" s="140"/>
    </row>
    <row r="1303" spans="1:2" ht="13">
      <c r="A1303" s="140"/>
      <c r="B1303" s="140"/>
    </row>
    <row r="1304" spans="1:2" ht="13">
      <c r="A1304" s="140"/>
      <c r="B1304" s="140"/>
    </row>
    <row r="1305" spans="1:2" ht="13">
      <c r="A1305" s="140"/>
      <c r="B1305" s="140"/>
    </row>
    <row r="1306" spans="1:2" ht="13">
      <c r="A1306" s="140"/>
      <c r="B1306" s="140"/>
    </row>
    <row r="1307" spans="1:2" ht="13">
      <c r="A1307" s="140"/>
      <c r="B1307" s="140"/>
    </row>
    <row r="1308" spans="1:2" ht="13">
      <c r="A1308" s="140"/>
      <c r="B1308" s="140"/>
    </row>
    <row r="1309" spans="1:2" ht="13">
      <c r="A1309" s="140"/>
      <c r="B1309" s="140"/>
    </row>
    <row r="1310" spans="1:2" ht="13">
      <c r="A1310" s="140"/>
      <c r="B1310" s="140"/>
    </row>
    <row r="1311" spans="1:2" ht="13">
      <c r="A1311" s="140"/>
      <c r="B1311" s="140"/>
    </row>
    <row r="1312" spans="1:2" ht="13">
      <c r="A1312" s="140"/>
      <c r="B1312" s="140"/>
    </row>
    <row r="1313" spans="1:2" ht="13">
      <c r="A1313" s="140"/>
      <c r="B1313" s="140"/>
    </row>
    <row r="1314" spans="1:2" ht="13">
      <c r="A1314" s="140"/>
      <c r="B1314" s="140"/>
    </row>
    <row r="1315" spans="1:2" ht="13">
      <c r="A1315" s="140"/>
      <c r="B1315" s="140"/>
    </row>
    <row r="1316" spans="1:2" ht="13">
      <c r="A1316" s="140"/>
      <c r="B1316" s="140"/>
    </row>
    <row r="1317" spans="1:2" ht="13">
      <c r="A1317" s="140"/>
      <c r="B1317" s="140"/>
    </row>
    <row r="1318" spans="1:2" ht="13">
      <c r="A1318" s="140"/>
      <c r="B1318" s="140"/>
    </row>
    <row r="1319" spans="1:2" ht="13">
      <c r="A1319" s="140"/>
      <c r="B1319" s="140"/>
    </row>
    <row r="1320" spans="1:2" ht="13">
      <c r="A1320" s="140"/>
      <c r="B1320" s="140"/>
    </row>
    <row r="1321" spans="1:2" ht="13">
      <c r="A1321" s="140"/>
      <c r="B1321" s="140"/>
    </row>
    <row r="1322" spans="1:2" ht="13">
      <c r="A1322" s="140"/>
      <c r="B1322" s="140"/>
    </row>
    <row r="1323" spans="1:2" ht="13">
      <c r="A1323" s="140"/>
      <c r="B1323" s="140"/>
    </row>
    <row r="1324" spans="1:2" ht="13">
      <c r="A1324" s="140"/>
      <c r="B1324" s="140"/>
    </row>
    <row r="1325" spans="1:2" ht="13">
      <c r="A1325" s="140"/>
      <c r="B1325" s="140"/>
    </row>
    <row r="1326" spans="1:2" ht="13">
      <c r="A1326" s="140"/>
      <c r="B1326" s="140"/>
    </row>
    <row r="1327" spans="1:2" ht="13">
      <c r="A1327" s="140"/>
      <c r="B1327" s="140"/>
    </row>
    <row r="1328" spans="1:2" ht="13">
      <c r="A1328" s="140"/>
      <c r="B1328" s="140"/>
    </row>
    <row r="1329" spans="1:2" ht="13">
      <c r="A1329" s="140"/>
      <c r="B1329" s="140"/>
    </row>
    <row r="1330" spans="1:2" ht="13">
      <c r="A1330" s="140"/>
      <c r="B1330" s="140"/>
    </row>
    <row r="1331" spans="1:2" ht="13">
      <c r="A1331" s="140"/>
      <c r="B1331" s="140"/>
    </row>
    <row r="1332" spans="1:2" ht="13">
      <c r="A1332" s="140"/>
      <c r="B1332" s="140"/>
    </row>
    <row r="1333" spans="1:2" ht="13">
      <c r="A1333" s="140"/>
      <c r="B1333" s="140"/>
    </row>
    <row r="1334" spans="1:2" ht="13">
      <c r="A1334" s="140"/>
      <c r="B1334" s="140"/>
    </row>
    <row r="1335" spans="1:2" ht="13">
      <c r="A1335" s="140"/>
      <c r="B1335" s="140"/>
    </row>
    <row r="1336" spans="1:2" ht="13">
      <c r="A1336" s="140"/>
      <c r="B1336" s="140"/>
    </row>
    <row r="1337" spans="1:2" ht="13">
      <c r="A1337" s="140"/>
      <c r="B1337" s="140"/>
    </row>
    <row r="1338" spans="1:2" ht="13">
      <c r="A1338" s="140"/>
      <c r="B1338" s="140"/>
    </row>
    <row r="1339" spans="1:2" ht="13">
      <c r="A1339" s="140"/>
      <c r="B1339" s="140"/>
    </row>
    <row r="1340" spans="1:2" ht="13">
      <c r="A1340" s="140"/>
      <c r="B1340" s="140"/>
    </row>
    <row r="1341" spans="1:2" ht="13">
      <c r="A1341" s="140"/>
      <c r="B1341" s="140"/>
    </row>
    <row r="1342" spans="1:2" ht="13">
      <c r="A1342" s="140"/>
      <c r="B1342" s="140"/>
    </row>
    <row r="1343" spans="1:2" ht="13">
      <c r="A1343" s="140"/>
      <c r="B1343" s="140"/>
    </row>
    <row r="1344" spans="1:2" ht="13">
      <c r="A1344" s="140"/>
      <c r="B1344" s="140"/>
    </row>
    <row r="1345" spans="1:2" ht="13">
      <c r="A1345" s="140"/>
      <c r="B1345" s="140"/>
    </row>
    <row r="1346" spans="1:2" ht="13">
      <c r="A1346" s="140"/>
      <c r="B1346" s="140"/>
    </row>
    <row r="1347" spans="1:2" ht="13">
      <c r="A1347" s="140"/>
      <c r="B1347" s="140"/>
    </row>
    <row r="1348" spans="1:2" ht="13">
      <c r="A1348" s="140"/>
      <c r="B1348" s="140"/>
    </row>
    <row r="1349" spans="1:2" ht="13">
      <c r="A1349" s="140"/>
      <c r="B1349" s="140"/>
    </row>
    <row r="1350" spans="1:2" ht="13">
      <c r="A1350" s="140"/>
      <c r="B1350" s="140"/>
    </row>
    <row r="1351" spans="1:2" ht="13">
      <c r="A1351" s="140"/>
      <c r="B1351" s="140"/>
    </row>
    <row r="1352" spans="1:2" ht="13">
      <c r="A1352" s="140"/>
      <c r="B1352" s="140"/>
    </row>
    <row r="1353" spans="1:2" ht="13">
      <c r="A1353" s="140"/>
      <c r="B1353" s="140"/>
    </row>
    <row r="1354" spans="1:2" ht="13">
      <c r="A1354" s="140"/>
      <c r="B1354" s="140"/>
    </row>
    <row r="1355" spans="1:2" ht="13">
      <c r="A1355" s="140"/>
      <c r="B1355" s="140"/>
    </row>
    <row r="1356" spans="1:2" ht="13">
      <c r="A1356" s="140"/>
      <c r="B1356" s="140"/>
    </row>
    <row r="1357" spans="1:2" ht="13">
      <c r="A1357" s="140"/>
      <c r="B1357" s="140"/>
    </row>
    <row r="1358" spans="1:2" ht="13">
      <c r="A1358" s="140"/>
      <c r="B1358" s="140"/>
    </row>
    <row r="1359" spans="1:2" ht="13">
      <c r="A1359" s="140"/>
      <c r="B1359" s="140"/>
    </row>
    <row r="1360" spans="1:2" ht="13">
      <c r="A1360" s="140"/>
      <c r="B1360" s="140"/>
    </row>
    <row r="1361" spans="1:2" ht="13">
      <c r="A1361" s="140"/>
      <c r="B1361" s="140"/>
    </row>
    <row r="1362" spans="1:2" ht="13">
      <c r="A1362" s="140"/>
      <c r="B1362" s="140"/>
    </row>
    <row r="1363" spans="1:2" ht="13">
      <c r="A1363" s="140"/>
      <c r="B1363" s="140"/>
    </row>
    <row r="1364" spans="1:2" ht="13">
      <c r="A1364" s="140"/>
      <c r="B1364" s="140"/>
    </row>
    <row r="1365" spans="1:2" ht="13">
      <c r="A1365" s="140"/>
      <c r="B1365" s="140"/>
    </row>
    <row r="1366" spans="1:2" ht="13">
      <c r="A1366" s="140"/>
      <c r="B1366" s="140"/>
    </row>
    <row r="1367" spans="1:2" ht="13">
      <c r="A1367" s="140"/>
      <c r="B1367" s="140"/>
    </row>
    <row r="1368" spans="1:2" ht="13">
      <c r="A1368" s="140"/>
      <c r="B1368" s="140"/>
    </row>
    <row r="1369" spans="1:2" ht="13">
      <c r="A1369" s="140"/>
      <c r="B1369" s="140"/>
    </row>
    <row r="1370" spans="1:2" ht="13">
      <c r="A1370" s="140"/>
      <c r="B1370" s="140"/>
    </row>
    <row r="1371" spans="1:2" ht="13">
      <c r="A1371" s="140"/>
      <c r="B1371" s="140"/>
    </row>
    <row r="1372" spans="1:2" ht="13">
      <c r="A1372" s="140"/>
      <c r="B1372" s="140"/>
    </row>
    <row r="1373" spans="1:2" ht="13">
      <c r="A1373" s="140"/>
      <c r="B1373" s="140"/>
    </row>
    <row r="1374" spans="1:2" ht="13">
      <c r="A1374" s="140"/>
      <c r="B1374" s="140"/>
    </row>
    <row r="1375" spans="1:2" ht="13">
      <c r="A1375" s="140"/>
      <c r="B1375" s="140"/>
    </row>
    <row r="1376" spans="1:2" ht="13">
      <c r="A1376" s="140"/>
      <c r="B1376" s="140"/>
    </row>
    <row r="1377" spans="1:2" ht="13">
      <c r="A1377" s="140"/>
      <c r="B1377" s="140"/>
    </row>
    <row r="1378" spans="1:2" ht="13">
      <c r="A1378" s="140"/>
      <c r="B1378" s="140"/>
    </row>
    <row r="1379" spans="1:2" ht="13">
      <c r="A1379" s="140"/>
      <c r="B1379" s="140"/>
    </row>
    <row r="1380" spans="1:2" ht="13">
      <c r="A1380" s="140"/>
      <c r="B1380" s="140"/>
    </row>
    <row r="1381" spans="1:2" ht="13">
      <c r="A1381" s="140"/>
      <c r="B1381" s="140"/>
    </row>
    <row r="1382" spans="1:2" ht="13">
      <c r="A1382" s="140"/>
      <c r="B1382" s="140"/>
    </row>
    <row r="1383" spans="1:2" ht="13">
      <c r="A1383" s="140"/>
      <c r="B1383" s="140"/>
    </row>
    <row r="1384" spans="1:2" ht="13">
      <c r="A1384" s="140"/>
      <c r="B1384" s="140"/>
    </row>
    <row r="1385" spans="1:2" ht="13">
      <c r="A1385" s="140"/>
      <c r="B1385" s="140"/>
    </row>
    <row r="1386" spans="1:2" ht="13">
      <c r="A1386" s="140"/>
      <c r="B1386" s="140"/>
    </row>
    <row r="1387" spans="1:2" ht="13">
      <c r="A1387" s="140"/>
      <c r="B1387" s="140"/>
    </row>
    <row r="1388" spans="1:2" ht="13">
      <c r="A1388" s="140"/>
      <c r="B1388" s="140"/>
    </row>
    <row r="1389" spans="1:2" ht="13">
      <c r="A1389" s="140"/>
      <c r="B1389" s="140"/>
    </row>
    <row r="1390" spans="1:2" ht="13">
      <c r="A1390" s="140"/>
      <c r="B1390" s="140"/>
    </row>
    <row r="1391" spans="1:2" ht="13">
      <c r="A1391" s="140"/>
      <c r="B1391" s="140"/>
    </row>
    <row r="1392" spans="1:2" ht="13">
      <c r="A1392" s="140"/>
      <c r="B1392" s="140"/>
    </row>
    <row r="1393" spans="1:2" ht="13">
      <c r="A1393" s="140"/>
      <c r="B1393" s="140"/>
    </row>
    <row r="1394" spans="1:2" ht="13">
      <c r="A1394" s="140"/>
      <c r="B1394" s="140"/>
    </row>
    <row r="1395" spans="1:2" ht="13">
      <c r="A1395" s="140"/>
      <c r="B1395" s="140"/>
    </row>
    <row r="1396" spans="1:2" ht="13">
      <c r="A1396" s="140"/>
      <c r="B1396" s="140"/>
    </row>
    <row r="1397" spans="1:2" ht="13">
      <c r="A1397" s="140"/>
      <c r="B1397" s="140"/>
    </row>
    <row r="1398" spans="1:2" ht="13">
      <c r="A1398" s="140"/>
      <c r="B1398" s="140"/>
    </row>
    <row r="1399" spans="1:2" ht="13">
      <c r="A1399" s="140"/>
      <c r="B1399" s="140"/>
    </row>
    <row r="1400" spans="1:2" ht="13">
      <c r="A1400" s="140"/>
      <c r="B1400" s="140"/>
    </row>
    <row r="1401" spans="1:2" ht="13">
      <c r="A1401" s="140"/>
      <c r="B1401" s="140"/>
    </row>
    <row r="1402" spans="1:2" ht="13">
      <c r="A1402" s="140"/>
      <c r="B1402" s="140"/>
    </row>
    <row r="1403" spans="1:2" ht="13">
      <c r="A1403" s="140"/>
      <c r="B1403" s="140"/>
    </row>
    <row r="1404" spans="1:2" ht="13">
      <c r="A1404" s="140"/>
      <c r="B1404" s="140"/>
    </row>
    <row r="1405" spans="1:2" ht="13">
      <c r="A1405" s="140"/>
      <c r="B1405" s="140"/>
    </row>
    <row r="1406" spans="1:2" ht="13">
      <c r="A1406" s="140"/>
      <c r="B1406" s="140"/>
    </row>
    <row r="1407" spans="1:2" ht="13">
      <c r="A1407" s="140"/>
      <c r="B1407" s="140"/>
    </row>
    <row r="1408" spans="1:2" ht="13">
      <c r="A1408" s="140"/>
      <c r="B1408" s="140"/>
    </row>
    <row r="1409" spans="1:2" ht="13">
      <c r="A1409" s="140"/>
      <c r="B1409" s="140"/>
    </row>
    <row r="1410" spans="1:2" ht="13">
      <c r="A1410" s="140"/>
      <c r="B1410" s="140"/>
    </row>
    <row r="1411" spans="1:2" ht="13">
      <c r="A1411" s="140"/>
      <c r="B1411" s="140"/>
    </row>
    <row r="1412" spans="1:2" ht="13">
      <c r="A1412" s="140"/>
      <c r="B1412" s="140"/>
    </row>
    <row r="1413" spans="1:2" ht="13">
      <c r="A1413" s="140"/>
      <c r="B1413" s="140"/>
    </row>
    <row r="1414" spans="1:2" ht="13">
      <c r="A1414" s="140"/>
      <c r="B1414" s="140"/>
    </row>
    <row r="1415" spans="1:2" ht="13">
      <c r="A1415" s="140"/>
      <c r="B1415" s="140"/>
    </row>
    <row r="1416" spans="1:2" ht="13">
      <c r="A1416" s="140"/>
      <c r="B1416" s="140"/>
    </row>
    <row r="1417" spans="1:2" ht="13">
      <c r="A1417" s="140"/>
      <c r="B1417" s="140"/>
    </row>
    <row r="1418" spans="1:2" ht="13">
      <c r="A1418" s="140"/>
      <c r="B1418" s="140"/>
    </row>
    <row r="1419" spans="1:2" ht="13">
      <c r="A1419" s="140"/>
      <c r="B1419" s="140"/>
    </row>
    <row r="1420" spans="1:2" ht="13">
      <c r="A1420" s="140"/>
      <c r="B1420" s="140"/>
    </row>
    <row r="1421" spans="1:2" ht="13">
      <c r="A1421" s="140"/>
      <c r="B1421" s="140"/>
    </row>
    <row r="1422" spans="1:2" ht="13">
      <c r="A1422" s="140"/>
      <c r="B1422" s="140"/>
    </row>
    <row r="1423" spans="1:2" ht="13">
      <c r="A1423" s="140"/>
      <c r="B1423" s="140"/>
    </row>
    <row r="1424" spans="1:2" ht="13">
      <c r="A1424" s="140"/>
      <c r="B1424" s="140"/>
    </row>
    <row r="1425" spans="1:2" ht="13">
      <c r="A1425" s="140"/>
      <c r="B1425" s="140"/>
    </row>
    <row r="1426" spans="1:2" ht="13">
      <c r="A1426" s="140"/>
      <c r="B1426" s="140"/>
    </row>
    <row r="1427" spans="1:2" ht="13">
      <c r="A1427" s="140"/>
      <c r="B1427" s="140"/>
    </row>
    <row r="1428" spans="1:2" ht="13">
      <c r="A1428" s="140"/>
      <c r="B1428" s="140"/>
    </row>
    <row r="1429" spans="1:2" ht="13">
      <c r="A1429" s="140"/>
      <c r="B1429" s="140"/>
    </row>
    <row r="1430" spans="1:2" ht="13">
      <c r="A1430" s="140"/>
      <c r="B1430" s="140"/>
    </row>
    <row r="1431" spans="1:2" ht="13">
      <c r="A1431" s="140"/>
      <c r="B1431" s="140"/>
    </row>
    <row r="1432" spans="1:2" ht="13">
      <c r="A1432" s="140"/>
      <c r="B1432" s="140"/>
    </row>
    <row r="1433" spans="1:2" ht="13">
      <c r="A1433" s="140"/>
      <c r="B1433" s="140"/>
    </row>
    <row r="1434" spans="1:2" ht="13">
      <c r="A1434" s="140"/>
      <c r="B1434" s="140"/>
    </row>
    <row r="1435" spans="1:2" ht="13">
      <c r="A1435" s="140"/>
      <c r="B1435" s="140"/>
    </row>
    <row r="1436" spans="1:2" ht="13">
      <c r="A1436" s="140"/>
      <c r="B1436" s="140"/>
    </row>
    <row r="1437" spans="1:2" ht="13">
      <c r="A1437" s="140"/>
      <c r="B1437" s="140"/>
    </row>
    <row r="1438" spans="1:2" ht="13">
      <c r="A1438" s="140"/>
      <c r="B1438" s="140"/>
    </row>
    <row r="1439" spans="1:2" ht="13">
      <c r="A1439" s="140"/>
      <c r="B1439" s="140"/>
    </row>
    <row r="1440" spans="1:2" ht="13">
      <c r="A1440" s="140"/>
      <c r="B1440" s="140"/>
    </row>
    <row r="1441" spans="1:2" ht="13">
      <c r="A1441" s="140"/>
      <c r="B1441" s="140"/>
    </row>
    <row r="1442" spans="1:2" ht="13">
      <c r="A1442" s="140"/>
      <c r="B1442" s="140"/>
    </row>
    <row r="1443" spans="1:2" ht="13">
      <c r="A1443" s="140"/>
      <c r="B1443" s="140"/>
    </row>
    <row r="1444" spans="1:2" ht="13">
      <c r="A1444" s="140"/>
      <c r="B1444" s="140"/>
    </row>
    <row r="1445" spans="1:2" ht="13">
      <c r="A1445" s="140"/>
      <c r="B1445" s="140"/>
    </row>
    <row r="1446" spans="1:2" ht="13">
      <c r="A1446" s="140"/>
      <c r="B1446" s="140"/>
    </row>
    <row r="1447" spans="1:2" ht="13">
      <c r="A1447" s="140"/>
      <c r="B1447" s="140"/>
    </row>
    <row r="1448" spans="1:2" ht="13">
      <c r="A1448" s="140"/>
      <c r="B1448" s="140"/>
    </row>
    <row r="1449" spans="1:2" ht="13">
      <c r="A1449" s="140"/>
      <c r="B1449" s="140"/>
    </row>
    <row r="1450" spans="1:2" ht="13">
      <c r="A1450" s="140"/>
      <c r="B1450" s="140"/>
    </row>
    <row r="1451" spans="1:2" ht="13">
      <c r="A1451" s="140"/>
      <c r="B1451" s="140"/>
    </row>
    <row r="1452" spans="1:2" ht="13">
      <c r="A1452" s="140"/>
      <c r="B1452" s="140"/>
    </row>
    <row r="1453" spans="1:2" ht="13">
      <c r="A1453" s="140"/>
      <c r="B1453" s="140"/>
    </row>
    <row r="1454" spans="1:2" ht="13">
      <c r="A1454" s="140"/>
      <c r="B1454" s="140"/>
    </row>
    <row r="1455" spans="1:2" ht="13">
      <c r="A1455" s="140"/>
      <c r="B1455" s="140"/>
    </row>
    <row r="1456" spans="1:2" ht="13">
      <c r="A1456" s="140"/>
      <c r="B1456" s="140"/>
    </row>
    <row r="1457" spans="1:2" ht="13">
      <c r="A1457" s="140"/>
      <c r="B1457" s="140"/>
    </row>
    <row r="1458" spans="1:2" ht="13">
      <c r="A1458" s="140"/>
      <c r="B1458" s="140"/>
    </row>
    <row r="1459" spans="1:2" ht="13">
      <c r="A1459" s="140"/>
      <c r="B1459" s="140"/>
    </row>
    <row r="1460" spans="1:2" ht="13">
      <c r="A1460" s="140"/>
      <c r="B1460" s="140"/>
    </row>
    <row r="1461" spans="1:2" ht="13">
      <c r="A1461" s="140"/>
      <c r="B1461" s="140"/>
    </row>
    <row r="1462" spans="1:2" ht="13">
      <c r="A1462" s="140"/>
      <c r="B1462" s="140"/>
    </row>
    <row r="1463" spans="1:2" ht="13">
      <c r="A1463" s="140"/>
      <c r="B1463" s="140"/>
    </row>
    <row r="1464" spans="1:2" ht="13">
      <c r="A1464" s="140"/>
      <c r="B1464" s="140"/>
    </row>
    <row r="1465" spans="1:2" ht="13">
      <c r="A1465" s="140"/>
      <c r="B1465" s="140"/>
    </row>
    <row r="1466" spans="1:2" ht="13">
      <c r="A1466" s="140"/>
      <c r="B1466" s="140"/>
    </row>
    <row r="1467" spans="1:2" ht="13">
      <c r="A1467" s="140"/>
      <c r="B1467" s="140"/>
    </row>
    <row r="1468" spans="1:2" ht="13">
      <c r="A1468" s="140"/>
      <c r="B1468" s="140"/>
    </row>
    <row r="1469" spans="1:2" ht="13">
      <c r="A1469" s="140"/>
      <c r="B1469" s="140"/>
    </row>
    <row r="1470" spans="1:2" ht="13">
      <c r="A1470" s="140"/>
      <c r="B1470" s="140"/>
    </row>
    <row r="1471" spans="1:2" ht="13">
      <c r="A1471" s="140"/>
      <c r="B1471" s="140"/>
    </row>
    <row r="1472" spans="1:2" ht="13">
      <c r="A1472" s="140"/>
      <c r="B1472" s="140"/>
    </row>
    <row r="1473" spans="1:2" ht="13">
      <c r="A1473" s="140"/>
      <c r="B1473" s="140"/>
    </row>
    <row r="1474" spans="1:2" ht="13">
      <c r="A1474" s="140"/>
      <c r="B1474" s="140"/>
    </row>
    <row r="1475" spans="1:2" ht="13">
      <c r="A1475" s="140"/>
      <c r="B1475" s="140"/>
    </row>
    <row r="1476" spans="1:2" ht="13">
      <c r="A1476" s="140"/>
      <c r="B1476" s="140"/>
    </row>
    <row r="1477" spans="1:2" ht="13">
      <c r="A1477" s="140"/>
      <c r="B1477" s="140"/>
    </row>
    <row r="1478" spans="1:2" ht="13">
      <c r="A1478" s="140"/>
      <c r="B1478" s="140"/>
    </row>
    <row r="1479" spans="1:2" ht="13">
      <c r="A1479" s="140"/>
      <c r="B1479" s="140"/>
    </row>
    <row r="1480" spans="1:2" ht="13">
      <c r="A1480" s="140"/>
      <c r="B1480" s="140"/>
    </row>
    <row r="1481" spans="1:2" ht="13">
      <c r="A1481" s="140"/>
      <c r="B1481" s="140"/>
    </row>
    <row r="1482" spans="1:2" ht="13">
      <c r="A1482" s="140"/>
      <c r="B1482" s="140"/>
    </row>
    <row r="1483" spans="1:2" ht="13">
      <c r="A1483" s="140"/>
      <c r="B1483" s="140"/>
    </row>
    <row r="1484" spans="1:2" ht="13">
      <c r="A1484" s="140"/>
      <c r="B1484" s="140"/>
    </row>
    <row r="1485" spans="1:2" ht="13">
      <c r="A1485" s="140"/>
      <c r="B1485" s="140"/>
    </row>
    <row r="1486" spans="1:2" ht="13">
      <c r="A1486" s="140"/>
      <c r="B1486" s="140"/>
    </row>
    <row r="1487" spans="1:2" ht="13">
      <c r="A1487" s="140"/>
      <c r="B1487" s="140"/>
    </row>
    <row r="1488" spans="1:2" ht="13">
      <c r="A1488" s="140"/>
      <c r="B1488" s="140"/>
    </row>
    <row r="1489" spans="1:2" ht="13">
      <c r="A1489" s="140"/>
      <c r="B1489" s="140"/>
    </row>
    <row r="1490" spans="1:2" ht="13">
      <c r="A1490" s="140"/>
      <c r="B1490" s="140"/>
    </row>
    <row r="1491" spans="1:2" ht="13">
      <c r="A1491" s="140"/>
      <c r="B1491" s="140"/>
    </row>
    <row r="1492" spans="1:2" ht="13">
      <c r="A1492" s="140"/>
      <c r="B1492" s="140"/>
    </row>
    <row r="1493" spans="1:2" ht="13">
      <c r="A1493" s="140"/>
      <c r="B1493" s="140"/>
    </row>
    <row r="1494" spans="1:2" ht="13">
      <c r="A1494" s="140"/>
      <c r="B1494" s="140"/>
    </row>
    <row r="1495" spans="1:2" ht="13">
      <c r="A1495" s="140"/>
      <c r="B1495" s="140"/>
    </row>
    <row r="1496" spans="1:2" ht="13">
      <c r="A1496" s="140"/>
      <c r="B1496" s="140"/>
    </row>
    <row r="1497" spans="1:2" ht="13">
      <c r="A1497" s="140"/>
      <c r="B1497" s="140"/>
    </row>
    <row r="1498" spans="1:2" ht="13">
      <c r="A1498" s="140"/>
      <c r="B1498" s="140"/>
    </row>
    <row r="1499" spans="1:2" ht="13">
      <c r="A1499" s="140"/>
      <c r="B1499" s="140"/>
    </row>
    <row r="1500" spans="1:2" ht="13">
      <c r="A1500" s="140"/>
      <c r="B1500" s="140"/>
    </row>
    <row r="1501" spans="1:2" ht="13">
      <c r="A1501" s="140"/>
      <c r="B1501" s="140"/>
    </row>
    <row r="1502" spans="1:2" ht="13">
      <c r="A1502" s="140"/>
      <c r="B1502" s="140"/>
    </row>
    <row r="1503" spans="1:2" ht="13">
      <c r="A1503" s="140"/>
      <c r="B1503" s="140"/>
    </row>
    <row r="1504" spans="1:2" ht="13">
      <c r="A1504" s="140"/>
      <c r="B1504" s="140"/>
    </row>
    <row r="1505" spans="1:2" ht="13">
      <c r="A1505" s="140"/>
      <c r="B1505" s="140"/>
    </row>
    <row r="1506" spans="1:2" ht="13">
      <c r="A1506" s="140"/>
      <c r="B1506" s="140"/>
    </row>
    <row r="1507" spans="1:2" ht="13">
      <c r="A1507" s="140"/>
      <c r="B1507" s="140"/>
    </row>
    <row r="1508" spans="1:2" ht="13">
      <c r="A1508" s="140"/>
      <c r="B1508" s="140"/>
    </row>
    <row r="1509" spans="1:2" ht="13">
      <c r="A1509" s="140"/>
      <c r="B1509" s="140"/>
    </row>
    <row r="1510" spans="1:2" ht="13">
      <c r="A1510" s="140"/>
      <c r="B1510" s="140"/>
    </row>
    <row r="1511" spans="1:2" ht="13">
      <c r="A1511" s="140"/>
      <c r="B1511" s="140"/>
    </row>
    <row r="1512" spans="1:2" ht="13">
      <c r="A1512" s="140"/>
      <c r="B1512" s="140"/>
    </row>
    <row r="1513" spans="1:2" ht="13">
      <c r="A1513" s="140"/>
      <c r="B1513" s="140"/>
    </row>
    <row r="1514" spans="1:2" ht="13">
      <c r="A1514" s="140"/>
      <c r="B1514" s="140"/>
    </row>
    <row r="1515" spans="1:2" ht="13">
      <c r="A1515" s="140"/>
      <c r="B1515" s="140"/>
    </row>
    <row r="1516" spans="1:2" ht="13">
      <c r="A1516" s="140"/>
      <c r="B1516" s="140"/>
    </row>
    <row r="1517" spans="1:2" ht="13">
      <c r="A1517" s="140"/>
      <c r="B1517" s="140"/>
    </row>
    <row r="1518" spans="1:2" ht="13">
      <c r="A1518" s="140"/>
      <c r="B1518" s="140"/>
    </row>
    <row r="1519" spans="1:2" ht="13">
      <c r="A1519" s="140"/>
      <c r="B1519" s="140"/>
    </row>
    <row r="1520" spans="1:2" ht="13">
      <c r="A1520" s="140"/>
      <c r="B1520" s="140"/>
    </row>
    <row r="1521" spans="1:2" ht="13">
      <c r="A1521" s="140"/>
      <c r="B1521" s="140"/>
    </row>
    <row r="1522" spans="1:2" ht="13">
      <c r="A1522" s="140"/>
      <c r="B1522" s="140"/>
    </row>
    <row r="1523" spans="1:2" ht="13">
      <c r="A1523" s="140"/>
      <c r="B1523" s="140"/>
    </row>
    <row r="1524" spans="1:2" ht="13">
      <c r="A1524" s="140"/>
      <c r="B1524" s="140"/>
    </row>
    <row r="1525" spans="1:2" ht="13">
      <c r="A1525" s="140"/>
      <c r="B1525" s="140"/>
    </row>
    <row r="1526" spans="1:2" ht="13">
      <c r="A1526" s="140"/>
      <c r="B1526" s="140"/>
    </row>
    <row r="1527" spans="1:2" ht="13">
      <c r="A1527" s="140"/>
      <c r="B1527" s="140"/>
    </row>
    <row r="1528" spans="1:2" ht="13">
      <c r="A1528" s="140"/>
      <c r="B1528" s="140"/>
    </row>
    <row r="1529" spans="1:2" ht="13">
      <c r="A1529" s="140"/>
      <c r="B1529" s="140"/>
    </row>
    <row r="1530" spans="1:2" ht="13">
      <c r="A1530" s="140"/>
      <c r="B1530" s="140"/>
    </row>
    <row r="1531" spans="1:2" ht="13">
      <c r="A1531" s="140"/>
      <c r="B1531" s="140"/>
    </row>
    <row r="1532" spans="1:2" ht="13">
      <c r="A1532" s="140"/>
      <c r="B1532" s="140"/>
    </row>
    <row r="1533" spans="1:2" ht="13">
      <c r="A1533" s="140"/>
      <c r="B1533" s="140"/>
    </row>
    <row r="1534" spans="1:2" ht="13">
      <c r="A1534" s="140"/>
      <c r="B1534" s="140"/>
    </row>
    <row r="1535" spans="1:2" ht="13">
      <c r="A1535" s="140"/>
      <c r="B1535" s="140"/>
    </row>
    <row r="1536" spans="1:2" ht="13">
      <c r="A1536" s="140"/>
      <c r="B1536" s="140"/>
    </row>
    <row r="1537" spans="1:2" ht="13">
      <c r="A1537" s="140"/>
      <c r="B1537" s="140"/>
    </row>
    <row r="1538" spans="1:2" ht="13">
      <c r="A1538" s="140"/>
      <c r="B1538" s="140"/>
    </row>
    <row r="1539" spans="1:2" ht="13">
      <c r="A1539" s="140"/>
      <c r="B1539" s="140"/>
    </row>
    <row r="1540" spans="1:2" ht="13">
      <c r="A1540" s="140"/>
      <c r="B1540" s="140"/>
    </row>
    <row r="1541" spans="1:2" ht="13">
      <c r="A1541" s="140"/>
      <c r="B1541" s="140"/>
    </row>
    <row r="1542" spans="1:2" ht="13">
      <c r="A1542" s="140"/>
      <c r="B1542" s="140"/>
    </row>
    <row r="1543" spans="1:2" ht="13">
      <c r="A1543" s="140"/>
      <c r="B1543" s="140"/>
    </row>
    <row r="1544" spans="1:2" ht="13">
      <c r="A1544" s="140"/>
      <c r="B1544" s="140"/>
    </row>
    <row r="1545" spans="1:2" ht="13">
      <c r="A1545" s="140"/>
      <c r="B1545" s="140"/>
    </row>
    <row r="1546" spans="1:2" ht="13">
      <c r="A1546" s="140"/>
      <c r="B1546" s="140"/>
    </row>
    <row r="1547" spans="1:2" ht="13">
      <c r="A1547" s="140"/>
      <c r="B1547" s="140"/>
    </row>
    <row r="1548" spans="1:2" ht="13">
      <c r="A1548" s="140"/>
      <c r="B1548" s="140"/>
    </row>
    <row r="1549" spans="1:2" ht="13">
      <c r="A1549" s="140"/>
      <c r="B1549" s="140"/>
    </row>
    <row r="1550" spans="1:2" ht="13">
      <c r="A1550" s="140"/>
      <c r="B1550" s="140"/>
    </row>
    <row r="1551" spans="1:2" ht="13">
      <c r="A1551" s="140"/>
      <c r="B1551" s="140"/>
    </row>
    <row r="1552" spans="1:2" ht="13">
      <c r="A1552" s="140"/>
      <c r="B1552" s="140"/>
    </row>
    <row r="1553" spans="1:2" ht="13">
      <c r="A1553" s="140"/>
      <c r="B1553" s="140"/>
    </row>
    <row r="1554" spans="1:2" ht="13">
      <c r="A1554" s="140"/>
      <c r="B1554" s="140"/>
    </row>
    <row r="1555" spans="1:2" ht="13">
      <c r="A1555" s="140"/>
      <c r="B1555" s="140"/>
    </row>
    <row r="1556" spans="1:2" ht="13">
      <c r="A1556" s="140"/>
      <c r="B1556" s="140"/>
    </row>
    <row r="1557" spans="1:2" ht="13">
      <c r="A1557" s="140"/>
      <c r="B1557" s="140"/>
    </row>
    <row r="1558" spans="1:2" ht="13">
      <c r="A1558" s="140"/>
      <c r="B1558" s="140"/>
    </row>
    <row r="1559" spans="1:2" ht="13">
      <c r="A1559" s="140"/>
      <c r="B1559" s="140"/>
    </row>
    <row r="1560" spans="1:2" ht="13">
      <c r="A1560" s="140"/>
      <c r="B1560" s="140"/>
    </row>
    <row r="1561" spans="1:2" ht="13">
      <c r="A1561" s="140"/>
      <c r="B1561" s="140"/>
    </row>
    <row r="1562" spans="1:2" ht="13">
      <c r="A1562" s="140"/>
      <c r="B1562" s="140"/>
    </row>
    <row r="1563" spans="1:2" ht="13">
      <c r="A1563" s="140"/>
      <c r="B1563" s="140"/>
    </row>
    <row r="1564" spans="1:2" ht="13">
      <c r="A1564" s="140"/>
      <c r="B1564" s="140"/>
    </row>
    <row r="1565" spans="1:2" ht="13">
      <c r="A1565" s="140"/>
      <c r="B1565" s="140"/>
    </row>
    <row r="1566" spans="1:2" ht="13">
      <c r="A1566" s="140"/>
      <c r="B1566" s="140"/>
    </row>
    <row r="1567" spans="1:2" ht="13">
      <c r="A1567" s="140"/>
      <c r="B1567" s="140"/>
    </row>
    <row r="1568" spans="1:2" ht="13">
      <c r="A1568" s="140"/>
      <c r="B1568" s="140"/>
    </row>
    <row r="1569" spans="1:2" ht="13">
      <c r="A1569" s="140"/>
      <c r="B1569" s="140"/>
    </row>
    <row r="1570" spans="1:2" ht="13">
      <c r="A1570" s="140"/>
      <c r="B1570" s="140"/>
    </row>
    <row r="1571" spans="1:2" ht="13">
      <c r="A1571" s="140"/>
      <c r="B1571" s="140"/>
    </row>
    <row r="1572" spans="1:2" ht="13">
      <c r="A1572" s="140"/>
      <c r="B1572" s="140"/>
    </row>
    <row r="1573" spans="1:2" ht="13">
      <c r="A1573" s="140"/>
      <c r="B1573" s="140"/>
    </row>
    <row r="1574" spans="1:2" ht="13">
      <c r="A1574" s="140"/>
      <c r="B1574" s="140"/>
    </row>
    <row r="1575" spans="1:2" ht="13">
      <c r="A1575" s="140"/>
      <c r="B1575" s="140"/>
    </row>
    <row r="1576" spans="1:2" ht="13">
      <c r="A1576" s="140"/>
      <c r="B1576" s="140"/>
    </row>
    <row r="1577" spans="1:2" ht="13">
      <c r="A1577" s="140"/>
      <c r="B1577" s="140"/>
    </row>
    <row r="1578" spans="1:2" ht="13">
      <c r="A1578" s="140"/>
      <c r="B1578" s="140"/>
    </row>
    <row r="1579" spans="1:2" ht="13">
      <c r="A1579" s="140"/>
      <c r="B1579" s="140"/>
    </row>
    <row r="1580" spans="1:2" ht="13">
      <c r="A1580" s="140"/>
      <c r="B1580" s="140"/>
    </row>
    <row r="1581" spans="1:2" ht="13">
      <c r="A1581" s="140"/>
      <c r="B1581" s="140"/>
    </row>
    <row r="1582" spans="1:2" ht="13">
      <c r="A1582" s="140"/>
      <c r="B1582" s="140"/>
    </row>
    <row r="1583" spans="1:2" ht="13">
      <c r="A1583" s="140"/>
      <c r="B1583" s="140"/>
    </row>
    <row r="1584" spans="1:2" ht="13">
      <c r="A1584" s="140"/>
      <c r="B1584" s="140"/>
    </row>
    <row r="1585" spans="1:2" ht="13">
      <c r="A1585" s="140"/>
      <c r="B1585" s="140"/>
    </row>
    <row r="1586" spans="1:2" ht="13">
      <c r="A1586" s="140"/>
      <c r="B1586" s="140"/>
    </row>
    <row r="1587" spans="1:2" ht="13">
      <c r="A1587" s="140"/>
      <c r="B1587" s="140"/>
    </row>
    <row r="1588" spans="1:2" ht="13">
      <c r="A1588" s="140"/>
      <c r="B1588" s="140"/>
    </row>
    <row r="1589" spans="1:2" ht="13">
      <c r="A1589" s="140"/>
      <c r="B1589" s="140"/>
    </row>
    <row r="1590" spans="1:2" ht="13">
      <c r="A1590" s="140"/>
      <c r="B1590" s="140"/>
    </row>
    <row r="1591" spans="1:2" ht="13">
      <c r="A1591" s="140"/>
      <c r="B1591" s="140"/>
    </row>
    <row r="1592" spans="1:2" ht="13">
      <c r="A1592" s="140"/>
      <c r="B1592" s="140"/>
    </row>
    <row r="1593" spans="1:2" ht="13">
      <c r="A1593" s="140"/>
      <c r="B1593" s="140"/>
    </row>
    <row r="1594" spans="1:2" ht="13">
      <c r="A1594" s="140"/>
      <c r="B1594" s="140"/>
    </row>
    <row r="1595" spans="1:2" ht="13">
      <c r="A1595" s="140"/>
      <c r="B1595" s="140"/>
    </row>
    <row r="1596" spans="1:2" ht="13">
      <c r="A1596" s="140"/>
      <c r="B1596" s="140"/>
    </row>
    <row r="1597" spans="1:2" ht="13">
      <c r="A1597" s="140"/>
      <c r="B1597" s="140"/>
    </row>
    <row r="1598" spans="1:2" ht="13">
      <c r="A1598" s="140"/>
      <c r="B1598" s="140"/>
    </row>
    <row r="1599" spans="1:2" ht="13">
      <c r="A1599" s="140"/>
      <c r="B1599" s="140"/>
    </row>
    <row r="1600" spans="1:2" ht="13">
      <c r="A1600" s="140"/>
      <c r="B1600" s="140"/>
    </row>
    <row r="1601" spans="1:2" ht="13">
      <c r="A1601" s="140"/>
      <c r="B1601" s="140"/>
    </row>
    <row r="1602" spans="1:2" ht="13">
      <c r="A1602" s="140"/>
      <c r="B1602" s="140"/>
    </row>
    <row r="1603" spans="1:2" ht="13">
      <c r="A1603" s="140"/>
      <c r="B1603" s="140"/>
    </row>
    <row r="1604" spans="1:2" ht="13">
      <c r="A1604" s="140"/>
      <c r="B1604" s="140"/>
    </row>
    <row r="1605" spans="1:2" ht="13">
      <c r="A1605" s="140"/>
      <c r="B1605" s="140"/>
    </row>
    <row r="1606" spans="1:2" ht="13">
      <c r="A1606" s="140"/>
      <c r="B1606" s="140"/>
    </row>
    <row r="1607" spans="1:2" ht="13">
      <c r="A1607" s="140"/>
      <c r="B1607" s="140"/>
    </row>
    <row r="1608" spans="1:2" ht="13">
      <c r="A1608" s="140"/>
      <c r="B1608" s="140"/>
    </row>
    <row r="1609" spans="1:2" ht="13">
      <c r="A1609" s="140"/>
      <c r="B1609" s="140"/>
    </row>
    <row r="1610" spans="1:2" ht="13">
      <c r="A1610" s="140"/>
      <c r="B1610" s="140"/>
    </row>
    <row r="1611" spans="1:2" ht="13">
      <c r="A1611" s="140"/>
      <c r="B1611" s="140"/>
    </row>
    <row r="1612" spans="1:2" ht="13">
      <c r="A1612" s="140"/>
      <c r="B1612" s="140"/>
    </row>
    <row r="1613" spans="1:2" ht="13">
      <c r="A1613" s="140"/>
      <c r="B1613" s="140"/>
    </row>
    <row r="1614" spans="1:2" ht="13">
      <c r="A1614" s="140"/>
      <c r="B1614" s="140"/>
    </row>
    <row r="1615" spans="1:2" ht="13">
      <c r="A1615" s="140"/>
      <c r="B1615" s="140"/>
    </row>
    <row r="1616" spans="1:2" ht="13">
      <c r="A1616" s="140"/>
      <c r="B1616" s="140"/>
    </row>
    <row r="1617" spans="1:2" ht="13">
      <c r="A1617" s="140"/>
      <c r="B1617" s="140"/>
    </row>
    <row r="1618" spans="1:2" ht="13">
      <c r="A1618" s="140"/>
      <c r="B1618" s="140"/>
    </row>
    <row r="1619" spans="1:2" ht="13">
      <c r="A1619" s="140"/>
      <c r="B1619" s="140"/>
    </row>
    <row r="1620" spans="1:2" ht="13">
      <c r="A1620" s="140"/>
      <c r="B1620" s="140"/>
    </row>
    <row r="1621" spans="1:2" ht="13">
      <c r="A1621" s="140"/>
      <c r="B1621" s="140"/>
    </row>
    <row r="1622" spans="1:2" ht="13">
      <c r="A1622" s="140"/>
      <c r="B1622" s="140"/>
    </row>
    <row r="1623" spans="1:2" ht="13">
      <c r="A1623" s="140"/>
      <c r="B1623" s="140"/>
    </row>
    <row r="1624" spans="1:2" ht="13">
      <c r="A1624" s="140"/>
      <c r="B1624" s="140"/>
    </row>
    <row r="1625" spans="1:2" ht="13">
      <c r="A1625" s="140"/>
      <c r="B1625" s="140"/>
    </row>
    <row r="1626" spans="1:2" ht="13">
      <c r="A1626" s="140"/>
      <c r="B1626" s="140"/>
    </row>
    <row r="1627" spans="1:2" ht="13">
      <c r="A1627" s="140"/>
      <c r="B1627" s="140"/>
    </row>
    <row r="1628" spans="1:2" ht="13">
      <c r="A1628" s="140"/>
      <c r="B1628" s="140"/>
    </row>
    <row r="1629" spans="1:2" ht="13">
      <c r="A1629" s="140"/>
      <c r="B1629" s="140"/>
    </row>
    <row r="1630" spans="1:2" ht="13">
      <c r="A1630" s="140"/>
      <c r="B1630" s="140"/>
    </row>
    <row r="1631" spans="1:2" ht="13">
      <c r="A1631" s="140"/>
      <c r="B1631" s="140"/>
    </row>
    <row r="1632" spans="1:2" ht="13">
      <c r="A1632" s="140"/>
      <c r="B1632" s="140"/>
    </row>
    <row r="1633" spans="1:2" ht="13">
      <c r="A1633" s="140"/>
      <c r="B1633" s="140"/>
    </row>
    <row r="1634" spans="1:2" ht="13">
      <c r="A1634" s="140"/>
      <c r="B1634" s="140"/>
    </row>
    <row r="1635" spans="1:2" ht="13">
      <c r="A1635" s="140"/>
      <c r="B1635" s="140"/>
    </row>
    <row r="1636" spans="1:2" ht="13">
      <c r="A1636" s="140"/>
      <c r="B1636" s="140"/>
    </row>
    <row r="1637" spans="1:2" ht="13">
      <c r="A1637" s="140"/>
      <c r="B1637" s="140"/>
    </row>
    <row r="1638" spans="1:2" ht="13">
      <c r="A1638" s="140"/>
      <c r="B1638" s="140"/>
    </row>
    <row r="1639" spans="1:2" ht="13">
      <c r="A1639" s="140"/>
      <c r="B1639" s="140"/>
    </row>
    <row r="1640" spans="1:2" ht="13">
      <c r="A1640" s="140"/>
      <c r="B1640" s="140"/>
    </row>
    <row r="1641" spans="1:2" ht="13">
      <c r="A1641" s="140"/>
      <c r="B1641" s="140"/>
    </row>
    <row r="1642" spans="1:2" ht="13">
      <c r="A1642" s="140"/>
      <c r="B1642" s="140"/>
    </row>
    <row r="1643" spans="1:2" ht="13">
      <c r="A1643" s="140"/>
      <c r="B1643" s="140"/>
    </row>
    <row r="1644" spans="1:2" ht="13">
      <c r="A1644" s="140"/>
      <c r="B1644" s="140"/>
    </row>
    <row r="1645" spans="1:2" ht="13">
      <c r="A1645" s="140"/>
      <c r="B1645" s="140"/>
    </row>
    <row r="1646" spans="1:2" ht="13">
      <c r="A1646" s="140"/>
      <c r="B1646" s="140"/>
    </row>
    <row r="1647" spans="1:2" ht="13">
      <c r="A1647" s="140"/>
      <c r="B1647" s="140"/>
    </row>
    <row r="1648" spans="1:2" ht="13">
      <c r="A1648" s="140"/>
      <c r="B1648" s="140"/>
    </row>
    <row r="1649" spans="1:2" ht="13">
      <c r="A1649" s="140"/>
      <c r="B1649" s="140"/>
    </row>
    <row r="1650" spans="1:2" ht="13">
      <c r="A1650" s="140"/>
      <c r="B1650" s="140"/>
    </row>
    <row r="1651" spans="1:2" ht="13">
      <c r="A1651" s="140"/>
      <c r="B1651" s="140"/>
    </row>
    <row r="1652" spans="1:2" ht="13">
      <c r="A1652" s="140"/>
      <c r="B1652" s="140"/>
    </row>
    <row r="1653" spans="1:2" ht="13">
      <c r="A1653" s="140"/>
      <c r="B1653" s="140"/>
    </row>
    <row r="1654" spans="1:2" ht="13">
      <c r="A1654" s="140"/>
      <c r="B1654" s="140"/>
    </row>
    <row r="1655" spans="1:2" ht="13">
      <c r="A1655" s="140"/>
      <c r="B1655" s="140"/>
    </row>
    <row r="1656" spans="1:2" ht="13">
      <c r="A1656" s="140"/>
      <c r="B1656" s="140"/>
    </row>
    <row r="1657" spans="1:2" ht="13">
      <c r="A1657" s="140"/>
      <c r="B1657" s="140"/>
    </row>
    <row r="1658" spans="1:2" ht="13">
      <c r="A1658" s="140"/>
      <c r="B1658" s="140"/>
    </row>
    <row r="1659" spans="1:2" ht="13">
      <c r="A1659" s="140"/>
      <c r="B1659" s="140"/>
    </row>
    <row r="1660" spans="1:2" ht="13">
      <c r="A1660" s="140"/>
      <c r="B1660" s="140"/>
    </row>
    <row r="1661" spans="1:2" ht="13">
      <c r="A1661" s="140"/>
      <c r="B1661" s="140"/>
    </row>
    <row r="1662" spans="1:2" ht="13">
      <c r="A1662" s="140"/>
      <c r="B1662" s="140"/>
    </row>
    <row r="1663" spans="1:2" ht="13">
      <c r="A1663" s="140"/>
      <c r="B1663" s="140"/>
    </row>
    <row r="1664" spans="1:2" ht="13">
      <c r="A1664" s="140"/>
      <c r="B1664" s="140"/>
    </row>
    <row r="1665" spans="1:2" ht="13">
      <c r="A1665" s="140"/>
      <c r="B1665" s="140"/>
    </row>
    <row r="1666" spans="1:2" ht="13">
      <c r="A1666" s="140"/>
      <c r="B1666" s="140"/>
    </row>
    <row r="1667" spans="1:2" ht="13">
      <c r="A1667" s="140"/>
      <c r="B1667" s="140"/>
    </row>
    <row r="1668" spans="1:2" ht="13">
      <c r="A1668" s="140"/>
      <c r="B1668" s="140"/>
    </row>
    <row r="1669" spans="1:2" ht="13">
      <c r="A1669" s="140"/>
      <c r="B1669" s="140"/>
    </row>
    <row r="1670" spans="1:2" ht="13">
      <c r="A1670" s="140"/>
      <c r="B1670" s="140"/>
    </row>
    <row r="1671" spans="1:2" ht="13">
      <c r="A1671" s="140"/>
      <c r="B1671" s="140"/>
    </row>
    <row r="1672" spans="1:2" ht="13">
      <c r="A1672" s="140"/>
      <c r="B1672" s="140"/>
    </row>
    <row r="1673" spans="1:2" ht="13">
      <c r="A1673" s="140"/>
      <c r="B1673" s="140"/>
    </row>
    <row r="1674" spans="1:2" ht="13">
      <c r="A1674" s="140"/>
      <c r="B1674" s="140"/>
    </row>
    <row r="1675" spans="1:2" ht="13">
      <c r="A1675" s="140"/>
      <c r="B1675" s="140"/>
    </row>
    <row r="1676" spans="1:2" ht="13">
      <c r="A1676" s="140"/>
      <c r="B1676" s="140"/>
    </row>
    <row r="1677" spans="1:2" ht="13">
      <c r="A1677" s="140"/>
      <c r="B1677" s="140"/>
    </row>
    <row r="1678" spans="1:2" ht="13">
      <c r="A1678" s="140"/>
      <c r="B1678" s="140"/>
    </row>
    <row r="1679" spans="1:2" ht="13">
      <c r="A1679" s="140"/>
      <c r="B1679" s="140"/>
    </row>
    <row r="1680" spans="1:2" ht="13">
      <c r="A1680" s="140"/>
      <c r="B1680" s="140"/>
    </row>
    <row r="1681" spans="1:2" ht="13">
      <c r="A1681" s="140"/>
      <c r="B1681" s="140"/>
    </row>
    <row r="1682" spans="1:2" ht="13">
      <c r="A1682" s="140"/>
      <c r="B1682" s="140"/>
    </row>
    <row r="1683" spans="1:2" ht="13">
      <c r="A1683" s="140"/>
      <c r="B1683" s="140"/>
    </row>
    <row r="1684" spans="1:2" ht="13">
      <c r="A1684" s="140"/>
      <c r="B1684" s="140"/>
    </row>
    <row r="1685" spans="1:2" ht="13">
      <c r="A1685" s="140"/>
      <c r="B1685" s="140"/>
    </row>
    <row r="1686" spans="1:2" ht="13">
      <c r="A1686" s="140"/>
      <c r="B1686" s="140"/>
    </row>
    <row r="1687" spans="1:2" ht="13">
      <c r="A1687" s="140"/>
      <c r="B1687" s="140"/>
    </row>
    <row r="1688" spans="1:2" ht="13">
      <c r="A1688" s="140"/>
      <c r="B1688" s="140"/>
    </row>
    <row r="1689" spans="1:2" ht="13">
      <c r="A1689" s="140"/>
      <c r="B1689" s="140"/>
    </row>
    <row r="1690" spans="1:2" ht="13">
      <c r="A1690" s="140"/>
      <c r="B1690" s="140"/>
    </row>
    <row r="1691" spans="1:2" ht="13">
      <c r="A1691" s="140"/>
      <c r="B1691" s="140"/>
    </row>
    <row r="1692" spans="1:2" ht="13">
      <c r="A1692" s="140"/>
      <c r="B1692" s="140"/>
    </row>
    <row r="1693" spans="1:2" ht="13">
      <c r="A1693" s="140"/>
      <c r="B1693" s="140"/>
    </row>
    <row r="1694" spans="1:2" ht="13">
      <c r="A1694" s="140"/>
      <c r="B1694" s="140"/>
    </row>
    <row r="1695" spans="1:2" ht="13">
      <c r="A1695" s="140"/>
      <c r="B1695" s="140"/>
    </row>
    <row r="1696" spans="1:2" ht="13">
      <c r="A1696" s="140"/>
      <c r="B1696" s="140"/>
    </row>
    <row r="1697" spans="1:2" ht="13">
      <c r="A1697" s="140"/>
      <c r="B1697" s="140"/>
    </row>
    <row r="1698" spans="1:2" ht="13">
      <c r="A1698" s="140"/>
      <c r="B1698" s="140"/>
    </row>
    <row r="1699" spans="1:2" ht="13">
      <c r="A1699" s="140"/>
      <c r="B1699" s="140"/>
    </row>
    <row r="1700" spans="1:2" ht="13">
      <c r="A1700" s="140"/>
      <c r="B1700" s="140"/>
    </row>
    <row r="1701" spans="1:2" ht="13">
      <c r="A1701" s="140"/>
      <c r="B1701" s="140"/>
    </row>
    <row r="1702" spans="1:2" ht="13">
      <c r="A1702" s="140"/>
      <c r="B1702" s="140"/>
    </row>
    <row r="1703" spans="1:2" ht="13">
      <c r="A1703" s="140"/>
      <c r="B1703" s="140"/>
    </row>
    <row r="1704" spans="1:2" ht="13">
      <c r="A1704" s="140"/>
      <c r="B1704" s="140"/>
    </row>
    <row r="1705" spans="1:2" ht="13">
      <c r="A1705" s="140"/>
      <c r="B1705" s="140"/>
    </row>
    <row r="1706" spans="1:2" ht="13">
      <c r="A1706" s="140"/>
      <c r="B1706" s="140"/>
    </row>
    <row r="1707" spans="1:2" ht="13">
      <c r="A1707" s="140"/>
      <c r="B1707" s="140"/>
    </row>
    <row r="1708" spans="1:2" ht="13">
      <c r="A1708" s="140"/>
      <c r="B1708" s="140"/>
    </row>
    <row r="1709" spans="1:2" ht="13">
      <c r="A1709" s="140"/>
      <c r="B1709" s="140"/>
    </row>
    <row r="1710" spans="1:2" ht="13">
      <c r="A1710" s="140"/>
      <c r="B1710" s="140"/>
    </row>
    <row r="1711" spans="1:2" ht="13">
      <c r="A1711" s="140"/>
      <c r="B1711" s="140"/>
    </row>
    <row r="1712" spans="1:2" ht="13">
      <c r="A1712" s="140"/>
      <c r="B1712" s="140"/>
    </row>
    <row r="1713" spans="1:2" ht="13">
      <c r="A1713" s="140"/>
      <c r="B1713" s="140"/>
    </row>
    <row r="1714" spans="1:2" ht="13">
      <c r="A1714" s="140"/>
      <c r="B1714" s="140"/>
    </row>
    <row r="1715" spans="1:2" ht="13">
      <c r="A1715" s="140"/>
      <c r="B1715" s="140"/>
    </row>
    <row r="1716" spans="1:2" ht="13">
      <c r="A1716" s="140"/>
      <c r="B1716" s="140"/>
    </row>
    <row r="1717" spans="1:2" ht="13">
      <c r="A1717" s="140"/>
      <c r="B1717" s="140"/>
    </row>
    <row r="1718" spans="1:2" ht="13">
      <c r="A1718" s="140"/>
      <c r="B1718" s="140"/>
    </row>
    <row r="1719" spans="1:2" ht="13">
      <c r="A1719" s="140"/>
      <c r="B1719" s="140"/>
    </row>
    <row r="1720" spans="1:2" ht="13">
      <c r="A1720" s="140"/>
      <c r="B1720" s="140"/>
    </row>
    <row r="1721" spans="1:2" ht="13">
      <c r="A1721" s="140"/>
      <c r="B1721" s="140"/>
    </row>
    <row r="1722" spans="1:2" ht="13">
      <c r="A1722" s="140"/>
      <c r="B1722" s="140"/>
    </row>
    <row r="1723" spans="1:2" ht="13">
      <c r="A1723" s="140"/>
      <c r="B1723" s="140"/>
    </row>
    <row r="1724" spans="1:2" ht="13">
      <c r="A1724" s="140"/>
      <c r="B1724" s="140"/>
    </row>
    <row r="1725" spans="1:2" ht="13">
      <c r="A1725" s="140"/>
      <c r="B1725" s="140"/>
    </row>
    <row r="1726" spans="1:2" ht="13">
      <c r="A1726" s="140"/>
      <c r="B1726" s="140"/>
    </row>
    <row r="1727" spans="1:2" ht="13">
      <c r="A1727" s="140"/>
      <c r="B1727" s="140"/>
    </row>
    <row r="1728" spans="1:2" ht="13">
      <c r="A1728" s="140"/>
      <c r="B1728" s="140"/>
    </row>
    <row r="1729" spans="1:2" ht="13">
      <c r="A1729" s="140"/>
      <c r="B1729" s="140"/>
    </row>
    <row r="1730" spans="1:2" ht="13">
      <c r="A1730" s="140"/>
      <c r="B1730" s="140"/>
    </row>
    <row r="1731" spans="1:2" ht="13">
      <c r="A1731" s="140"/>
      <c r="B1731" s="140"/>
    </row>
    <row r="1732" spans="1:2" ht="13">
      <c r="A1732" s="140"/>
      <c r="B1732" s="140"/>
    </row>
    <row r="1733" spans="1:2" ht="13">
      <c r="A1733" s="140"/>
      <c r="B1733" s="140"/>
    </row>
    <row r="1734" spans="1:2" ht="13">
      <c r="A1734" s="140"/>
      <c r="B1734" s="140"/>
    </row>
    <row r="1735" spans="1:2" ht="13">
      <c r="A1735" s="140"/>
      <c r="B1735" s="140"/>
    </row>
    <row r="1736" spans="1:2" ht="13">
      <c r="A1736" s="140"/>
      <c r="B1736" s="140"/>
    </row>
    <row r="1737" spans="1:2" ht="13">
      <c r="A1737" s="140"/>
      <c r="B1737" s="140"/>
    </row>
    <row r="1738" spans="1:2" ht="13">
      <c r="A1738" s="140"/>
      <c r="B1738" s="140"/>
    </row>
    <row r="1739" spans="1:2" ht="13">
      <c r="A1739" s="140"/>
      <c r="B1739" s="140"/>
    </row>
    <row r="1740" spans="1:2" ht="13">
      <c r="A1740" s="140"/>
      <c r="B1740" s="140"/>
    </row>
    <row r="1741" spans="1:2" ht="13">
      <c r="A1741" s="140"/>
      <c r="B1741" s="140"/>
    </row>
    <row r="1742" spans="1:2" ht="13">
      <c r="A1742" s="140"/>
      <c r="B1742" s="140"/>
    </row>
    <row r="1743" spans="1:2" ht="13">
      <c r="A1743" s="140"/>
      <c r="B1743" s="140"/>
    </row>
    <row r="1744" spans="1:2" ht="13">
      <c r="A1744" s="140"/>
      <c r="B1744" s="140"/>
    </row>
    <row r="1745" spans="1:2" ht="13">
      <c r="A1745" s="140"/>
      <c r="B1745" s="140"/>
    </row>
    <row r="1746" spans="1:2" ht="13">
      <c r="A1746" s="140"/>
      <c r="B1746" s="140"/>
    </row>
    <row r="1747" spans="1:2" ht="13">
      <c r="A1747" s="140"/>
      <c r="B1747" s="140"/>
    </row>
    <row r="1748" spans="1:2" ht="13">
      <c r="A1748" s="140"/>
      <c r="B1748" s="140"/>
    </row>
    <row r="1749" spans="1:2" ht="13">
      <c r="A1749" s="140"/>
      <c r="B1749" s="140"/>
    </row>
    <row r="1750" spans="1:2" ht="13">
      <c r="A1750" s="140"/>
      <c r="B1750" s="140"/>
    </row>
    <row r="1751" spans="1:2" ht="13">
      <c r="A1751" s="140"/>
      <c r="B1751" s="140"/>
    </row>
    <row r="1752" spans="1:2" ht="13">
      <c r="A1752" s="140"/>
      <c r="B1752" s="140"/>
    </row>
    <row r="1753" spans="1:2" ht="13">
      <c r="A1753" s="140"/>
      <c r="B1753" s="140"/>
    </row>
    <row r="1754" spans="1:2" ht="13">
      <c r="A1754" s="140"/>
      <c r="B1754" s="140"/>
    </row>
    <row r="1755" spans="1:2" ht="13">
      <c r="A1755" s="140"/>
      <c r="B1755" s="140"/>
    </row>
    <row r="1756" spans="1:2" ht="13">
      <c r="A1756" s="140"/>
      <c r="B1756" s="140"/>
    </row>
    <row r="1757" spans="1:2" ht="13">
      <c r="A1757" s="140"/>
      <c r="B1757" s="140"/>
    </row>
    <row r="1758" spans="1:2" ht="13">
      <c r="A1758" s="140"/>
      <c r="B1758" s="140"/>
    </row>
    <row r="1759" spans="1:2" ht="13">
      <c r="A1759" s="140"/>
      <c r="B1759" s="140"/>
    </row>
    <row r="1760" spans="1:2" ht="13">
      <c r="A1760" s="140"/>
      <c r="B1760" s="140"/>
    </row>
    <row r="1761" spans="1:2" ht="13">
      <c r="A1761" s="140"/>
      <c r="B1761" s="140"/>
    </row>
    <row r="1762" spans="1:2" ht="13">
      <c r="A1762" s="140"/>
      <c r="B1762" s="140"/>
    </row>
    <row r="1763" spans="1:2" ht="13">
      <c r="A1763" s="140"/>
      <c r="B1763" s="140"/>
    </row>
    <row r="1764" spans="1:2" ht="13">
      <c r="A1764" s="140"/>
      <c r="B1764" s="140"/>
    </row>
    <row r="1765" spans="1:2" ht="13">
      <c r="A1765" s="140"/>
      <c r="B1765" s="140"/>
    </row>
    <row r="1766" spans="1:2" ht="13">
      <c r="A1766" s="140"/>
      <c r="B1766" s="140"/>
    </row>
    <row r="1767" spans="1:2" ht="13">
      <c r="A1767" s="140"/>
      <c r="B1767" s="140"/>
    </row>
    <row r="1768" spans="1:2" ht="13">
      <c r="A1768" s="140"/>
      <c r="B1768" s="140"/>
    </row>
    <row r="1769" spans="1:2" ht="13">
      <c r="A1769" s="140"/>
      <c r="B1769" s="140"/>
    </row>
    <row r="1770" spans="1:2" ht="13">
      <c r="A1770" s="140"/>
      <c r="B1770" s="140"/>
    </row>
    <row r="1771" spans="1:2" ht="13">
      <c r="A1771" s="140"/>
      <c r="B1771" s="140"/>
    </row>
    <row r="1772" spans="1:2" ht="13">
      <c r="A1772" s="140"/>
      <c r="B1772" s="140"/>
    </row>
    <row r="1773" spans="1:2" ht="13">
      <c r="A1773" s="140"/>
      <c r="B1773" s="140"/>
    </row>
    <row r="1774" spans="1:2" ht="13">
      <c r="A1774" s="140"/>
      <c r="B1774" s="140"/>
    </row>
    <row r="1775" spans="1:2" ht="13">
      <c r="A1775" s="140"/>
      <c r="B1775" s="140"/>
    </row>
    <row r="1776" spans="1:2" ht="13">
      <c r="A1776" s="140"/>
      <c r="B1776" s="140"/>
    </row>
    <row r="1777" spans="1:2" ht="13">
      <c r="A1777" s="140"/>
      <c r="B1777" s="140"/>
    </row>
    <row r="1778" spans="1:2" ht="13">
      <c r="A1778" s="140"/>
      <c r="B1778" s="140"/>
    </row>
    <row r="1779" spans="1:2" ht="13">
      <c r="A1779" s="140"/>
      <c r="B1779" s="140"/>
    </row>
    <row r="1780" spans="1:2" ht="13">
      <c r="A1780" s="140"/>
      <c r="B1780" s="140"/>
    </row>
    <row r="1781" spans="1:2" ht="13">
      <c r="A1781" s="140"/>
      <c r="B1781" s="140"/>
    </row>
    <row r="1782" spans="1:2" ht="13">
      <c r="A1782" s="140"/>
      <c r="B1782" s="140"/>
    </row>
    <row r="1783" spans="1:2" ht="13">
      <c r="A1783" s="140"/>
      <c r="B1783" s="140"/>
    </row>
    <row r="1784" spans="1:2" ht="13">
      <c r="A1784" s="140"/>
      <c r="B1784" s="140"/>
    </row>
    <row r="1785" spans="1:2" ht="13">
      <c r="A1785" s="140"/>
      <c r="B1785" s="140"/>
    </row>
    <row r="1786" spans="1:2" ht="13">
      <c r="A1786" s="140"/>
      <c r="B1786" s="140"/>
    </row>
    <row r="1787" spans="1:2" ht="13">
      <c r="A1787" s="140"/>
      <c r="B1787" s="140"/>
    </row>
    <row r="1788" spans="1:2" ht="13">
      <c r="A1788" s="140"/>
      <c r="B1788" s="140"/>
    </row>
    <row r="1789" spans="1:2" ht="13">
      <c r="A1789" s="140"/>
      <c r="B1789" s="140"/>
    </row>
    <row r="1790" spans="1:2" ht="13">
      <c r="A1790" s="140"/>
      <c r="B1790" s="140"/>
    </row>
    <row r="1791" spans="1:2" ht="13">
      <c r="A1791" s="140"/>
      <c r="B1791" s="140"/>
    </row>
    <row r="1792" spans="1:2" ht="13">
      <c r="A1792" s="140"/>
      <c r="B1792" s="140"/>
    </row>
    <row r="1793" spans="1:2" ht="13">
      <c r="A1793" s="140"/>
      <c r="B1793" s="140"/>
    </row>
    <row r="1794" spans="1:2" ht="13">
      <c r="A1794" s="140"/>
      <c r="B1794" s="140"/>
    </row>
    <row r="1795" spans="1:2" ht="13">
      <c r="A1795" s="140"/>
      <c r="B1795" s="140"/>
    </row>
    <row r="1796" spans="1:2" ht="13">
      <c r="A1796" s="140"/>
      <c r="B1796" s="140"/>
    </row>
    <row r="1797" spans="1:2" ht="13">
      <c r="A1797" s="140"/>
      <c r="B1797" s="140"/>
    </row>
    <row r="1798" spans="1:2" ht="13">
      <c r="A1798" s="140"/>
      <c r="B1798" s="140"/>
    </row>
    <row r="1799" spans="1:2" ht="13">
      <c r="A1799" s="140"/>
      <c r="B1799" s="140"/>
    </row>
    <row r="1800" spans="1:2" ht="13">
      <c r="A1800" s="140"/>
      <c r="B1800" s="140"/>
    </row>
    <row r="1801" spans="1:2" ht="13">
      <c r="A1801" s="140"/>
      <c r="B1801" s="140"/>
    </row>
    <row r="1802" spans="1:2" ht="13">
      <c r="A1802" s="140"/>
      <c r="B1802" s="140"/>
    </row>
    <row r="1803" spans="1:2" ht="13">
      <c r="A1803" s="140"/>
      <c r="B1803" s="140"/>
    </row>
    <row r="1804" spans="1:2" ht="13">
      <c r="A1804" s="140"/>
      <c r="B1804" s="140"/>
    </row>
    <row r="1805" spans="1:2" ht="13">
      <c r="A1805" s="140"/>
      <c r="B1805" s="140"/>
    </row>
    <row r="1806" spans="1:2" ht="13">
      <c r="A1806" s="140"/>
      <c r="B1806" s="140"/>
    </row>
    <row r="1807" spans="1:2" ht="13">
      <c r="A1807" s="140"/>
      <c r="B1807" s="140"/>
    </row>
    <row r="1808" spans="1:2" ht="13">
      <c r="A1808" s="140"/>
      <c r="B1808" s="140"/>
    </row>
    <row r="1809" spans="1:2" ht="13">
      <c r="A1809" s="140"/>
      <c r="B1809" s="140"/>
    </row>
    <row r="1810" spans="1:2" ht="13">
      <c r="A1810" s="140"/>
      <c r="B1810" s="140"/>
    </row>
    <row r="1811" spans="1:2" ht="13">
      <c r="A1811" s="140"/>
      <c r="B1811" s="140"/>
    </row>
    <row r="1812" spans="1:2" ht="13">
      <c r="A1812" s="140"/>
      <c r="B1812" s="140"/>
    </row>
    <row r="1813" spans="1:2" ht="13">
      <c r="A1813" s="140"/>
      <c r="B1813" s="140"/>
    </row>
    <row r="1814" spans="1:2" ht="13">
      <c r="A1814" s="140"/>
      <c r="B1814" s="140"/>
    </row>
    <row r="1815" spans="1:2" ht="13">
      <c r="A1815" s="140"/>
      <c r="B1815" s="140"/>
    </row>
    <row r="1816" spans="1:2" ht="13">
      <c r="A1816" s="140"/>
      <c r="B1816" s="140"/>
    </row>
    <row r="1817" spans="1:2" ht="13">
      <c r="A1817" s="140"/>
      <c r="B1817" s="140"/>
    </row>
    <row r="1818" spans="1:2" ht="13">
      <c r="A1818" s="140"/>
      <c r="B1818" s="140"/>
    </row>
    <row r="1819" spans="1:2" ht="13">
      <c r="A1819" s="140"/>
      <c r="B1819" s="140"/>
    </row>
    <row r="1820" spans="1:2" ht="13">
      <c r="A1820" s="140"/>
      <c r="B1820" s="140"/>
    </row>
    <row r="1821" spans="1:2" ht="13">
      <c r="A1821" s="140"/>
      <c r="B1821" s="140"/>
    </row>
    <row r="1822" spans="1:2" ht="13">
      <c r="A1822" s="140"/>
      <c r="B1822" s="140"/>
    </row>
    <row r="1823" spans="1:2" ht="13">
      <c r="A1823" s="140"/>
      <c r="B1823" s="140"/>
    </row>
    <row r="1824" spans="1:2" ht="13">
      <c r="A1824" s="140"/>
      <c r="B1824" s="140"/>
    </row>
    <row r="1825" spans="1:2" ht="13">
      <c r="A1825" s="140"/>
      <c r="B1825" s="140"/>
    </row>
    <row r="1826" spans="1:2" ht="13">
      <c r="A1826" s="140"/>
      <c r="B1826" s="140"/>
    </row>
    <row r="1827" spans="1:2" ht="13">
      <c r="A1827" s="140"/>
      <c r="B1827" s="140"/>
    </row>
    <row r="1828" spans="1:2" ht="13">
      <c r="A1828" s="140"/>
      <c r="B1828" s="140"/>
    </row>
    <row r="1829" spans="1:2" ht="13">
      <c r="A1829" s="140"/>
      <c r="B1829" s="140"/>
    </row>
    <row r="1830" spans="1:2" ht="13">
      <c r="A1830" s="140"/>
      <c r="B1830" s="140"/>
    </row>
    <row r="1831" spans="1:2" ht="13">
      <c r="A1831" s="140"/>
      <c r="B1831" s="140"/>
    </row>
    <row r="1832" spans="1:2" ht="13">
      <c r="A1832" s="140"/>
      <c r="B1832" s="140"/>
    </row>
    <row r="1833" spans="1:2" ht="13">
      <c r="A1833" s="140"/>
      <c r="B1833" s="140"/>
    </row>
    <row r="1834" spans="1:2" ht="13">
      <c r="A1834" s="140"/>
      <c r="B1834" s="140"/>
    </row>
  </sheetData>
  <sheetProtection sheet="1" formatColumns="0" formatRows="0"/>
  <mergeCells count="47">
    <mergeCell ref="E7:R7"/>
    <mergeCell ref="D765:R765"/>
    <mergeCell ref="L10:R10"/>
    <mergeCell ref="T765:AH765"/>
    <mergeCell ref="T10:Z10"/>
    <mergeCell ref="L11:R11"/>
    <mergeCell ref="T11:Z11"/>
    <mergeCell ref="D13:R13"/>
    <mergeCell ref="D664:R664"/>
    <mergeCell ref="E11:J11"/>
    <mergeCell ref="V7:W7"/>
    <mergeCell ref="V8:W8"/>
    <mergeCell ref="X7:Y7"/>
    <mergeCell ref="X8:Y8"/>
    <mergeCell ref="E3:R3"/>
    <mergeCell ref="E5:R5"/>
    <mergeCell ref="V4:W4"/>
    <mergeCell ref="V5:W5"/>
    <mergeCell ref="E6:R6"/>
    <mergeCell ref="V3:Z3"/>
    <mergeCell ref="T3:U3"/>
    <mergeCell ref="E4:R4"/>
    <mergeCell ref="V6:W6"/>
    <mergeCell ref="X4:Y4"/>
    <mergeCell ref="X5:Y5"/>
    <mergeCell ref="X6:Y6"/>
    <mergeCell ref="D874:R874"/>
    <mergeCell ref="T874:Z874"/>
    <mergeCell ref="D876:E876"/>
    <mergeCell ref="G876:H876"/>
    <mergeCell ref="L876:M876"/>
    <mergeCell ref="N876:O876"/>
    <mergeCell ref="P876:Q876"/>
    <mergeCell ref="D875:Q875"/>
    <mergeCell ref="D877:E877"/>
    <mergeCell ref="F877:H877"/>
    <mergeCell ref="L877:M877"/>
    <mergeCell ref="N877:O877"/>
    <mergeCell ref="P877:Q877"/>
    <mergeCell ref="D878:E878"/>
    <mergeCell ref="L878:M878"/>
    <mergeCell ref="N878:O878"/>
    <mergeCell ref="P878:Q878"/>
    <mergeCell ref="D879:E879"/>
    <mergeCell ref="L879:M879"/>
    <mergeCell ref="N879:O879"/>
    <mergeCell ref="P879:Q879"/>
  </mergeCells>
  <conditionalFormatting sqref="N62 V62 N112 V112 N162 V162 N212 V212 N262 V262 N312 V312 N362 V362 N412 V412 N462 V462 N512 V512 N562 V562 N612 V612 N662 V662">
    <cfRule type="expression" priority="4070" dxfId="2119">
      <formula>$N58="Drop Plan"</formula>
    </cfRule>
    <cfRule type="expression" priority="4082" dxfId="2118">
      <formula>$N58="Enter Percentages"</formula>
    </cfRule>
  </conditionalFormatting>
  <conditionalFormatting sqref="O62 W62 O112 W112 O162 W162 O212 W212 O262 W262 O312 W312 O362 W362 O412 W412 O462 W462 O512 W512 O562 W562 O612 W612 O662 W662">
    <cfRule type="expression" priority="4069" dxfId="2119">
      <formula>$N58="Drop Plan"</formula>
    </cfRule>
    <cfRule type="expression" priority="4077" dxfId="2118">
      <formula>$N58="Enter Dollar Amount"</formula>
    </cfRule>
  </conditionalFormatting>
  <conditionalFormatting sqref="O15:O18">
    <cfRule type="expression" priority="333" dxfId="2449">
      <formula>$N$14="Enter Percentages"</formula>
    </cfRule>
    <cfRule type="expression" priority="335" dxfId="2448">
      <formula>$N$14="Enter Dollar Amount"</formula>
    </cfRule>
  </conditionalFormatting>
  <conditionalFormatting sqref="N15:N18">
    <cfRule type="expression" priority="332" dxfId="2449">
      <formula>$N$14="Enter Dollar Amount"</formula>
    </cfRule>
    <cfRule type="expression" priority="334" dxfId="2448">
      <formula>$N$14="Enter Percentages"</formula>
    </cfRule>
  </conditionalFormatting>
  <conditionalFormatting sqref="N15:O18">
    <cfRule type="expression" priority="331" dxfId="2445">
      <formula>$N$14="Drop Plan"</formula>
    </cfRule>
  </conditionalFormatting>
  <conditionalFormatting sqref="W15:W18">
    <cfRule type="expression" priority="328" dxfId="2449">
      <formula>$V$14="Enter Percentages"</formula>
    </cfRule>
    <cfRule type="expression" priority="330" dxfId="2448">
      <formula>$V$14="Enter Dollar Amount"</formula>
    </cfRule>
  </conditionalFormatting>
  <conditionalFormatting sqref="V15:V18">
    <cfRule type="expression" priority="327" dxfId="2449">
      <formula>$V$14="Enter Dollar Amount"</formula>
    </cfRule>
    <cfRule type="expression" priority="329" dxfId="2448">
      <formula>$V$14="Enter Percentages"</formula>
    </cfRule>
  </conditionalFormatting>
  <conditionalFormatting sqref="V15:W18">
    <cfRule type="expression" priority="326" dxfId="2445">
      <formula>$V$14="Drop Plan"</formula>
    </cfRule>
  </conditionalFormatting>
  <conditionalFormatting sqref="O65:O68">
    <cfRule type="expression" priority="323" dxfId="2449">
      <formula>$N$64="Enter Percentages"</formula>
    </cfRule>
    <cfRule type="expression" priority="325" dxfId="2448">
      <formula>$N$64="Enter Dollar Amount"</formula>
    </cfRule>
  </conditionalFormatting>
  <conditionalFormatting sqref="N65:N68">
    <cfRule type="expression" priority="322" dxfId="2449">
      <formula>$N$64="Enter Dollar Amount"</formula>
    </cfRule>
    <cfRule type="expression" priority="324" dxfId="2448">
      <formula>$N$64="Enter Percentages"</formula>
    </cfRule>
  </conditionalFormatting>
  <conditionalFormatting sqref="N65:O68">
    <cfRule type="expression" priority="321" dxfId="2445">
      <formula>$N$64="Drop Plan"</formula>
    </cfRule>
  </conditionalFormatting>
  <conditionalFormatting sqref="W65:W68">
    <cfRule type="expression" priority="318" dxfId="2449">
      <formula>$V$64="Enter Percentages"</formula>
    </cfRule>
    <cfRule type="expression" priority="320" dxfId="2448">
      <formula>$V$64="Enter Dollar Amount"</formula>
    </cfRule>
  </conditionalFormatting>
  <conditionalFormatting sqref="V65:V68">
    <cfRule type="expression" priority="317" dxfId="2449">
      <formula>$V$64="Enter Dollar Amount"</formula>
    </cfRule>
    <cfRule type="expression" priority="319" dxfId="2448">
      <formula>$V$64="Enter Percentages"</formula>
    </cfRule>
  </conditionalFormatting>
  <conditionalFormatting sqref="V65:W68">
    <cfRule type="expression" priority="316" dxfId="2445">
      <formula>$V$64="Drop Plan"</formula>
    </cfRule>
  </conditionalFormatting>
  <conditionalFormatting sqref="O115:O118">
    <cfRule type="expression" priority="313" dxfId="2449">
      <formula>$N$114="Enter Percentages"</formula>
    </cfRule>
    <cfRule type="expression" priority="315" dxfId="2448">
      <formula>$N$114="Enter Dollar Amount"</formula>
    </cfRule>
  </conditionalFormatting>
  <conditionalFormatting sqref="N115:N118">
    <cfRule type="expression" priority="312" dxfId="2449">
      <formula>$N$114="Enter Dollar Amount"</formula>
    </cfRule>
    <cfRule type="expression" priority="314" dxfId="2448">
      <formula>$N$114="Enter Percentages"</formula>
    </cfRule>
  </conditionalFormatting>
  <conditionalFormatting sqref="N115:O118">
    <cfRule type="expression" priority="311" dxfId="2445">
      <formula>$N$114="Drop Plan"</formula>
    </cfRule>
  </conditionalFormatting>
  <conditionalFormatting sqref="W115:W118">
    <cfRule type="expression" priority="308" dxfId="2449">
      <formula>$V$114="Enter Percentages"</formula>
    </cfRule>
    <cfRule type="expression" priority="310" dxfId="2448">
      <formula>$V$114="Enter Dollar Amount"</formula>
    </cfRule>
  </conditionalFormatting>
  <conditionalFormatting sqref="V115:V118">
    <cfRule type="expression" priority="307" dxfId="2449">
      <formula>$V$114="Enter Dollar Amount"</formula>
    </cfRule>
    <cfRule type="expression" priority="309" dxfId="2448">
      <formula>$V$114="Enter Percentages"</formula>
    </cfRule>
  </conditionalFormatting>
  <conditionalFormatting sqref="V115:W118">
    <cfRule type="expression" priority="306" dxfId="2445">
      <formula>$V$114="Drop Plan"</formula>
    </cfRule>
  </conditionalFormatting>
  <conditionalFormatting sqref="O165:O168">
    <cfRule type="expression" priority="303" dxfId="2449">
      <formula>$N$164="Enter Percentages"</formula>
    </cfRule>
    <cfRule type="expression" priority="305" dxfId="2448">
      <formula>$N$164="Enter Dollar Amount"</formula>
    </cfRule>
  </conditionalFormatting>
  <conditionalFormatting sqref="N165:N168">
    <cfRule type="expression" priority="302" dxfId="2449">
      <formula>$N$164="Enter Dollar Amount"</formula>
    </cfRule>
    <cfRule type="expression" priority="304" dxfId="2448">
      <formula>$N$164="Enter Percentages"</formula>
    </cfRule>
  </conditionalFormatting>
  <conditionalFormatting sqref="N165:O168">
    <cfRule type="expression" priority="301" dxfId="2445">
      <formula>$N$164="Drop Plan"</formula>
    </cfRule>
  </conditionalFormatting>
  <conditionalFormatting sqref="W165:W168">
    <cfRule type="expression" priority="298" dxfId="2449">
      <formula>$V$164="Enter Percentages"</formula>
    </cfRule>
    <cfRule type="expression" priority="300" dxfId="2448">
      <formula>$V$164="Enter Dollar Amount"</formula>
    </cfRule>
  </conditionalFormatting>
  <conditionalFormatting sqref="V165:V168">
    <cfRule type="expression" priority="297" dxfId="2449">
      <formula>$V$164="Enter Dollar Amount"</formula>
    </cfRule>
    <cfRule type="expression" priority="299" dxfId="2448">
      <formula>$V$164="Enter Percentages"</formula>
    </cfRule>
  </conditionalFormatting>
  <conditionalFormatting sqref="V165:W168">
    <cfRule type="expression" priority="296" dxfId="2445">
      <formula>$V$164="Drop Plan"</formula>
    </cfRule>
  </conditionalFormatting>
  <conditionalFormatting sqref="O215:O218">
    <cfRule type="expression" priority="293" dxfId="2449">
      <formula>$N$214="Enter Percentages"</formula>
    </cfRule>
    <cfRule type="expression" priority="295" dxfId="2448">
      <formula>$N$214="Enter Dollar Amount"</formula>
    </cfRule>
  </conditionalFormatting>
  <conditionalFormatting sqref="N215:N218">
    <cfRule type="expression" priority="292" dxfId="2449">
      <formula>$N$214="Enter Dollar Amount"</formula>
    </cfRule>
    <cfRule type="expression" priority="294" dxfId="2448">
      <formula>$N$214="Enter Percentages"</formula>
    </cfRule>
  </conditionalFormatting>
  <conditionalFormatting sqref="N215:O218">
    <cfRule type="expression" priority="291" dxfId="2445">
      <formula>$N$214="Drop Plan"</formula>
    </cfRule>
  </conditionalFormatting>
  <conditionalFormatting sqref="W215:W218">
    <cfRule type="expression" priority="288" dxfId="2449">
      <formula>$V$214="Enter Percentages"</formula>
    </cfRule>
    <cfRule type="expression" priority="290" dxfId="2448">
      <formula>$V$214="Enter Dollar Amount"</formula>
    </cfRule>
  </conditionalFormatting>
  <conditionalFormatting sqref="V215:V218">
    <cfRule type="expression" priority="287" dxfId="2449">
      <formula>$V$214="Enter Dollar Amount"</formula>
    </cfRule>
    <cfRule type="expression" priority="289" dxfId="2448">
      <formula>$V$214="Enter Percentages"</formula>
    </cfRule>
  </conditionalFormatting>
  <conditionalFormatting sqref="V215:W218">
    <cfRule type="expression" priority="286" dxfId="2445">
      <formula>$V$214="Drop Plan"</formula>
    </cfRule>
  </conditionalFormatting>
  <conditionalFormatting sqref="O265:O268">
    <cfRule type="expression" priority="283" dxfId="2449">
      <formula>$N$264="Enter Percentages"</formula>
    </cfRule>
    <cfRule type="expression" priority="285" dxfId="2448">
      <formula>$N$264="Enter Dollar Amount"</formula>
    </cfRule>
  </conditionalFormatting>
  <conditionalFormatting sqref="N265:N268">
    <cfRule type="expression" priority="282" dxfId="2449">
      <formula>$N$264="Enter Dollar Amount"</formula>
    </cfRule>
    <cfRule type="expression" priority="284" dxfId="2448">
      <formula>$N$264="Enter Percentages"</formula>
    </cfRule>
  </conditionalFormatting>
  <conditionalFormatting sqref="N265:O268">
    <cfRule type="expression" priority="281" dxfId="2445">
      <formula>$N$264="Drop Plan"</formula>
    </cfRule>
  </conditionalFormatting>
  <conditionalFormatting sqref="W265:W268">
    <cfRule type="expression" priority="278" dxfId="2449">
      <formula>$V$264="Enter Percentages"</formula>
    </cfRule>
    <cfRule type="expression" priority="280" dxfId="2448">
      <formula>$V$264="Enter Dollar Amount"</formula>
    </cfRule>
  </conditionalFormatting>
  <conditionalFormatting sqref="V265:V268">
    <cfRule type="expression" priority="277" dxfId="2449">
      <formula>$V$264="Enter Dollar Amount"</formula>
    </cfRule>
    <cfRule type="expression" priority="279" dxfId="2448">
      <formula>$V$264="Enter Percentages"</formula>
    </cfRule>
  </conditionalFormatting>
  <conditionalFormatting sqref="V265:W268">
    <cfRule type="expression" priority="276" dxfId="2445">
      <formula>$V$264="Drop Plan"</formula>
    </cfRule>
  </conditionalFormatting>
  <conditionalFormatting sqref="O315:O318">
    <cfRule type="expression" priority="273" dxfId="2449">
      <formula>$N$314="Enter Percentages"</formula>
    </cfRule>
    <cfRule type="expression" priority="275" dxfId="2448">
      <formula>$N$314="Enter Dollar Amount"</formula>
    </cfRule>
  </conditionalFormatting>
  <conditionalFormatting sqref="N315:N318">
    <cfRule type="expression" priority="272" dxfId="2449">
      <formula>$N$314="Enter Dollar Amount"</formula>
    </cfRule>
    <cfRule type="expression" priority="274" dxfId="2448">
      <formula>$N$314="Enter Percentages"</formula>
    </cfRule>
  </conditionalFormatting>
  <conditionalFormatting sqref="N315:O318">
    <cfRule type="expression" priority="271" dxfId="2445">
      <formula>$N$314="Drop Plan"</formula>
    </cfRule>
  </conditionalFormatting>
  <conditionalFormatting sqref="W315:W318">
    <cfRule type="expression" priority="268" dxfId="2449">
      <formula>$V$314="Enter Percentages"</formula>
    </cfRule>
    <cfRule type="expression" priority="270" dxfId="2448">
      <formula>$V$314="Enter Dollar Amount"</formula>
    </cfRule>
  </conditionalFormatting>
  <conditionalFormatting sqref="V315:V318">
    <cfRule type="expression" priority="267" dxfId="2449">
      <formula>$V$314="Enter Dollar Amount"</formula>
    </cfRule>
    <cfRule type="expression" priority="269" dxfId="2448">
      <formula>$V$314="Enter Percentages"</formula>
    </cfRule>
  </conditionalFormatting>
  <conditionalFormatting sqref="V315:W318">
    <cfRule type="expression" priority="266" dxfId="2445">
      <formula>$V$314="Drop Plan"</formula>
    </cfRule>
  </conditionalFormatting>
  <conditionalFormatting sqref="O365:O368">
    <cfRule type="expression" priority="263" dxfId="2449">
      <formula>$N$364="Enter Percentages"</formula>
    </cfRule>
    <cfRule type="expression" priority="265" dxfId="2448">
      <formula>$N$364="Enter Dollar Amount"</formula>
    </cfRule>
  </conditionalFormatting>
  <conditionalFormatting sqref="N365:N368">
    <cfRule type="expression" priority="262" dxfId="2449">
      <formula>$N$364="Enter Dollar Amount"</formula>
    </cfRule>
    <cfRule type="expression" priority="264" dxfId="2448">
      <formula>$N$364="Enter Percentages"</formula>
    </cfRule>
  </conditionalFormatting>
  <conditionalFormatting sqref="N365:O368">
    <cfRule type="expression" priority="261" dxfId="2445">
      <formula>$N$364="Drop Plan"</formula>
    </cfRule>
  </conditionalFormatting>
  <conditionalFormatting sqref="W365:W368">
    <cfRule type="expression" priority="258" dxfId="2449">
      <formula>$V$364="Enter Percentages"</formula>
    </cfRule>
    <cfRule type="expression" priority="260" dxfId="2448">
      <formula>$V$364="Enter Dollar Amount"</formula>
    </cfRule>
  </conditionalFormatting>
  <conditionalFormatting sqref="V365:V368">
    <cfRule type="expression" priority="257" dxfId="2449">
      <formula>$V$364="Enter Dollar Amount"</formula>
    </cfRule>
    <cfRule type="expression" priority="259" dxfId="2448">
      <formula>$V$364="Enter Percentages"</formula>
    </cfRule>
  </conditionalFormatting>
  <conditionalFormatting sqref="V365:W368">
    <cfRule type="expression" priority="256" dxfId="2445">
      <formula>$V$364="Drop Plan"</formula>
    </cfRule>
  </conditionalFormatting>
  <conditionalFormatting sqref="O415:O418">
    <cfRule type="expression" priority="253" dxfId="2449">
      <formula>$N$414="Enter Percentages"</formula>
    </cfRule>
    <cfRule type="expression" priority="255" dxfId="2448">
      <formula>$N$414="Enter Dollar Amount"</formula>
    </cfRule>
  </conditionalFormatting>
  <conditionalFormatting sqref="N415:N418">
    <cfRule type="expression" priority="252" dxfId="2449">
      <formula>$N$414="Enter Dollar Amount"</formula>
    </cfRule>
    <cfRule type="expression" priority="254" dxfId="2448">
      <formula>$N$414="Enter Percentages"</formula>
    </cfRule>
  </conditionalFormatting>
  <conditionalFormatting sqref="N415:O418">
    <cfRule type="expression" priority="251" dxfId="2445">
      <formula>$N$414="Drop Plan"</formula>
    </cfRule>
  </conditionalFormatting>
  <conditionalFormatting sqref="W415:W418">
    <cfRule type="expression" priority="248" dxfId="2449">
      <formula>$V$414="Enter Percentages"</formula>
    </cfRule>
    <cfRule type="expression" priority="250" dxfId="2448">
      <formula>$V$414="Enter Dollar Amount"</formula>
    </cfRule>
  </conditionalFormatting>
  <conditionalFormatting sqref="V415:V418">
    <cfRule type="expression" priority="247" dxfId="2449">
      <formula>$V$414="Enter Dollar Amount"</formula>
    </cfRule>
    <cfRule type="expression" priority="249" dxfId="2448">
      <formula>$V$414="Enter Percentages"</formula>
    </cfRule>
  </conditionalFormatting>
  <conditionalFormatting sqref="V415:W418">
    <cfRule type="expression" priority="246" dxfId="2445">
      <formula>$V$414="Drop Plan"</formula>
    </cfRule>
  </conditionalFormatting>
  <conditionalFormatting sqref="O465:O468">
    <cfRule type="expression" priority="243" dxfId="2449">
      <formula>$N$464="Enter Percentages"</formula>
    </cfRule>
    <cfRule type="expression" priority="245" dxfId="2448">
      <formula>$N$464="Enter Dollar Amount"</formula>
    </cfRule>
  </conditionalFormatting>
  <conditionalFormatting sqref="N465:N468">
    <cfRule type="expression" priority="242" dxfId="2449">
      <formula>$N$464="Enter Dollar Amount"</formula>
    </cfRule>
    <cfRule type="expression" priority="244" dxfId="2448">
      <formula>$N$464="Enter Percentages"</formula>
    </cfRule>
  </conditionalFormatting>
  <conditionalFormatting sqref="N465:O468">
    <cfRule type="expression" priority="241" dxfId="2445">
      <formula>$N$464="Drop Plan"</formula>
    </cfRule>
  </conditionalFormatting>
  <conditionalFormatting sqref="W465:W468">
    <cfRule type="expression" priority="238" dxfId="2449">
      <formula>$V$464="Enter Percentages"</formula>
    </cfRule>
    <cfRule type="expression" priority="240" dxfId="2448">
      <formula>$V$464="Enter Dollar Amount"</formula>
    </cfRule>
  </conditionalFormatting>
  <conditionalFormatting sqref="V465:V468">
    <cfRule type="expression" priority="237" dxfId="2449">
      <formula>$V$464="Enter Dollar Amount"</formula>
    </cfRule>
    <cfRule type="expression" priority="239" dxfId="2448">
      <formula>$V$464="Enter Percentages"</formula>
    </cfRule>
  </conditionalFormatting>
  <conditionalFormatting sqref="V465:W468">
    <cfRule type="expression" priority="236" dxfId="2445">
      <formula>$V$464="Drop Plan"</formula>
    </cfRule>
  </conditionalFormatting>
  <conditionalFormatting sqref="O515:O518">
    <cfRule type="expression" priority="233" dxfId="2449">
      <formula>$N$514="Enter Percentages"</formula>
    </cfRule>
    <cfRule type="expression" priority="235" dxfId="2448">
      <formula>$N$514="Enter Dollar Amount"</formula>
    </cfRule>
  </conditionalFormatting>
  <conditionalFormatting sqref="N515:N518">
    <cfRule type="expression" priority="232" dxfId="2449">
      <formula>$N$514="Enter Dollar Amount"</formula>
    </cfRule>
    <cfRule type="expression" priority="234" dxfId="2448">
      <formula>$N$514="Enter Percentages"</formula>
    </cfRule>
  </conditionalFormatting>
  <conditionalFormatting sqref="N515:O518">
    <cfRule type="expression" priority="231" dxfId="2445">
      <formula>$N$514="Drop Plan"</formula>
    </cfRule>
  </conditionalFormatting>
  <conditionalFormatting sqref="W515:W518">
    <cfRule type="expression" priority="228" dxfId="2449">
      <formula>$V$514="Enter Percentages"</formula>
    </cfRule>
    <cfRule type="expression" priority="230" dxfId="2448">
      <formula>$V$514="Enter Dollar Amount"</formula>
    </cfRule>
  </conditionalFormatting>
  <conditionalFormatting sqref="V515:V518">
    <cfRule type="expression" priority="227" dxfId="2449">
      <formula>$V$514="Enter Dollar Amount"</formula>
    </cfRule>
    <cfRule type="expression" priority="229" dxfId="2448">
      <formula>$V$514="Enter Percentages"</formula>
    </cfRule>
  </conditionalFormatting>
  <conditionalFormatting sqref="V515:W518">
    <cfRule type="expression" priority="226" dxfId="2445">
      <formula>$V$514="Drop Plan"</formula>
    </cfRule>
  </conditionalFormatting>
  <conditionalFormatting sqref="O565:O568">
    <cfRule type="expression" priority="223" dxfId="2449">
      <formula>$N$564="Enter Percentages"</formula>
    </cfRule>
    <cfRule type="expression" priority="225" dxfId="2448">
      <formula>$N$564="Enter Dollar Amount"</formula>
    </cfRule>
  </conditionalFormatting>
  <conditionalFormatting sqref="N565:N568">
    <cfRule type="expression" priority="222" dxfId="2449">
      <formula>$N$564="Enter Dollar Amount"</formula>
    </cfRule>
    <cfRule type="expression" priority="224" dxfId="2448">
      <formula>$N$564="Enter Percentages"</formula>
    </cfRule>
  </conditionalFormatting>
  <conditionalFormatting sqref="N565:O568">
    <cfRule type="expression" priority="221" dxfId="2445">
      <formula>$N$564="Drop Plan"</formula>
    </cfRule>
  </conditionalFormatting>
  <conditionalFormatting sqref="W565:W568">
    <cfRule type="expression" priority="218" dxfId="2449">
      <formula>$V$564="Enter Percentages"</formula>
    </cfRule>
    <cfRule type="expression" priority="220" dxfId="2448">
      <formula>$V$564="Enter Dollar Amount"</formula>
    </cfRule>
  </conditionalFormatting>
  <conditionalFormatting sqref="V565:V568">
    <cfRule type="expression" priority="217" dxfId="2449">
      <formula>$V$564="Enter Dollar Amount"</formula>
    </cfRule>
    <cfRule type="expression" priority="219" dxfId="2448">
      <formula>$V$564="Enter Percentages"</formula>
    </cfRule>
  </conditionalFormatting>
  <conditionalFormatting sqref="V565:W568">
    <cfRule type="expression" priority="216" dxfId="2445">
      <formula>$V$564="Drop Plan"</formula>
    </cfRule>
  </conditionalFormatting>
  <conditionalFormatting sqref="O615:O618">
    <cfRule type="expression" priority="213" dxfId="2449">
      <formula>$N$614="Enter Percentages"</formula>
    </cfRule>
    <cfRule type="expression" priority="215" dxfId="2448">
      <formula>$N$614="Enter Dollar Amount"</formula>
    </cfRule>
  </conditionalFormatting>
  <conditionalFormatting sqref="N615:N618">
    <cfRule type="expression" priority="212" dxfId="2449">
      <formula>$N$614="Enter Dollar Amount"</formula>
    </cfRule>
    <cfRule type="expression" priority="214" dxfId="2448">
      <formula>$N$614="Enter Percentages"</formula>
    </cfRule>
  </conditionalFormatting>
  <conditionalFormatting sqref="N615:O618">
    <cfRule type="expression" priority="211" dxfId="2445">
      <formula>$N$614="Drop Plan"</formula>
    </cfRule>
  </conditionalFormatting>
  <conditionalFormatting sqref="W615:W618">
    <cfRule type="expression" priority="208" dxfId="2449">
      <formula>$V$614="Enter Percentages"</formula>
    </cfRule>
    <cfRule type="expression" priority="210" dxfId="2448">
      <formula>$V$614="Enter Dollar Amount"</formula>
    </cfRule>
  </conditionalFormatting>
  <conditionalFormatting sqref="V615:V618">
    <cfRule type="expression" priority="207" dxfId="2449">
      <formula>$V$614="Enter Dollar Amount"</formula>
    </cfRule>
    <cfRule type="expression" priority="209" dxfId="2448">
      <formula>$V$614="Enter Percentages"</formula>
    </cfRule>
  </conditionalFormatting>
  <conditionalFormatting sqref="V615:W618">
    <cfRule type="expression" priority="206" dxfId="2445">
      <formula>$V$614="Drop Plan"</formula>
    </cfRule>
  </conditionalFormatting>
  <conditionalFormatting sqref="O666:O669">
    <cfRule type="expression" priority="198" dxfId="2449">
      <formula>$N$665="Enter Percentages"</formula>
    </cfRule>
    <cfRule type="expression" priority="200" dxfId="2448">
      <formula>$N$665="Enter Dollar Amount"</formula>
    </cfRule>
  </conditionalFormatting>
  <conditionalFormatting sqref="N666:N669">
    <cfRule type="expression" priority="197" dxfId="2449">
      <formula>$N$665="Enter Dollar Amount"</formula>
    </cfRule>
    <cfRule type="expression" priority="199" dxfId="2448">
      <formula>$N$665="Enter Percentages"</formula>
    </cfRule>
  </conditionalFormatting>
  <conditionalFormatting sqref="N666:O669">
    <cfRule type="expression" priority="196" dxfId="2445">
      <formula>$N$665="Drop Plan"</formula>
    </cfRule>
  </conditionalFormatting>
  <conditionalFormatting sqref="W666:W669">
    <cfRule type="expression" priority="193" dxfId="2449">
      <formula>$V$665="Enter Percentages"</formula>
    </cfRule>
    <cfRule type="expression" priority="195" dxfId="2448">
      <formula>$V$665="Enter Dollar Amount"</formula>
    </cfRule>
  </conditionalFormatting>
  <conditionalFormatting sqref="V666:V669">
    <cfRule type="expression" priority="192" dxfId="2449">
      <formula>$V$665="Enter Dollar Amount"</formula>
    </cfRule>
    <cfRule type="expression" priority="194" dxfId="2448">
      <formula>$V$665="Enter Percentages"</formula>
    </cfRule>
  </conditionalFormatting>
  <conditionalFormatting sqref="V666:W669">
    <cfRule type="expression" priority="191" dxfId="2445">
      <formula>$V$665="Drop Plan"</formula>
    </cfRule>
  </conditionalFormatting>
  <conditionalFormatting sqref="O676:O679">
    <cfRule type="expression" priority="188" dxfId="2449">
      <formula>$N$675="Enter Percentages"</formula>
    </cfRule>
    <cfRule type="expression" priority="190" dxfId="2448">
      <formula>$N$675="Enter Dollar Amount"</formula>
    </cfRule>
  </conditionalFormatting>
  <conditionalFormatting sqref="N676:N679">
    <cfRule type="expression" priority="187" dxfId="2449">
      <formula>$N$675="Enter Dollar Amount"</formula>
    </cfRule>
    <cfRule type="expression" priority="189" dxfId="2448">
      <formula>$N$675="Enter Percentages"</formula>
    </cfRule>
  </conditionalFormatting>
  <conditionalFormatting sqref="N676:O679">
    <cfRule type="expression" priority="186" dxfId="2445">
      <formula>$N$675="Drop Plan"</formula>
    </cfRule>
  </conditionalFormatting>
  <conditionalFormatting sqref="W676:W679">
    <cfRule type="expression" priority="183" dxfId="2449">
      <formula>$V$675="Enter Percentages"</formula>
    </cfRule>
    <cfRule type="expression" priority="185" dxfId="2448">
      <formula>$V$675="Enter Dollar Amount"</formula>
    </cfRule>
  </conditionalFormatting>
  <conditionalFormatting sqref="V676:V679">
    <cfRule type="expression" priority="182" dxfId="2449">
      <formula>$V$675="Enter Dollar Amount"</formula>
    </cfRule>
    <cfRule type="expression" priority="184" dxfId="2448">
      <formula>$V$675="Enter Percentages"</formula>
    </cfRule>
  </conditionalFormatting>
  <conditionalFormatting sqref="V676:W679">
    <cfRule type="expression" priority="181" dxfId="2445">
      <formula>$V$675="Drop Plan"</formula>
    </cfRule>
  </conditionalFormatting>
  <conditionalFormatting sqref="O686:O689">
    <cfRule type="expression" priority="178" dxfId="2449">
      <formula>$N$685="Enter Percentages"</formula>
    </cfRule>
    <cfRule type="expression" priority="180" dxfId="2448">
      <formula>$N$685="Enter Dollar Amount"</formula>
    </cfRule>
  </conditionalFormatting>
  <conditionalFormatting sqref="N686:N689">
    <cfRule type="expression" priority="177" dxfId="2449">
      <formula>$N$685="Enter Dollar Amount"</formula>
    </cfRule>
    <cfRule type="expression" priority="179" dxfId="2448">
      <formula>$N$685="Enter Percentages"</formula>
    </cfRule>
  </conditionalFormatting>
  <conditionalFormatting sqref="N686:O689">
    <cfRule type="expression" priority="176" dxfId="2445">
      <formula>$N$685="Drop Plan"</formula>
    </cfRule>
  </conditionalFormatting>
  <conditionalFormatting sqref="W686:W689">
    <cfRule type="expression" priority="173" dxfId="2449">
      <formula>$V$685="Enter Percentages"</formula>
    </cfRule>
    <cfRule type="expression" priority="175" dxfId="2448">
      <formula>$V$685="Enter Dollar Amount"</formula>
    </cfRule>
  </conditionalFormatting>
  <conditionalFormatting sqref="V686:V689">
    <cfRule type="expression" priority="172" dxfId="2449">
      <formula>$V$685="Enter Dollar Amount"</formula>
    </cfRule>
    <cfRule type="expression" priority="174" dxfId="2448">
      <formula>$V$685="Enter Percentages"</formula>
    </cfRule>
  </conditionalFormatting>
  <conditionalFormatting sqref="V686:W689">
    <cfRule type="expression" priority="171" dxfId="2445">
      <formula>$V$685="Drop Plan"</formula>
    </cfRule>
  </conditionalFormatting>
  <conditionalFormatting sqref="O696:O699">
    <cfRule type="expression" priority="168" dxfId="2449">
      <formula>$N$695="Enter Percentages"</formula>
    </cfRule>
    <cfRule type="expression" priority="170" dxfId="2448">
      <formula>$N$695="Enter Dollar Amount"</formula>
    </cfRule>
  </conditionalFormatting>
  <conditionalFormatting sqref="N696:N699">
    <cfRule type="expression" priority="167" dxfId="2449">
      <formula>$N$695="Enter Dollar Amount"</formula>
    </cfRule>
    <cfRule type="expression" priority="169" dxfId="2448">
      <formula>$N$695="Enter Percentages"</formula>
    </cfRule>
  </conditionalFormatting>
  <conditionalFormatting sqref="N696:O699">
    <cfRule type="expression" priority="166" dxfId="2445">
      <formula>$N$695="Drop Plan"</formula>
    </cfRule>
  </conditionalFormatting>
  <conditionalFormatting sqref="W696:W699">
    <cfRule type="expression" priority="163" dxfId="2449">
      <formula>$V$695="Enter Percentages"</formula>
    </cfRule>
    <cfRule type="expression" priority="165" dxfId="2448">
      <formula>$V$695="Enter Dollar Amount"</formula>
    </cfRule>
  </conditionalFormatting>
  <conditionalFormatting sqref="V696:V699">
    <cfRule type="expression" priority="162" dxfId="2449">
      <formula>$V$695="Enter Dollar Amount"</formula>
    </cfRule>
    <cfRule type="expression" priority="164" dxfId="2448">
      <formula>$V$695="Enter Percentages"</formula>
    </cfRule>
  </conditionalFormatting>
  <conditionalFormatting sqref="V696:W699">
    <cfRule type="expression" priority="161" dxfId="2445">
      <formula>$V$695="Drop Plan"</formula>
    </cfRule>
  </conditionalFormatting>
  <conditionalFormatting sqref="O706:O709">
    <cfRule type="expression" priority="158" dxfId="2449">
      <formula>$N$705="Enter Percentages"</formula>
    </cfRule>
    <cfRule type="expression" priority="160" dxfId="2448">
      <formula>$N$705="Enter Dollar Amount"</formula>
    </cfRule>
  </conditionalFormatting>
  <conditionalFormatting sqref="N706:N709">
    <cfRule type="expression" priority="157" dxfId="2449">
      <formula>$N$705="Enter Dollar Amount"</formula>
    </cfRule>
    <cfRule type="expression" priority="159" dxfId="2448">
      <formula>$N$705="Enter Percentages"</formula>
    </cfRule>
  </conditionalFormatting>
  <conditionalFormatting sqref="N706:O709">
    <cfRule type="expression" priority="156" dxfId="2445">
      <formula>$N$705="Drop Plan"</formula>
    </cfRule>
  </conditionalFormatting>
  <conditionalFormatting sqref="W706:W709">
    <cfRule type="expression" priority="153" dxfId="2449">
      <formula>$V$705="Enter Percentages"</formula>
    </cfRule>
    <cfRule type="expression" priority="155" dxfId="2448">
      <formula>$V$705="Enter Dollar Amount"</formula>
    </cfRule>
  </conditionalFormatting>
  <conditionalFormatting sqref="V706:V709">
    <cfRule type="expression" priority="152" dxfId="2449">
      <formula>$V$705="Enter Dollar Amount"</formula>
    </cfRule>
    <cfRule type="expression" priority="154" dxfId="2448">
      <formula>$V$705="Enter Percentages"</formula>
    </cfRule>
  </conditionalFormatting>
  <conditionalFormatting sqref="V706:W709">
    <cfRule type="expression" priority="151" dxfId="2445">
      <formula>$V$705="Drop Plan"</formula>
    </cfRule>
  </conditionalFormatting>
  <conditionalFormatting sqref="O716:O719">
    <cfRule type="expression" priority="148" dxfId="2449">
      <formula>$N$715="Enter Percentages"</formula>
    </cfRule>
    <cfRule type="expression" priority="150" dxfId="2448">
      <formula>$N$715="Enter Dollar Amount"</formula>
    </cfRule>
  </conditionalFormatting>
  <conditionalFormatting sqref="N716:N719">
    <cfRule type="expression" priority="147" dxfId="2449">
      <formula>$N$715="Enter Dollar Amount"</formula>
    </cfRule>
    <cfRule type="expression" priority="149" dxfId="2448">
      <formula>$N$715="Enter Percentages"</formula>
    </cfRule>
  </conditionalFormatting>
  <conditionalFormatting sqref="N716:O719">
    <cfRule type="expression" priority="146" dxfId="2445">
      <formula>$N$715="Drop Plan"</formula>
    </cfRule>
  </conditionalFormatting>
  <conditionalFormatting sqref="W716:W719">
    <cfRule type="expression" priority="143" dxfId="2449">
      <formula>$V$715="Enter Percentages"</formula>
    </cfRule>
    <cfRule type="expression" priority="145" dxfId="2448">
      <formula>$V$715="Enter Dollar Amount"</formula>
    </cfRule>
  </conditionalFormatting>
  <conditionalFormatting sqref="V716:V719">
    <cfRule type="expression" priority="142" dxfId="2449">
      <formula>$V$715="Enter Dollar Amount"</formula>
    </cfRule>
    <cfRule type="expression" priority="144" dxfId="2448">
      <formula>$V$715="Enter Percentages"</formula>
    </cfRule>
  </conditionalFormatting>
  <conditionalFormatting sqref="V716:W719">
    <cfRule type="expression" priority="141" dxfId="2445">
      <formula>$V$715="Drop Plan"</formula>
    </cfRule>
  </conditionalFormatting>
  <conditionalFormatting sqref="O726:O729">
    <cfRule type="expression" priority="138" dxfId="2449">
      <formula>$N$725="Enter Percentages"</formula>
    </cfRule>
    <cfRule type="expression" priority="140" dxfId="2448">
      <formula>$N$725="Enter Dollar Amount"</formula>
    </cfRule>
  </conditionalFormatting>
  <conditionalFormatting sqref="N726:N729">
    <cfRule type="expression" priority="137" dxfId="2449">
      <formula>$N$725="Enter Dollar Amount"</formula>
    </cfRule>
    <cfRule type="expression" priority="139" dxfId="2448">
      <formula>$N$725="Enter Percentages"</formula>
    </cfRule>
  </conditionalFormatting>
  <conditionalFormatting sqref="N726:O729">
    <cfRule type="expression" priority="136" dxfId="2445">
      <formula>$N$725="Drop Plan"</formula>
    </cfRule>
  </conditionalFormatting>
  <conditionalFormatting sqref="W726:W729">
    <cfRule type="expression" priority="133" dxfId="2449">
      <formula>$V$725="Enter Percentages"</formula>
    </cfRule>
    <cfRule type="expression" priority="135" dxfId="2448">
      <formula>$V$725="Enter Dollar Amount"</formula>
    </cfRule>
  </conditionalFormatting>
  <conditionalFormatting sqref="V726:V729">
    <cfRule type="expression" priority="132" dxfId="2449">
      <formula>$V$725="Enter Dollar Amount"</formula>
    </cfRule>
    <cfRule type="expression" priority="134" dxfId="2448">
      <formula>$V$725="Enter Percentages"</formula>
    </cfRule>
  </conditionalFormatting>
  <conditionalFormatting sqref="V726:W729">
    <cfRule type="expression" priority="131" dxfId="2445">
      <formula>$V$725="Drop Plan"</formula>
    </cfRule>
  </conditionalFormatting>
  <conditionalFormatting sqref="O736:O739">
    <cfRule type="expression" priority="128" dxfId="2449">
      <formula>$N$735="Enter Percentages"</formula>
    </cfRule>
    <cfRule type="expression" priority="130" dxfId="2448">
      <formula>$N$735="Enter Dollar Amount"</formula>
    </cfRule>
  </conditionalFormatting>
  <conditionalFormatting sqref="N736:N739">
    <cfRule type="expression" priority="127" dxfId="2449">
      <formula>$N$735="Enter Dollar Amount"</formula>
    </cfRule>
    <cfRule type="expression" priority="129" dxfId="2448">
      <formula>$N$735="Enter Percentages"</formula>
    </cfRule>
  </conditionalFormatting>
  <conditionalFormatting sqref="N736:O739">
    <cfRule type="expression" priority="126" dxfId="2445">
      <formula>$N$735="Drop Plan"</formula>
    </cfRule>
  </conditionalFormatting>
  <conditionalFormatting sqref="W736:W739">
    <cfRule type="expression" priority="123" dxfId="2449">
      <formula>$V$735="Enter Percentages"</formula>
    </cfRule>
    <cfRule type="expression" priority="125" dxfId="2448">
      <formula>$V$735="Enter Dollar Amount"</formula>
    </cfRule>
  </conditionalFormatting>
  <conditionalFormatting sqref="V736:V739">
    <cfRule type="expression" priority="122" dxfId="2449">
      <formula>$V$735="Enter Dollar Amount"</formula>
    </cfRule>
    <cfRule type="expression" priority="124" dxfId="2448">
      <formula>$V$735="Enter Percentages"</formula>
    </cfRule>
  </conditionalFormatting>
  <conditionalFormatting sqref="V736:W739">
    <cfRule type="expression" priority="121" dxfId="2445">
      <formula>$V$735="Drop Plan"</formula>
    </cfRule>
  </conditionalFormatting>
  <conditionalFormatting sqref="O746:O749">
    <cfRule type="expression" priority="118" dxfId="2449">
      <formula>$N$745="Enter Percentages"</formula>
    </cfRule>
    <cfRule type="expression" priority="120" dxfId="2448">
      <formula>$N$745="Enter Dollar Amount"</formula>
    </cfRule>
  </conditionalFormatting>
  <conditionalFormatting sqref="N746:N749">
    <cfRule type="expression" priority="117" dxfId="2449">
      <formula>$N$745="Enter Dollar Amount"</formula>
    </cfRule>
    <cfRule type="expression" priority="119" dxfId="2448">
      <formula>$N$745="Enter Percentages"</formula>
    </cfRule>
  </conditionalFormatting>
  <conditionalFormatting sqref="N746:O749">
    <cfRule type="expression" priority="116" dxfId="2445">
      <formula>$N$745="Drop Plan"</formula>
    </cfRule>
  </conditionalFormatting>
  <conditionalFormatting sqref="W746:W749">
    <cfRule type="expression" priority="113" dxfId="2449">
      <formula>$V$745="Enter Percentages"</formula>
    </cfRule>
    <cfRule type="expression" priority="115" dxfId="2448">
      <formula>$V$745="Enter Dollar Amount"</formula>
    </cfRule>
  </conditionalFormatting>
  <conditionalFormatting sqref="V746:V749">
    <cfRule type="expression" priority="112" dxfId="2449">
      <formula>$V$745="Enter Dollar Amount"</formula>
    </cfRule>
    <cfRule type="expression" priority="114" dxfId="2448">
      <formula>$V$745="Enter Percentages"</formula>
    </cfRule>
  </conditionalFormatting>
  <conditionalFormatting sqref="V746:W749">
    <cfRule type="expression" priority="111" dxfId="2445">
      <formula>$V$745="Drop Plan"</formula>
    </cfRule>
  </conditionalFormatting>
  <conditionalFormatting sqref="O756:O759">
    <cfRule type="expression" priority="108" dxfId="2449">
      <formula>$N$755="Enter Percentages"</formula>
    </cfRule>
    <cfRule type="expression" priority="110" dxfId="2448">
      <formula>$N$755="Enter Dollar Amount"</formula>
    </cfRule>
  </conditionalFormatting>
  <conditionalFormatting sqref="N756:N759">
    <cfRule type="expression" priority="107" dxfId="2449">
      <formula>$N$755="Enter Dollar Amount"</formula>
    </cfRule>
    <cfRule type="expression" priority="109" dxfId="2448">
      <formula>$N$755="Enter Percentages"</formula>
    </cfRule>
  </conditionalFormatting>
  <conditionalFormatting sqref="N756:O759">
    <cfRule type="expression" priority="106" dxfId="2445">
      <formula>$N$755="Drop Plan"</formula>
    </cfRule>
  </conditionalFormatting>
  <conditionalFormatting sqref="W756:W759">
    <cfRule type="expression" priority="103" dxfId="2449">
      <formula>$V$755="Enter Percentages"</formula>
    </cfRule>
    <cfRule type="expression" priority="105" dxfId="2448">
      <formula>$V$755="Enter Dollar Amount"</formula>
    </cfRule>
  </conditionalFormatting>
  <conditionalFormatting sqref="V756:V759">
    <cfRule type="expression" priority="102" dxfId="2449">
      <formula>$V$755="Enter Dollar Amount"</formula>
    </cfRule>
    <cfRule type="expression" priority="104" dxfId="2448">
      <formula>$V$755="Enter Percentages"</formula>
    </cfRule>
  </conditionalFormatting>
  <conditionalFormatting sqref="V756:W759">
    <cfRule type="expression" priority="101" dxfId="2445">
      <formula>$V$755="Drop Plan"</formula>
    </cfRule>
  </conditionalFormatting>
  <conditionalFormatting sqref="O767:O770">
    <cfRule type="expression" priority="98" dxfId="2449">
      <formula>$N$766="Enter Percentages"</formula>
    </cfRule>
    <cfRule type="expression" priority="100" dxfId="2448">
      <formula>$N$766="Enter Dollar Amount"</formula>
    </cfRule>
  </conditionalFormatting>
  <conditionalFormatting sqref="N767:N770">
    <cfRule type="expression" priority="97" dxfId="2449">
      <formula>$N$766="Enter Dollar Amount"</formula>
    </cfRule>
    <cfRule type="expression" priority="99" dxfId="2448">
      <formula>$N$766="Enter Percentages"</formula>
    </cfRule>
  </conditionalFormatting>
  <conditionalFormatting sqref="N767:O770">
    <cfRule type="expression" priority="96" dxfId="2445">
      <formula>$N$766="Drop Plan"</formula>
    </cfRule>
  </conditionalFormatting>
  <conditionalFormatting sqref="W767:W770">
    <cfRule type="expression" priority="93" dxfId="2449">
      <formula>$V$766="Enter Percentages"</formula>
    </cfRule>
    <cfRule type="expression" priority="95" dxfId="2448">
      <formula>$V$766="Enter Dollar Amount"</formula>
    </cfRule>
  </conditionalFormatting>
  <conditionalFormatting sqref="V767:V770">
    <cfRule type="expression" priority="92" dxfId="2449">
      <formula>$V$766="Enter Dollar Amount"</formula>
    </cfRule>
    <cfRule type="expression" priority="94" dxfId="2448">
      <formula>$V$766="Enter Percentages"</formula>
    </cfRule>
  </conditionalFormatting>
  <conditionalFormatting sqref="V767:W770">
    <cfRule type="expression" priority="91" dxfId="2445">
      <formula>$V$766="Drop Plan"</formula>
    </cfRule>
  </conditionalFormatting>
  <conditionalFormatting sqref="O777:O780">
    <cfRule type="expression" priority="88" dxfId="2449">
      <formula>$N$776="Enter Percentages"</formula>
    </cfRule>
    <cfRule type="expression" priority="90" dxfId="2448">
      <formula>$N$776="Enter Dollar Amount"</formula>
    </cfRule>
  </conditionalFormatting>
  <conditionalFormatting sqref="N777:N780">
    <cfRule type="expression" priority="87" dxfId="2449">
      <formula>$N$776="Enter Dollar Amount"</formula>
    </cfRule>
    <cfRule type="expression" priority="89" dxfId="2448">
      <formula>$N$776="Enter Percentages"</formula>
    </cfRule>
  </conditionalFormatting>
  <conditionalFormatting sqref="N777:O780">
    <cfRule type="expression" priority="86" dxfId="2445">
      <formula>$N$776="Drop Plan"</formula>
    </cfRule>
  </conditionalFormatting>
  <conditionalFormatting sqref="W777:W780">
    <cfRule type="expression" priority="83" dxfId="2449">
      <formula>$V$776="Enter Percentages"</formula>
    </cfRule>
    <cfRule type="expression" priority="85" dxfId="2448">
      <formula>$V$776="Enter Dollar Amount"</formula>
    </cfRule>
  </conditionalFormatting>
  <conditionalFormatting sqref="V777:V780">
    <cfRule type="expression" priority="82" dxfId="2449">
      <formula>$V$776="Enter Dollar Amount"</formula>
    </cfRule>
    <cfRule type="expression" priority="84" dxfId="2448">
      <formula>$V$776="Enter Percentages"</formula>
    </cfRule>
  </conditionalFormatting>
  <conditionalFormatting sqref="V777:W780">
    <cfRule type="expression" priority="81" dxfId="2445">
      <formula>$V$776="Drop Plan"</formula>
    </cfRule>
  </conditionalFormatting>
  <conditionalFormatting sqref="O787:O790">
    <cfRule type="expression" priority="78" dxfId="2449">
      <formula>$N$786="Enter Percentages"</formula>
    </cfRule>
    <cfRule type="expression" priority="80" dxfId="2448">
      <formula>$N$786="Enter Dollar Amount"</formula>
    </cfRule>
  </conditionalFormatting>
  <conditionalFormatting sqref="N787:N790">
    <cfRule type="expression" priority="77" dxfId="2449">
      <formula>$N$786="Enter Dollar Amount"</formula>
    </cfRule>
    <cfRule type="expression" priority="79" dxfId="2448">
      <formula>$N$786="Enter Percentages"</formula>
    </cfRule>
  </conditionalFormatting>
  <conditionalFormatting sqref="N787:O790">
    <cfRule type="expression" priority="76" dxfId="2445">
      <formula>$N$786="Drop Plan"</formula>
    </cfRule>
  </conditionalFormatting>
  <conditionalFormatting sqref="W787:W790">
    <cfRule type="expression" priority="73" dxfId="2449">
      <formula>$V$786="Enter Percentages"</formula>
    </cfRule>
    <cfRule type="expression" priority="75" dxfId="2448">
      <formula>$V$786="Enter Dollar Amount"</formula>
    </cfRule>
  </conditionalFormatting>
  <conditionalFormatting sqref="V787:V790">
    <cfRule type="expression" priority="72" dxfId="2449">
      <formula>$V$786="Enter Dollar Amount"</formula>
    </cfRule>
    <cfRule type="expression" priority="74" dxfId="2448">
      <formula>$V$786="Enter Percentages"</formula>
    </cfRule>
  </conditionalFormatting>
  <conditionalFormatting sqref="V787:W790">
    <cfRule type="expression" priority="71" dxfId="2445">
      <formula>$V$786="Drop Plan"</formula>
    </cfRule>
  </conditionalFormatting>
  <conditionalFormatting sqref="O797:O800">
    <cfRule type="expression" priority="68" dxfId="2449">
      <formula>$N$796="Enter Percentages"</formula>
    </cfRule>
    <cfRule type="expression" priority="70" dxfId="2448">
      <formula>$N$796="Enter Dollar Amount"</formula>
    </cfRule>
  </conditionalFormatting>
  <conditionalFormatting sqref="N797:N800">
    <cfRule type="expression" priority="67" dxfId="2449">
      <formula>$N$796="Enter Dollar Amount"</formula>
    </cfRule>
    <cfRule type="expression" priority="69" dxfId="2448">
      <formula>$N$796="Enter Percentages"</formula>
    </cfRule>
  </conditionalFormatting>
  <conditionalFormatting sqref="N797:O800">
    <cfRule type="expression" priority="66" dxfId="2445">
      <formula>$N$796="Drop Plan"</formula>
    </cfRule>
  </conditionalFormatting>
  <conditionalFormatting sqref="W797:W800">
    <cfRule type="expression" priority="63" dxfId="2449">
      <formula>$V$796="Enter Percentages"</formula>
    </cfRule>
    <cfRule type="expression" priority="65" dxfId="2448">
      <formula>$V$796="Enter Dollar Amount"</formula>
    </cfRule>
  </conditionalFormatting>
  <conditionalFormatting sqref="V797:V800">
    <cfRule type="expression" priority="62" dxfId="2449">
      <formula>$V$796="Enter Dollar Amount"</formula>
    </cfRule>
    <cfRule type="expression" priority="64" dxfId="2448">
      <formula>$V$796="Enter Percentages"</formula>
    </cfRule>
  </conditionalFormatting>
  <conditionalFormatting sqref="V797:W800">
    <cfRule type="expression" priority="61" dxfId="2445">
      <formula>$V$796="Drop Plan"</formula>
    </cfRule>
  </conditionalFormatting>
  <conditionalFormatting sqref="O807:O810">
    <cfRule type="expression" priority="58" dxfId="2449">
      <formula>$N$806="Enter Percentages"</formula>
    </cfRule>
    <cfRule type="expression" priority="60" dxfId="2448">
      <formula>$N$806="Enter Dollar Amount"</formula>
    </cfRule>
  </conditionalFormatting>
  <conditionalFormatting sqref="N807:N810">
    <cfRule type="expression" priority="57" dxfId="2449">
      <formula>$N$806="Enter Dollar Amount"</formula>
    </cfRule>
    <cfRule type="expression" priority="59" dxfId="2448">
      <formula>$N$806="Enter Percentages"</formula>
    </cfRule>
  </conditionalFormatting>
  <conditionalFormatting sqref="N807:O810">
    <cfRule type="expression" priority="56" dxfId="2445">
      <formula>$N$806="Drop Plan"</formula>
    </cfRule>
  </conditionalFormatting>
  <conditionalFormatting sqref="W807:W810">
    <cfRule type="expression" priority="53" dxfId="2449">
      <formula>$V$806="Enter Percentages"</formula>
    </cfRule>
    <cfRule type="expression" priority="55" dxfId="2448">
      <formula>$V$806="Enter Dollar Amount"</formula>
    </cfRule>
  </conditionalFormatting>
  <conditionalFormatting sqref="V807:V810">
    <cfRule type="expression" priority="52" dxfId="2449">
      <formula>$V$806="Enter Dollar Amount"</formula>
    </cfRule>
    <cfRule type="expression" priority="54" dxfId="2448">
      <formula>$V$806="Enter Percentages"</formula>
    </cfRule>
  </conditionalFormatting>
  <conditionalFormatting sqref="V807:W810">
    <cfRule type="expression" priority="51" dxfId="2445">
      <formula>$V$806="Drop Plan"</formula>
    </cfRule>
  </conditionalFormatting>
  <conditionalFormatting sqref="O817:O820">
    <cfRule type="expression" priority="48" dxfId="2449">
      <formula>$N$816="Enter Percentages"</formula>
    </cfRule>
    <cfRule type="expression" priority="50" dxfId="2448">
      <formula>$N$816="Enter Dollar Amount"</formula>
    </cfRule>
  </conditionalFormatting>
  <conditionalFormatting sqref="N817:N820">
    <cfRule type="expression" priority="47" dxfId="2449">
      <formula>$N$816="Enter Dollar Amount"</formula>
    </cfRule>
    <cfRule type="expression" priority="49" dxfId="2448">
      <formula>$N$816="Enter Percentages"</formula>
    </cfRule>
  </conditionalFormatting>
  <conditionalFormatting sqref="N817:O820">
    <cfRule type="expression" priority="46" dxfId="2445">
      <formula>$N$816="Drop Plan"</formula>
    </cfRule>
  </conditionalFormatting>
  <conditionalFormatting sqref="W817:W820">
    <cfRule type="expression" priority="43" dxfId="2449">
      <formula>$V$816="Enter Percentages"</formula>
    </cfRule>
    <cfRule type="expression" priority="45" dxfId="2448">
      <formula>$V$816="Enter Dollar Amount"</formula>
    </cfRule>
  </conditionalFormatting>
  <conditionalFormatting sqref="V817:V820">
    <cfRule type="expression" priority="42" dxfId="2449">
      <formula>$V$816="Enter Dollar Amount"</formula>
    </cfRule>
    <cfRule type="expression" priority="44" dxfId="2448">
      <formula>$V$816="Enter Percentages"</formula>
    </cfRule>
  </conditionalFormatting>
  <conditionalFormatting sqref="V817:W820">
    <cfRule type="expression" priority="41" dxfId="2445">
      <formula>$V$816="Drop Plan"</formula>
    </cfRule>
  </conditionalFormatting>
  <conditionalFormatting sqref="O827:O830">
    <cfRule type="expression" priority="38" dxfId="2449">
      <formula>$N$826="Enter Percentages"</formula>
    </cfRule>
    <cfRule type="expression" priority="40" dxfId="2448">
      <formula>$N$826="Enter Dollar Amount"</formula>
    </cfRule>
  </conditionalFormatting>
  <conditionalFormatting sqref="N827:N830">
    <cfRule type="expression" priority="37" dxfId="2449">
      <formula>$N$826="Enter Dollar Amount"</formula>
    </cfRule>
    <cfRule type="expression" priority="39" dxfId="2448">
      <formula>$N$826="Enter Percentages"</formula>
    </cfRule>
  </conditionalFormatting>
  <conditionalFormatting sqref="N827:O830">
    <cfRule type="expression" priority="36" dxfId="2445">
      <formula>$N$826="Drop Plan"</formula>
    </cfRule>
  </conditionalFormatting>
  <conditionalFormatting sqref="W827:W830">
    <cfRule type="expression" priority="33" dxfId="2449">
      <formula>$V$826="Enter Percentages"</formula>
    </cfRule>
    <cfRule type="expression" priority="35" dxfId="2448">
      <formula>$V$826="Enter Dollar Amount"</formula>
    </cfRule>
  </conditionalFormatting>
  <conditionalFormatting sqref="V827:V830">
    <cfRule type="expression" priority="32" dxfId="2449">
      <formula>$V$826="Enter Dollar Amount"</formula>
    </cfRule>
    <cfRule type="expression" priority="34" dxfId="2448">
      <formula>$V$826="Enter Percentages"</formula>
    </cfRule>
  </conditionalFormatting>
  <conditionalFormatting sqref="V827:W830">
    <cfRule type="expression" priority="31" dxfId="2445">
      <formula>$V$826="Drop Plan"</formula>
    </cfRule>
  </conditionalFormatting>
  <conditionalFormatting sqref="O837:O840">
    <cfRule type="expression" priority="28" dxfId="2449">
      <formula>$N$836="Enter Percentages"</formula>
    </cfRule>
    <cfRule type="expression" priority="30" dxfId="2448">
      <formula>$N$836="Enter Dollar Amount"</formula>
    </cfRule>
  </conditionalFormatting>
  <conditionalFormatting sqref="N837:N840">
    <cfRule type="expression" priority="27" dxfId="2449">
      <formula>$N$836="Enter Dollar Amount"</formula>
    </cfRule>
    <cfRule type="expression" priority="29" dxfId="2448">
      <formula>$N$836="Enter Percentages"</formula>
    </cfRule>
  </conditionalFormatting>
  <conditionalFormatting sqref="N837:O840">
    <cfRule type="expression" priority="26" dxfId="2445">
      <formula>$N$836="Drop Plan"</formula>
    </cfRule>
  </conditionalFormatting>
  <conditionalFormatting sqref="W837:W840">
    <cfRule type="expression" priority="23" dxfId="2449">
      <formula>$V$836="Enter Percentages"</formula>
    </cfRule>
    <cfRule type="expression" priority="25" dxfId="2448">
      <formula>$V$836="Enter Dollar Amount"</formula>
    </cfRule>
  </conditionalFormatting>
  <conditionalFormatting sqref="V837:V840">
    <cfRule type="expression" priority="22" dxfId="2449">
      <formula>$V$836="Enter Dollar Amount"</formula>
    </cfRule>
    <cfRule type="expression" priority="24" dxfId="2448">
      <formula>$V$836="Enter Percentages"</formula>
    </cfRule>
  </conditionalFormatting>
  <conditionalFormatting sqref="V837:W840">
    <cfRule type="expression" priority="21" dxfId="2445">
      <formula>$V$836="Drop Plan"</formula>
    </cfRule>
  </conditionalFormatting>
  <conditionalFormatting sqref="O847:O850">
    <cfRule type="expression" priority="18" dxfId="2449">
      <formula>$N$846="Enter Percentages"</formula>
    </cfRule>
    <cfRule type="expression" priority="20" dxfId="2448">
      <formula>$N$846="Enter Dollar Amount"</formula>
    </cfRule>
  </conditionalFormatting>
  <conditionalFormatting sqref="N847:N850">
    <cfRule type="expression" priority="17" dxfId="2449">
      <formula>$N$846="Enter Dollar Amount"</formula>
    </cfRule>
    <cfRule type="expression" priority="19" dxfId="2448">
      <formula>$N$846="Enter Percentages"</formula>
    </cfRule>
  </conditionalFormatting>
  <conditionalFormatting sqref="N847:O850">
    <cfRule type="expression" priority="16" dxfId="2445">
      <formula>$N$846="Drop Plan"</formula>
    </cfRule>
  </conditionalFormatting>
  <conditionalFormatting sqref="W847:W850">
    <cfRule type="expression" priority="13" dxfId="2449">
      <formula>$V$846="Enter Percentages"</formula>
    </cfRule>
    <cfRule type="expression" priority="15" dxfId="2448">
      <formula>$V$846="Enter Dollar Amount"</formula>
    </cfRule>
  </conditionalFormatting>
  <conditionalFormatting sqref="V847:V850">
    <cfRule type="expression" priority="12" dxfId="2449">
      <formula>$V$846="Enter Dollar Amount"</formula>
    </cfRule>
    <cfRule type="expression" priority="14" dxfId="2448">
      <formula>$V$846="Enter Percentages"</formula>
    </cfRule>
  </conditionalFormatting>
  <conditionalFormatting sqref="V847:W850">
    <cfRule type="expression" priority="11" dxfId="2445">
      <formula>$V$846="Drop Plan"</formula>
    </cfRule>
  </conditionalFormatting>
  <conditionalFormatting sqref="O857:O860">
    <cfRule type="expression" priority="8" dxfId="2449">
      <formula>$N$856="Enter Percentages"</formula>
    </cfRule>
    <cfRule type="expression" priority="10" dxfId="2448">
      <formula>$N$856="Enter Dollar Amount"</formula>
    </cfRule>
  </conditionalFormatting>
  <conditionalFormatting sqref="N857:N860">
    <cfRule type="expression" priority="7" dxfId="2449">
      <formula>$N$856="Enter Dollar Amount"</formula>
    </cfRule>
    <cfRule type="expression" priority="9" dxfId="2448">
      <formula>$N$856="Enter Percentages"</formula>
    </cfRule>
  </conditionalFormatting>
  <conditionalFormatting sqref="N857:O860">
    <cfRule type="expression" priority="6" dxfId="2445">
      <formula>$N$856="Drop Plan"</formula>
    </cfRule>
  </conditionalFormatting>
  <conditionalFormatting sqref="W857:W860">
    <cfRule type="expression" priority="3" dxfId="2449">
      <formula>$V$856="Enter Percentages"</formula>
    </cfRule>
    <cfRule type="expression" priority="5" dxfId="2448">
      <formula>$V$856="Enter Dollar Amount"</formula>
    </cfRule>
  </conditionalFormatting>
  <conditionalFormatting sqref="V857:V860">
    <cfRule type="expression" priority="2" dxfId="2449">
      <formula>$V$856="Enter Dollar Amount"</formula>
    </cfRule>
    <cfRule type="expression" priority="4" dxfId="2448">
      <formula>$V$856="Enter Percentages"</formula>
    </cfRule>
  </conditionalFormatting>
  <conditionalFormatting sqref="V857:W860">
    <cfRule type="expression" priority="1" dxfId="2445">
      <formula>$V$856="Drop Plan"</formula>
    </cfRule>
  </conditionalFormatting>
  <dataValidations count="8">
    <dataValidation type="list" allowBlank="1" showInputMessage="1" showErrorMessage="1" sqref="N14 V14 N64 V64 N114 V114 N164 V164 N214 V214 N264 V264 N314 V314 N364 V364 N414 V414 N464 V464 N514 V514 N564 V564 N614 V614 N665 V665 N675 V675 N685 V685 N695 V695 N705 V705 N715 V715 N725 V725 N735 V735 N745 V745 N755 V755 N766 V766 N776 V776 N786 V786 N796 V796 N806 V806 N816 V816 N826 V826 N836 V836 N846 V846 N856 V856">
      <formula1>"[Contribution Methods],Keep Contribution Same,Keep Percentage Same,Enter Dollar Amount,Enter Percentages,Drop Plan"</formula1>
    </dataValidation>
    <dataValidation type="list" allowBlank="1" showInputMessage="1" showErrorMessage="1" sqref="F876 F878:F879">
      <formula1>"Yes,No"</formula1>
    </dataValidation>
    <dataValidation type="list" allowBlank="1" showInputMessage="1" showErrorMessage="1" sqref="L14 T14 L64 T64 L114 T114 L164 T164 L214 T214 L264 T264 L314 T314 L364 T364 L414 T414 L464 T464 L514 T514 L564 T564 L614 T614">
      <formula1>'Health Summary'!$B$5:$AK$5</formula1>
    </dataValidation>
    <dataValidation type="list" allowBlank="1" showInputMessage="1" showErrorMessage="1" sqref="L665 T665 L675 T675 L685 T685 L695 T695 L705 T705 L715 T715 L725 T725 L735 T735 L745 T745 L755 T755">
      <formula1>'Dental Summary'!$B$5:$AK$5</formula1>
    </dataValidation>
    <dataValidation type="list" allowBlank="1" showInputMessage="1" showErrorMessage="1" sqref="L766 T766 L776 T776 L786 T786 L796 T796 L806 T806 L816 T816 L826 T826 L836 T836 L846 T846 L856 T856">
      <formula1>'Vision Summary'!$B$5:$AK$5</formula1>
    </dataValidation>
    <dataValidation type="list" allowBlank="1" showInputMessage="1" showErrorMessage="1" sqref="N879:O879">
      <formula1>'Life Summary'!$B$6:$W$6</formula1>
    </dataValidation>
    <dataValidation type="list" allowBlank="1" showInputMessage="1" showErrorMessage="1" sqref="N877:O877">
      <formula1>'LTD Summary'!$B$5:$W$5</formula1>
    </dataValidation>
    <dataValidation type="list" allowBlank="1" showInputMessage="1" showErrorMessage="1" sqref="N878:O878">
      <formula1>'STD Summary'!$B$5:$W$5</formula1>
    </dataValidation>
  </dataValidations>
  <hyperlinks>
    <hyperlink ref="E5" location="Class1_Dental_Section" display="Dental"/>
    <hyperlink ref="E6" location="Class1_Vision_Section" display="Vision"/>
    <hyperlink ref="E4" location="Class1_HealthSection" display="Medical"/>
    <hyperlink ref="E7" location="Class1_Supplemental_Section" display="Life / Disability"/>
    <hyperlink ref="E4:R4" location="Class2_HealthSection" display="Medical"/>
    <hyperlink ref="E6:R6" location="Class2_VisionSection" display="Vision"/>
    <hyperlink ref="E5:R5" location="Class2_DentalSection" display="Dental"/>
    <hyperlink ref="E7:R7" location="Class2_DisabilityLife_Section" display="Life / Disability"/>
  </hyperlinks>
  <pageMargins left="0.25" right="0.25" top="0.5" bottom="0.25" header="0.3" footer="0.3"/>
  <pageSetup fitToHeight="0" orientation="landscape" paperSize="1" scale="26" r:id="rId4"/>
  <drawing r:id="rId2"/>
  <legacyDrawing r:id="rId3"/>
  <mc:AlternateContent xmlns:mc="http://schemas.openxmlformats.org/markup-compatibility/2006">
    <mc:Choice Requires="x14">
      <controls>
        <mc:AlternateContent xmlns:mc="http://schemas.openxmlformats.org/markup-compatibility/2006">
          <mc:Choice Requires="x14">
            <control shapeId="9221" r:id="rId1" name="Button 5">
              <controlPr defaultSize="0" print="0" autoLine="0" autoPict="0" macro="[0]!Loc">
                <anchor moveWithCells="1" sizeWithCells="1">
                  <from>
                    <xdr:col>2</xdr:col>
                    <xdr:colOff>31750</xdr:colOff>
                    <xdr:row>9</xdr:row>
                    <xdr:rowOff>222250</xdr:rowOff>
                  </from>
                  <to>
                    <xdr:col>2</xdr:col>
                    <xdr:colOff>609600</xdr:colOff>
                    <xdr:row>11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9EBE1D9C-116E-41A8-A5A2-BF2838DF6437}">
  <sheetPr codeName="Sheet3">
    <pageSetUpPr fitToPage="1"/>
  </sheetPr>
  <dimension ref="A1:EJ1834"/>
  <sheetViews>
    <sheetView showGridLines="0" zoomScale="70" zoomScaleNormal="70" workbookViewId="0" topLeftCell="C1">
      <pane ySplit="12" topLeftCell="A13" activePane="bottomLeft" state="frozen"/>
      <selection pane="topLeft" activeCell="E15" sqref="E15"/>
      <selection pane="bottomLeft" activeCell="L15" sqref="L15"/>
    </sheetView>
  </sheetViews>
  <sheetFormatPr defaultColWidth="9.29333333333333" defaultRowHeight="13"/>
  <cols>
    <col min="1" max="2" width="3.33333333333333" style="1" hidden="1" customWidth="1"/>
    <col min="3" max="3" width="10.8333333333333" style="141" bestFit="1" customWidth="1"/>
    <col min="4" max="4" width="45.8333333333333" style="142" customWidth="1"/>
    <col min="5" max="5" width="18.8333333333333" style="142" customWidth="1"/>
    <col min="6" max="8" width="18.8333333333333" style="4" customWidth="1"/>
    <col min="9" max="9" width="18.8333333333333" style="254" customWidth="1"/>
    <col min="10" max="10" width="20.8333333333333" style="4" customWidth="1"/>
    <col min="11" max="11" width="1.66666666666667" style="4" customWidth="1"/>
    <col min="12" max="12" width="20.1666666666667" style="4" customWidth="1"/>
    <col min="13" max="13" width="18.8333333333333" style="4" customWidth="1"/>
    <col min="14" max="14" width="18.8333333333333" style="252" customWidth="1"/>
    <col min="15" max="17" width="18.8333333333333" style="4" customWidth="1"/>
    <col min="18" max="18" width="20.8333333333333" style="4" customWidth="1"/>
    <col min="19" max="19" width="1.16666666666667" style="1" customWidth="1"/>
    <col min="20" max="20" width="20.1666666666667" style="1" customWidth="1"/>
    <col min="21" max="25" width="18.8333333333333" style="1" customWidth="1"/>
    <col min="26" max="26" width="20.8333333333333" style="1" customWidth="1"/>
    <col min="27" max="27" width="2.5" style="1" customWidth="1"/>
    <col min="28" max="28" width="37.5" bestFit="1" customWidth="1"/>
    <col min="29" max="29" width="24.6666666666667" customWidth="1"/>
    <col min="30" max="31" width="1" customWidth="1"/>
    <col min="32" max="32" width="24.6666666666667" customWidth="1"/>
    <col min="33" max="33" width="0.333333333333333" customWidth="1"/>
    <col min="34" max="34" width="24.6666666666667" customWidth="1"/>
    <col min="141" max="16384" width="9.33333333333333" style="1"/>
  </cols>
  <sheetData>
    <row r="1" spans="1:25" ht="28.5" customHeight="1">
      <c r="A1" s="140"/>
      <c r="B1" s="140"/>
      <c r="E1"/>
      <c r="F1"/>
      <c r="G1"/>
      <c r="H1"/>
      <c r="I1"/>
      <c r="J1"/>
      <c r="K1"/>
      <c r="L1"/>
      <c r="M1"/>
      <c r="N1"/>
      <c r="O1"/>
      <c r="P1"/>
      <c r="Q1"/>
      <c r="R1"/>
      <c r="V1" s="118"/>
      <c r="W1" s="119"/>
      <c r="X1" s="118"/>
      <c r="Y1" s="118"/>
    </row>
    <row r="2" spans="1:25" ht="18" customHeight="1" thickBot="1">
      <c r="A2" s="140"/>
      <c r="B2" s="140"/>
      <c r="D2" s="143"/>
      <c r="E2"/>
      <c r="F2"/>
      <c r="G2"/>
      <c r="H2"/>
      <c r="I2"/>
      <c r="J2"/>
      <c r="K2"/>
      <c r="L2"/>
      <c r="M2"/>
      <c r="N2"/>
      <c r="O2"/>
      <c r="P2"/>
      <c r="Q2"/>
      <c r="R2"/>
      <c r="S2" s="144"/>
      <c r="V2" s="118"/>
      <c r="W2" s="119"/>
      <c r="X2" s="118"/>
      <c r="Y2" s="118"/>
    </row>
    <row r="3" spans="1:26" ht="25" customHeight="1" thickBot="1">
      <c r="A3" s="140"/>
      <c r="B3" s="140"/>
      <c r="D3" s="143"/>
      <c r="E3" s="504" t="str">
        <f>Client_Name&amp;" ("&amp;Client_Number&amp;") "&amp;Benefit_Year_Display&amp;" Renewal Rates"</f>
        <v>QUESTCO TEST (102) 2025 Renewal Rates</v>
      </c>
      <c r="F3" s="504"/>
      <c r="G3" s="504"/>
      <c r="H3" s="504"/>
      <c r="I3" s="504"/>
      <c r="J3" s="504"/>
      <c r="K3" s="504"/>
      <c r="L3" s="504"/>
      <c r="M3" s="504"/>
      <c r="N3" s="504"/>
      <c r="O3" s="504"/>
      <c r="P3" s="504"/>
      <c r="Q3" s="504"/>
      <c r="R3" s="504"/>
      <c r="S3" s="145"/>
      <c r="T3" s="498" t="s">
        <v>212</v>
      </c>
      <c r="U3" s="499"/>
      <c r="V3" s="496" t="s">
        <v>213</v>
      </c>
      <c r="W3" s="496"/>
      <c r="X3" s="496"/>
      <c r="Y3" s="496"/>
      <c r="Z3" s="497"/>
    </row>
    <row r="4" spans="1:26" ht="25.5" customHeight="1">
      <c r="A4" s="140"/>
      <c r="B4" s="140"/>
      <c r="D4" s="143"/>
      <c r="E4" s="533" t="s">
        <v>214</v>
      </c>
      <c r="F4" s="533"/>
      <c r="G4" s="533"/>
      <c r="H4" s="533"/>
      <c r="I4" s="533"/>
      <c r="J4" s="533"/>
      <c r="K4" s="533"/>
      <c r="L4" s="533"/>
      <c r="M4" s="533"/>
      <c r="N4" s="533"/>
      <c r="O4" s="533"/>
      <c r="P4" s="533"/>
      <c r="Q4" s="533"/>
      <c r="R4" s="533"/>
      <c r="S4" s="145"/>
      <c r="T4" s="393"/>
      <c r="U4" s="394"/>
      <c r="V4" s="492" t="s">
        <v>215</v>
      </c>
      <c r="W4" s="493"/>
      <c r="X4" s="500" t="s">
        <v>216</v>
      </c>
      <c r="Y4" s="501"/>
      <c r="Z4" s="395" t="s">
        <v>217</v>
      </c>
    </row>
    <row r="5" spans="1:26" ht="18" customHeight="1">
      <c r="A5" s="140"/>
      <c r="B5" s="140"/>
      <c r="D5" s="143"/>
      <c r="E5" s="533" t="s">
        <v>39</v>
      </c>
      <c r="F5" s="533"/>
      <c r="G5" s="533"/>
      <c r="H5" s="533"/>
      <c r="I5" s="533"/>
      <c r="J5" s="533"/>
      <c r="K5" s="533"/>
      <c r="L5" s="533"/>
      <c r="M5" s="533"/>
      <c r="N5" s="533"/>
      <c r="O5" s="533"/>
      <c r="P5" s="533"/>
      <c r="Q5" s="533"/>
      <c r="R5" s="533"/>
      <c r="T5" s="396" t="s">
        <v>218</v>
      </c>
      <c r="U5" s="397"/>
      <c r="V5" s="494">
        <f ca="1">IFERROR(IF(F20="",0,F20)+IF(F70="",0,F70)+IF(F120="",0,F120)+IF(F170="",0,F170)+IF(F220="",0,F220)+IF(F270="",0,F270)+IF(F320="",0,F320)+IF(F370="",0,F370)+IF(F420="",0,F420)+IF(F470="",0,F470)+IF(F520="",0,F520)+IF(F570="",0,F570)+IF(F620="",0,F620),"")</f>
        <v>0</v>
      </c>
      <c r="W5" s="495"/>
      <c r="X5" s="502">
        <f ca="1">IFERROR(IF(L20="",0,L20)+IF(L70="",0,L70)+IF(L120="",0,L120)+IF(L170="",0,L170)+IF(L220="",0,L220)+IF(L270="",0,L270)+IF(L320="",0,L320)+IF(L370="",0,L370)+IF(L420="",0,L420)+IF(L470="",0,L470)+IF(L520="",0,L520)+IF(L570="",0,L570)+IF(L620="",0,L620),"")</f>
        <v>0</v>
      </c>
      <c r="Y5" s="503"/>
      <c r="Z5" s="398">
        <f ca="1">IFERROR(IF(T20="",0,T20)+IF(T70="",0,T70)+IF(T120="",0,T120)+IF(T170="",0,T170)+IF(T220="",0,T220)+IF(T270="",0,T270)+IF(T320="",0,T320)+IF(T370="",0,T370)+IF(T420="",0,T420)+IF(T470="",0,T470)+IF(T520="",0,T520)+IF(T570="",0,T570)+IF(T620="",0,T620),"")</f>
        <v>0</v>
      </c>
    </row>
    <row r="6" spans="1:26" ht="18" customHeight="1">
      <c r="A6" s="140"/>
      <c r="B6" s="140"/>
      <c r="D6" s="143"/>
      <c r="E6" s="533" t="s">
        <v>40</v>
      </c>
      <c r="F6" s="533"/>
      <c r="G6" s="533"/>
      <c r="H6" s="533"/>
      <c r="I6" s="533"/>
      <c r="J6" s="533"/>
      <c r="K6" s="533"/>
      <c r="L6" s="533"/>
      <c r="M6" s="533"/>
      <c r="N6" s="533"/>
      <c r="O6" s="533"/>
      <c r="P6" s="533"/>
      <c r="Q6" s="533"/>
      <c r="R6" s="533"/>
      <c r="T6" s="399" t="s">
        <v>219</v>
      </c>
      <c r="U6" s="400"/>
      <c r="V6" s="477">
        <f ca="1">IFERROR(Current_Medical_EE_Count,"")</f>
        <v>0</v>
      </c>
      <c r="W6" s="478"/>
      <c r="X6" s="477">
        <f ca="1">IFERROR(Renewal_Medical_EE_Count,"")</f>
        <v>0</v>
      </c>
      <c r="Y6" s="478"/>
      <c r="Z6" s="401">
        <f ca="1">IFERROR(Alternate_Medical_EE_Count,"")</f>
        <v>0</v>
      </c>
    </row>
    <row r="7" spans="1:26" ht="18" customHeight="1">
      <c r="A7" s="140"/>
      <c r="B7" s="140"/>
      <c r="D7" s="143"/>
      <c r="E7" s="533" t="s">
        <v>220</v>
      </c>
      <c r="F7" s="533"/>
      <c r="G7" s="533"/>
      <c r="H7" s="533"/>
      <c r="I7" s="533"/>
      <c r="J7" s="533"/>
      <c r="K7" s="533"/>
      <c r="L7" s="533"/>
      <c r="M7" s="533"/>
      <c r="N7" s="533"/>
      <c r="O7" s="533"/>
      <c r="P7" s="533"/>
      <c r="Q7" s="533"/>
      <c r="R7" s="533"/>
      <c r="T7" s="402" t="s">
        <v>221</v>
      </c>
      <c r="U7" s="406"/>
      <c r="V7" s="487" t="s">
        <v>222</v>
      </c>
      <c r="W7" s="488"/>
      <c r="X7" s="479">
        <f ca="1">IFERROR(IF(V5="","",X5-V5),0)</f>
        <v>0</v>
      </c>
      <c r="Y7" s="480"/>
      <c r="Z7" s="398">
        <f ca="1">IFERROR(IF(V5="","",Z5-V5),0)</f>
        <v>0</v>
      </c>
    </row>
    <row r="8" spans="1:26" ht="18" customHeight="1" thickBot="1">
      <c r="A8" s="140"/>
      <c r="B8" s="140"/>
      <c r="D8" s="143"/>
      <c r="E8" s="143"/>
      <c r="F8" s="145"/>
      <c r="G8" s="145"/>
      <c r="H8" s="145"/>
      <c r="I8" s="145"/>
      <c r="J8" s="145"/>
      <c r="K8" s="145"/>
      <c r="L8" s="145"/>
      <c r="M8" s="145"/>
      <c r="N8" s="145"/>
      <c r="O8" s="145"/>
      <c r="P8" s="145"/>
      <c r="Q8" s="145"/>
      <c r="R8" s="145"/>
      <c r="T8" s="403" t="s">
        <v>223</v>
      </c>
      <c r="U8" s="404"/>
      <c r="V8" s="489" t="s">
        <v>222</v>
      </c>
      <c r="W8" s="490"/>
      <c r="X8" s="481">
        <f ca="1">IFERROR(IF(X5="","",(X5/V5)-1),0)</f>
        <v>0</v>
      </c>
      <c r="Y8" s="482"/>
      <c r="Z8" s="405">
        <f ca="1">IFERROR(IF(Z5="","",(Z5/V5)-1),0)</f>
        <v>0</v>
      </c>
    </row>
    <row r="9" spans="1:140" s="151" customFormat="1" ht="18" customHeight="1">
      <c r="A9" s="140"/>
      <c r="B9" s="140"/>
      <c r="C9" s="141"/>
      <c r="D9" s="143"/>
      <c r="E9" s="143"/>
      <c r="F9" s="145"/>
      <c r="G9" s="145"/>
      <c r="H9" s="145"/>
      <c r="I9" s="145"/>
      <c r="J9" s="145"/>
      <c r="K9" s="145"/>
      <c r="L9" s="145"/>
      <c r="M9" s="145"/>
      <c r="N9" s="145"/>
      <c r="O9" s="145"/>
      <c r="P9" s="145"/>
      <c r="Q9" s="145"/>
      <c r="R9" s="145"/>
      <c r="S9" s="1"/>
      <c r="T9" s="2"/>
      <c r="U9" s="146"/>
      <c r="V9" s="146"/>
      <c r="W9" s="147"/>
      <c r="X9" s="148"/>
      <c r="Y9" s="147"/>
      <c r="Z9" s="148"/>
      <c r="AA9" s="1"/>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row>
    <row r="10" spans="1:27" ht="18" customHeight="1">
      <c r="A10" s="149"/>
      <c r="B10" s="149"/>
      <c r="C10"/>
      <c r="D10"/>
      <c r="E10"/>
      <c r="F10"/>
      <c r="G10"/>
      <c r="H10"/>
      <c r="I10"/>
      <c r="J10"/>
      <c r="K10" s="150"/>
      <c r="L10" s="483"/>
      <c r="M10" s="483"/>
      <c r="N10" s="483"/>
      <c r="O10" s="483"/>
      <c r="P10" s="483"/>
      <c r="Q10" s="483"/>
      <c r="R10" s="483"/>
      <c r="S10" s="151"/>
      <c r="T10" s="483"/>
      <c r="U10" s="483"/>
      <c r="V10" s="483"/>
      <c r="W10" s="483"/>
      <c r="X10" s="483"/>
      <c r="Y10" s="483"/>
      <c r="Z10" s="483"/>
      <c r="AA10" s="151"/>
    </row>
    <row r="11" spans="1:140" s="159" customFormat="1" ht="18" customHeight="1">
      <c r="A11" s="140"/>
      <c r="B11" s="140"/>
      <c r="C11"/>
      <c r="D11"/>
      <c r="E11" s="483" t="s">
        <v>224</v>
      </c>
      <c r="F11" s="483"/>
      <c r="G11" s="483"/>
      <c r="H11" s="483"/>
      <c r="I11" s="483"/>
      <c r="J11" s="483"/>
      <c r="K11" s="152"/>
      <c r="L11" s="483" t="s">
        <v>225</v>
      </c>
      <c r="M11" s="483"/>
      <c r="N11" s="483"/>
      <c r="O11" s="483"/>
      <c r="P11" s="483"/>
      <c r="Q11" s="483"/>
      <c r="R11" s="483"/>
      <c r="S11" s="1"/>
      <c r="T11" s="483" t="s">
        <v>226</v>
      </c>
      <c r="U11" s="483"/>
      <c r="V11" s="483"/>
      <c r="W11" s="483"/>
      <c r="X11" s="483"/>
      <c r="Y11" s="483"/>
      <c r="Z11" s="483"/>
      <c r="AA11" s="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row>
    <row r="12" spans="1:140" s="162" customFormat="1" ht="60" customHeight="1" thickBot="1">
      <c r="A12" s="153"/>
      <c r="B12" s="153"/>
      <c r="C12" s="154" t="s">
        <v>227</v>
      </c>
      <c r="D12" s="467" t="str">
        <f>IF(Class3_Name=0,"",Class3_Name)</f>
        <v>PRIMARY</v>
      </c>
      <c r="E12" s="155" t="str">
        <f>"Employee Count (as of "&amp;TEXT(CountsAsOfDate,"MM/DD/YY")&amp;")"</f>
        <v>Employee Count (as of 08/01/24)</v>
      </c>
      <c r="F12" s="156" t="str">
        <f>"CurrentRates"&amp;Benefit_Year_Display-1</f>
        <v>CurrentRates2024</v>
      </c>
      <c r="G12" s="156" t="s">
        <v>228</v>
      </c>
      <c r="H12" s="156" t="s">
        <v>229</v>
      </c>
      <c r="I12" s="155" t="s">
        <v>230</v>
      </c>
      <c r="J12" s="156" t="s">
        <v>231</v>
      </c>
      <c r="K12" s="157"/>
      <c r="L12" s="158" t="str">
        <f>"Rates Effective 1/1/"&amp;Benefit_Year_Display</f>
        <v>Rates Effective 1/1/2025</v>
      </c>
      <c r="M12" s="158" t="s">
        <v>232</v>
      </c>
      <c r="N12" s="116" t="s">
        <v>233</v>
      </c>
      <c r="O12" s="116" t="s">
        <v>234</v>
      </c>
      <c r="P12" s="158" t="str">
        <f>"Employer Contribution "&amp;Benefit_Year_Display</f>
        <v>Employer Contribution 2025</v>
      </c>
      <c r="Q12" s="158" t="str">
        <f>"Employee Contribution "&amp;Benefit_Year_Display</f>
        <v>Employee Contribution 2025</v>
      </c>
      <c r="R12" s="158" t="s">
        <v>231</v>
      </c>
      <c r="S12" s="159"/>
      <c r="T12" s="160" t="str">
        <f>"Rates Effective 1/1/"&amp;Benefit_Year_Display</f>
        <v>Rates Effective 1/1/2025</v>
      </c>
      <c r="U12" s="160" t="s">
        <v>232</v>
      </c>
      <c r="V12" s="117" t="s">
        <v>233</v>
      </c>
      <c r="W12" s="117" t="s">
        <v>234</v>
      </c>
      <c r="X12" s="160" t="str">
        <f>"Employer Contribution "&amp;Benefit_Year_Display</f>
        <v>Employer Contribution 2025</v>
      </c>
      <c r="Y12" s="160" t="str">
        <f>"Employee Contribution "&amp;Benefit_Year_Display</f>
        <v>Employee Contribution 2025</v>
      </c>
      <c r="Z12" s="160" t="s">
        <v>231</v>
      </c>
      <c r="AA12" s="159"/>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row>
    <row r="13" spans="1:27" ht="38.25" customHeight="1" thickBot="1">
      <c r="A13" s="153"/>
      <c r="B13" s="153"/>
      <c r="C13" s="161"/>
      <c r="D13" s="474" t="s">
        <v>235</v>
      </c>
      <c r="E13" s="475"/>
      <c r="F13" s="475"/>
      <c r="G13" s="475"/>
      <c r="H13" s="475"/>
      <c r="I13" s="475"/>
      <c r="J13" s="475"/>
      <c r="K13" s="475"/>
      <c r="L13" s="475"/>
      <c r="M13" s="475"/>
      <c r="N13" s="475"/>
      <c r="O13" s="475"/>
      <c r="P13" s="475"/>
      <c r="Q13" s="475"/>
      <c r="R13" s="476"/>
      <c r="S13" s="162"/>
      <c r="T13" s="163"/>
      <c r="U13" s="163"/>
      <c r="V13" s="163"/>
      <c r="W13" s="163"/>
      <c r="X13" s="163"/>
      <c r="Y13" s="163"/>
      <c r="Z13" s="163"/>
      <c r="AA13" s="162"/>
    </row>
    <row r="14" spans="1:26" ht="50.15" customHeight="1">
      <c r="A14" s="140">
        <v>1</v>
      </c>
      <c r="B14" s="140">
        <f>IF(A14&gt;Class3_CurrentHealthCount,"DELETE",Class3_CurrentHealthStart+A14)</f>
        <v>61</v>
      </c>
      <c r="C14" s="164" t="s">
        <v>236</v>
      </c>
      <c r="D14" s="273" t="e">
        <f ca="1">IF(B14="Delete","",VLOOKUP(F14,BEGIN_CURRENT_HEALTH:END_CURRENT_HEALTH,3,FALSE))</f>
        <v>#N/A</v>
      </c>
      <c r="E14" s="165"/>
      <c r="F14" s="320" cm="1">
        <f t="array" ca="1" aca="1" ref="F14">IF(B14="Delete","",INDIRECT("CurrentPlans!A"&amp;B14,TRUE))</f>
        <v>0</v>
      </c>
      <c r="G14" s="166"/>
      <c r="H14" s="167"/>
      <c r="I14" s="168"/>
      <c r="J14" s="169"/>
      <c r="K14"/>
      <c r="L14" s="274" t="str">
        <f ca="1">_xlfn.IFNA(VLOOKUP(F14,BEGIN_RENEWEDFROM_HEALTH:ROW_RenewHealth_PlanID,3,FALSE),"SELECT PLAN")</f>
        <v>SELECT PLAN</v>
      </c>
      <c r="M14" s="170"/>
      <c r="N14" s="274" t="s">
        <v>237</v>
      </c>
      <c r="O14" s="171"/>
      <c r="P14" s="171"/>
      <c r="Q14" s="171"/>
      <c r="R14" s="169"/>
      <c r="T14" s="274" t="s">
        <v>38</v>
      </c>
      <c r="U14" s="170"/>
      <c r="V14" s="274" t="s">
        <v>237</v>
      </c>
      <c r="W14" s="171"/>
      <c r="X14" s="171"/>
      <c r="Y14" s="171"/>
      <c r="Z14" s="169"/>
    </row>
    <row r="15" spans="1:26" ht="18.75" customHeight="1">
      <c r="A15" s="140"/>
      <c r="B15" s="140"/>
      <c r="D15" s="172" t="s">
        <v>238</v>
      </c>
      <c r="E15" s="407" t="str">
        <f ca="1">_xlfn.IFNA(VLOOKUP(F14,BEGIN_CURRENT_HEALTH:END_CURRENT_HEALTH,CURRENT_COL_EO_count,FALSE),"")</f>
        <v/>
      </c>
      <c r="F15" s="408" t="str">
        <f ca="1">_xlfn.IFNA(VLOOKUP(F14,BEGIN_CURRENT_HEALTH:END_CURRENT_HEALTH,CURRENT_COL_EO,FALSE),"")</f>
        <v/>
      </c>
      <c r="G15" s="468" t="str">
        <f ca="1" t="shared" si="0" ref="G15:G18">IF(F15="","",H15/F15)</f>
        <v/>
      </c>
      <c r="H15" s="408" t="str">
        <f ca="1">_xlfn.IFNA(VLOOKUP(F14,BEGIN_CURRENT_HEALTH:END_CURRENT_HEALTH,CURRENT_COL_EOContrib,FALSE),"")</f>
        <v/>
      </c>
      <c r="I15" s="409" t="str">
        <f ca="1">IFERROR(F15-H15,"")</f>
        <v/>
      </c>
      <c r="J15" s="410" t="str">
        <f ca="1">IF(F15="","",H15*E15)</f>
        <v/>
      </c>
      <c r="K15" s="411"/>
      <c r="L15" s="408" t="str" cm="1">
        <f t="array" ca="1" aca="1" ref="L15">_xlfn.IFNA(VLOOKUP(INDIRECT("L"&amp;ROW()-1)&amp;"_"&amp;$D$12,BEGIN_RENEW_HEALTH:END_RENEW_HEALTH,RENEW_COL_EO,FALSE),"")</f>
        <v/>
      </c>
      <c r="M15" s="412" t="str">
        <f ca="1">IF(E15="","",E15)</f>
        <v/>
      </c>
      <c r="N15" s="413"/>
      <c r="O15" s="414"/>
      <c r="P15" s="415" t="str">
        <f>IFERROR(IF($N14="Keep Contribution Same",H15,IF($N14="Enter Percentages",IF(N15="","",N15*L15),IF($N14="Keep Percentage Same",IF(G15="","",G15*L15),IF($N14="Enter Dollar Amount",IF(O15="","",O15),"")))),"")</f>
        <v/>
      </c>
      <c r="Q15" s="408" t="str">
        <f ca="1">IFERROR(L15-P15,"")</f>
        <v/>
      </c>
      <c r="R15" s="410" t="str">
        <f>IFERROR(IF(P15="","",M15*P15),"")</f>
        <v/>
      </c>
      <c r="S15" s="411"/>
      <c r="T15" s="408" t="str" cm="1">
        <f t="array" ca="1" aca="1" ref="T15">_xlfn.IFNA(VLOOKUP(INDIRECT("T"&amp;ROW()-1)&amp;"_"&amp;$D$12,BEGIN_RENEW_HEALTH:END_RENEW_HEALTH,RENEW_COL_EO,FALSE),"")</f>
        <v/>
      </c>
      <c r="U15" s="412" t="str">
        <f ca="1">IF(E15="","",E15)</f>
        <v/>
      </c>
      <c r="V15" s="413"/>
      <c r="W15" s="414"/>
      <c r="X15" s="415" t="str">
        <f>IFERROR(IF($V14="Keep Contribution Same",H15,IF($V14="Enter Percentages",IF(V15="","",V15*T15),IF($V14="Keep Percentage Same",IF(G15="","",G15*T15),IF($V14="Enter Dollar Amount",IF(W15="","",W15),"")))),"")</f>
        <v/>
      </c>
      <c r="Y15" s="408" t="str">
        <f ca="1">IFERROR(T15-X15,"")</f>
        <v/>
      </c>
      <c r="Z15" s="410" t="str">
        <f>IFERROR(IF(X15="","",U15*X15),"")</f>
        <v/>
      </c>
    </row>
    <row r="16" spans="1:26" ht="18.75" customHeight="1">
      <c r="A16" s="140"/>
      <c r="B16" s="140"/>
      <c r="D16" s="172" t="s">
        <v>239</v>
      </c>
      <c r="E16" s="407" t="str">
        <f ca="1">_xlfn.IFNA(VLOOKUP(F14,BEGIN_CURRENT_HEALTH:END_CURRENT_HEALTH,CURRENT_COL_ES_count,FALSE),"")</f>
        <v/>
      </c>
      <c r="F16" s="408" t="str">
        <f ca="1">_xlfn.IFNA(VLOOKUP(F14,BEGIN_CURRENT_HEALTH:END_CURRENT_HEALTH,CURRENT_COL_ES,FALSE),"")</f>
        <v/>
      </c>
      <c r="G16" s="468" t="str">
        <f t="shared" ca="1" si="0"/>
        <v/>
      </c>
      <c r="H16" s="408" t="str">
        <f ca="1">_xlfn.IFNA(VLOOKUP(F14,BEGIN_CURRENT_HEALTH:END_CURRENT_HEALTH,CURRENT_COL_ESContrib,FALSE),"")</f>
        <v/>
      </c>
      <c r="I16" s="409" t="str">
        <f ca="1" t="shared" si="1" ref="I16:I18">IFERROR(F16-H16,"")</f>
        <v/>
      </c>
      <c r="J16" s="410" t="str">
        <f ca="1">IF(F16="","",H16*E16)</f>
        <v/>
      </c>
      <c r="K16" s="411"/>
      <c r="L16" s="408" t="str" cm="1">
        <f t="array" ca="1" aca="1" ref="L16">_xlfn.IFNA(VLOOKUP(INDIRECT("L"&amp;ROW()-2)&amp;"_"&amp;$D$12,BEGIN_RENEW_HEALTH:END_RENEW_HEALTH,RENEW_COL_ES,FALSE),"")</f>
        <v/>
      </c>
      <c r="M16" s="412" t="str">
        <f ca="1">IF(E16="","",E16)</f>
        <v/>
      </c>
      <c r="N16" s="413"/>
      <c r="O16" s="414"/>
      <c r="P16" s="415" t="str">
        <f>IFERROR(IF($N14="Keep Contribution Same",H16,IF($N14="Enter Percentages",IF(N16="","",N16*L16),IF($N14="Keep Percentage Same",IF(G16="","",G16*L16),IF($N14="Enter Dollar Amount",IF(O16="","",O16),"")))),"")</f>
        <v/>
      </c>
      <c r="Q16" s="408" t="str">
        <f ca="1">IFERROR(L16-P16,"")</f>
        <v/>
      </c>
      <c r="R16" s="410" t="str">
        <f>IFERROR(IF(P16="","",M16*P16),"")</f>
        <v/>
      </c>
      <c r="S16" s="411"/>
      <c r="T16" s="408" t="str" cm="1">
        <f t="array" ca="1" aca="1" ref="T16">_xlfn.IFNA(VLOOKUP(INDIRECT("T"&amp;ROW()-2)&amp;"_"&amp;$D$12,BEGIN_RENEW_HEALTH:END_RENEW_HEALTH,RENEW_COL_ES,FALSE),"")</f>
        <v/>
      </c>
      <c r="U16" s="412" t="str">
        <f ca="1" t="shared" si="2" ref="U16:U18">IF(E16="","",E16)</f>
        <v/>
      </c>
      <c r="V16" s="413"/>
      <c r="W16" s="414"/>
      <c r="X16" s="415" t="str">
        <f>IFERROR(IF($V14="Keep Contribution Same",H16,IF($V14="Enter Percentages",IF(V16="","",V16*T16),IF($V14="Keep Percentage Same",IF(G16="","",G16*T16),IF($V14="Enter Dollar Amount",IF(W16="","",W16),"")))),"")</f>
        <v/>
      </c>
      <c r="Y16" s="408" t="str">
        <f ca="1" t="shared" si="3" ref="Y16:Y18">IFERROR(T16-X16,"")</f>
        <v/>
      </c>
      <c r="Z16" s="410" t="str">
        <f t="shared" si="4" ref="Z16:Z18">IFERROR(IF(X16="","",U16*X16),"")</f>
        <v/>
      </c>
    </row>
    <row r="17" spans="1:26" ht="18.75" customHeight="1">
      <c r="A17" s="140"/>
      <c r="B17" s="140"/>
      <c r="D17" s="172" t="s">
        <v>240</v>
      </c>
      <c r="E17" s="407" t="str">
        <f ca="1">_xlfn.IFNA(VLOOKUP(F14,BEGIN_CURRENT_HEALTH:END_CURRENT_HEALTH,CURRENT_COL_EC_count,FALSE),"")</f>
        <v/>
      </c>
      <c r="F17" s="408" t="str">
        <f ca="1">_xlfn.IFNA(VLOOKUP(F14,BEGIN_CURRENT_HEALTH:END_CURRENT_HEALTH,CURRENT_COL_EC,FALSE),"")</f>
        <v/>
      </c>
      <c r="G17" s="468" t="str">
        <f t="shared" ca="1" si="0"/>
        <v/>
      </c>
      <c r="H17" s="408" t="str">
        <f ca="1">_xlfn.IFNA(VLOOKUP(F14,BEGIN_CURRENT_HEALTH:END_CURRENT_HEALTH,CURRENT_COL_ECContrib,FALSE),"")</f>
        <v/>
      </c>
      <c r="I17" s="409" t="str">
        <f t="shared" ca="1" si="1"/>
        <v/>
      </c>
      <c r="J17" s="410" t="str">
        <f ca="1">IF(F17="","",H17*E17)</f>
        <v/>
      </c>
      <c r="K17" s="411"/>
      <c r="L17" s="408" t="str" cm="1">
        <f t="array" ca="1" aca="1" ref="L17">_xlfn.IFNA(VLOOKUP(INDIRECT("L"&amp;ROW()-3)&amp;"_"&amp;$D$12,BEGIN_RENEW_HEALTH:END_RENEW_HEALTH,RENEW_COL_EC,FALSE),"")</f>
        <v/>
      </c>
      <c r="M17" s="412" t="str">
        <f ca="1">IF(E17="","",E17)</f>
        <v/>
      </c>
      <c r="N17" s="413"/>
      <c r="O17" s="414"/>
      <c r="P17" s="415" t="str">
        <f>IFERROR(IF($N14="Keep Contribution Same",H17,IF($N14="Enter Percentages",IF(N17="","",N17*L17),IF($N14="Keep Percentage Same",IF(G17="","",G17*L17),IF($N14="Enter Dollar Amount",IF(O17="","",O17),"")))),"")</f>
        <v/>
      </c>
      <c r="Q17" s="408" t="str">
        <f ca="1">IFERROR(L17-P17,"")</f>
        <v/>
      </c>
      <c r="R17" s="410" t="str">
        <f>IFERROR(IF(P17="","",M17*P17),"")</f>
        <v/>
      </c>
      <c r="S17" s="411"/>
      <c r="T17" s="408" t="str" cm="1">
        <f t="array" ca="1" aca="1" ref="T17">_xlfn.IFNA(VLOOKUP(INDIRECT("T"&amp;ROW()-3)&amp;"_"&amp;$D$12,BEGIN_RENEW_HEALTH:END_RENEW_HEALTH,RENEW_COL_EC,FALSE),"")</f>
        <v/>
      </c>
      <c r="U17" s="412" t="str">
        <f t="shared" ca="1" si="2"/>
        <v/>
      </c>
      <c r="V17" s="413"/>
      <c r="W17" s="414"/>
      <c r="X17" s="415" t="str">
        <f>IFERROR(IF($V14="Keep Contribution Same",H17,IF($V14="Enter Percentages",IF(V17="","",V17*T17),IF($V14="Keep Percentage Same",IF(G17="","",G17*T17),IF($V14="Enter Dollar Amount",IF(W17="","",W17),"")))),"")</f>
        <v/>
      </c>
      <c r="Y17" s="408" t="str">
        <f t="shared" ca="1" si="3"/>
        <v/>
      </c>
      <c r="Z17" s="410" t="str">
        <f t="shared" si="4"/>
        <v/>
      </c>
    </row>
    <row r="18" spans="1:26" ht="18.75" customHeight="1" thickBot="1">
      <c r="A18" s="140"/>
      <c r="B18" s="140"/>
      <c r="D18" s="174" t="s">
        <v>241</v>
      </c>
      <c r="E18" s="416" t="str">
        <f ca="1">_xlfn.IFNA(VLOOKUP(F14,BEGIN_CURRENT_HEALTH:END_CURRENT_HEALTH,CURRENT_COL_FAM_count,FALSE),"")</f>
        <v/>
      </c>
      <c r="F18" s="417" t="str">
        <f ca="1">_xlfn.IFNA(VLOOKUP(F14,BEGIN_CURRENT_HEALTH:END_CURRENT_HEALTH,CURRENT_COL_FAM,FALSE),"")</f>
        <v/>
      </c>
      <c r="G18" s="469" t="str">
        <f t="shared" ca="1" si="0"/>
        <v/>
      </c>
      <c r="H18" s="417" t="str">
        <f ca="1">_xlfn.IFNA(VLOOKUP(F14,BEGIN_CURRENT_HEALTH:END_CURRENT_HEALTH,CURRENT_COL_FAMContrib,FALSE),"")</f>
        <v/>
      </c>
      <c r="I18" s="418" t="str">
        <f t="shared" ca="1" si="1"/>
        <v/>
      </c>
      <c r="J18" s="419" t="str">
        <f ca="1">IF(F18="","",H18*E18)</f>
        <v/>
      </c>
      <c r="K18" s="411"/>
      <c r="L18" s="417" t="str" cm="1">
        <f t="array" ca="1" aca="1" ref="L18">_xlfn.IFNA(VLOOKUP(INDIRECT("L"&amp;ROW()-4)&amp;"_"&amp;$D$12,BEGIN_RENEW_HEALTH:END_RENEW_HEALTH,RENEW_COL_FAM,FALSE),"")</f>
        <v/>
      </c>
      <c r="M18" s="423" t="str">
        <f ca="1">IF(E18="","",E18)</f>
        <v/>
      </c>
      <c r="N18" s="420"/>
      <c r="O18" s="421"/>
      <c r="P18" s="422" t="str">
        <f>IFERROR(IF($N14="Keep Contribution Same",H18,IF($N14="Enter Percentages",IF(N18="","",N18*L18),IF($N14="Keep Percentage Same",IF(G18="","",G18*L18),IF($N14="Enter Dollar Amount",IF(O18="","",O18),"")))),"")</f>
        <v/>
      </c>
      <c r="Q18" s="417" t="str">
        <f ca="1">IFERROR(L18-P18,"")</f>
        <v/>
      </c>
      <c r="R18" s="419" t="str">
        <f>IFERROR(IF(P18="","",M18*P18),"")</f>
        <v/>
      </c>
      <c r="S18" s="411"/>
      <c r="T18" s="417" t="str" cm="1">
        <f t="array" ca="1" aca="1" ref="T18">_xlfn.IFNA(VLOOKUP(INDIRECT("T"&amp;ROW()-4)&amp;"_"&amp;$D$12,BEGIN_RENEW_HEALTH:END_RENEW_HEALTH,RENEW_COL_FAM,FALSE),"")</f>
        <v/>
      </c>
      <c r="U18" s="423" t="str">
        <f t="shared" ca="1" si="2"/>
        <v/>
      </c>
      <c r="V18" s="420"/>
      <c r="W18" s="421"/>
      <c r="X18" s="422" t="str">
        <f>IFERROR(IF($V14="Keep Contribution Same",H18,IF($V14="Enter Percentages",IF(V18="","",V18*T18),IF($V14="Keep Percentage Same",IF(G18="","",G18*T18),IF($V14="Enter Dollar Amount",IF(W18="","",W18),"")))),"")</f>
        <v/>
      </c>
      <c r="Y18" s="417" t="str">
        <f t="shared" ca="1" si="3"/>
        <v/>
      </c>
      <c r="Z18" s="419" t="str">
        <f t="shared" si="4"/>
        <v/>
      </c>
    </row>
    <row r="19" spans="1:26" ht="18.75" customHeight="1" thickTop="1">
      <c r="A19" s="140"/>
      <c r="B19" s="140"/>
      <c r="D19" s="175" t="s">
        <v>242</v>
      </c>
      <c r="E19" s="424"/>
      <c r="F19" s="447" t="str">
        <f ca="1">IFERROR((F15*E15)+(F16*E16)+(F17*E17)+(F18*E18),"")</f>
        <v/>
      </c>
      <c r="G19" s="426"/>
      <c r="H19" s="427"/>
      <c r="I19" s="428"/>
      <c r="J19" s="429" t="str">
        <f ca="1">IFERROR(IF(J15="","",SUM(J15:J18)),0)</f>
        <v/>
      </c>
      <c r="K19" s="1"/>
      <c r="L19" s="430" t="str">
        <f ca="1">IFERROR((M15*L15)+(M16*L16)+(M17*L17)+(M18*L18),"")</f>
        <v/>
      </c>
      <c r="M19" s="427"/>
      <c r="N19" s="426"/>
      <c r="O19" s="427"/>
      <c r="P19" s="431"/>
      <c r="Q19" s="432"/>
      <c r="R19" s="429" t="str">
        <f>IFERROR(IF(R15="","",SUM(R15:R18)),0)</f>
        <v/>
      </c>
      <c r="T19" s="430" t="str">
        <f ca="1">IFERROR((U15*T15)+(U16*T16)+(U17*T17)+(U18*T18),"")</f>
        <v/>
      </c>
      <c r="U19" s="427"/>
      <c r="V19" s="426"/>
      <c r="W19" s="427"/>
      <c r="X19" s="431"/>
      <c r="Y19" s="432"/>
      <c r="Z19" s="429" t="str">
        <f>IFERROR(IF(Z15="","",SUM(Z15:Z18)),0)</f>
        <v/>
      </c>
    </row>
    <row r="20" spans="1:26" ht="18.75" customHeight="1">
      <c r="A20" s="140"/>
      <c r="B20" s="140"/>
      <c r="D20" s="177" t="s">
        <v>243</v>
      </c>
      <c r="E20" s="433"/>
      <c r="F20" s="448" t="str">
        <f ca="1">IFERROR(F19*12,"")</f>
        <v/>
      </c>
      <c r="G20" s="435"/>
      <c r="H20" s="436"/>
      <c r="I20" s="432"/>
      <c r="J20" s="437" t="str">
        <f ca="1">IF(J19="","",J19*12)</f>
        <v/>
      </c>
      <c r="K20" s="1"/>
      <c r="L20" s="438" t="str">
        <f ca="1">IFERROR(L19*12,"")</f>
        <v/>
      </c>
      <c r="M20" s="436"/>
      <c r="N20" s="435"/>
      <c r="O20" s="436"/>
      <c r="P20" s="432"/>
      <c r="Q20" s="432"/>
      <c r="R20" s="437" t="str">
        <f>IF(R19="","",R19*12)</f>
        <v/>
      </c>
      <c r="T20" s="438" t="str">
        <f ca="1">IFERROR(T19*12,"")</f>
        <v/>
      </c>
      <c r="U20" s="436"/>
      <c r="V20" s="435"/>
      <c r="W20" s="436"/>
      <c r="X20" s="432"/>
      <c r="Y20" s="432"/>
      <c r="Z20" s="437" t="str">
        <f>IF(Z19="","",Z19*12)</f>
        <v/>
      </c>
    </row>
    <row r="21" spans="1:26" ht="18.75" customHeight="1">
      <c r="A21" s="140"/>
      <c r="B21" s="140"/>
      <c r="D21" s="177" t="s">
        <v>244</v>
      </c>
      <c r="E21" s="433"/>
      <c r="F21" s="436"/>
      <c r="G21" s="435"/>
      <c r="H21" s="436"/>
      <c r="I21" s="432"/>
      <c r="J21" s="437"/>
      <c r="K21" s="1"/>
      <c r="L21" s="434" t="str">
        <f ca="1">IFERROR(L20-F20,"")</f>
        <v/>
      </c>
      <c r="M21" s="436"/>
      <c r="N21" s="435"/>
      <c r="O21" s="436"/>
      <c r="P21" s="432"/>
      <c r="Q21" s="432"/>
      <c r="R21" s="437" t="str">
        <f ca="1">IFERROR(IF(J20="","",R20-J20),0)</f>
        <v/>
      </c>
      <c r="T21" s="434" t="str">
        <f ca="1">IFERROR(T20-F20,"")</f>
        <v/>
      </c>
      <c r="U21" s="436"/>
      <c r="V21" s="435"/>
      <c r="W21" s="436"/>
      <c r="X21" s="432"/>
      <c r="Y21" s="432"/>
      <c r="Z21" s="437" t="str">
        <f>IFERROR(IF(R20="","",Z20-R20),0)</f>
        <v/>
      </c>
    </row>
    <row r="22" spans="1:26" ht="18.75" customHeight="1" thickBot="1">
      <c r="A22" s="140"/>
      <c r="B22" s="140"/>
      <c r="D22" s="180" t="s">
        <v>245</v>
      </c>
      <c r="E22" s="439"/>
      <c r="F22" s="440"/>
      <c r="G22" s="441"/>
      <c r="H22" s="440"/>
      <c r="I22" s="442"/>
      <c r="J22" s="437"/>
      <c r="K22" s="1"/>
      <c r="L22" s="444" t="str">
        <f ca="1">IFERROR(L20/F20-1,"")</f>
        <v/>
      </c>
      <c r="M22" s="440"/>
      <c r="N22" s="441"/>
      <c r="O22" s="440"/>
      <c r="P22" s="445"/>
      <c r="Q22" s="445"/>
      <c r="R22" s="446" t="str">
        <f ca="1">IFERROR(IF(J20="","",(R20/J20)-1),0)</f>
        <v/>
      </c>
      <c r="T22" s="444" t="str">
        <f ca="1">IFERROR(T20/F20-1,"")</f>
        <v/>
      </c>
      <c r="U22" s="440"/>
      <c r="V22" s="441"/>
      <c r="W22" s="440"/>
      <c r="X22" s="445"/>
      <c r="Y22" s="445"/>
      <c r="Z22" s="446" t="str">
        <f>IFERROR(IF(R20="","",(Z20/R20)-1),0)</f>
        <v/>
      </c>
    </row>
    <row r="23" spans="1:26" ht="18.75" customHeight="1">
      <c r="A23" s="140"/>
      <c r="B23" s="140"/>
      <c r="D23" s="181" t="s">
        <v>246</v>
      </c>
      <c r="E23" s="182"/>
      <c r="F23" s="182"/>
      <c r="G23" s="182"/>
      <c r="H23" s="182"/>
      <c r="I23" s="182"/>
      <c r="J23" s="183"/>
      <c r="K23"/>
      <c r="L23" s="184"/>
      <c r="M23" s="182"/>
      <c r="N23" s="182"/>
      <c r="O23" s="182"/>
      <c r="P23" s="182"/>
      <c r="Q23" s="182"/>
      <c r="R23" s="183"/>
      <c r="T23" s="184"/>
      <c r="U23" s="182"/>
      <c r="V23" s="182"/>
      <c r="W23" s="182"/>
      <c r="X23" s="182"/>
      <c r="Y23" s="182"/>
      <c r="Z23" s="183"/>
    </row>
    <row r="24" spans="1:26" ht="18.75" customHeight="1" hidden="1">
      <c r="A24" s="140"/>
      <c r="B24" s="140"/>
      <c r="D24" s="185" t="s">
        <v>247</v>
      </c>
      <c r="E24" s="186"/>
      <c r="F24" s="186"/>
      <c r="G24" s="186"/>
      <c r="H24" s="186"/>
      <c r="I24" s="186"/>
      <c r="J24" s="187"/>
      <c r="K24"/>
      <c r="L24" s="188"/>
      <c r="M24" s="186"/>
      <c r="N24" s="186"/>
      <c r="O24" s="186"/>
      <c r="P24" s="186"/>
      <c r="Q24" s="186"/>
      <c r="R24" s="187"/>
      <c r="T24" s="188"/>
      <c r="U24" s="186"/>
      <c r="V24" s="186"/>
      <c r="W24" s="186"/>
      <c r="X24" s="186"/>
      <c r="Y24" s="186"/>
      <c r="Z24" s="187"/>
    </row>
    <row r="25" spans="1:26" ht="18.75" customHeight="1" hidden="1">
      <c r="A25" s="140"/>
      <c r="B25" s="140"/>
      <c r="D25" s="189" t="s">
        <v>248</v>
      </c>
      <c r="E25" s="190" t="e">
        <f ca="1">D14&amp;"_"&amp;D12</f>
        <v>#N/A</v>
      </c>
      <c r="F25" s="191"/>
      <c r="G25" s="191"/>
      <c r="H25" s="191"/>
      <c r="I25" s="190"/>
      <c r="J25" s="192"/>
      <c r="K25"/>
      <c r="L25" s="193" t="str">
        <f ca="1">L14&amp;"_"&amp;D12</f>
        <v>SELECT PLAN_PRIMARY</v>
      </c>
      <c r="M25" s="191"/>
      <c r="N25" s="191"/>
      <c r="O25" s="191"/>
      <c r="P25" s="190"/>
      <c r="Q25" s="191"/>
      <c r="R25" s="192"/>
      <c r="T25" s="193" t="str">
        <f>T14&amp;"_"&amp;D12</f>
        <v>SELECT PLAN_PRIMARY</v>
      </c>
      <c r="U25" s="191"/>
      <c r="V25" s="191"/>
      <c r="W25" s="191"/>
      <c r="X25" s="190"/>
      <c r="Y25" s="191"/>
      <c r="Z25" s="192"/>
    </row>
    <row r="26" spans="1:26" ht="18.75" customHeight="1" hidden="1">
      <c r="A26" s="140"/>
      <c r="B26" s="140"/>
      <c r="D26" s="189" t="s">
        <v>249</v>
      </c>
      <c r="E26" s="191"/>
      <c r="F26" s="191"/>
      <c r="G26" s="191"/>
      <c r="H26" s="191"/>
      <c r="I26" s="191"/>
      <c r="J26" s="192"/>
      <c r="K26"/>
      <c r="L26" s="189"/>
      <c r="M26" s="191"/>
      <c r="N26" s="191"/>
      <c r="O26" s="191"/>
      <c r="P26" s="191"/>
      <c r="Q26" s="191"/>
      <c r="R26" s="192"/>
      <c r="T26" s="189"/>
      <c r="U26" s="191"/>
      <c r="V26" s="191"/>
      <c r="W26" s="191"/>
      <c r="X26" s="191"/>
      <c r="Y26" s="191"/>
      <c r="Z26" s="192"/>
    </row>
    <row r="27" spans="1:26" ht="18.75" customHeight="1" hidden="1">
      <c r="A27" s="140"/>
      <c r="B27" s="140"/>
      <c r="D27" s="194" t="s">
        <v>250</v>
      </c>
      <c r="E27" s="195"/>
      <c r="F27" s="195"/>
      <c r="G27" s="195"/>
      <c r="H27" s="195"/>
      <c r="I27" s="195"/>
      <c r="J27" s="196"/>
      <c r="K27"/>
      <c r="L27" s="197"/>
      <c r="M27" s="195"/>
      <c r="N27" s="195"/>
      <c r="O27" s="195"/>
      <c r="P27" s="195"/>
      <c r="Q27" s="195"/>
      <c r="R27" s="196"/>
      <c r="T27" s="197"/>
      <c r="U27" s="195"/>
      <c r="V27" s="195"/>
      <c r="W27" s="195"/>
      <c r="X27" s="195"/>
      <c r="Y27" s="195"/>
      <c r="Z27" s="196"/>
    </row>
    <row r="28" spans="1:26" ht="18.75" customHeight="1" hidden="1">
      <c r="A28" s="140"/>
      <c r="B28" s="140"/>
      <c r="D28" s="198" t="s">
        <v>251</v>
      </c>
      <c r="E28" s="199" t="e">
        <f>_xlfn.XLOOKUP(E25,CurrentPlans!B:B,CurrentPlans!X:X,"NA",0,1)</f>
        <v>#N/A</v>
      </c>
      <c r="F28" s="200"/>
      <c r="G28" s="200"/>
      <c r="H28" s="200"/>
      <c r="I28" s="199"/>
      <c r="J28" s="201"/>
      <c r="K28"/>
      <c r="L28" s="202" t="str">
        <f ca="1">_xlfn.XLOOKUP(L25,RenewalPlans!B:B,RenewalPlans!AA:AA,"NA",0,1)</f>
        <v>NA</v>
      </c>
      <c r="M28" s="200"/>
      <c r="N28" s="200"/>
      <c r="O28" s="200"/>
      <c r="P28" s="199"/>
      <c r="Q28" s="200"/>
      <c r="R28" s="201"/>
      <c r="T28" s="202" t="str">
        <f>_xlfn.XLOOKUP(T25,RenewalPlans!B:B,RenewalPlans!AA:AA,"NA",0,1)</f>
        <v>NA</v>
      </c>
      <c r="U28" s="200"/>
      <c r="V28" s="200"/>
      <c r="W28" s="200"/>
      <c r="X28" s="199"/>
      <c r="Y28" s="200"/>
      <c r="Z28" s="201"/>
    </row>
    <row r="29" spans="1:26" ht="18.75" customHeight="1" hidden="1">
      <c r="A29" s="140"/>
      <c r="B29" s="140"/>
      <c r="D29" s="198" t="s">
        <v>252</v>
      </c>
      <c r="E29" s="199" t="e">
        <f>_xlfn.XLOOKUP(E25,CurrentPlans!B:B,CurrentPlans!Y:Y,"NA",0,1)</f>
        <v>#N/A</v>
      </c>
      <c r="F29" s="200"/>
      <c r="G29" s="200"/>
      <c r="H29" s="200"/>
      <c r="I29" s="199"/>
      <c r="J29" s="201"/>
      <c r="K29"/>
      <c r="L29" s="202" t="str">
        <f ca="1">_xlfn.XLOOKUP(L25,RenewalPlans!B:B,RenewalPlans!AB:AB,"NA",0,1)</f>
        <v>NA</v>
      </c>
      <c r="M29" s="200"/>
      <c r="N29" s="200"/>
      <c r="O29" s="200"/>
      <c r="P29" s="199"/>
      <c r="Q29" s="200"/>
      <c r="R29" s="201"/>
      <c r="T29" s="202" t="str">
        <f>_xlfn.XLOOKUP(T25,RenewalPlans!B:B,RenewalPlans!AB:AB,"NA",0,1)</f>
        <v>NA</v>
      </c>
      <c r="U29" s="200"/>
      <c r="V29" s="200"/>
      <c r="W29" s="200"/>
      <c r="X29" s="199"/>
      <c r="Y29" s="200"/>
      <c r="Z29" s="201"/>
    </row>
    <row r="30" spans="1:26" ht="18.75" customHeight="1" hidden="1">
      <c r="A30" s="140"/>
      <c r="B30" s="140"/>
      <c r="D30" s="120" t="s">
        <v>253</v>
      </c>
      <c r="E30" s="121" t="e">
        <f>_xlfn.XLOOKUP(E25,CurrentPlans!B:B,CurrentPlans!W:W,"NA",0,1)</f>
        <v>#N/A</v>
      </c>
      <c r="F30" s="122"/>
      <c r="G30" s="122"/>
      <c r="H30" s="122"/>
      <c r="I30" s="121"/>
      <c r="J30" s="123"/>
      <c r="K30"/>
      <c r="L30" s="124" t="str">
        <f ca="1">_xlfn.XLOOKUP(L25,RenewalPlans!B:B,RenewalPlans!Z:Z,"NA",0,1)</f>
        <v>NA</v>
      </c>
      <c r="M30" s="122"/>
      <c r="N30" s="122"/>
      <c r="O30" s="122"/>
      <c r="P30" s="121"/>
      <c r="Q30" s="122"/>
      <c r="R30" s="123"/>
      <c r="T30" s="124" t="str">
        <f>_xlfn.XLOOKUP(T25,RenewalPlans!B:B,RenewalPlans!Z:Z,"NA",0,1)</f>
        <v>NA</v>
      </c>
      <c r="U30" s="122"/>
      <c r="V30" s="122"/>
      <c r="W30" s="122"/>
      <c r="X30" s="121"/>
      <c r="Y30" s="122"/>
      <c r="Z30" s="123"/>
    </row>
    <row r="31" spans="1:26" ht="18.75" customHeight="1" hidden="1">
      <c r="A31" s="140"/>
      <c r="B31" s="140"/>
      <c r="D31" s="203" t="s">
        <v>254</v>
      </c>
      <c r="E31" s="204"/>
      <c r="F31" s="205"/>
      <c r="G31" s="205"/>
      <c r="H31" s="205"/>
      <c r="I31" s="204"/>
      <c r="J31" s="206"/>
      <c r="K31"/>
      <c r="L31" s="207"/>
      <c r="M31" s="205"/>
      <c r="N31" s="205"/>
      <c r="O31" s="205"/>
      <c r="P31" s="204"/>
      <c r="Q31" s="205"/>
      <c r="R31" s="206"/>
      <c r="T31" s="207"/>
      <c r="U31" s="205"/>
      <c r="V31" s="205"/>
      <c r="W31" s="205"/>
      <c r="X31" s="204"/>
      <c r="Y31" s="205"/>
      <c r="Z31" s="206"/>
    </row>
    <row r="32" spans="1:26" ht="18.75" customHeight="1" hidden="1">
      <c r="A32" s="140"/>
      <c r="B32" s="140"/>
      <c r="D32" s="125" t="s">
        <v>255</v>
      </c>
      <c r="E32" s="126" t="e">
        <f>_xlfn.XLOOKUP(E25,CurrentPlans!B:B,CurrentPlans!Z:Z,"NA",0,1)</f>
        <v>#N/A</v>
      </c>
      <c r="F32" s="127"/>
      <c r="G32" s="127"/>
      <c r="H32" s="127"/>
      <c r="I32" s="126"/>
      <c r="J32" s="128"/>
      <c r="K32"/>
      <c r="L32" s="129" t="str">
        <f ca="1">_xlfn.XLOOKUP(L25,RenewalPlans!B:B,RenewalPlans!AC:AC,"NA",0,1)</f>
        <v>NA</v>
      </c>
      <c r="M32" s="127"/>
      <c r="N32" s="127"/>
      <c r="O32" s="127"/>
      <c r="P32" s="126"/>
      <c r="Q32" s="127"/>
      <c r="R32" s="128"/>
      <c r="T32" s="129" t="str">
        <f>_xlfn.XLOOKUP(T25,RenewalPlans!B:B,RenewalPlans!AC:AC,"NA",0,1)</f>
        <v>NA</v>
      </c>
      <c r="U32" s="127"/>
      <c r="V32" s="127"/>
      <c r="W32" s="127"/>
      <c r="X32" s="126"/>
      <c r="Y32" s="127"/>
      <c r="Z32" s="128"/>
    </row>
    <row r="33" spans="1:26" ht="18.75" customHeight="1" hidden="1">
      <c r="A33" s="140"/>
      <c r="B33" s="140"/>
      <c r="D33" s="198" t="s">
        <v>256</v>
      </c>
      <c r="E33" s="208" t="e">
        <f>_xlfn.XLOOKUP(E25,CurrentPlans!B:B,CurrentPlans!AA:AA,"NA",0,1)</f>
        <v>#N/A</v>
      </c>
      <c r="F33" s="200"/>
      <c r="G33" s="200"/>
      <c r="H33" s="200"/>
      <c r="I33" s="208"/>
      <c r="J33" s="201"/>
      <c r="K33"/>
      <c r="L33" s="209" t="str">
        <f ca="1">_xlfn.XLOOKUP(L25,RenewalPlans!B:B,RenewalPlans!AD:AD,"NA",0,1)</f>
        <v>NA</v>
      </c>
      <c r="M33" s="200"/>
      <c r="N33" s="200"/>
      <c r="O33" s="200"/>
      <c r="P33" s="208"/>
      <c r="Q33" s="200"/>
      <c r="R33" s="201"/>
      <c r="T33" s="209" t="str">
        <f>_xlfn.XLOOKUP(T25,RenewalPlans!B:B,RenewalPlans!AD:AD,"NA",0,1)</f>
        <v>NA</v>
      </c>
      <c r="U33" s="200"/>
      <c r="V33" s="200"/>
      <c r="W33" s="200"/>
      <c r="X33" s="208"/>
      <c r="Y33" s="200"/>
      <c r="Z33" s="201"/>
    </row>
    <row r="34" spans="1:26" ht="18.75" customHeight="1" hidden="1">
      <c r="A34" s="140"/>
      <c r="B34" s="140"/>
      <c r="D34" s="203" t="s">
        <v>257</v>
      </c>
      <c r="E34" s="204"/>
      <c r="F34" s="205"/>
      <c r="G34" s="205"/>
      <c r="H34" s="205"/>
      <c r="I34" s="204"/>
      <c r="J34" s="206"/>
      <c r="K34"/>
      <c r="L34" s="207"/>
      <c r="M34" s="205"/>
      <c r="N34" s="205"/>
      <c r="O34" s="205"/>
      <c r="P34" s="204"/>
      <c r="Q34" s="205"/>
      <c r="R34" s="206"/>
      <c r="T34" s="207"/>
      <c r="U34" s="205"/>
      <c r="V34" s="205"/>
      <c r="W34" s="205"/>
      <c r="X34" s="204"/>
      <c r="Y34" s="205"/>
      <c r="Z34" s="206"/>
    </row>
    <row r="35" spans="1:26" ht="18.75" customHeight="1" hidden="1">
      <c r="A35" s="140"/>
      <c r="B35" s="140"/>
      <c r="D35" s="198" t="s">
        <v>258</v>
      </c>
      <c r="E35" s="208" t="e">
        <f>_xlfn.XLOOKUP(E25,CurrentPlans!B:B,CurrentPlans!AB:AB,"NA",0,1)</f>
        <v>#N/A</v>
      </c>
      <c r="F35" s="200"/>
      <c r="G35" s="200"/>
      <c r="H35" s="200"/>
      <c r="I35" s="208"/>
      <c r="J35" s="201"/>
      <c r="K35"/>
      <c r="L35" s="209" t="str">
        <f ca="1">_xlfn.XLOOKUP(L25,RenewalPlans!B:B,RenewalPlans!AE:AE,"NA",0,1)</f>
        <v>NA</v>
      </c>
      <c r="M35" s="200"/>
      <c r="N35" s="200"/>
      <c r="O35" s="200"/>
      <c r="P35" s="208"/>
      <c r="Q35" s="200"/>
      <c r="R35" s="201"/>
      <c r="T35" s="209" t="str">
        <f>_xlfn.XLOOKUP(T25,RenewalPlans!B:B,RenewalPlans!AE:AE,"NA",0,1)</f>
        <v>NA</v>
      </c>
      <c r="U35" s="200"/>
      <c r="V35" s="200"/>
      <c r="W35" s="200"/>
      <c r="X35" s="208"/>
      <c r="Y35" s="200"/>
      <c r="Z35" s="201"/>
    </row>
    <row r="36" spans="1:26" ht="18.75" customHeight="1" hidden="1">
      <c r="A36" s="140"/>
      <c r="B36" s="140"/>
      <c r="D36" s="198" t="s">
        <v>259</v>
      </c>
      <c r="E36" s="208" t="e">
        <f>_xlfn.XLOOKUP(E25,CurrentPlans!B:B,CurrentPlans!AC:AC,"NA",0,1)</f>
        <v>#N/A</v>
      </c>
      <c r="F36" s="200"/>
      <c r="G36" s="200"/>
      <c r="H36" s="200"/>
      <c r="I36" s="208"/>
      <c r="J36" s="201"/>
      <c r="K36"/>
      <c r="L36" s="209" t="str">
        <f ca="1">_xlfn.XLOOKUP(L25,RenewalPlans!B:B,RenewalPlans!AF:AF,"NA",0,1)</f>
        <v>NA</v>
      </c>
      <c r="M36" s="200"/>
      <c r="N36" s="200"/>
      <c r="O36" s="200"/>
      <c r="P36" s="208"/>
      <c r="Q36" s="200"/>
      <c r="R36" s="201"/>
      <c r="T36" s="209" t="str">
        <f>_xlfn.XLOOKUP(T25,RenewalPlans!B:B,RenewalPlans!AF:AF,"NA",0,1)</f>
        <v>NA</v>
      </c>
      <c r="U36" s="200"/>
      <c r="V36" s="200"/>
      <c r="W36" s="200"/>
      <c r="X36" s="208"/>
      <c r="Y36" s="200"/>
      <c r="Z36" s="201"/>
    </row>
    <row r="37" spans="1:26" ht="18.75" customHeight="1" hidden="1">
      <c r="A37" s="140"/>
      <c r="B37" s="140"/>
      <c r="D37" s="210"/>
      <c r="E37" s="211"/>
      <c r="F37" s="211"/>
      <c r="G37" s="211"/>
      <c r="H37" s="211"/>
      <c r="I37" s="211"/>
      <c r="J37" s="212"/>
      <c r="K37"/>
      <c r="L37" s="210"/>
      <c r="M37" s="211"/>
      <c r="N37" s="211"/>
      <c r="O37" s="211"/>
      <c r="P37" s="211"/>
      <c r="Q37" s="211"/>
      <c r="R37" s="212"/>
      <c r="T37" s="210"/>
      <c r="U37" s="211"/>
      <c r="V37" s="211"/>
      <c r="W37" s="211"/>
      <c r="X37" s="211"/>
      <c r="Y37" s="211"/>
      <c r="Z37" s="212"/>
    </row>
    <row r="38" spans="1:26" ht="18.75" customHeight="1" hidden="1">
      <c r="A38" s="140"/>
      <c r="B38" s="140"/>
      <c r="D38" s="185" t="s">
        <v>260</v>
      </c>
      <c r="E38" s="186"/>
      <c r="F38" s="186"/>
      <c r="G38" s="186"/>
      <c r="H38" s="186"/>
      <c r="I38" s="186"/>
      <c r="J38" s="187"/>
      <c r="K38"/>
      <c r="L38" s="188"/>
      <c r="M38" s="186"/>
      <c r="N38" s="186"/>
      <c r="O38" s="186"/>
      <c r="P38" s="186"/>
      <c r="Q38" s="186"/>
      <c r="R38" s="187"/>
      <c r="T38" s="188"/>
      <c r="U38" s="186"/>
      <c r="V38" s="186"/>
      <c r="W38" s="186"/>
      <c r="X38" s="186"/>
      <c r="Y38" s="186"/>
      <c r="Z38" s="187"/>
    </row>
    <row r="39" spans="1:26" ht="18.75" customHeight="1" hidden="1">
      <c r="A39" s="140"/>
      <c r="B39" s="140"/>
      <c r="D39" s="213" t="s">
        <v>261</v>
      </c>
      <c r="E39" s="130" t="e">
        <f>_xlfn.XLOOKUP(E25,CurrentPlans!B:B,CurrentPlans!AJ:AJ,"NA",0,1)</f>
        <v>#N/A</v>
      </c>
      <c r="F39" s="214"/>
      <c r="G39" s="214"/>
      <c r="H39" s="214"/>
      <c r="I39" s="130"/>
      <c r="J39" s="215"/>
      <c r="K39"/>
      <c r="L39" s="131" t="str">
        <f ca="1">_xlfn.XLOOKUP(L25,RenewalPlans!B:B,RenewalPlans!AM:AM,"NA",0,1)</f>
        <v>NA</v>
      </c>
      <c r="M39" s="214"/>
      <c r="N39" s="214"/>
      <c r="O39" s="214"/>
      <c r="P39" s="130"/>
      <c r="Q39" s="214"/>
      <c r="R39" s="215"/>
      <c r="T39" s="131" t="str">
        <f>_xlfn.XLOOKUP(T25,RenewalPlans!B:B,RenewalPlans!AM:AM,"NA",0,1)</f>
        <v>NA</v>
      </c>
      <c r="U39" s="214"/>
      <c r="V39" s="214"/>
      <c r="W39" s="214"/>
      <c r="X39" s="130"/>
      <c r="Y39" s="214"/>
      <c r="Z39" s="215"/>
    </row>
    <row r="40" spans="1:26" ht="18.75" customHeight="1" hidden="1">
      <c r="A40" s="140"/>
      <c r="B40" s="140"/>
      <c r="D40" s="198" t="s">
        <v>262</v>
      </c>
      <c r="E40" s="130" t="e">
        <f>_xlfn.XLOOKUP(E25,CurrentPlans!B:B,CurrentPlans!AM:AM,"NA",0,1)</f>
        <v>#N/A</v>
      </c>
      <c r="F40" s="200"/>
      <c r="G40" s="200"/>
      <c r="H40" s="200"/>
      <c r="I40" s="130"/>
      <c r="J40" s="201"/>
      <c r="K40"/>
      <c r="L40" s="131" t="str">
        <f ca="1">_xlfn.XLOOKUP(L25,RenewalPlans!B:B,RenewalPlans!AP:AP,"NA",0,1)</f>
        <v>NA</v>
      </c>
      <c r="M40" s="200"/>
      <c r="N40" s="200"/>
      <c r="O40" s="200"/>
      <c r="P40" s="130"/>
      <c r="Q40" s="200"/>
      <c r="R40" s="201"/>
      <c r="T40" s="131" t="str">
        <f>_xlfn.XLOOKUP(T25,RenewalPlans!B:B,RenewalPlans!AP:AP,"NA",0,1)</f>
        <v>NA</v>
      </c>
      <c r="U40" s="200"/>
      <c r="V40" s="200"/>
      <c r="W40" s="200"/>
      <c r="X40" s="130"/>
      <c r="Y40" s="200"/>
      <c r="Z40" s="201"/>
    </row>
    <row r="41" spans="1:26" ht="18.75" customHeight="1" hidden="1">
      <c r="A41" s="140"/>
      <c r="B41" s="140"/>
      <c r="D41" s="198" t="s">
        <v>263</v>
      </c>
      <c r="E41" s="130" t="e">
        <f>_xlfn.XLOOKUP(E25,CurrentPlans!B:B,CurrentPlans!AI:AI,"NA",0,1)</f>
        <v>#N/A</v>
      </c>
      <c r="F41" s="200"/>
      <c r="G41" s="200"/>
      <c r="H41" s="200"/>
      <c r="I41" s="130"/>
      <c r="J41" s="201"/>
      <c r="K41"/>
      <c r="L41" s="131" t="str">
        <f ca="1">_xlfn.XLOOKUP(L25,RenewalPlans!B:B,RenewalPlans!AL:AL,"NA",0,1)</f>
        <v>NA</v>
      </c>
      <c r="M41" s="200"/>
      <c r="N41" s="200"/>
      <c r="O41" s="200"/>
      <c r="P41" s="130"/>
      <c r="Q41" s="200"/>
      <c r="R41" s="201"/>
      <c r="T41" s="131" t="str">
        <f>_xlfn.XLOOKUP(T25,RenewalPlans!B:B,RenewalPlans!AL:AL,"NA",0,1)</f>
        <v>NA</v>
      </c>
      <c r="U41" s="200"/>
      <c r="V41" s="200"/>
      <c r="W41" s="200"/>
      <c r="X41" s="130"/>
      <c r="Y41" s="200"/>
      <c r="Z41" s="201"/>
    </row>
    <row r="42" spans="1:26" ht="18.75" customHeight="1" hidden="1">
      <c r="A42" s="140"/>
      <c r="B42" s="140"/>
      <c r="D42" s="198" t="s">
        <v>264</v>
      </c>
      <c r="E42" s="208" t="e">
        <f>_xlfn.XLOOKUP(E25,CurrentPlans!B:B,CurrentPlans!AN:AN,"NA",0,1)</f>
        <v>#N/A</v>
      </c>
      <c r="F42" s="200"/>
      <c r="G42" s="200"/>
      <c r="H42" s="200"/>
      <c r="I42" s="208"/>
      <c r="J42" s="201"/>
      <c r="K42"/>
      <c r="L42" s="209" t="str">
        <f ca="1">_xlfn.XLOOKUP(L25,RenewalPlans!B:B,RenewalPlans!AQ:AQ,"NA",0,1)</f>
        <v>NA</v>
      </c>
      <c r="M42" s="200"/>
      <c r="N42" s="200"/>
      <c r="O42" s="200"/>
      <c r="P42" s="208"/>
      <c r="Q42" s="200"/>
      <c r="R42" s="201"/>
      <c r="T42" s="209" t="str">
        <f>_xlfn.XLOOKUP(T25,RenewalPlans!B:B,RenewalPlans!AQ:AQ,"NA",0,1)</f>
        <v>NA</v>
      </c>
      <c r="U42" s="200"/>
      <c r="V42" s="200"/>
      <c r="W42" s="200"/>
      <c r="X42" s="208"/>
      <c r="Y42" s="200"/>
      <c r="Z42" s="201"/>
    </row>
    <row r="43" spans="1:26" ht="18.75" customHeight="1" hidden="1">
      <c r="A43" s="140"/>
      <c r="B43" s="140"/>
      <c r="D43" s="210"/>
      <c r="E43" s="211"/>
      <c r="F43" s="211"/>
      <c r="G43" s="211"/>
      <c r="H43" s="211"/>
      <c r="I43" s="211"/>
      <c r="J43" s="212"/>
      <c r="K43"/>
      <c r="L43" s="210"/>
      <c r="M43" s="211"/>
      <c r="N43" s="211"/>
      <c r="O43" s="211"/>
      <c r="P43" s="211"/>
      <c r="Q43" s="211"/>
      <c r="R43" s="212"/>
      <c r="T43" s="210"/>
      <c r="U43" s="211"/>
      <c r="V43" s="211"/>
      <c r="W43" s="211"/>
      <c r="X43" s="211"/>
      <c r="Y43" s="211"/>
      <c r="Z43" s="212"/>
    </row>
    <row r="44" spans="1:26" ht="18.75" customHeight="1" hidden="1">
      <c r="A44" s="140"/>
      <c r="B44" s="140"/>
      <c r="D44" s="185" t="s">
        <v>265</v>
      </c>
      <c r="E44" s="186"/>
      <c r="F44" s="186"/>
      <c r="G44" s="186"/>
      <c r="H44" s="186"/>
      <c r="I44" s="186"/>
      <c r="J44" s="187"/>
      <c r="K44"/>
      <c r="L44" s="188"/>
      <c r="M44" s="186"/>
      <c r="N44" s="186"/>
      <c r="O44" s="186"/>
      <c r="P44" s="186"/>
      <c r="Q44" s="186"/>
      <c r="R44" s="187"/>
      <c r="T44" s="188"/>
      <c r="U44" s="186"/>
      <c r="V44" s="186"/>
      <c r="W44" s="186"/>
      <c r="X44" s="186"/>
      <c r="Y44" s="186"/>
      <c r="Z44" s="187"/>
    </row>
    <row r="45" spans="1:26" ht="18.75" customHeight="1" hidden="1">
      <c r="A45" s="140"/>
      <c r="B45" s="140"/>
      <c r="D45" s="132" t="s">
        <v>266</v>
      </c>
      <c r="E45" s="133" t="e">
        <f>_xlfn.XLOOKUP(E25,CurrentPlans!B:B,CurrentPlans!AE:AE,"NA",0,1)</f>
        <v>#N/A</v>
      </c>
      <c r="F45" s="134"/>
      <c r="G45" s="134"/>
      <c r="H45" s="134"/>
      <c r="I45" s="133"/>
      <c r="J45" s="135"/>
      <c r="K45"/>
      <c r="L45" s="136" t="str">
        <f ca="1">_xlfn.XLOOKUP(L25,RenewalPlans!B:B,RenewalPlans!AH:AH,"NA",0,1)</f>
        <v>NA</v>
      </c>
      <c r="M45" s="134"/>
      <c r="N45" s="134"/>
      <c r="O45" s="134"/>
      <c r="P45" s="133"/>
      <c r="Q45" s="134"/>
      <c r="R45" s="135"/>
      <c r="T45" s="136" t="str">
        <f>_xlfn.XLOOKUP(T25,RenewalPlans!B:B,RenewalPlans!AH:AH,"NA",0,1)</f>
        <v>NA</v>
      </c>
      <c r="U45" s="134"/>
      <c r="V45" s="134"/>
      <c r="W45" s="134"/>
      <c r="X45" s="133"/>
      <c r="Y45" s="134"/>
      <c r="Z45" s="135"/>
    </row>
    <row r="46" spans="1:26" ht="18.75" customHeight="1" hidden="1">
      <c r="A46" s="140"/>
      <c r="B46" s="140"/>
      <c r="D46" s="120" t="s">
        <v>267</v>
      </c>
      <c r="E46" s="130" t="e">
        <f>_xlfn.XLOOKUP(E25,CurrentPlans!B:B,CurrentPlans!AF:AF,"NA",0,1)</f>
        <v>#N/A</v>
      </c>
      <c r="F46" s="122"/>
      <c r="G46" s="122"/>
      <c r="H46" s="122"/>
      <c r="I46" s="130"/>
      <c r="J46" s="123"/>
      <c r="K46"/>
      <c r="L46" s="131" t="str">
        <f ca="1">_xlfn.XLOOKUP(L25,RenewalPlans!B:B,RenewalPlans!AI:AI,"NA",0,1)</f>
        <v>NA</v>
      </c>
      <c r="M46" s="122"/>
      <c r="N46" s="122"/>
      <c r="O46" s="122"/>
      <c r="P46" s="130"/>
      <c r="Q46" s="122"/>
      <c r="R46" s="123"/>
      <c r="T46" s="131" t="str">
        <f>_xlfn.XLOOKUP(T25,RenewalPlans!B:B,RenewalPlans!AI:AI,"NA",0,1)</f>
        <v>NA</v>
      </c>
      <c r="U46" s="122"/>
      <c r="V46" s="122"/>
      <c r="W46" s="122"/>
      <c r="X46" s="130"/>
      <c r="Y46" s="122"/>
      <c r="Z46" s="123"/>
    </row>
    <row r="47" spans="1:26" ht="18.75" customHeight="1" hidden="1">
      <c r="A47" s="140"/>
      <c r="B47" s="140"/>
      <c r="D47" s="198" t="s">
        <v>268</v>
      </c>
      <c r="E47" s="130" t="e">
        <f>_xlfn.XLOOKUP(E25,CurrentPlans!B:B,CurrentPlans!AH:AH,"NA",0,1)</f>
        <v>#N/A</v>
      </c>
      <c r="F47" s="200"/>
      <c r="G47" s="200"/>
      <c r="H47" s="200"/>
      <c r="I47" s="130"/>
      <c r="J47" s="201"/>
      <c r="K47"/>
      <c r="L47" s="131" t="str">
        <f ca="1">_xlfn.XLOOKUP(L25,RenewalPlans!B:B,RenewalPlans!AK:AK,"NA",0,1)</f>
        <v>NA</v>
      </c>
      <c r="M47" s="200"/>
      <c r="N47" s="200"/>
      <c r="O47" s="200"/>
      <c r="P47" s="130"/>
      <c r="Q47" s="200"/>
      <c r="R47" s="201"/>
      <c r="T47" s="131" t="str">
        <f>_xlfn.XLOOKUP(T25,RenewalPlans!B:B,RenewalPlans!AK:AK,"NA",0,1)</f>
        <v>NA</v>
      </c>
      <c r="U47" s="200"/>
      <c r="V47" s="200"/>
      <c r="W47" s="200"/>
      <c r="X47" s="130"/>
      <c r="Y47" s="200"/>
      <c r="Z47" s="201"/>
    </row>
    <row r="48" spans="1:26" ht="18.75" customHeight="1" hidden="1">
      <c r="A48" s="140"/>
      <c r="B48" s="140"/>
      <c r="D48" s="198" t="s">
        <v>269</v>
      </c>
      <c r="E48" s="130" t="e">
        <f>_xlfn.XLOOKUP(E25,CurrentPlans!B:B,CurrentPlans!AG:AG,"NA",0,1)</f>
        <v>#N/A</v>
      </c>
      <c r="F48" s="200"/>
      <c r="G48" s="200"/>
      <c r="H48" s="200"/>
      <c r="I48" s="130"/>
      <c r="J48" s="201"/>
      <c r="K48"/>
      <c r="L48" s="131" t="str">
        <f ca="1">_xlfn.XLOOKUP(L25,RenewalPlans!B:B,RenewalPlans!AJ:AJ,"NA",0,1)</f>
        <v>NA</v>
      </c>
      <c r="M48" s="200"/>
      <c r="N48" s="200"/>
      <c r="O48" s="200"/>
      <c r="P48" s="130"/>
      <c r="Q48" s="200"/>
      <c r="R48" s="201"/>
      <c r="T48" s="131" t="str">
        <f>_xlfn.XLOOKUP(T25,RenewalPlans!B:B,RenewalPlans!AJ:AJ,"NA",0,1)</f>
        <v>NA</v>
      </c>
      <c r="U48" s="200"/>
      <c r="V48" s="200"/>
      <c r="W48" s="200"/>
      <c r="X48" s="130"/>
      <c r="Y48" s="200"/>
      <c r="Z48" s="201"/>
    </row>
    <row r="49" spans="1:26" ht="18.75" customHeight="1" hidden="1">
      <c r="A49" s="140"/>
      <c r="B49" s="140"/>
      <c r="D49" s="213" t="s">
        <v>270</v>
      </c>
      <c r="E49" s="216" t="e">
        <f>_xlfn.XLOOKUP(E25,CurrentPlans!B:B,CurrentPlans!AU:AU,"NA",0,1)</f>
        <v>#N/A</v>
      </c>
      <c r="F49" s="214"/>
      <c r="G49" s="214"/>
      <c r="H49" s="214"/>
      <c r="I49" s="217"/>
      <c r="J49" s="215"/>
      <c r="K49"/>
      <c r="L49" s="218" t="str">
        <f ca="1">_xlfn.XLOOKUP(L25,RenewalPlans!B:B,RenewalPlans!AX:AX,"NA",0,1)</f>
        <v>NA</v>
      </c>
      <c r="M49" s="214"/>
      <c r="N49" s="214"/>
      <c r="O49" s="214"/>
      <c r="P49" s="217"/>
      <c r="Q49" s="214"/>
      <c r="R49" s="215"/>
      <c r="T49" s="218" t="str">
        <f>_xlfn.XLOOKUP(T25,RenewalPlans!B:B,RenewalPlans!AX:AX,"NA",0,1)</f>
        <v>NA</v>
      </c>
      <c r="U49" s="214"/>
      <c r="V49" s="214"/>
      <c r="W49" s="214"/>
      <c r="X49" s="217"/>
      <c r="Y49" s="214"/>
      <c r="Z49" s="215"/>
    </row>
    <row r="50" spans="1:26" ht="18.75" customHeight="1" hidden="1">
      <c r="A50" s="140"/>
      <c r="B50" s="140"/>
      <c r="D50" s="213" t="s">
        <v>271</v>
      </c>
      <c r="E50" s="216" t="e">
        <f>_xlfn.XLOOKUP(E25,CurrentPlans!B:B,CurrentPlans!AT:AT,"NA",0,1)</f>
        <v>#N/A</v>
      </c>
      <c r="F50" s="214"/>
      <c r="G50" s="214"/>
      <c r="H50" s="214"/>
      <c r="I50" s="217"/>
      <c r="J50" s="215"/>
      <c r="K50"/>
      <c r="L50" s="218" t="str">
        <f ca="1">_xlfn.XLOOKUP(L25,RenewalPlans!B:B,RenewalPlans!AW:AW,"NA",0,1)</f>
        <v>NA</v>
      </c>
      <c r="M50" s="214"/>
      <c r="N50" s="214"/>
      <c r="O50" s="214"/>
      <c r="P50" s="217"/>
      <c r="Q50" s="214"/>
      <c r="R50" s="215"/>
      <c r="T50" s="218" t="str">
        <f>_xlfn.XLOOKUP(T25,RenewalPlans!B:B,RenewalPlans!AW:AW,"NA",0,1)</f>
        <v>NA</v>
      </c>
      <c r="U50" s="214"/>
      <c r="V50" s="214"/>
      <c r="W50" s="214"/>
      <c r="X50" s="217"/>
      <c r="Y50" s="214"/>
      <c r="Z50" s="215"/>
    </row>
    <row r="51" spans="1:26" ht="18.75" customHeight="1" hidden="1">
      <c r="A51" s="140"/>
      <c r="B51" s="140"/>
      <c r="D51" s="198" t="s">
        <v>272</v>
      </c>
      <c r="E51" s="130" t="e">
        <f>_xlfn.XLOOKUP(E25,CurrentPlans!B:B,CurrentPlans!AD:AD,"NA",0,1)</f>
        <v>#N/A</v>
      </c>
      <c r="F51" s="200"/>
      <c r="G51" s="200"/>
      <c r="H51" s="200"/>
      <c r="I51" s="130"/>
      <c r="J51" s="201"/>
      <c r="K51"/>
      <c r="L51" s="131" t="str">
        <f ca="1">_xlfn.XLOOKUP(L25,RenewalPlans!B:B,RenewalPlans!AG:AG,"NA",0,1)</f>
        <v>NA</v>
      </c>
      <c r="M51" s="200"/>
      <c r="N51" s="200"/>
      <c r="O51" s="200"/>
      <c r="P51" s="130"/>
      <c r="Q51" s="200"/>
      <c r="R51" s="201"/>
      <c r="T51" s="131" t="str">
        <f>_xlfn.XLOOKUP(T25,RenewalPlans!B:B,RenewalPlans!AG:AG,"NA",0,1)</f>
        <v>NA</v>
      </c>
      <c r="U51" s="200"/>
      <c r="V51" s="200"/>
      <c r="W51" s="200"/>
      <c r="X51" s="130"/>
      <c r="Y51" s="200"/>
      <c r="Z51" s="201"/>
    </row>
    <row r="52" spans="1:26" ht="18.75" customHeight="1" hidden="1">
      <c r="A52" s="140"/>
      <c r="B52" s="140"/>
      <c r="D52" s="198" t="s">
        <v>273</v>
      </c>
      <c r="E52" s="200"/>
      <c r="F52" s="200"/>
      <c r="G52" s="200"/>
      <c r="H52" s="200"/>
      <c r="I52" s="200"/>
      <c r="J52" s="201"/>
      <c r="K52"/>
      <c r="L52" s="198"/>
      <c r="M52" s="200"/>
      <c r="N52" s="200"/>
      <c r="O52" s="200"/>
      <c r="P52" s="200"/>
      <c r="Q52" s="200"/>
      <c r="R52" s="201"/>
      <c r="T52" s="198"/>
      <c r="U52" s="200"/>
      <c r="V52" s="200"/>
      <c r="W52" s="200"/>
      <c r="X52" s="200"/>
      <c r="Y52" s="200"/>
      <c r="Z52" s="201"/>
    </row>
    <row r="53" spans="1:26" ht="18.75" customHeight="1" hidden="1">
      <c r="A53" s="140"/>
      <c r="B53" s="140"/>
      <c r="D53" s="210"/>
      <c r="E53" s="211"/>
      <c r="F53" s="211"/>
      <c r="G53" s="211"/>
      <c r="H53" s="211"/>
      <c r="I53" s="211"/>
      <c r="J53" s="212"/>
      <c r="K53"/>
      <c r="L53" s="210"/>
      <c r="M53" s="211"/>
      <c r="N53" s="211"/>
      <c r="O53" s="211"/>
      <c r="P53" s="211"/>
      <c r="Q53" s="211"/>
      <c r="R53" s="212"/>
      <c r="T53" s="210"/>
      <c r="U53" s="211"/>
      <c r="V53" s="211"/>
      <c r="W53" s="211"/>
      <c r="X53" s="211"/>
      <c r="Y53" s="211"/>
      <c r="Z53" s="212"/>
    </row>
    <row r="54" spans="1:26" ht="18.75" customHeight="1" hidden="1">
      <c r="A54" s="140"/>
      <c r="B54" s="140"/>
      <c r="D54" s="219" t="s">
        <v>274</v>
      </c>
      <c r="E54" s="220"/>
      <c r="F54" s="220"/>
      <c r="G54" s="220"/>
      <c r="H54" s="220"/>
      <c r="I54" s="220"/>
      <c r="J54" s="221"/>
      <c r="K54"/>
      <c r="L54" s="222"/>
      <c r="M54" s="220"/>
      <c r="N54" s="220"/>
      <c r="O54" s="220"/>
      <c r="P54" s="220"/>
      <c r="Q54" s="220"/>
      <c r="R54" s="221"/>
      <c r="T54" s="222"/>
      <c r="U54" s="220"/>
      <c r="V54" s="220"/>
      <c r="W54" s="220"/>
      <c r="X54" s="220"/>
      <c r="Y54" s="220"/>
      <c r="Z54" s="221"/>
    </row>
    <row r="55" spans="1:26" ht="18.75" customHeight="1" hidden="1">
      <c r="A55" s="140"/>
      <c r="B55" s="140"/>
      <c r="D55" s="223" t="s">
        <v>250</v>
      </c>
      <c r="E55" s="205"/>
      <c r="F55" s="205"/>
      <c r="G55" s="205"/>
      <c r="H55" s="205"/>
      <c r="I55" s="205"/>
      <c r="J55" s="206"/>
      <c r="K55"/>
      <c r="L55" s="203"/>
      <c r="M55" s="205"/>
      <c r="N55" s="205"/>
      <c r="O55" s="205"/>
      <c r="P55" s="205"/>
      <c r="Q55" s="205"/>
      <c r="R55" s="206"/>
      <c r="T55" s="203"/>
      <c r="U55" s="205"/>
      <c r="V55" s="205"/>
      <c r="W55" s="205"/>
      <c r="X55" s="205"/>
      <c r="Y55" s="205"/>
      <c r="Z55" s="206"/>
    </row>
    <row r="56" spans="1:26" ht="18.75" customHeight="1" hidden="1">
      <c r="A56" s="140"/>
      <c r="B56" s="140"/>
      <c r="D56" s="198" t="s">
        <v>251</v>
      </c>
      <c r="E56" s="130" t="e">
        <f>_xlfn.XLOOKUP(E25,CurrentPlans!B:B,CurrentPlans!AP:AP,"NA",0,1)</f>
        <v>#N/A</v>
      </c>
      <c r="F56" s="200"/>
      <c r="G56" s="200"/>
      <c r="H56" s="200"/>
      <c r="I56" s="130"/>
      <c r="J56" s="201"/>
      <c r="K56"/>
      <c r="L56" s="131" t="str">
        <f ca="1">_xlfn.XLOOKUP(L25,RenewalPlans!B:B,RenewalPlans!AS:AS,"NA",0,1)</f>
        <v>NA</v>
      </c>
      <c r="M56" s="200"/>
      <c r="N56" s="200"/>
      <c r="O56" s="200"/>
      <c r="P56" s="130"/>
      <c r="Q56" s="200"/>
      <c r="R56" s="201"/>
      <c r="T56" s="131" t="str">
        <f>_xlfn.XLOOKUP(T25,RenewalPlans!B:B,RenewalPlans!AS:AS,"NA",0,1)</f>
        <v>NA</v>
      </c>
      <c r="U56" s="200"/>
      <c r="V56" s="200"/>
      <c r="W56" s="200"/>
      <c r="X56" s="130"/>
      <c r="Y56" s="200"/>
      <c r="Z56" s="201"/>
    </row>
    <row r="57" spans="1:26" ht="18.75" customHeight="1" hidden="1">
      <c r="A57" s="140"/>
      <c r="B57" s="140"/>
      <c r="D57" s="198" t="s">
        <v>252</v>
      </c>
      <c r="E57" s="130" t="e">
        <f>_xlfn.XLOOKUP(E25,CurrentPlans!B:B,CurrentPlans!AQ:AQ,"NA",0,1)</f>
        <v>#N/A</v>
      </c>
      <c r="F57" s="200"/>
      <c r="G57" s="200"/>
      <c r="H57" s="200"/>
      <c r="I57" s="130"/>
      <c r="J57" s="201"/>
      <c r="K57"/>
      <c r="L57" s="131" t="str">
        <f ca="1">_xlfn.XLOOKUP(L25,RenewalPlans!B:B,RenewalPlans!AT:AT,"NA",0,1)</f>
        <v>NA</v>
      </c>
      <c r="M57" s="200"/>
      <c r="N57" s="200"/>
      <c r="O57" s="200"/>
      <c r="P57" s="130"/>
      <c r="Q57" s="200"/>
      <c r="R57" s="201"/>
      <c r="T57" s="131" t="str">
        <f>_xlfn.XLOOKUP(T25,RenewalPlans!B:B,RenewalPlans!AT:AT,"NA",0,1)</f>
        <v>NA</v>
      </c>
      <c r="U57" s="200"/>
      <c r="V57" s="200"/>
      <c r="W57" s="200"/>
      <c r="X57" s="130"/>
      <c r="Y57" s="200"/>
      <c r="Z57" s="201"/>
    </row>
    <row r="58" spans="1:26" ht="18.75" customHeight="1" hidden="1">
      <c r="A58" s="140"/>
      <c r="B58" s="140"/>
      <c r="D58" s="120" t="s">
        <v>253</v>
      </c>
      <c r="E58" s="133" t="e">
        <f>_xlfn.XLOOKUP(E25,CurrentPlans!B:B,CurrentPlans!AO:AO,"NA",0,1)</f>
        <v>#N/A</v>
      </c>
      <c r="F58" s="122"/>
      <c r="G58" s="122"/>
      <c r="H58" s="122"/>
      <c r="I58" s="133"/>
      <c r="J58" s="123"/>
      <c r="K58"/>
      <c r="L58" s="136" t="str">
        <f ca="1">_xlfn.XLOOKUP(L25,RenewalPlans!B:B,RenewalPlans!AR:AR,"NA",0,1)</f>
        <v>NA</v>
      </c>
      <c r="M58" s="122"/>
      <c r="N58" s="122"/>
      <c r="O58" s="122"/>
      <c r="P58" s="133"/>
      <c r="Q58" s="122"/>
      <c r="R58" s="123"/>
      <c r="T58" s="136" t="str">
        <f>_xlfn.XLOOKUP(T25,RenewalPlans!B:B,RenewalPlans!AR:AR,"NA",0,1)</f>
        <v>NA</v>
      </c>
      <c r="U58" s="122"/>
      <c r="V58" s="122"/>
      <c r="W58" s="122"/>
      <c r="X58" s="133"/>
      <c r="Y58" s="122"/>
      <c r="Z58" s="123"/>
    </row>
    <row r="59" spans="1:26" ht="18.75" customHeight="1" hidden="1">
      <c r="A59" s="140"/>
      <c r="B59" s="140"/>
      <c r="D59" s="223" t="s">
        <v>254</v>
      </c>
      <c r="E59" s="205"/>
      <c r="F59" s="205"/>
      <c r="G59" s="205"/>
      <c r="H59" s="205"/>
      <c r="I59" s="205"/>
      <c r="J59" s="206"/>
      <c r="K59"/>
      <c r="L59" s="203"/>
      <c r="M59" s="205"/>
      <c r="N59" s="205"/>
      <c r="O59" s="205"/>
      <c r="P59" s="205"/>
      <c r="Q59" s="205"/>
      <c r="R59" s="206"/>
      <c r="T59" s="203"/>
      <c r="U59" s="205"/>
      <c r="V59" s="205"/>
      <c r="W59" s="205"/>
      <c r="X59" s="205"/>
      <c r="Y59" s="205"/>
      <c r="Z59" s="206"/>
    </row>
    <row r="60" spans="1:26" ht="18.75" customHeight="1" hidden="1">
      <c r="A60" s="140"/>
      <c r="B60" s="140"/>
      <c r="D60" s="198" t="s">
        <v>255</v>
      </c>
      <c r="E60" s="130" t="e">
        <f>_xlfn.XLOOKUP(E25,CurrentPlans!B:B,CurrentPlans!AR:AR,"NA",0,1)</f>
        <v>#N/A</v>
      </c>
      <c r="F60" s="200"/>
      <c r="G60" s="200"/>
      <c r="H60" s="200"/>
      <c r="I60" s="130"/>
      <c r="J60" s="201"/>
      <c r="K60"/>
      <c r="L60" s="131" t="str">
        <f ca="1">_xlfn.XLOOKUP(L25,RenewalPlans!B:B,RenewalPlans!AU:AU,"NA",0,1)</f>
        <v>NA</v>
      </c>
      <c r="M60" s="200"/>
      <c r="N60" s="200"/>
      <c r="O60" s="200"/>
      <c r="P60" s="130"/>
      <c r="Q60" s="200"/>
      <c r="R60" s="201"/>
      <c r="T60" s="131" t="str">
        <f>_xlfn.XLOOKUP(T25,RenewalPlans!B:B,RenewalPlans!AU:AU,"NA",0,1)</f>
        <v>NA</v>
      </c>
      <c r="U60" s="200"/>
      <c r="V60" s="200"/>
      <c r="W60" s="200"/>
      <c r="X60" s="130"/>
      <c r="Y60" s="200"/>
      <c r="Z60" s="201"/>
    </row>
    <row r="61" spans="1:26" ht="18.75" customHeight="1" hidden="1" thickBot="1">
      <c r="A61" s="140"/>
      <c r="B61" s="140"/>
      <c r="D61" s="224" t="s">
        <v>256</v>
      </c>
      <c r="E61" s="137" t="e">
        <f>_xlfn.XLOOKUP(E25,CurrentPlans!B:B,CurrentPlans!AS:AS,"NA",0,1)</f>
        <v>#N/A</v>
      </c>
      <c r="F61" s="225"/>
      <c r="G61" s="225"/>
      <c r="H61" s="225"/>
      <c r="I61" s="137"/>
      <c r="J61" s="226"/>
      <c r="K61"/>
      <c r="L61" s="138" t="str">
        <f ca="1">_xlfn.XLOOKUP(L25,RenewalPlans!B:B,RenewalPlans!AV:AV,"NA",0,1)</f>
        <v>NA</v>
      </c>
      <c r="M61" s="225"/>
      <c r="N61" s="225"/>
      <c r="O61" s="225"/>
      <c r="P61" s="137"/>
      <c r="Q61" s="225"/>
      <c r="R61" s="226"/>
      <c r="T61" s="138" t="str">
        <f>_xlfn.XLOOKUP(T25,RenewalPlans!B:B,RenewalPlans!AV:AV,"NA",0,1)</f>
        <v>NA</v>
      </c>
      <c r="U61" s="225"/>
      <c r="V61" s="225"/>
      <c r="W61" s="225"/>
      <c r="X61" s="137"/>
      <c r="Y61" s="225"/>
      <c r="Z61" s="226"/>
    </row>
    <row r="62" spans="1:26" ht="18" customHeight="1">
      <c r="A62" s="140"/>
      <c r="B62" s="140"/>
      <c r="D62" s="227"/>
      <c r="E62" s="176"/>
      <c r="F62" s="178"/>
      <c r="G62" s="179"/>
      <c r="H62" s="178"/>
      <c r="I62" s="176"/>
      <c r="J62" s="228"/>
      <c r="K62"/>
      <c r="L62" s="178"/>
      <c r="M62" s="176"/>
      <c r="N62" s="139"/>
      <c r="O62" s="178"/>
      <c r="P62" s="178"/>
      <c r="Q62" s="178"/>
      <c r="R62" s="228"/>
      <c r="T62" s="178"/>
      <c r="U62" s="176"/>
      <c r="V62" s="139"/>
      <c r="W62" s="178"/>
      <c r="X62" s="178"/>
      <c r="Y62" s="178"/>
      <c r="Z62" s="228"/>
    </row>
    <row r="63" spans="1:26" ht="5.25" customHeight="1" thickBot="1">
      <c r="A63" s="140"/>
      <c r="B63" s="140"/>
      <c r="D63" s="229"/>
      <c r="E63" s="229"/>
      <c r="F63" s="230"/>
      <c r="G63" s="231"/>
      <c r="H63" s="232"/>
      <c r="I63" s="233"/>
      <c r="J63" s="233"/>
      <c r="K63"/>
      <c r="L63" s="233"/>
      <c r="M63" s="233"/>
      <c r="N63" s="233"/>
      <c r="O63" s="233"/>
      <c r="P63" s="233"/>
      <c r="Q63" s="233"/>
      <c r="R63" s="233"/>
      <c r="T63" s="233"/>
      <c r="U63" s="233"/>
      <c r="V63" s="233"/>
      <c r="W63" s="233"/>
      <c r="X63" s="233"/>
      <c r="Y63" s="233"/>
      <c r="Z63" s="233"/>
    </row>
    <row r="64" spans="1:26" ht="50.15" customHeight="1">
      <c r="A64" s="140">
        <v>2</v>
      </c>
      <c r="B64" s="140">
        <f>IF(A64&gt;Class3_CurrentHealthCount,"DELETE",Class3_CurrentHealthStart+A64)</f>
        <v>62</v>
      </c>
      <c r="C64" s="164" t="s">
        <v>275</v>
      </c>
      <c r="D64" s="273" t="e">
        <f ca="1">IF(B64="Delete","",VLOOKUP(F64,BEGIN_CURRENT_HEALTH:END_CURRENT_HEALTH,3,FALSE))</f>
        <v>#N/A</v>
      </c>
      <c r="E64" s="165"/>
      <c r="F64" s="272" cm="1">
        <f t="array" ca="1" aca="1" ref="F64">IF(B64="Delete","",INDIRECT("CurrentPlans!A"&amp;B64,TRUE))</f>
        <v>0</v>
      </c>
      <c r="G64" s="166"/>
      <c r="H64" s="167"/>
      <c r="I64" s="168"/>
      <c r="J64" s="169"/>
      <c r="K64"/>
      <c r="L64" s="274" t="str">
        <f ca="1">_xlfn.IFNA(VLOOKUP(F64,BEGIN_RENEWEDFROM_HEALTH:ROW_RenewHealth_PlanID,3,FALSE),"SELECT PLAN")</f>
        <v>SELECT PLAN</v>
      </c>
      <c r="M64" s="170"/>
      <c r="N64" s="274" t="s">
        <v>237</v>
      </c>
      <c r="O64" s="171"/>
      <c r="P64" s="171"/>
      <c r="Q64" s="171"/>
      <c r="R64" s="169"/>
      <c r="T64" s="274" t="s">
        <v>38</v>
      </c>
      <c r="U64" s="170"/>
      <c r="V64" s="274" t="s">
        <v>237</v>
      </c>
      <c r="W64" s="171"/>
      <c r="X64" s="171"/>
      <c r="Y64" s="171"/>
      <c r="Z64" s="169"/>
    </row>
    <row r="65" spans="1:26" ht="18.75" customHeight="1">
      <c r="A65" s="140"/>
      <c r="B65" s="140"/>
      <c r="D65" s="172" t="s">
        <v>238</v>
      </c>
      <c r="E65" s="407" t="str">
        <f ca="1">_xlfn.IFNA(VLOOKUP(F64,BEGIN_CURRENT_HEALTH:END_CURRENT_HEALTH,CURRENT_COL_EO_count,FALSE),"")</f>
        <v/>
      </c>
      <c r="F65" s="408" t="str">
        <f ca="1">_xlfn.IFNA(VLOOKUP(F64,BEGIN_CURRENT_HEALTH:END_CURRENT_HEALTH,CURRENT_COL_EO,FALSE),"")</f>
        <v/>
      </c>
      <c r="G65" s="468" t="str">
        <f ca="1" t="shared" si="5" ref="G65:G68">IF(F65="","",H65/F65)</f>
        <v/>
      </c>
      <c r="H65" s="408" t="str">
        <f ca="1">_xlfn.IFNA(VLOOKUP(F64,BEGIN_CURRENT_HEALTH:END_CURRENT_HEALTH,CURRENT_COL_EOContrib,FALSE),"")</f>
        <v/>
      </c>
      <c r="I65" s="409" t="str">
        <f ca="1">IFERROR(F65-H65,"")</f>
        <v/>
      </c>
      <c r="J65" s="410" t="str">
        <f ca="1">IF(F65="","",H65*E65)</f>
        <v/>
      </c>
      <c r="K65" s="411"/>
      <c r="L65" s="408" t="str" cm="1">
        <f t="array" ca="1" aca="1" ref="L65">_xlfn.IFNA(VLOOKUP(INDIRECT("L"&amp;ROW()-1)&amp;"_"&amp;$D$12,BEGIN_RENEW_HEALTH:END_RENEW_HEALTH,RENEW_COL_EO,FALSE),"")</f>
        <v/>
      </c>
      <c r="M65" s="412" t="str">
        <f ca="1">IF(E65="","",E65)</f>
        <v/>
      </c>
      <c r="N65" s="413"/>
      <c r="O65" s="414"/>
      <c r="P65" s="415" t="str">
        <f>IFERROR(IF($N64="Keep Contribution Same",H65,IF($N64="Enter Percentages",IF(N65="","",N65*L65),IF($N64="Keep Percentage Same",IF(G65="","",G65*L65),IF($N64="Enter Dollar Amount",IF(O65="","",O65),"")))),"")</f>
        <v/>
      </c>
      <c r="Q65" s="408" t="str">
        <f ca="1">IFERROR(L65-P65,"")</f>
        <v/>
      </c>
      <c r="R65" s="410" t="str">
        <f>IFERROR(IF(P65="","",M65*P65),"")</f>
        <v/>
      </c>
      <c r="S65" s="411"/>
      <c r="T65" s="408" t="str" cm="1">
        <f t="array" ca="1" aca="1" ref="T65">_xlfn.IFNA(VLOOKUP(INDIRECT("T"&amp;ROW()-1)&amp;"_"&amp;$D$12,BEGIN_RENEW_HEALTH:END_RENEW_HEALTH,RENEW_COL_EO,FALSE),"")</f>
        <v/>
      </c>
      <c r="U65" s="412" t="str">
        <f ca="1">IF(E65="","",E65)</f>
        <v/>
      </c>
      <c r="V65" s="413"/>
      <c r="W65" s="414"/>
      <c r="X65" s="415" t="str">
        <f>IFERROR(IF($V64="Keep Contribution Same",H65,IF($V64="Enter Percentages",IF(V65="","",V65*T65),IF($V64="Keep Percentage Same",IF(G65="","",G65*T65),IF($V64="Enter Dollar Amount",IF(W65="","",W65),"")))),"")</f>
        <v/>
      </c>
      <c r="Y65" s="408" t="str">
        <f ca="1">IFERROR(T65-X65,"")</f>
        <v/>
      </c>
      <c r="Z65" s="410" t="str">
        <f>IFERROR(IF(X65="","",U65*X65),"")</f>
        <v/>
      </c>
    </row>
    <row r="66" spans="1:26" ht="18.75" customHeight="1">
      <c r="A66" s="140"/>
      <c r="B66" s="140"/>
      <c r="D66" s="172" t="s">
        <v>239</v>
      </c>
      <c r="E66" s="407" t="str">
        <f ca="1">_xlfn.IFNA(VLOOKUP(F64,BEGIN_CURRENT_HEALTH:END_CURRENT_HEALTH,CURRENT_COL_ES_count,FALSE),"")</f>
        <v/>
      </c>
      <c r="F66" s="408" t="str">
        <f ca="1">_xlfn.IFNA(VLOOKUP(F64,BEGIN_CURRENT_HEALTH:END_CURRENT_HEALTH,CURRENT_COL_ES,FALSE),"")</f>
        <v/>
      </c>
      <c r="G66" s="468" t="str">
        <f t="shared" ca="1" si="5"/>
        <v/>
      </c>
      <c r="H66" s="408" t="str">
        <f ca="1">_xlfn.IFNA(VLOOKUP(F64,BEGIN_CURRENT_HEALTH:END_CURRENT_HEALTH,CURRENT_COL_ESContrib,FALSE),"")</f>
        <v/>
      </c>
      <c r="I66" s="409" t="str">
        <f ca="1" t="shared" si="6" ref="I66:I68">IFERROR(F66-H66,"")</f>
        <v/>
      </c>
      <c r="J66" s="410" t="str">
        <f ca="1">IF(F66="","",H66*E66)</f>
        <v/>
      </c>
      <c r="K66" s="411"/>
      <c r="L66" s="408" t="str" cm="1">
        <f t="array" ca="1" aca="1" ref="L66">_xlfn.IFNA(VLOOKUP(INDIRECT("L"&amp;ROW()-2)&amp;"_"&amp;$D$12,BEGIN_RENEW_HEALTH:END_RENEW_HEALTH,RENEW_COL_ES,FALSE),"")</f>
        <v/>
      </c>
      <c r="M66" s="412" t="str">
        <f ca="1">IF(E66="","",E66)</f>
        <v/>
      </c>
      <c r="N66" s="413"/>
      <c r="O66" s="414"/>
      <c r="P66" s="415" t="str">
        <f>IFERROR(IF($N64="Keep Contribution Same",H66,IF($N64="Enter Percentages",IF(N66="","",N66*L66),IF($N64="Keep Percentage Same",IF(G66="","",G66*L66),IF($N64="Enter Dollar Amount",IF(O66="","",O66),"")))),"")</f>
        <v/>
      </c>
      <c r="Q66" s="408" t="str">
        <f ca="1">IFERROR(L66-P66,"")</f>
        <v/>
      </c>
      <c r="R66" s="410" t="str">
        <f>IFERROR(IF(P66="","",M66*P66),"")</f>
        <v/>
      </c>
      <c r="S66" s="411"/>
      <c r="T66" s="408" t="str" cm="1">
        <f t="array" ca="1" aca="1" ref="T66">_xlfn.IFNA(VLOOKUP(INDIRECT("T"&amp;ROW()-2)&amp;"_"&amp;$D$12,BEGIN_RENEW_HEALTH:END_RENEW_HEALTH,RENEW_COL_ES,FALSE),"")</f>
        <v/>
      </c>
      <c r="U66" s="412" t="str">
        <f ca="1" t="shared" si="7" ref="U66:U68">IF(E66="","",E66)</f>
        <v/>
      </c>
      <c r="V66" s="413"/>
      <c r="W66" s="414"/>
      <c r="X66" s="415" t="str">
        <f>IFERROR(IF($V64="Keep Contribution Same",H66,IF($V64="Enter Percentages",IF(V66="","",V66*T66),IF($V64="Keep Percentage Same",IF(G66="","",G66*T66),IF($V64="Enter Dollar Amount",IF(W66="","",W66),"")))),"")</f>
        <v/>
      </c>
      <c r="Y66" s="408" t="str">
        <f ca="1" t="shared" si="8" ref="Y66:Y68">IFERROR(T66-X66,"")</f>
        <v/>
      </c>
      <c r="Z66" s="410" t="str">
        <f t="shared" si="9" ref="Z66:Z68">IFERROR(IF(X66="","",U66*X66),"")</f>
        <v/>
      </c>
    </row>
    <row r="67" spans="1:26" ht="18.75" customHeight="1">
      <c r="A67" s="140"/>
      <c r="B67" s="140"/>
      <c r="D67" s="172" t="s">
        <v>240</v>
      </c>
      <c r="E67" s="407" t="str">
        <f ca="1">_xlfn.IFNA(VLOOKUP(F64,BEGIN_CURRENT_HEALTH:END_CURRENT_HEALTH,CURRENT_COL_EC_count,FALSE),"")</f>
        <v/>
      </c>
      <c r="F67" s="408" t="str">
        <f ca="1">_xlfn.IFNA(VLOOKUP(F64,BEGIN_CURRENT_HEALTH:END_CURRENT_HEALTH,CURRENT_COL_EC,FALSE),"")</f>
        <v/>
      </c>
      <c r="G67" s="468" t="str">
        <f t="shared" ca="1" si="5"/>
        <v/>
      </c>
      <c r="H67" s="408" t="str">
        <f ca="1">_xlfn.IFNA(VLOOKUP(F64,BEGIN_CURRENT_HEALTH:END_CURRENT_HEALTH,CURRENT_COL_ECContrib,FALSE),"")</f>
        <v/>
      </c>
      <c r="I67" s="409" t="str">
        <f t="shared" ca="1" si="6"/>
        <v/>
      </c>
      <c r="J67" s="410" t="str">
        <f ca="1">IF(F67="","",H67*E67)</f>
        <v/>
      </c>
      <c r="K67" s="411"/>
      <c r="L67" s="408" t="str" cm="1">
        <f t="array" ca="1" aca="1" ref="L67">_xlfn.IFNA(VLOOKUP(INDIRECT("L"&amp;ROW()-3)&amp;"_"&amp;$D$12,BEGIN_RENEW_HEALTH:END_RENEW_HEALTH,RENEW_COL_EC,FALSE),"")</f>
        <v/>
      </c>
      <c r="M67" s="412" t="str">
        <f ca="1">IF(E67="","",E67)</f>
        <v/>
      </c>
      <c r="N67" s="413"/>
      <c r="O67" s="414"/>
      <c r="P67" s="415" t="str">
        <f>IFERROR(IF($N64="Keep Contribution Same",H67,IF($N64="Enter Percentages",IF(N67="","",N67*L67),IF($N64="Keep Percentage Same",IF(G67="","",G67*L67),IF($N64="Enter Dollar Amount",IF(O67="","",O67),"")))),"")</f>
        <v/>
      </c>
      <c r="Q67" s="408" t="str">
        <f ca="1">IFERROR(L67-P67,"")</f>
        <v/>
      </c>
      <c r="R67" s="410" t="str">
        <f>IFERROR(IF(P67="","",M67*P67),"")</f>
        <v/>
      </c>
      <c r="S67" s="411"/>
      <c r="T67" s="408" t="str" cm="1">
        <f t="array" ca="1" aca="1" ref="T67">_xlfn.IFNA(VLOOKUP(INDIRECT("T"&amp;ROW()-3)&amp;"_"&amp;$D$12,BEGIN_RENEW_HEALTH:END_RENEW_HEALTH,RENEW_COL_EC,FALSE),"")</f>
        <v/>
      </c>
      <c r="U67" s="412" t="str">
        <f t="shared" ca="1" si="7"/>
        <v/>
      </c>
      <c r="V67" s="413"/>
      <c r="W67" s="414"/>
      <c r="X67" s="415" t="str">
        <f>IFERROR(IF($V64="Keep Contribution Same",H67,IF($V64="Enter Percentages",IF(V67="","",V67*T67),IF($V64="Keep Percentage Same",IF(G67="","",G67*T67),IF($V64="Enter Dollar Amount",IF(W67="","",W67),"")))),"")</f>
        <v/>
      </c>
      <c r="Y67" s="408" t="str">
        <f t="shared" ca="1" si="8"/>
        <v/>
      </c>
      <c r="Z67" s="410" t="str">
        <f t="shared" si="9"/>
        <v/>
      </c>
    </row>
    <row r="68" spans="1:26" ht="18.75" customHeight="1" thickBot="1">
      <c r="A68" s="140"/>
      <c r="B68" s="140"/>
      <c r="D68" s="174" t="s">
        <v>241</v>
      </c>
      <c r="E68" s="416" t="str">
        <f ca="1">_xlfn.IFNA(VLOOKUP(F64,BEGIN_CURRENT_HEALTH:END_CURRENT_HEALTH,CURRENT_COL_FAM_count,FALSE),"")</f>
        <v/>
      </c>
      <c r="F68" s="417" t="str">
        <f ca="1">_xlfn.IFNA(VLOOKUP(F64,BEGIN_CURRENT_HEALTH:END_CURRENT_HEALTH,CURRENT_COL_FAM,FALSE),"")</f>
        <v/>
      </c>
      <c r="G68" s="469" t="str">
        <f t="shared" ca="1" si="5"/>
        <v/>
      </c>
      <c r="H68" s="417" t="str">
        <f ca="1">_xlfn.IFNA(VLOOKUP(F64,BEGIN_CURRENT_HEALTH:END_CURRENT_HEALTH,CURRENT_COL_FAMContrib,FALSE),"")</f>
        <v/>
      </c>
      <c r="I68" s="418" t="str">
        <f t="shared" ca="1" si="6"/>
        <v/>
      </c>
      <c r="J68" s="419" t="str">
        <f ca="1">IF(F68="","",H68*E68)</f>
        <v/>
      </c>
      <c r="K68" s="411"/>
      <c r="L68" s="417" t="str" cm="1">
        <f t="array" ca="1" aca="1" ref="L68">_xlfn.IFNA(VLOOKUP(INDIRECT("L"&amp;ROW()-4)&amp;"_"&amp;$D$12,BEGIN_RENEW_HEALTH:END_RENEW_HEALTH,RENEW_COL_FAM,FALSE),"")</f>
        <v/>
      </c>
      <c r="M68" s="423" t="str">
        <f ca="1">IF(E68="","",E68)</f>
        <v/>
      </c>
      <c r="N68" s="420"/>
      <c r="O68" s="421"/>
      <c r="P68" s="422" t="str">
        <f>IFERROR(IF($N64="Keep Contribution Same",H68,IF($N64="Enter Percentages",IF(N68="","",N68*L68),IF($N64="Keep Percentage Same",IF(G68="","",G68*L68),IF($N64="Enter Dollar Amount",IF(O68="","",O68),"")))),"")</f>
        <v/>
      </c>
      <c r="Q68" s="417" t="str">
        <f ca="1">IFERROR(L68-P68,"")</f>
        <v/>
      </c>
      <c r="R68" s="419" t="str">
        <f>IFERROR(IF(P68="","",M68*P68),"")</f>
        <v/>
      </c>
      <c r="S68" s="411"/>
      <c r="T68" s="417" t="str" cm="1">
        <f t="array" ca="1" aca="1" ref="T68">_xlfn.IFNA(VLOOKUP(INDIRECT("T"&amp;ROW()-4)&amp;"_"&amp;$D$12,BEGIN_RENEW_HEALTH:END_RENEW_HEALTH,RENEW_COL_FAM,FALSE),"")</f>
        <v/>
      </c>
      <c r="U68" s="423" t="str">
        <f t="shared" ca="1" si="7"/>
        <v/>
      </c>
      <c r="V68" s="420"/>
      <c r="W68" s="421"/>
      <c r="X68" s="422" t="str">
        <f>IFERROR(IF($V64="Keep Contribution Same",H68,IF($V64="Enter Percentages",IF(V68="","",V68*T68),IF($V64="Keep Percentage Same",IF(G68="","",G68*T68),IF($V64="Enter Dollar Amount",IF(W68="","",W68),"")))),"")</f>
        <v/>
      </c>
      <c r="Y68" s="417" t="str">
        <f t="shared" ca="1" si="8"/>
        <v/>
      </c>
      <c r="Z68" s="419" t="str">
        <f t="shared" si="9"/>
        <v/>
      </c>
    </row>
    <row r="69" spans="1:26" ht="18.75" customHeight="1" thickTop="1">
      <c r="A69" s="140"/>
      <c r="B69" s="140"/>
      <c r="D69" s="175" t="s">
        <v>242</v>
      </c>
      <c r="E69" s="424"/>
      <c r="F69" s="447" t="str">
        <f ca="1">IFERROR((F65*E65)+(F66*E66)+(F67*E67)+(F68*E68),"")</f>
        <v/>
      </c>
      <c r="G69" s="426"/>
      <c r="H69" s="427"/>
      <c r="I69" s="428"/>
      <c r="J69" s="429" t="str">
        <f ca="1">IFERROR(IF(J65="","",SUM(J65:J68)),0)</f>
        <v/>
      </c>
      <c r="K69" s="1"/>
      <c r="L69" s="430" t="str">
        <f ca="1">IFERROR((M65*L65)+(M66*L66)+(M67*L67)+(M68*L68),"")</f>
        <v/>
      </c>
      <c r="M69" s="427"/>
      <c r="N69" s="426"/>
      <c r="O69" s="427"/>
      <c r="P69" s="431"/>
      <c r="Q69" s="432"/>
      <c r="R69" s="429" t="str">
        <f>IFERROR(IF(R65="","",SUM(R65:R68)),0)</f>
        <v/>
      </c>
      <c r="T69" s="430" t="str">
        <f ca="1">IFERROR((U65*T65)+(U66*T66)+(U67*T67)+(U68*T68),"")</f>
        <v/>
      </c>
      <c r="U69" s="427"/>
      <c r="V69" s="426"/>
      <c r="W69" s="427"/>
      <c r="X69" s="431"/>
      <c r="Y69" s="432"/>
      <c r="Z69" s="429" t="str">
        <f>IFERROR(IF(Z65="","",SUM(Z65:Z68)),0)</f>
        <v/>
      </c>
    </row>
    <row r="70" spans="1:26" ht="18.75" customHeight="1">
      <c r="A70" s="140"/>
      <c r="B70" s="140"/>
      <c r="D70" s="177" t="s">
        <v>243</v>
      </c>
      <c r="E70" s="433"/>
      <c r="F70" s="448" t="str">
        <f ca="1">IFERROR(F69*12,"")</f>
        <v/>
      </c>
      <c r="G70" s="435"/>
      <c r="H70" s="436"/>
      <c r="I70" s="432"/>
      <c r="J70" s="437" t="str">
        <f ca="1">IF(J69="","",J69*12)</f>
        <v/>
      </c>
      <c r="K70" s="1"/>
      <c r="L70" s="438" t="str">
        <f ca="1">IFERROR(L69*12,"")</f>
        <v/>
      </c>
      <c r="M70" s="436"/>
      <c r="N70" s="435"/>
      <c r="O70" s="436"/>
      <c r="P70" s="432"/>
      <c r="Q70" s="432"/>
      <c r="R70" s="437" t="str">
        <f>IF(R69="","",R69*12)</f>
        <v/>
      </c>
      <c r="T70" s="438" t="str">
        <f ca="1">IFERROR(T69*12,"")</f>
        <v/>
      </c>
      <c r="U70" s="436"/>
      <c r="V70" s="435"/>
      <c r="W70" s="436"/>
      <c r="X70" s="432"/>
      <c r="Y70" s="432"/>
      <c r="Z70" s="437" t="str">
        <f>IF(Z69="","",Z69*12)</f>
        <v/>
      </c>
    </row>
    <row r="71" spans="1:26" ht="18.75" customHeight="1">
      <c r="A71" s="140"/>
      <c r="B71" s="140"/>
      <c r="D71" s="177" t="s">
        <v>244</v>
      </c>
      <c r="E71" s="433"/>
      <c r="F71" s="436"/>
      <c r="G71" s="435"/>
      <c r="H71" s="436"/>
      <c r="I71" s="432"/>
      <c r="J71" s="437"/>
      <c r="K71" s="1"/>
      <c r="L71" s="434" t="str">
        <f ca="1">IFERROR(L70-F70,"")</f>
        <v/>
      </c>
      <c r="M71" s="436"/>
      <c r="N71" s="435"/>
      <c r="O71" s="436"/>
      <c r="P71" s="432"/>
      <c r="Q71" s="432"/>
      <c r="R71" s="437" t="str">
        <f ca="1">IFERROR(IF(J70="","",R70-J70),0)</f>
        <v/>
      </c>
      <c r="T71" s="434" t="str">
        <f ca="1">IFERROR(T70-F70,"")</f>
        <v/>
      </c>
      <c r="U71" s="436"/>
      <c r="V71" s="435"/>
      <c r="W71" s="436"/>
      <c r="X71" s="432"/>
      <c r="Y71" s="432"/>
      <c r="Z71" s="437" t="str">
        <f>IFERROR(IF(R70="","",Z70-R70),0)</f>
        <v/>
      </c>
    </row>
    <row r="72" spans="1:26" ht="18.75" customHeight="1" thickBot="1">
      <c r="A72" s="140"/>
      <c r="B72" s="140"/>
      <c r="D72" s="180" t="s">
        <v>245</v>
      </c>
      <c r="E72" s="439"/>
      <c r="F72" s="440"/>
      <c r="G72" s="441"/>
      <c r="H72" s="440"/>
      <c r="I72" s="442"/>
      <c r="J72" s="437"/>
      <c r="K72" s="1"/>
      <c r="L72" s="444" t="str">
        <f ca="1">IFERROR(L70/F70-1,"")</f>
        <v/>
      </c>
      <c r="M72" s="440"/>
      <c r="N72" s="441"/>
      <c r="O72" s="440"/>
      <c r="P72" s="445"/>
      <c r="Q72" s="445"/>
      <c r="R72" s="446" t="str">
        <f ca="1">IFERROR(IF(J70="","",(R70/J70)-1),0)</f>
        <v/>
      </c>
      <c r="T72" s="444" t="str">
        <f ca="1">IFERROR(T70/F70-1,"")</f>
        <v/>
      </c>
      <c r="U72" s="440"/>
      <c r="V72" s="441"/>
      <c r="W72" s="440"/>
      <c r="X72" s="445"/>
      <c r="Y72" s="445"/>
      <c r="Z72" s="446" t="str">
        <f>IFERROR(IF(R70="","",(Z70/R70)-1),0)</f>
        <v/>
      </c>
    </row>
    <row r="73" spans="1:26" ht="18.75" customHeight="1">
      <c r="A73" s="140"/>
      <c r="B73" s="140"/>
      <c r="D73" s="181" t="s">
        <v>246</v>
      </c>
      <c r="E73" s="182"/>
      <c r="F73" s="182"/>
      <c r="G73" s="182"/>
      <c r="H73" s="182"/>
      <c r="I73" s="182"/>
      <c r="J73" s="183"/>
      <c r="K73"/>
      <c r="L73" s="184"/>
      <c r="M73" s="182"/>
      <c r="N73" s="182"/>
      <c r="O73" s="182"/>
      <c r="P73" s="182"/>
      <c r="Q73" s="182"/>
      <c r="R73" s="183"/>
      <c r="T73" s="184"/>
      <c r="U73" s="182"/>
      <c r="V73" s="182"/>
      <c r="W73" s="182"/>
      <c r="X73" s="182"/>
      <c r="Y73" s="182"/>
      <c r="Z73" s="183"/>
    </row>
    <row r="74" spans="1:26" ht="18.75" customHeight="1" hidden="1">
      <c r="A74" s="140"/>
      <c r="B74" s="140"/>
      <c r="D74" s="185" t="s">
        <v>247</v>
      </c>
      <c r="E74" s="186"/>
      <c r="F74" s="186"/>
      <c r="G74" s="186"/>
      <c r="H74" s="186"/>
      <c r="I74" s="186"/>
      <c r="J74" s="187"/>
      <c r="K74"/>
      <c r="L74" s="188"/>
      <c r="M74" s="186"/>
      <c r="N74" s="186"/>
      <c r="O74" s="186"/>
      <c r="P74" s="186"/>
      <c r="Q74" s="186"/>
      <c r="R74" s="187"/>
      <c r="T74" s="188"/>
      <c r="U74" s="186"/>
      <c r="V74" s="186"/>
      <c r="W74" s="186"/>
      <c r="X74" s="186"/>
      <c r="Y74" s="186"/>
      <c r="Z74" s="187"/>
    </row>
    <row r="75" spans="1:26" ht="18.75" customHeight="1" hidden="1">
      <c r="A75" s="140"/>
      <c r="B75" s="140"/>
      <c r="D75" s="189" t="s">
        <v>248</v>
      </c>
      <c r="E75" s="190" t="e">
        <f ca="1">D64&amp;"_"&amp;D12</f>
        <v>#N/A</v>
      </c>
      <c r="F75" s="191"/>
      <c r="G75" s="191"/>
      <c r="H75" s="191"/>
      <c r="I75" s="190"/>
      <c r="J75" s="192"/>
      <c r="K75"/>
      <c r="L75" s="193" t="str">
        <f ca="1">L64&amp;"_"&amp;D12</f>
        <v>SELECT PLAN_PRIMARY</v>
      </c>
      <c r="M75" s="191"/>
      <c r="N75" s="191"/>
      <c r="O75" s="191"/>
      <c r="P75" s="190"/>
      <c r="Q75" s="191"/>
      <c r="R75" s="192"/>
      <c r="T75" s="193" t="str">
        <f>T64&amp;"_"&amp;D12</f>
        <v>SELECT PLAN_PRIMARY</v>
      </c>
      <c r="U75" s="191"/>
      <c r="V75" s="191"/>
      <c r="W75" s="191"/>
      <c r="X75" s="190"/>
      <c r="Y75" s="191"/>
      <c r="Z75" s="192"/>
    </row>
    <row r="76" spans="1:26" ht="18.75" customHeight="1" hidden="1">
      <c r="A76" s="140"/>
      <c r="B76" s="140"/>
      <c r="D76" s="189" t="s">
        <v>249</v>
      </c>
      <c r="E76" s="191"/>
      <c r="F76" s="191"/>
      <c r="G76" s="191"/>
      <c r="H76" s="191"/>
      <c r="I76" s="191"/>
      <c r="J76" s="192"/>
      <c r="K76"/>
      <c r="L76" s="189"/>
      <c r="M76" s="191"/>
      <c r="N76" s="191"/>
      <c r="O76" s="191"/>
      <c r="P76" s="191"/>
      <c r="Q76" s="191"/>
      <c r="R76" s="192"/>
      <c r="T76" s="189"/>
      <c r="U76" s="191"/>
      <c r="V76" s="191"/>
      <c r="W76" s="191"/>
      <c r="X76" s="191"/>
      <c r="Y76" s="191"/>
      <c r="Z76" s="192"/>
    </row>
    <row r="77" spans="1:26" ht="18.75" customHeight="1" hidden="1">
      <c r="A77" s="140"/>
      <c r="B77" s="140"/>
      <c r="D77" s="194" t="s">
        <v>250</v>
      </c>
      <c r="E77" s="195"/>
      <c r="F77" s="195"/>
      <c r="G77" s="195"/>
      <c r="H77" s="195"/>
      <c r="I77" s="195"/>
      <c r="J77" s="196"/>
      <c r="K77"/>
      <c r="L77" s="197"/>
      <c r="M77" s="195"/>
      <c r="N77" s="195"/>
      <c r="O77" s="195"/>
      <c r="P77" s="195"/>
      <c r="Q77" s="195"/>
      <c r="R77" s="196"/>
      <c r="T77" s="197"/>
      <c r="U77" s="195"/>
      <c r="V77" s="195"/>
      <c r="W77" s="195"/>
      <c r="X77" s="195"/>
      <c r="Y77" s="195"/>
      <c r="Z77" s="196"/>
    </row>
    <row r="78" spans="1:26" ht="18.75" customHeight="1" hidden="1">
      <c r="A78" s="140"/>
      <c r="B78" s="140"/>
      <c r="D78" s="198" t="s">
        <v>251</v>
      </c>
      <c r="E78" s="199" t="e">
        <f>_xlfn.XLOOKUP(E75,CurrentPlans!B:B,CurrentPlans!X:X,"NA",0,1)</f>
        <v>#N/A</v>
      </c>
      <c r="F78" s="200"/>
      <c r="G78" s="200"/>
      <c r="H78" s="200"/>
      <c r="I78" s="199"/>
      <c r="J78" s="201"/>
      <c r="K78"/>
      <c r="L78" s="202" t="str">
        <f ca="1">_xlfn.XLOOKUP(L75,RenewalPlans!B:B,RenewalPlans!AA:AA,"NA",0,1)</f>
        <v>NA</v>
      </c>
      <c r="M78" s="200"/>
      <c r="N78" s="200"/>
      <c r="O78" s="200"/>
      <c r="P78" s="199"/>
      <c r="Q78" s="200"/>
      <c r="R78" s="201"/>
      <c r="T78" s="202" t="str">
        <f>_xlfn.XLOOKUP(T75,RenewalPlans!B:B,RenewalPlans!AA:AA,"NA",0,1)</f>
        <v>NA</v>
      </c>
      <c r="U78" s="200"/>
      <c r="V78" s="200"/>
      <c r="W78" s="200"/>
      <c r="X78" s="199"/>
      <c r="Y78" s="200"/>
      <c r="Z78" s="201"/>
    </row>
    <row r="79" spans="1:26" ht="18.75" customHeight="1" hidden="1">
      <c r="A79" s="140"/>
      <c r="B79" s="140"/>
      <c r="D79" s="198" t="s">
        <v>252</v>
      </c>
      <c r="E79" s="199" t="e">
        <f>_xlfn.XLOOKUP(E75,CurrentPlans!B:B,CurrentPlans!Y:Y,"NA",0,1)</f>
        <v>#N/A</v>
      </c>
      <c r="F79" s="200"/>
      <c r="G79" s="200"/>
      <c r="H79" s="200"/>
      <c r="I79" s="199"/>
      <c r="J79" s="201"/>
      <c r="K79"/>
      <c r="L79" s="202" t="str">
        <f ca="1">_xlfn.XLOOKUP(L75,RenewalPlans!B:B,RenewalPlans!AB:AB,"NA",0,1)</f>
        <v>NA</v>
      </c>
      <c r="M79" s="200"/>
      <c r="N79" s="200"/>
      <c r="O79" s="200"/>
      <c r="P79" s="199"/>
      <c r="Q79" s="200"/>
      <c r="R79" s="201"/>
      <c r="T79" s="202" t="str">
        <f>_xlfn.XLOOKUP(T75,RenewalPlans!B:B,RenewalPlans!AB:AB,"NA",0,1)</f>
        <v>NA</v>
      </c>
      <c r="U79" s="200"/>
      <c r="V79" s="200"/>
      <c r="W79" s="200"/>
      <c r="X79" s="199"/>
      <c r="Y79" s="200"/>
      <c r="Z79" s="201"/>
    </row>
    <row r="80" spans="1:26" ht="18.75" customHeight="1" hidden="1">
      <c r="A80" s="140"/>
      <c r="B80" s="140"/>
      <c r="D80" s="120" t="s">
        <v>253</v>
      </c>
      <c r="E80" s="121" t="e">
        <f>_xlfn.XLOOKUP(E75,CurrentPlans!B:B,CurrentPlans!W:W,"NA",0,1)</f>
        <v>#N/A</v>
      </c>
      <c r="F80" s="122"/>
      <c r="G80" s="122"/>
      <c r="H80" s="122"/>
      <c r="I80" s="121"/>
      <c r="J80" s="123"/>
      <c r="K80"/>
      <c r="L80" s="124" t="str">
        <f ca="1">_xlfn.XLOOKUP(L75,RenewalPlans!B:B,RenewalPlans!Z:Z,"NA",0,1)</f>
        <v>NA</v>
      </c>
      <c r="M80" s="122"/>
      <c r="N80" s="122"/>
      <c r="O80" s="122"/>
      <c r="P80" s="121"/>
      <c r="Q80" s="122"/>
      <c r="R80" s="123"/>
      <c r="T80" s="124" t="str">
        <f>_xlfn.XLOOKUP(T75,RenewalPlans!B:B,RenewalPlans!Z:Z,"NA",0,1)</f>
        <v>NA</v>
      </c>
      <c r="U80" s="122"/>
      <c r="V80" s="122"/>
      <c r="W80" s="122"/>
      <c r="X80" s="121"/>
      <c r="Y80" s="122"/>
      <c r="Z80" s="123"/>
    </row>
    <row r="81" spans="1:26" ht="18.75" customHeight="1" hidden="1">
      <c r="A81" s="140"/>
      <c r="B81" s="140"/>
      <c r="D81" s="203" t="s">
        <v>254</v>
      </c>
      <c r="E81" s="204"/>
      <c r="F81" s="205"/>
      <c r="G81" s="205"/>
      <c r="H81" s="205"/>
      <c r="I81" s="204"/>
      <c r="J81" s="206"/>
      <c r="K81"/>
      <c r="L81" s="207"/>
      <c r="M81" s="205"/>
      <c r="N81" s="205"/>
      <c r="O81" s="205"/>
      <c r="P81" s="204"/>
      <c r="Q81" s="205"/>
      <c r="R81" s="206"/>
      <c r="T81" s="207"/>
      <c r="U81" s="205"/>
      <c r="V81" s="205"/>
      <c r="W81" s="205"/>
      <c r="X81" s="204"/>
      <c r="Y81" s="205"/>
      <c r="Z81" s="206"/>
    </row>
    <row r="82" spans="1:26" ht="18.75" customHeight="1" hidden="1">
      <c r="A82" s="140"/>
      <c r="B82" s="140"/>
      <c r="D82" s="125" t="s">
        <v>255</v>
      </c>
      <c r="E82" s="126" t="e">
        <f>_xlfn.XLOOKUP(E75,CurrentPlans!B:B,CurrentPlans!Z:Z,"NA",0,1)</f>
        <v>#N/A</v>
      </c>
      <c r="F82" s="127"/>
      <c r="G82" s="127"/>
      <c r="H82" s="127"/>
      <c r="I82" s="126"/>
      <c r="J82" s="128"/>
      <c r="K82"/>
      <c r="L82" s="129" t="str">
        <f ca="1">_xlfn.XLOOKUP(L75,RenewalPlans!B:B,RenewalPlans!AC:AC,"NA",0,1)</f>
        <v>NA</v>
      </c>
      <c r="M82" s="127"/>
      <c r="N82" s="127"/>
      <c r="O82" s="127"/>
      <c r="P82" s="126"/>
      <c r="Q82" s="127"/>
      <c r="R82" s="128"/>
      <c r="T82" s="129" t="str">
        <f>_xlfn.XLOOKUP(T75,RenewalPlans!B:B,RenewalPlans!AC:AC,"NA",0,1)</f>
        <v>NA</v>
      </c>
      <c r="U82" s="127"/>
      <c r="V82" s="127"/>
      <c r="W82" s="127"/>
      <c r="X82" s="126"/>
      <c r="Y82" s="127"/>
      <c r="Z82" s="128"/>
    </row>
    <row r="83" spans="1:26" ht="18.75" customHeight="1" hidden="1">
      <c r="A83" s="140"/>
      <c r="B83" s="140"/>
      <c r="D83" s="198" t="s">
        <v>256</v>
      </c>
      <c r="E83" s="208" t="e">
        <f>_xlfn.XLOOKUP(E75,CurrentPlans!B:B,CurrentPlans!AA:AA,"NA",0,1)</f>
        <v>#N/A</v>
      </c>
      <c r="F83" s="200"/>
      <c r="G83" s="200"/>
      <c r="H83" s="200"/>
      <c r="I83" s="208"/>
      <c r="J83" s="201"/>
      <c r="K83"/>
      <c r="L83" s="209" t="str">
        <f ca="1">_xlfn.XLOOKUP(L75,RenewalPlans!B:B,RenewalPlans!AD:AD,"NA",0,1)</f>
        <v>NA</v>
      </c>
      <c r="M83" s="200"/>
      <c r="N83" s="200"/>
      <c r="O83" s="200"/>
      <c r="P83" s="208"/>
      <c r="Q83" s="200"/>
      <c r="R83" s="201"/>
      <c r="T83" s="209" t="str">
        <f>_xlfn.XLOOKUP(T75,RenewalPlans!B:B,RenewalPlans!AD:AD,"NA",0,1)</f>
        <v>NA</v>
      </c>
      <c r="U83" s="200"/>
      <c r="V83" s="200"/>
      <c r="W83" s="200"/>
      <c r="X83" s="208"/>
      <c r="Y83" s="200"/>
      <c r="Z83" s="201"/>
    </row>
    <row r="84" spans="1:26" ht="18.75" customHeight="1" hidden="1">
      <c r="A84" s="140"/>
      <c r="B84" s="140"/>
      <c r="D84" s="203" t="s">
        <v>257</v>
      </c>
      <c r="E84" s="204"/>
      <c r="F84" s="205"/>
      <c r="G84" s="205"/>
      <c r="H84" s="205"/>
      <c r="I84" s="204"/>
      <c r="J84" s="206"/>
      <c r="K84"/>
      <c r="L84" s="207"/>
      <c r="M84" s="205"/>
      <c r="N84" s="205"/>
      <c r="O84" s="205"/>
      <c r="P84" s="204"/>
      <c r="Q84" s="205"/>
      <c r="R84" s="206"/>
      <c r="T84" s="207"/>
      <c r="U84" s="205"/>
      <c r="V84" s="205"/>
      <c r="W84" s="205"/>
      <c r="X84" s="204"/>
      <c r="Y84" s="205"/>
      <c r="Z84" s="206"/>
    </row>
    <row r="85" spans="1:26" ht="18.75" customHeight="1" hidden="1">
      <c r="A85" s="140"/>
      <c r="B85" s="140"/>
      <c r="D85" s="198" t="s">
        <v>258</v>
      </c>
      <c r="E85" s="208" t="e">
        <f>_xlfn.XLOOKUP(E75,CurrentPlans!B:B,CurrentPlans!AB:AB,"NA",0,1)</f>
        <v>#N/A</v>
      </c>
      <c r="F85" s="200"/>
      <c r="G85" s="200"/>
      <c r="H85" s="200"/>
      <c r="I85" s="208"/>
      <c r="J85" s="201"/>
      <c r="K85"/>
      <c r="L85" s="209" t="str">
        <f ca="1">_xlfn.XLOOKUP(L75,RenewalPlans!B:B,RenewalPlans!AE:AE,"NA",0,1)</f>
        <v>NA</v>
      </c>
      <c r="M85" s="200"/>
      <c r="N85" s="200"/>
      <c r="O85" s="200"/>
      <c r="P85" s="208"/>
      <c r="Q85" s="200"/>
      <c r="R85" s="201"/>
      <c r="T85" s="209" t="str">
        <f>_xlfn.XLOOKUP(T75,RenewalPlans!B:B,RenewalPlans!AE:AE,"NA",0,1)</f>
        <v>NA</v>
      </c>
      <c r="U85" s="200"/>
      <c r="V85" s="200"/>
      <c r="W85" s="200"/>
      <c r="X85" s="208"/>
      <c r="Y85" s="200"/>
      <c r="Z85" s="201"/>
    </row>
    <row r="86" spans="1:26" ht="18.75" customHeight="1" hidden="1">
      <c r="A86" s="140"/>
      <c r="B86" s="140"/>
      <c r="D86" s="198" t="s">
        <v>259</v>
      </c>
      <c r="E86" s="208" t="e">
        <f>_xlfn.XLOOKUP(E75,CurrentPlans!B:B,CurrentPlans!AC:AC,"NA",0,1)</f>
        <v>#N/A</v>
      </c>
      <c r="F86" s="200"/>
      <c r="G86" s="200"/>
      <c r="H86" s="200"/>
      <c r="I86" s="208"/>
      <c r="J86" s="201"/>
      <c r="K86"/>
      <c r="L86" s="209" t="str">
        <f ca="1">_xlfn.XLOOKUP(L75,RenewalPlans!B:B,RenewalPlans!AF:AF,"NA",0,1)</f>
        <v>NA</v>
      </c>
      <c r="M86" s="200"/>
      <c r="N86" s="200"/>
      <c r="O86" s="200"/>
      <c r="P86" s="208"/>
      <c r="Q86" s="200"/>
      <c r="R86" s="201"/>
      <c r="T86" s="209" t="str">
        <f>_xlfn.XLOOKUP(T75,RenewalPlans!B:B,RenewalPlans!AF:AF,"NA",0,1)</f>
        <v>NA</v>
      </c>
      <c r="U86" s="200"/>
      <c r="V86" s="200"/>
      <c r="W86" s="200"/>
      <c r="X86" s="208"/>
      <c r="Y86" s="200"/>
      <c r="Z86" s="201"/>
    </row>
    <row r="87" spans="1:26" ht="18.75" customHeight="1" hidden="1">
      <c r="A87" s="140"/>
      <c r="B87" s="140"/>
      <c r="D87" s="210"/>
      <c r="E87" s="211"/>
      <c r="F87" s="211"/>
      <c r="G87" s="211"/>
      <c r="H87" s="211"/>
      <c r="I87" s="211"/>
      <c r="J87" s="212"/>
      <c r="K87"/>
      <c r="L87" s="210"/>
      <c r="M87" s="211"/>
      <c r="N87" s="211"/>
      <c r="O87" s="211"/>
      <c r="P87" s="211"/>
      <c r="Q87" s="211"/>
      <c r="R87" s="212"/>
      <c r="T87" s="210"/>
      <c r="U87" s="211"/>
      <c r="V87" s="211"/>
      <c r="W87" s="211"/>
      <c r="X87" s="211"/>
      <c r="Y87" s="211"/>
      <c r="Z87" s="212"/>
    </row>
    <row r="88" spans="1:26" ht="18.75" customHeight="1" hidden="1">
      <c r="A88" s="140"/>
      <c r="B88" s="140"/>
      <c r="D88" s="185" t="s">
        <v>260</v>
      </c>
      <c r="E88" s="186"/>
      <c r="F88" s="186"/>
      <c r="G88" s="186"/>
      <c r="H88" s="186"/>
      <c r="I88" s="186"/>
      <c r="J88" s="187"/>
      <c r="K88"/>
      <c r="L88" s="188"/>
      <c r="M88" s="186"/>
      <c r="N88" s="186"/>
      <c r="O88" s="186"/>
      <c r="P88" s="186"/>
      <c r="Q88" s="186"/>
      <c r="R88" s="187"/>
      <c r="T88" s="188"/>
      <c r="U88" s="186"/>
      <c r="V88" s="186"/>
      <c r="W88" s="186"/>
      <c r="X88" s="186"/>
      <c r="Y88" s="186"/>
      <c r="Z88" s="187"/>
    </row>
    <row r="89" spans="1:26" ht="18.75" customHeight="1" hidden="1">
      <c r="A89" s="140"/>
      <c r="B89" s="140"/>
      <c r="D89" s="213" t="s">
        <v>261</v>
      </c>
      <c r="E89" s="130" t="e">
        <f>_xlfn.XLOOKUP(E75,CurrentPlans!B:B,CurrentPlans!AJ:AJ,"NA",0,1)</f>
        <v>#N/A</v>
      </c>
      <c r="F89" s="214"/>
      <c r="G89" s="214"/>
      <c r="H89" s="214"/>
      <c r="I89" s="130"/>
      <c r="J89" s="215"/>
      <c r="K89"/>
      <c r="L89" s="131" t="str">
        <f ca="1">_xlfn.XLOOKUP(L75,RenewalPlans!B:B,RenewalPlans!AM:AM,"NA",0,1)</f>
        <v>NA</v>
      </c>
      <c r="M89" s="214"/>
      <c r="N89" s="214"/>
      <c r="O89" s="214"/>
      <c r="P89" s="130"/>
      <c r="Q89" s="214"/>
      <c r="R89" s="215"/>
      <c r="T89" s="131" t="str">
        <f>_xlfn.XLOOKUP(T75,RenewalPlans!B:B,RenewalPlans!AM:AM,"NA",0,1)</f>
        <v>NA</v>
      </c>
      <c r="U89" s="214"/>
      <c r="V89" s="214"/>
      <c r="W89" s="214"/>
      <c r="X89" s="130"/>
      <c r="Y89" s="214"/>
      <c r="Z89" s="215"/>
    </row>
    <row r="90" spans="1:26" ht="18.75" customHeight="1" hidden="1">
      <c r="A90" s="140"/>
      <c r="B90" s="140"/>
      <c r="D90" s="198" t="s">
        <v>262</v>
      </c>
      <c r="E90" s="130" t="e">
        <f>_xlfn.XLOOKUP(E75,CurrentPlans!B:B,CurrentPlans!AM:AM,"NA",0,1)</f>
        <v>#N/A</v>
      </c>
      <c r="F90" s="200"/>
      <c r="G90" s="200"/>
      <c r="H90" s="200"/>
      <c r="I90" s="130"/>
      <c r="J90" s="201"/>
      <c r="K90"/>
      <c r="L90" s="131" t="str">
        <f ca="1">_xlfn.XLOOKUP(L75,RenewalPlans!B:B,RenewalPlans!AP:AP,"NA",0,1)</f>
        <v>NA</v>
      </c>
      <c r="M90" s="200"/>
      <c r="N90" s="200"/>
      <c r="O90" s="200"/>
      <c r="P90" s="130"/>
      <c r="Q90" s="200"/>
      <c r="R90" s="201"/>
      <c r="T90" s="131" t="str">
        <f>_xlfn.XLOOKUP(T75,RenewalPlans!B:B,RenewalPlans!AP:AP,"NA",0,1)</f>
        <v>NA</v>
      </c>
      <c r="U90" s="200"/>
      <c r="V90" s="200"/>
      <c r="W90" s="200"/>
      <c r="X90" s="130"/>
      <c r="Y90" s="200"/>
      <c r="Z90" s="201"/>
    </row>
    <row r="91" spans="1:26" ht="18.75" customHeight="1" hidden="1">
      <c r="A91" s="140"/>
      <c r="B91" s="140"/>
      <c r="D91" s="198" t="s">
        <v>263</v>
      </c>
      <c r="E91" s="130" t="e">
        <f>_xlfn.XLOOKUP(E75,CurrentPlans!B:B,CurrentPlans!AI:AI,"NA",0,1)</f>
        <v>#N/A</v>
      </c>
      <c r="F91" s="200"/>
      <c r="G91" s="200"/>
      <c r="H91" s="200"/>
      <c r="I91" s="130"/>
      <c r="J91" s="201"/>
      <c r="K91"/>
      <c r="L91" s="131" t="str">
        <f ca="1">_xlfn.XLOOKUP(L75,RenewalPlans!B:B,RenewalPlans!AL:AL,"NA",0,1)</f>
        <v>NA</v>
      </c>
      <c r="M91" s="200"/>
      <c r="N91" s="200"/>
      <c r="O91" s="200"/>
      <c r="P91" s="130"/>
      <c r="Q91" s="200"/>
      <c r="R91" s="201"/>
      <c r="T91" s="131" t="str">
        <f>_xlfn.XLOOKUP(T75,RenewalPlans!B:B,RenewalPlans!AL:AL,"NA",0,1)</f>
        <v>NA</v>
      </c>
      <c r="U91" s="200"/>
      <c r="V91" s="200"/>
      <c r="W91" s="200"/>
      <c r="X91" s="130"/>
      <c r="Y91" s="200"/>
      <c r="Z91" s="201"/>
    </row>
    <row r="92" spans="1:26" ht="18.75" customHeight="1" hidden="1">
      <c r="A92" s="140"/>
      <c r="B92" s="140"/>
      <c r="D92" s="198" t="s">
        <v>264</v>
      </c>
      <c r="E92" s="208" t="e">
        <f>_xlfn.XLOOKUP(E75,CurrentPlans!B:B,CurrentPlans!AN:AN,"NA",0,1)</f>
        <v>#N/A</v>
      </c>
      <c r="F92" s="200"/>
      <c r="G92" s="200"/>
      <c r="H92" s="200"/>
      <c r="I92" s="208"/>
      <c r="J92" s="201"/>
      <c r="K92"/>
      <c r="L92" s="209" t="str">
        <f ca="1">_xlfn.XLOOKUP(L75,RenewalPlans!B:B,RenewalPlans!AQ:AQ,"NA",0,1)</f>
        <v>NA</v>
      </c>
      <c r="M92" s="200"/>
      <c r="N92" s="200"/>
      <c r="O92" s="200"/>
      <c r="P92" s="208"/>
      <c r="Q92" s="200"/>
      <c r="R92" s="201"/>
      <c r="T92" s="209" t="str">
        <f>_xlfn.XLOOKUP(T75,RenewalPlans!B:B,RenewalPlans!AQ:AQ,"NA",0,1)</f>
        <v>NA</v>
      </c>
      <c r="U92" s="200"/>
      <c r="V92" s="200"/>
      <c r="W92" s="200"/>
      <c r="X92" s="208"/>
      <c r="Y92" s="200"/>
      <c r="Z92" s="201"/>
    </row>
    <row r="93" spans="1:26" ht="18.75" customHeight="1" hidden="1">
      <c r="A93" s="140"/>
      <c r="B93" s="140"/>
      <c r="D93" s="210"/>
      <c r="E93" s="211"/>
      <c r="F93" s="211"/>
      <c r="G93" s="211"/>
      <c r="H93" s="211"/>
      <c r="I93" s="211"/>
      <c r="J93" s="212"/>
      <c r="K93"/>
      <c r="L93" s="210"/>
      <c r="M93" s="211"/>
      <c r="N93" s="211"/>
      <c r="O93" s="211"/>
      <c r="P93" s="211"/>
      <c r="Q93" s="211"/>
      <c r="R93" s="212"/>
      <c r="T93" s="210"/>
      <c r="U93" s="211"/>
      <c r="V93" s="211"/>
      <c r="W93" s="211"/>
      <c r="X93" s="211"/>
      <c r="Y93" s="211"/>
      <c r="Z93" s="212"/>
    </row>
    <row r="94" spans="1:26" ht="18.75" customHeight="1" hidden="1">
      <c r="A94" s="140"/>
      <c r="B94" s="140"/>
      <c r="D94" s="185" t="s">
        <v>265</v>
      </c>
      <c r="E94" s="186"/>
      <c r="F94" s="186"/>
      <c r="G94" s="186"/>
      <c r="H94" s="186"/>
      <c r="I94" s="186"/>
      <c r="J94" s="187"/>
      <c r="K94"/>
      <c r="L94" s="188"/>
      <c r="M94" s="186"/>
      <c r="N94" s="186"/>
      <c r="O94" s="186"/>
      <c r="P94" s="186"/>
      <c r="Q94" s="186"/>
      <c r="R94" s="187"/>
      <c r="T94" s="188"/>
      <c r="U94" s="186"/>
      <c r="V94" s="186"/>
      <c r="W94" s="186"/>
      <c r="X94" s="186"/>
      <c r="Y94" s="186"/>
      <c r="Z94" s="187"/>
    </row>
    <row r="95" spans="1:26" ht="18.75" customHeight="1" hidden="1">
      <c r="A95" s="140"/>
      <c r="B95" s="140"/>
      <c r="D95" s="132" t="s">
        <v>266</v>
      </c>
      <c r="E95" s="133" t="e">
        <f>_xlfn.XLOOKUP(E75,CurrentPlans!B:B,CurrentPlans!AE:AE,"NA",0,1)</f>
        <v>#N/A</v>
      </c>
      <c r="F95" s="134"/>
      <c r="G95" s="134"/>
      <c r="H95" s="134"/>
      <c r="I95" s="133"/>
      <c r="J95" s="135"/>
      <c r="K95"/>
      <c r="L95" s="136" t="str">
        <f ca="1">_xlfn.XLOOKUP(L75,RenewalPlans!B:B,RenewalPlans!AH:AH,"NA",0,1)</f>
        <v>NA</v>
      </c>
      <c r="M95" s="134"/>
      <c r="N95" s="134"/>
      <c r="O95" s="134"/>
      <c r="P95" s="133"/>
      <c r="Q95" s="134"/>
      <c r="R95" s="135"/>
      <c r="T95" s="136" t="str">
        <f>_xlfn.XLOOKUP(T75,RenewalPlans!B:B,RenewalPlans!AH:AH,"NA",0,1)</f>
        <v>NA</v>
      </c>
      <c r="U95" s="134"/>
      <c r="V95" s="134"/>
      <c r="W95" s="134"/>
      <c r="X95" s="133"/>
      <c r="Y95" s="134"/>
      <c r="Z95" s="135"/>
    </row>
    <row r="96" spans="1:26" ht="18.75" customHeight="1" hidden="1">
      <c r="A96" s="140"/>
      <c r="B96" s="140"/>
      <c r="D96" s="120" t="s">
        <v>267</v>
      </c>
      <c r="E96" s="130" t="e">
        <f>_xlfn.XLOOKUP(E75,CurrentPlans!B:B,CurrentPlans!AF:AF,"NA",0,1)</f>
        <v>#N/A</v>
      </c>
      <c r="F96" s="122"/>
      <c r="G96" s="122"/>
      <c r="H96" s="122"/>
      <c r="I96" s="130"/>
      <c r="J96" s="123"/>
      <c r="K96"/>
      <c r="L96" s="131" t="str">
        <f ca="1">_xlfn.XLOOKUP(L75,RenewalPlans!B:B,RenewalPlans!AI:AI,"NA",0,1)</f>
        <v>NA</v>
      </c>
      <c r="M96" s="122"/>
      <c r="N96" s="122"/>
      <c r="O96" s="122"/>
      <c r="P96" s="130"/>
      <c r="Q96" s="122"/>
      <c r="R96" s="123"/>
      <c r="T96" s="131" t="str">
        <f>_xlfn.XLOOKUP(T75,RenewalPlans!B:B,RenewalPlans!AI:AI,"NA",0,1)</f>
        <v>NA</v>
      </c>
      <c r="U96" s="122"/>
      <c r="V96" s="122"/>
      <c r="W96" s="122"/>
      <c r="X96" s="130"/>
      <c r="Y96" s="122"/>
      <c r="Z96" s="123"/>
    </row>
    <row r="97" spans="1:26" ht="18.75" customHeight="1" hidden="1">
      <c r="A97" s="140"/>
      <c r="B97" s="140"/>
      <c r="D97" s="198" t="s">
        <v>268</v>
      </c>
      <c r="E97" s="130" t="e">
        <f>_xlfn.XLOOKUP(E75,CurrentPlans!B:B,CurrentPlans!AH:AH,"NA",0,1)</f>
        <v>#N/A</v>
      </c>
      <c r="F97" s="200"/>
      <c r="G97" s="200"/>
      <c r="H97" s="200"/>
      <c r="I97" s="130"/>
      <c r="J97" s="201"/>
      <c r="K97"/>
      <c r="L97" s="131" t="str">
        <f ca="1">_xlfn.XLOOKUP(L75,RenewalPlans!B:B,RenewalPlans!AK:AK,"NA",0,1)</f>
        <v>NA</v>
      </c>
      <c r="M97" s="200"/>
      <c r="N97" s="200"/>
      <c r="O97" s="200"/>
      <c r="P97" s="130"/>
      <c r="Q97" s="200"/>
      <c r="R97" s="201"/>
      <c r="T97" s="131" t="str">
        <f>_xlfn.XLOOKUP(T75,RenewalPlans!B:B,RenewalPlans!AK:AK,"NA",0,1)</f>
        <v>NA</v>
      </c>
      <c r="U97" s="200"/>
      <c r="V97" s="200"/>
      <c r="W97" s="200"/>
      <c r="X97" s="130"/>
      <c r="Y97" s="200"/>
      <c r="Z97" s="201"/>
    </row>
    <row r="98" spans="1:26" ht="18.75" customHeight="1" hidden="1">
      <c r="A98" s="140"/>
      <c r="B98" s="140"/>
      <c r="D98" s="198" t="s">
        <v>269</v>
      </c>
      <c r="E98" s="130" t="e">
        <f>_xlfn.XLOOKUP(E75,CurrentPlans!B:B,CurrentPlans!AG:AG,"NA",0,1)</f>
        <v>#N/A</v>
      </c>
      <c r="F98" s="200"/>
      <c r="G98" s="200"/>
      <c r="H98" s="200"/>
      <c r="I98" s="130"/>
      <c r="J98" s="201"/>
      <c r="K98"/>
      <c r="L98" s="131" t="str">
        <f ca="1">_xlfn.XLOOKUP(L75,RenewalPlans!B:B,RenewalPlans!AJ:AJ,"NA",0,1)</f>
        <v>NA</v>
      </c>
      <c r="M98" s="200"/>
      <c r="N98" s="200"/>
      <c r="O98" s="200"/>
      <c r="P98" s="130"/>
      <c r="Q98" s="200"/>
      <c r="R98" s="201"/>
      <c r="T98" s="131" t="str">
        <f>_xlfn.XLOOKUP(T75,RenewalPlans!B:B,RenewalPlans!AJ:AJ,"NA",0,1)</f>
        <v>NA</v>
      </c>
      <c r="U98" s="200"/>
      <c r="V98" s="200"/>
      <c r="W98" s="200"/>
      <c r="X98" s="130"/>
      <c r="Y98" s="200"/>
      <c r="Z98" s="201"/>
    </row>
    <row r="99" spans="1:26" ht="18.75" customHeight="1" hidden="1">
      <c r="A99" s="140"/>
      <c r="B99" s="140"/>
      <c r="D99" s="213" t="s">
        <v>270</v>
      </c>
      <c r="E99" s="216" t="e">
        <f>_xlfn.XLOOKUP(E75,CurrentPlans!B:B,CurrentPlans!AU:AU,"NA",0,1)</f>
        <v>#N/A</v>
      </c>
      <c r="F99" s="214"/>
      <c r="G99" s="214"/>
      <c r="H99" s="214"/>
      <c r="I99" s="217"/>
      <c r="J99" s="215"/>
      <c r="K99"/>
      <c r="L99" s="218" t="str">
        <f ca="1">_xlfn.XLOOKUP(L75,RenewalPlans!B:B,RenewalPlans!AX:AX,"NA",0,1)</f>
        <v>NA</v>
      </c>
      <c r="M99" s="214"/>
      <c r="N99" s="214"/>
      <c r="O99" s="214"/>
      <c r="P99" s="217"/>
      <c r="Q99" s="214"/>
      <c r="R99" s="215"/>
      <c r="T99" s="218" t="str">
        <f>_xlfn.XLOOKUP(T75,RenewalPlans!B:B,RenewalPlans!AX:AX,"NA",0,1)</f>
        <v>NA</v>
      </c>
      <c r="U99" s="214"/>
      <c r="V99" s="214"/>
      <c r="W99" s="214"/>
      <c r="X99" s="217"/>
      <c r="Y99" s="214"/>
      <c r="Z99" s="215"/>
    </row>
    <row r="100" spans="1:26" ht="18.75" customHeight="1" hidden="1">
      <c r="A100" s="140"/>
      <c r="B100" s="140"/>
      <c r="D100" s="213" t="s">
        <v>271</v>
      </c>
      <c r="E100" s="216" t="e">
        <f>_xlfn.XLOOKUP(E75,CurrentPlans!B:B,CurrentPlans!AT:AT,"NA",0,1)</f>
        <v>#N/A</v>
      </c>
      <c r="F100" s="214"/>
      <c r="G100" s="214"/>
      <c r="H100" s="214"/>
      <c r="I100" s="217"/>
      <c r="J100" s="215"/>
      <c r="K100"/>
      <c r="L100" s="218" t="str">
        <f ca="1">_xlfn.XLOOKUP(L75,RenewalPlans!B:B,RenewalPlans!AW:AW,"NA",0,1)</f>
        <v>NA</v>
      </c>
      <c r="M100" s="214"/>
      <c r="N100" s="214"/>
      <c r="O100" s="214"/>
      <c r="P100" s="217"/>
      <c r="Q100" s="214"/>
      <c r="R100" s="215"/>
      <c r="T100" s="218" t="str">
        <f>_xlfn.XLOOKUP(T75,RenewalPlans!B:B,RenewalPlans!AW:AW,"NA",0,1)</f>
        <v>NA</v>
      </c>
      <c r="U100" s="214"/>
      <c r="V100" s="214"/>
      <c r="W100" s="214"/>
      <c r="X100" s="217"/>
      <c r="Y100" s="214"/>
      <c r="Z100" s="215"/>
    </row>
    <row r="101" spans="1:26" ht="18.75" customHeight="1" hidden="1">
      <c r="A101" s="140"/>
      <c r="B101" s="140"/>
      <c r="D101" s="198" t="s">
        <v>272</v>
      </c>
      <c r="E101" s="130" t="e">
        <f>_xlfn.XLOOKUP(E75,CurrentPlans!B:B,CurrentPlans!AD:AD,"NA",0,1)</f>
        <v>#N/A</v>
      </c>
      <c r="F101" s="200"/>
      <c r="G101" s="200"/>
      <c r="H101" s="200"/>
      <c r="I101" s="130"/>
      <c r="J101" s="201"/>
      <c r="K101"/>
      <c r="L101" s="131" t="str">
        <f ca="1">_xlfn.XLOOKUP(L75,RenewalPlans!B:B,RenewalPlans!AG:AG,"NA",0,1)</f>
        <v>NA</v>
      </c>
      <c r="M101" s="200"/>
      <c r="N101" s="200"/>
      <c r="O101" s="200"/>
      <c r="P101" s="130"/>
      <c r="Q101" s="200"/>
      <c r="R101" s="201"/>
      <c r="T101" s="131" t="str">
        <f>_xlfn.XLOOKUP(T75,RenewalPlans!B:B,RenewalPlans!AG:AG,"NA",0,1)</f>
        <v>NA</v>
      </c>
      <c r="U101" s="200"/>
      <c r="V101" s="200"/>
      <c r="W101" s="200"/>
      <c r="X101" s="130"/>
      <c r="Y101" s="200"/>
      <c r="Z101" s="201"/>
    </row>
    <row r="102" spans="1:26" ht="18.75" customHeight="1" hidden="1">
      <c r="A102" s="140"/>
      <c r="B102" s="140"/>
      <c r="D102" s="198" t="s">
        <v>273</v>
      </c>
      <c r="E102" s="200"/>
      <c r="F102" s="200"/>
      <c r="G102" s="200"/>
      <c r="H102" s="200"/>
      <c r="I102" s="200"/>
      <c r="J102" s="201"/>
      <c r="K102"/>
      <c r="L102" s="198"/>
      <c r="M102" s="200"/>
      <c r="N102" s="200"/>
      <c r="O102" s="200"/>
      <c r="P102" s="200"/>
      <c r="Q102" s="200"/>
      <c r="R102" s="201"/>
      <c r="T102" s="198"/>
      <c r="U102" s="200"/>
      <c r="V102" s="200"/>
      <c r="W102" s="200"/>
      <c r="X102" s="200"/>
      <c r="Y102" s="200"/>
      <c r="Z102" s="201"/>
    </row>
    <row r="103" spans="1:26" ht="18.75" customHeight="1" hidden="1">
      <c r="A103" s="140"/>
      <c r="B103" s="140"/>
      <c r="D103" s="210"/>
      <c r="E103" s="211"/>
      <c r="F103" s="211"/>
      <c r="G103" s="211"/>
      <c r="H103" s="211"/>
      <c r="I103" s="211"/>
      <c r="J103" s="212"/>
      <c r="K103"/>
      <c r="L103" s="210"/>
      <c r="M103" s="211"/>
      <c r="N103" s="211"/>
      <c r="O103" s="211"/>
      <c r="P103" s="211"/>
      <c r="Q103" s="211"/>
      <c r="R103" s="212"/>
      <c r="T103" s="210"/>
      <c r="U103" s="211"/>
      <c r="V103" s="211"/>
      <c r="W103" s="211"/>
      <c r="X103" s="211"/>
      <c r="Y103" s="211"/>
      <c r="Z103" s="212"/>
    </row>
    <row r="104" spans="1:26" ht="18.75" customHeight="1" hidden="1">
      <c r="A104" s="140"/>
      <c r="B104" s="140"/>
      <c r="D104" s="219" t="s">
        <v>274</v>
      </c>
      <c r="E104" s="220"/>
      <c r="F104" s="220"/>
      <c r="G104" s="220"/>
      <c r="H104" s="220"/>
      <c r="I104" s="220"/>
      <c r="J104" s="221"/>
      <c r="K104"/>
      <c r="L104" s="222"/>
      <c r="M104" s="220"/>
      <c r="N104" s="220"/>
      <c r="O104" s="220"/>
      <c r="P104" s="220"/>
      <c r="Q104" s="220"/>
      <c r="R104" s="221"/>
      <c r="T104" s="222"/>
      <c r="U104" s="220"/>
      <c r="V104" s="220"/>
      <c r="W104" s="220"/>
      <c r="X104" s="220"/>
      <c r="Y104" s="220"/>
      <c r="Z104" s="221"/>
    </row>
    <row r="105" spans="1:26" ht="18.75" customHeight="1" hidden="1">
      <c r="A105" s="140"/>
      <c r="B105" s="140"/>
      <c r="D105" s="223" t="s">
        <v>250</v>
      </c>
      <c r="E105" s="205"/>
      <c r="F105" s="205"/>
      <c r="G105" s="205"/>
      <c r="H105" s="205"/>
      <c r="I105" s="205"/>
      <c r="J105" s="206"/>
      <c r="K105"/>
      <c r="L105" s="203"/>
      <c r="M105" s="205"/>
      <c r="N105" s="205"/>
      <c r="O105" s="205"/>
      <c r="P105" s="205"/>
      <c r="Q105" s="205"/>
      <c r="R105" s="206"/>
      <c r="T105" s="203"/>
      <c r="U105" s="205"/>
      <c r="V105" s="205"/>
      <c r="W105" s="205"/>
      <c r="X105" s="205"/>
      <c r="Y105" s="205"/>
      <c r="Z105" s="206"/>
    </row>
    <row r="106" spans="1:26" ht="18.75" customHeight="1" hidden="1">
      <c r="A106" s="140"/>
      <c r="B106" s="140"/>
      <c r="D106" s="198" t="s">
        <v>251</v>
      </c>
      <c r="E106" s="130" t="e">
        <f>_xlfn.XLOOKUP(E75,CurrentPlans!B:B,CurrentPlans!AP:AP,"NA",0,1)</f>
        <v>#N/A</v>
      </c>
      <c r="F106" s="200"/>
      <c r="G106" s="200"/>
      <c r="H106" s="200"/>
      <c r="I106" s="130"/>
      <c r="J106" s="201"/>
      <c r="K106"/>
      <c r="L106" s="131" t="str">
        <f ca="1">_xlfn.XLOOKUP(L75,RenewalPlans!B:B,RenewalPlans!AS:AS,"NA",0,1)</f>
        <v>NA</v>
      </c>
      <c r="M106" s="200"/>
      <c r="N106" s="200"/>
      <c r="O106" s="200"/>
      <c r="P106" s="130"/>
      <c r="Q106" s="200"/>
      <c r="R106" s="201"/>
      <c r="T106" s="131" t="str">
        <f>_xlfn.XLOOKUP(T75,RenewalPlans!B:B,RenewalPlans!AS:AS,"NA",0,1)</f>
        <v>NA</v>
      </c>
      <c r="U106" s="200"/>
      <c r="V106" s="200"/>
      <c r="W106" s="200"/>
      <c r="X106" s="130"/>
      <c r="Y106" s="200"/>
      <c r="Z106" s="201"/>
    </row>
    <row r="107" spans="1:26" ht="18.75" customHeight="1" hidden="1">
      <c r="A107" s="140"/>
      <c r="B107" s="140"/>
      <c r="D107" s="198" t="s">
        <v>252</v>
      </c>
      <c r="E107" s="130" t="e">
        <f>_xlfn.XLOOKUP(E75,CurrentPlans!B:B,CurrentPlans!AQ:AQ,"NA",0,1)</f>
        <v>#N/A</v>
      </c>
      <c r="F107" s="200"/>
      <c r="G107" s="200"/>
      <c r="H107" s="200"/>
      <c r="I107" s="130"/>
      <c r="J107" s="201"/>
      <c r="K107"/>
      <c r="L107" s="131" t="str">
        <f ca="1">_xlfn.XLOOKUP(L75,RenewalPlans!B:B,RenewalPlans!AT:AT,"NA",0,1)</f>
        <v>NA</v>
      </c>
      <c r="M107" s="200"/>
      <c r="N107" s="200"/>
      <c r="O107" s="200"/>
      <c r="P107" s="130"/>
      <c r="Q107" s="200"/>
      <c r="R107" s="201"/>
      <c r="T107" s="131" t="str">
        <f>_xlfn.XLOOKUP(T75,RenewalPlans!B:B,RenewalPlans!AT:AT,"NA",0,1)</f>
        <v>NA</v>
      </c>
      <c r="U107" s="200"/>
      <c r="V107" s="200"/>
      <c r="W107" s="200"/>
      <c r="X107" s="130"/>
      <c r="Y107" s="200"/>
      <c r="Z107" s="201"/>
    </row>
    <row r="108" spans="1:26" ht="18.75" customHeight="1" hidden="1">
      <c r="A108" s="140"/>
      <c r="B108" s="140"/>
      <c r="D108" s="120" t="s">
        <v>253</v>
      </c>
      <c r="E108" s="133" t="e">
        <f>_xlfn.XLOOKUP(E75,CurrentPlans!B:B,CurrentPlans!AO:AO,"NA",0,1)</f>
        <v>#N/A</v>
      </c>
      <c r="F108" s="122"/>
      <c r="G108" s="122"/>
      <c r="H108" s="122"/>
      <c r="I108" s="133"/>
      <c r="J108" s="123"/>
      <c r="K108"/>
      <c r="L108" s="136" t="str">
        <f ca="1">_xlfn.XLOOKUP(L75,RenewalPlans!B:B,RenewalPlans!AR:AR,"NA",0,1)</f>
        <v>NA</v>
      </c>
      <c r="M108" s="122"/>
      <c r="N108" s="122"/>
      <c r="O108" s="122"/>
      <c r="P108" s="133"/>
      <c r="Q108" s="122"/>
      <c r="R108" s="123"/>
      <c r="T108" s="136" t="str">
        <f>_xlfn.XLOOKUP(T75,RenewalPlans!B:B,RenewalPlans!AR:AR,"NA",0,1)</f>
        <v>NA</v>
      </c>
      <c r="U108" s="122"/>
      <c r="V108" s="122"/>
      <c r="W108" s="122"/>
      <c r="X108" s="133"/>
      <c r="Y108" s="122"/>
      <c r="Z108" s="123"/>
    </row>
    <row r="109" spans="1:26" ht="18.75" customHeight="1" hidden="1">
      <c r="A109" s="140"/>
      <c r="B109" s="140"/>
      <c r="D109" s="223" t="s">
        <v>254</v>
      </c>
      <c r="E109" s="205"/>
      <c r="F109" s="205"/>
      <c r="G109" s="205"/>
      <c r="H109" s="205"/>
      <c r="I109" s="205"/>
      <c r="J109" s="206"/>
      <c r="K109"/>
      <c r="L109" s="203"/>
      <c r="M109" s="205"/>
      <c r="N109" s="205"/>
      <c r="O109" s="205"/>
      <c r="P109" s="205"/>
      <c r="Q109" s="205"/>
      <c r="R109" s="206"/>
      <c r="T109" s="203"/>
      <c r="U109" s="205"/>
      <c r="V109" s="205"/>
      <c r="W109" s="205"/>
      <c r="X109" s="205"/>
      <c r="Y109" s="205"/>
      <c r="Z109" s="206"/>
    </row>
    <row r="110" spans="1:26" ht="18.75" customHeight="1" hidden="1">
      <c r="A110" s="140"/>
      <c r="B110" s="140"/>
      <c r="D110" s="198" t="s">
        <v>255</v>
      </c>
      <c r="E110" s="130" t="e">
        <f>_xlfn.XLOOKUP(E75,CurrentPlans!B:B,CurrentPlans!AR:AR,"NA",0,1)</f>
        <v>#N/A</v>
      </c>
      <c r="F110" s="200"/>
      <c r="G110" s="200"/>
      <c r="H110" s="200"/>
      <c r="I110" s="130"/>
      <c r="J110" s="201"/>
      <c r="K110"/>
      <c r="L110" s="131" t="str">
        <f ca="1">_xlfn.XLOOKUP(L75,RenewalPlans!B:B,RenewalPlans!AU:AU,"NA",0,1)</f>
        <v>NA</v>
      </c>
      <c r="M110" s="200"/>
      <c r="N110" s="200"/>
      <c r="O110" s="200"/>
      <c r="P110" s="130"/>
      <c r="Q110" s="200"/>
      <c r="R110" s="201"/>
      <c r="T110" s="131" t="str">
        <f>_xlfn.XLOOKUP(T75,RenewalPlans!B:B,RenewalPlans!AU:AU,"NA",0,1)</f>
        <v>NA</v>
      </c>
      <c r="U110" s="200"/>
      <c r="V110" s="200"/>
      <c r="W110" s="200"/>
      <c r="X110" s="130"/>
      <c r="Y110" s="200"/>
      <c r="Z110" s="201"/>
    </row>
    <row r="111" spans="1:26" ht="18" customHeight="1" hidden="1" thickBot="1">
      <c r="A111" s="140"/>
      <c r="B111" s="140"/>
      <c r="D111" s="224" t="s">
        <v>256</v>
      </c>
      <c r="E111" s="137" t="e">
        <f>_xlfn.XLOOKUP(E75,CurrentPlans!B:B,CurrentPlans!AS:AS,"NA",0,1)</f>
        <v>#N/A</v>
      </c>
      <c r="F111" s="225"/>
      <c r="G111" s="225"/>
      <c r="H111" s="225"/>
      <c r="I111" s="137"/>
      <c r="J111" s="226"/>
      <c r="K111"/>
      <c r="L111" s="138" t="str">
        <f ca="1">_xlfn.XLOOKUP(L75,RenewalPlans!B:B,RenewalPlans!AV:AV,"NA",0,1)</f>
        <v>NA</v>
      </c>
      <c r="M111" s="225"/>
      <c r="N111" s="225"/>
      <c r="O111" s="225"/>
      <c r="P111" s="137"/>
      <c r="Q111" s="225"/>
      <c r="R111" s="226"/>
      <c r="T111" s="138" t="str">
        <f>_xlfn.XLOOKUP(T75,RenewalPlans!B:B,RenewalPlans!AV:AV,"NA",0,1)</f>
        <v>NA</v>
      </c>
      <c r="U111" s="225"/>
      <c r="V111" s="225"/>
      <c r="W111" s="225"/>
      <c r="X111" s="137"/>
      <c r="Y111" s="225"/>
      <c r="Z111" s="226"/>
    </row>
    <row r="112" spans="1:26" ht="18" customHeight="1">
      <c r="A112" s="140"/>
      <c r="B112" s="140"/>
      <c r="D112" s="227"/>
      <c r="E112" s="176"/>
      <c r="F112" s="178"/>
      <c r="G112" s="179"/>
      <c r="H112" s="178"/>
      <c r="I112" s="176"/>
      <c r="J112" s="228"/>
      <c r="K112"/>
      <c r="L112" s="178"/>
      <c r="M112" s="176"/>
      <c r="N112" s="139"/>
      <c r="O112" s="178"/>
      <c r="P112" s="178"/>
      <c r="Q112" s="178"/>
      <c r="R112" s="228"/>
      <c r="T112" s="178"/>
      <c r="U112" s="176"/>
      <c r="V112" s="139"/>
      <c r="W112" s="178"/>
      <c r="X112" s="178"/>
      <c r="Y112" s="178"/>
      <c r="Z112" s="228"/>
    </row>
    <row r="113" spans="1:26" ht="5.25" customHeight="1" thickBot="1">
      <c r="A113" s="140"/>
      <c r="B113" s="140"/>
      <c r="D113" s="229"/>
      <c r="E113" s="229"/>
      <c r="F113" s="230"/>
      <c r="G113" s="231"/>
      <c r="H113" s="232"/>
      <c r="I113" s="233"/>
      <c r="J113" s="233"/>
      <c r="K113"/>
      <c r="L113" s="233"/>
      <c r="M113" s="233"/>
      <c r="N113" s="233"/>
      <c r="O113" s="233"/>
      <c r="P113" s="233"/>
      <c r="Q113" s="233"/>
      <c r="R113" s="233"/>
      <c r="T113" s="233"/>
      <c r="U113" s="233"/>
      <c r="V113" s="233"/>
      <c r="W113" s="233"/>
      <c r="X113" s="233"/>
      <c r="Y113" s="233"/>
      <c r="Z113" s="233"/>
    </row>
    <row r="114" spans="1:26" ht="50.15" customHeight="1">
      <c r="A114" s="140">
        <v>3</v>
      </c>
      <c r="B114" s="140">
        <f>IF(A114&gt;Class3_CurrentHealthCount,"DELETE",Class3_CurrentHealthStart+A114)</f>
        <v>63</v>
      </c>
      <c r="C114" s="164" t="s">
        <v>276</v>
      </c>
      <c r="D114" s="273" t="e">
        <f ca="1">IF(B114="Delete","",VLOOKUP(F114,BEGIN_CURRENT_HEALTH:END_CURRENT_HEALTH,3,FALSE))</f>
        <v>#N/A</v>
      </c>
      <c r="E114" s="165"/>
      <c r="F114" s="272" cm="1">
        <f t="array" ca="1" aca="1" ref="F114">IF(B114="Delete","",INDIRECT("CurrentPlans!A"&amp;B114,TRUE))</f>
        <v>0</v>
      </c>
      <c r="G114" s="166"/>
      <c r="H114" s="167"/>
      <c r="I114" s="168"/>
      <c r="J114" s="169"/>
      <c r="K114"/>
      <c r="L114" s="274" t="str">
        <f ca="1">_xlfn.IFNA(VLOOKUP(F114,BEGIN_RENEWEDFROM_HEALTH:ROW_RenewHealth_PlanID,3,FALSE),"SELECT PLAN")</f>
        <v>SELECT PLAN</v>
      </c>
      <c r="M114" s="170"/>
      <c r="N114" s="274" t="s">
        <v>237</v>
      </c>
      <c r="O114" s="171"/>
      <c r="P114" s="171"/>
      <c r="Q114" s="171"/>
      <c r="R114" s="169"/>
      <c r="T114" s="274" t="s">
        <v>38</v>
      </c>
      <c r="U114" s="170"/>
      <c r="V114" s="274" t="s">
        <v>237</v>
      </c>
      <c r="W114" s="171"/>
      <c r="X114" s="171"/>
      <c r="Y114" s="171"/>
      <c r="Z114" s="169"/>
    </row>
    <row r="115" spans="1:26" ht="18.75" customHeight="1">
      <c r="A115" s="140"/>
      <c r="B115" s="140"/>
      <c r="D115" s="172" t="s">
        <v>238</v>
      </c>
      <c r="E115" s="407" t="str">
        <f ca="1">_xlfn.IFNA(VLOOKUP(F114,BEGIN_CURRENT_HEALTH:END_CURRENT_HEALTH,CURRENT_COL_EO_count,FALSE),"")</f>
        <v/>
      </c>
      <c r="F115" s="408" t="str">
        <f ca="1">_xlfn.IFNA(VLOOKUP(F114,BEGIN_CURRENT_HEALTH:END_CURRENT_HEALTH,CURRENT_COL_EO,FALSE),"")</f>
        <v/>
      </c>
      <c r="G115" s="468" t="str">
        <f ca="1" t="shared" si="10" ref="G115:G118">IF(F115="","",H115/F115)</f>
        <v/>
      </c>
      <c r="H115" s="408" t="str">
        <f ca="1">_xlfn.IFNA(VLOOKUP(F114,BEGIN_CURRENT_HEALTH:END_CURRENT_HEALTH,CURRENT_COL_EOContrib,FALSE),"")</f>
        <v/>
      </c>
      <c r="I115" s="409" t="str">
        <f ca="1">IFERROR(F115-H115,"")</f>
        <v/>
      </c>
      <c r="J115" s="410" t="str">
        <f ca="1">IF(F115="","",H115*E115)</f>
        <v/>
      </c>
      <c r="K115" s="411"/>
      <c r="L115" s="408" t="str" cm="1">
        <f t="array" ca="1" aca="1" ref="L115">_xlfn.IFNA(VLOOKUP(INDIRECT("L"&amp;ROW()-1)&amp;"_"&amp;$D$12,BEGIN_RENEW_HEALTH:END_RENEW_HEALTH,RENEW_COL_EO,FALSE),"")</f>
        <v/>
      </c>
      <c r="M115" s="412" t="str">
        <f ca="1">IF(E115="","",E115)</f>
        <v/>
      </c>
      <c r="N115" s="413"/>
      <c r="O115" s="414"/>
      <c r="P115" s="415" t="str">
        <f>IFERROR(IF($N114="Keep Contribution Same",H115,IF($N114="Enter Percentages",IF(N115="","",N115*L115),IF($N114="Keep Percentage Same",IF(G115="","",G115*L115),IF($N114="Enter Dollar Amount",IF(O115="","",O115),"")))),"")</f>
        <v/>
      </c>
      <c r="Q115" s="408" t="str">
        <f ca="1">IFERROR(L115-P115,"")</f>
        <v/>
      </c>
      <c r="R115" s="410" t="str">
        <f>IFERROR(IF(P115="","",M115*P115),"")</f>
        <v/>
      </c>
      <c r="S115" s="411"/>
      <c r="T115" s="408" t="str" cm="1">
        <f t="array" ca="1" aca="1" ref="T115">_xlfn.IFNA(VLOOKUP(INDIRECT("T"&amp;ROW()-1)&amp;"_"&amp;$D$12,BEGIN_RENEW_HEALTH:END_RENEW_HEALTH,RENEW_COL_EO,FALSE),"")</f>
        <v/>
      </c>
      <c r="U115" s="412" t="str">
        <f ca="1">IF(E115="","",E115)</f>
        <v/>
      </c>
      <c r="V115" s="413"/>
      <c r="W115" s="414"/>
      <c r="X115" s="415" t="str">
        <f>IFERROR(IF($V114="Keep Contribution Same",H115,IF($V114="Enter Percentages",IF(V115="","",V115*T115),IF($V114="Keep Percentage Same",IF(G115="","",G115*T115),IF($V114="Enter Dollar Amount",IF(W115="","",W115),"")))),"")</f>
        <v/>
      </c>
      <c r="Y115" s="408" t="str">
        <f ca="1">IFERROR(T115-X115,"")</f>
        <v/>
      </c>
      <c r="Z115" s="410" t="str">
        <f>IFERROR(IF(X115="","",U115*X115),"")</f>
        <v/>
      </c>
    </row>
    <row r="116" spans="1:26" ht="18.75" customHeight="1">
      <c r="A116" s="140"/>
      <c r="B116" s="140"/>
      <c r="D116" s="172" t="s">
        <v>239</v>
      </c>
      <c r="E116" s="407" t="str">
        <f ca="1">_xlfn.IFNA(VLOOKUP(F114,BEGIN_CURRENT_HEALTH:END_CURRENT_HEALTH,CURRENT_COL_ES_count,FALSE),"")</f>
        <v/>
      </c>
      <c r="F116" s="408" t="str">
        <f ca="1">_xlfn.IFNA(VLOOKUP(F114,BEGIN_CURRENT_HEALTH:END_CURRENT_HEALTH,CURRENT_COL_ES,FALSE),"")</f>
        <v/>
      </c>
      <c r="G116" s="468" t="str">
        <f t="shared" ca="1" si="10"/>
        <v/>
      </c>
      <c r="H116" s="408" t="str">
        <f ca="1">_xlfn.IFNA(VLOOKUP(F114,BEGIN_CURRENT_HEALTH:END_CURRENT_HEALTH,CURRENT_COL_ESContrib,FALSE),"")</f>
        <v/>
      </c>
      <c r="I116" s="409" t="str">
        <f ca="1" t="shared" si="11" ref="I116:I118">IFERROR(F116-H116,"")</f>
        <v/>
      </c>
      <c r="J116" s="410" t="str">
        <f ca="1">IF(F116="","",H116*E116)</f>
        <v/>
      </c>
      <c r="K116" s="411"/>
      <c r="L116" s="408" t="str" cm="1">
        <f t="array" ca="1" aca="1" ref="L116">_xlfn.IFNA(VLOOKUP(INDIRECT("L"&amp;ROW()-2)&amp;"_"&amp;$D$12,BEGIN_RENEW_HEALTH:END_RENEW_HEALTH,RENEW_COL_ES,FALSE),"")</f>
        <v/>
      </c>
      <c r="M116" s="412" t="str">
        <f ca="1">IF(E116="","",E116)</f>
        <v/>
      </c>
      <c r="N116" s="413"/>
      <c r="O116" s="414"/>
      <c r="P116" s="415" t="str">
        <f>IFERROR(IF($N114="Keep Contribution Same",H116,IF($N114="Enter Percentages",IF(N116="","",N116*L116),IF($N114="Keep Percentage Same",IF(G116="","",G116*L116),IF($N114="Enter Dollar Amount",IF(O116="","",O116),"")))),"")</f>
        <v/>
      </c>
      <c r="Q116" s="408" t="str">
        <f ca="1">IFERROR(L116-P116,"")</f>
        <v/>
      </c>
      <c r="R116" s="410" t="str">
        <f>IFERROR(IF(P116="","",M116*P116),"")</f>
        <v/>
      </c>
      <c r="S116" s="411"/>
      <c r="T116" s="408" t="str" cm="1">
        <f t="array" ca="1" aca="1" ref="T116">_xlfn.IFNA(VLOOKUP(INDIRECT("T"&amp;ROW()-2)&amp;"_"&amp;$D$12,BEGIN_RENEW_HEALTH:END_RENEW_HEALTH,RENEW_COL_ES,FALSE),"")</f>
        <v/>
      </c>
      <c r="U116" s="412" t="str">
        <f ca="1" t="shared" si="12" ref="U116:U118">IF(E116="","",E116)</f>
        <v/>
      </c>
      <c r="V116" s="413"/>
      <c r="W116" s="414"/>
      <c r="X116" s="415" t="str">
        <f>IFERROR(IF($V114="Keep Contribution Same",H116,IF($V114="Enter Percentages",IF(V116="","",V116*T116),IF($V114="Keep Percentage Same",IF(G116="","",G116*T116),IF($V114="Enter Dollar Amount",IF(W116="","",W116),"")))),"")</f>
        <v/>
      </c>
      <c r="Y116" s="408" t="str">
        <f ca="1" t="shared" si="13" ref="Y116:Y118">IFERROR(T116-X116,"")</f>
        <v/>
      </c>
      <c r="Z116" s="410" t="str">
        <f t="shared" si="14" ref="Z116:Z118">IFERROR(IF(X116="","",U116*X116),"")</f>
        <v/>
      </c>
    </row>
    <row r="117" spans="1:26" ht="18.75" customHeight="1">
      <c r="A117" s="140"/>
      <c r="B117" s="140"/>
      <c r="D117" s="172" t="s">
        <v>240</v>
      </c>
      <c r="E117" s="407" t="str">
        <f ca="1">_xlfn.IFNA(VLOOKUP(F114,BEGIN_CURRENT_HEALTH:END_CURRENT_HEALTH,CURRENT_COL_EC_count,FALSE),"")</f>
        <v/>
      </c>
      <c r="F117" s="408" t="str">
        <f ca="1">_xlfn.IFNA(VLOOKUP(F114,BEGIN_CURRENT_HEALTH:END_CURRENT_HEALTH,CURRENT_COL_EC,FALSE),"")</f>
        <v/>
      </c>
      <c r="G117" s="468" t="str">
        <f t="shared" ca="1" si="10"/>
        <v/>
      </c>
      <c r="H117" s="408" t="str">
        <f ca="1">_xlfn.IFNA(VLOOKUP(F114,BEGIN_CURRENT_HEALTH:END_CURRENT_HEALTH,CURRENT_COL_ECContrib,FALSE),"")</f>
        <v/>
      </c>
      <c r="I117" s="409" t="str">
        <f t="shared" ca="1" si="11"/>
        <v/>
      </c>
      <c r="J117" s="410" t="str">
        <f ca="1">IF(F117="","",H117*E117)</f>
        <v/>
      </c>
      <c r="K117" s="411"/>
      <c r="L117" s="408" t="str" cm="1">
        <f t="array" ca="1" aca="1" ref="L117">_xlfn.IFNA(VLOOKUP(INDIRECT("L"&amp;ROW()-3)&amp;"_"&amp;$D$12,BEGIN_RENEW_HEALTH:END_RENEW_HEALTH,RENEW_COL_EC,FALSE),"")</f>
        <v/>
      </c>
      <c r="M117" s="412" t="str">
        <f ca="1">IF(E117="","",E117)</f>
        <v/>
      </c>
      <c r="N117" s="413"/>
      <c r="O117" s="414"/>
      <c r="P117" s="415" t="str">
        <f>IFERROR(IF($N114="Keep Contribution Same",H117,IF($N114="Enter Percentages",IF(N117="","",N117*L117),IF($N114="Keep Percentage Same",IF(G117="","",G117*L117),IF($N114="Enter Dollar Amount",IF(O117="","",O117),"")))),"")</f>
        <v/>
      </c>
      <c r="Q117" s="408" t="str">
        <f ca="1">IFERROR(L117-P117,"")</f>
        <v/>
      </c>
      <c r="R117" s="410" t="str">
        <f>IFERROR(IF(P117="","",M117*P117),"")</f>
        <v/>
      </c>
      <c r="S117" s="411"/>
      <c r="T117" s="408" t="str" cm="1">
        <f t="array" ca="1" aca="1" ref="T117">_xlfn.IFNA(VLOOKUP(INDIRECT("T"&amp;ROW()-3)&amp;"_"&amp;$D$12,BEGIN_RENEW_HEALTH:END_RENEW_HEALTH,RENEW_COL_EC,FALSE),"")</f>
        <v/>
      </c>
      <c r="U117" s="412" t="str">
        <f t="shared" ca="1" si="12"/>
        <v/>
      </c>
      <c r="V117" s="413"/>
      <c r="W117" s="414"/>
      <c r="X117" s="415" t="str">
        <f>IFERROR(IF($V114="Keep Contribution Same",H117,IF($V114="Enter Percentages",IF(V117="","",V117*T117),IF($V114="Keep Percentage Same",IF(G117="","",G117*T117),IF($V114="Enter Dollar Amount",IF(W117="","",W117),"")))),"")</f>
        <v/>
      </c>
      <c r="Y117" s="408" t="str">
        <f t="shared" ca="1" si="13"/>
        <v/>
      </c>
      <c r="Z117" s="410" t="str">
        <f t="shared" si="14"/>
        <v/>
      </c>
    </row>
    <row r="118" spans="1:26" ht="18.75" customHeight="1" thickBot="1">
      <c r="A118" s="140"/>
      <c r="B118" s="140"/>
      <c r="D118" s="174" t="s">
        <v>241</v>
      </c>
      <c r="E118" s="416" t="str">
        <f ca="1">_xlfn.IFNA(VLOOKUP(F114,BEGIN_CURRENT_HEALTH:END_CURRENT_HEALTH,CURRENT_COL_FAM_count,FALSE),"")</f>
        <v/>
      </c>
      <c r="F118" s="417" t="str">
        <f ca="1">_xlfn.IFNA(VLOOKUP(F114,BEGIN_CURRENT_HEALTH:END_CURRENT_HEALTH,CURRENT_COL_FAM,FALSE),"")</f>
        <v/>
      </c>
      <c r="G118" s="469" t="str">
        <f t="shared" ca="1" si="10"/>
        <v/>
      </c>
      <c r="H118" s="417" t="str">
        <f ca="1">_xlfn.IFNA(VLOOKUP(F114,BEGIN_CURRENT_HEALTH:END_CURRENT_HEALTH,CURRENT_COL_FAMContrib,FALSE),"")</f>
        <v/>
      </c>
      <c r="I118" s="418" t="str">
        <f t="shared" ca="1" si="11"/>
        <v/>
      </c>
      <c r="J118" s="419" t="str">
        <f ca="1">IF(F118="","",H118*E118)</f>
        <v/>
      </c>
      <c r="K118" s="411"/>
      <c r="L118" s="417" t="str" cm="1">
        <f t="array" ca="1" aca="1" ref="L118">_xlfn.IFNA(VLOOKUP(INDIRECT("L"&amp;ROW()-4)&amp;"_"&amp;$D$12,BEGIN_RENEW_HEALTH:END_RENEW_HEALTH,RENEW_COL_FAM,FALSE),"")</f>
        <v/>
      </c>
      <c r="M118" s="423" t="str">
        <f ca="1">IF(E118="","",E118)</f>
        <v/>
      </c>
      <c r="N118" s="420"/>
      <c r="O118" s="421"/>
      <c r="P118" s="422" t="str">
        <f>IFERROR(IF($N114="Keep Contribution Same",H118,IF($N114="Enter Percentages",IF(N118="","",N118*L118),IF($N114="Keep Percentage Same",IF(G118="","",G118*L118),IF($N114="Enter Dollar Amount",IF(O118="","",O118),"")))),"")</f>
        <v/>
      </c>
      <c r="Q118" s="417" t="str">
        <f ca="1">IFERROR(L118-P118,"")</f>
        <v/>
      </c>
      <c r="R118" s="419" t="str">
        <f>IFERROR(IF(P118="","",M118*P118),"")</f>
        <v/>
      </c>
      <c r="S118" s="411"/>
      <c r="T118" s="417" t="str" cm="1">
        <f t="array" ca="1" aca="1" ref="T118">_xlfn.IFNA(VLOOKUP(INDIRECT("T"&amp;ROW()-4)&amp;"_"&amp;$D$12,BEGIN_RENEW_HEALTH:END_RENEW_HEALTH,RENEW_COL_FAM,FALSE),"")</f>
        <v/>
      </c>
      <c r="U118" s="423" t="str">
        <f t="shared" ca="1" si="12"/>
        <v/>
      </c>
      <c r="V118" s="420"/>
      <c r="W118" s="421"/>
      <c r="X118" s="422" t="str">
        <f>IFERROR(IF($V114="Keep Contribution Same",H118,IF($V114="Enter Percentages",IF(V118="","",V118*T118),IF($V114="Keep Percentage Same",IF(G118="","",G118*T118),IF($V114="Enter Dollar Amount",IF(W118="","",W118),"")))),"")</f>
        <v/>
      </c>
      <c r="Y118" s="417" t="str">
        <f t="shared" ca="1" si="13"/>
        <v/>
      </c>
      <c r="Z118" s="419" t="str">
        <f t="shared" si="14"/>
        <v/>
      </c>
    </row>
    <row r="119" spans="1:26" ht="18.75" customHeight="1" thickTop="1">
      <c r="A119" s="140"/>
      <c r="B119" s="140"/>
      <c r="D119" s="175" t="s">
        <v>242</v>
      </c>
      <c r="E119" s="424"/>
      <c r="F119" s="447" t="str">
        <f ca="1">IFERROR((F115*E115)+(F116*E116)+(F117*E117)+(F118*E118),"")</f>
        <v/>
      </c>
      <c r="G119" s="426"/>
      <c r="H119" s="427"/>
      <c r="I119" s="428"/>
      <c r="J119" s="429" t="str">
        <f ca="1">IFERROR(IF(J115="","",SUM(J115:J118)),0)</f>
        <v/>
      </c>
      <c r="K119" s="1"/>
      <c r="L119" s="430" t="str">
        <f ca="1">IFERROR((M115*L115)+(M116*L116)+(M117*L117)+(M118*L118),"")</f>
        <v/>
      </c>
      <c r="M119" s="427"/>
      <c r="N119" s="426"/>
      <c r="O119" s="427"/>
      <c r="P119" s="431"/>
      <c r="Q119" s="432"/>
      <c r="R119" s="429" t="str">
        <f>IFERROR(IF(R115="","",SUM(R115:R118)),0)</f>
        <v/>
      </c>
      <c r="T119" s="430" t="str">
        <f ca="1">IFERROR((U115*T115)+(U116*T116)+(U117*T117)+(U118*T118),"")</f>
        <v/>
      </c>
      <c r="U119" s="427"/>
      <c r="V119" s="426"/>
      <c r="W119" s="427"/>
      <c r="X119" s="431"/>
      <c r="Y119" s="432"/>
      <c r="Z119" s="429" t="str">
        <f>IFERROR(IF(Z115="","",SUM(Z115:Z118)),0)</f>
        <v/>
      </c>
    </row>
    <row r="120" spans="1:26" ht="18.75" customHeight="1">
      <c r="A120" s="140"/>
      <c r="B120" s="140"/>
      <c r="D120" s="177" t="s">
        <v>243</v>
      </c>
      <c r="E120" s="433"/>
      <c r="F120" s="448" t="str">
        <f ca="1">IFERROR(F119*12,"")</f>
        <v/>
      </c>
      <c r="G120" s="435"/>
      <c r="H120" s="436"/>
      <c r="I120" s="432"/>
      <c r="J120" s="437" t="str">
        <f ca="1">IF(J119="","",J119*12)</f>
        <v/>
      </c>
      <c r="K120" s="1"/>
      <c r="L120" s="438" t="str">
        <f ca="1">IFERROR(L119*12,"")</f>
        <v/>
      </c>
      <c r="M120" s="436"/>
      <c r="N120" s="435"/>
      <c r="O120" s="436"/>
      <c r="P120" s="432"/>
      <c r="Q120" s="432"/>
      <c r="R120" s="437" t="str">
        <f>IF(R119="","",R119*12)</f>
        <v/>
      </c>
      <c r="T120" s="438" t="str">
        <f ca="1">IFERROR(T119*12,"")</f>
        <v/>
      </c>
      <c r="U120" s="436"/>
      <c r="V120" s="435"/>
      <c r="W120" s="436"/>
      <c r="X120" s="432"/>
      <c r="Y120" s="432"/>
      <c r="Z120" s="437" t="str">
        <f>IF(Z119="","",Z119*12)</f>
        <v/>
      </c>
    </row>
    <row r="121" spans="1:26" ht="18" customHeight="1">
      <c r="A121" s="140"/>
      <c r="B121" s="140"/>
      <c r="D121" s="177" t="s">
        <v>244</v>
      </c>
      <c r="E121" s="433"/>
      <c r="F121" s="436"/>
      <c r="G121" s="435"/>
      <c r="H121" s="436"/>
      <c r="I121" s="432"/>
      <c r="J121" s="437"/>
      <c r="K121" s="1"/>
      <c r="L121" s="434" t="str">
        <f ca="1">IFERROR(L120-F120,"")</f>
        <v/>
      </c>
      <c r="M121" s="436"/>
      <c r="N121" s="435"/>
      <c r="O121" s="436"/>
      <c r="P121" s="432"/>
      <c r="Q121" s="432"/>
      <c r="R121" s="437" t="str">
        <f ca="1">IFERROR(IF(J120="","",R120-J120),0)</f>
        <v/>
      </c>
      <c r="T121" s="434" t="str">
        <f ca="1">IFERROR(T120-F120,"")</f>
        <v/>
      </c>
      <c r="U121" s="436"/>
      <c r="V121" s="435"/>
      <c r="W121" s="436"/>
      <c r="X121" s="432"/>
      <c r="Y121" s="432"/>
      <c r="Z121" s="437" t="str">
        <f>IFERROR(IF(R120="","",Z120-R120),0)</f>
        <v/>
      </c>
    </row>
    <row r="122" spans="1:26" ht="18" customHeight="1" thickBot="1">
      <c r="A122" s="140"/>
      <c r="B122" s="140"/>
      <c r="D122" s="180" t="s">
        <v>245</v>
      </c>
      <c r="E122" s="439"/>
      <c r="F122" s="440"/>
      <c r="G122" s="441"/>
      <c r="H122" s="440"/>
      <c r="I122" s="442"/>
      <c r="J122" s="437"/>
      <c r="K122" s="1"/>
      <c r="L122" s="444" t="str">
        <f ca="1">IFERROR(L120/F120-1,"")</f>
        <v/>
      </c>
      <c r="M122" s="440"/>
      <c r="N122" s="441"/>
      <c r="O122" s="440"/>
      <c r="P122" s="445"/>
      <c r="Q122" s="445"/>
      <c r="R122" s="446" t="str">
        <f ca="1">IFERROR(IF(J120="","",(R120/J120)-1),0)</f>
        <v/>
      </c>
      <c r="T122" s="444" t="str">
        <f ca="1">IFERROR(T120/F120-1,"")</f>
        <v/>
      </c>
      <c r="U122" s="440"/>
      <c r="V122" s="441"/>
      <c r="W122" s="440"/>
      <c r="X122" s="445"/>
      <c r="Y122" s="445"/>
      <c r="Z122" s="446" t="str">
        <f>IFERROR(IF(R120="","",(Z120/R120)-1),0)</f>
        <v/>
      </c>
    </row>
    <row r="123" spans="1:26" ht="18" customHeight="1">
      <c r="A123" s="140"/>
      <c r="B123" s="140"/>
      <c r="D123" s="181" t="s">
        <v>246</v>
      </c>
      <c r="E123" s="182"/>
      <c r="F123" s="182"/>
      <c r="G123" s="182"/>
      <c r="H123" s="182"/>
      <c r="I123" s="182"/>
      <c r="J123" s="183"/>
      <c r="K123"/>
      <c r="L123" s="184"/>
      <c r="M123" s="182"/>
      <c r="N123" s="182"/>
      <c r="O123" s="182"/>
      <c r="P123" s="182"/>
      <c r="Q123" s="182"/>
      <c r="R123" s="183"/>
      <c r="T123" s="184"/>
      <c r="U123" s="182"/>
      <c r="V123" s="182"/>
      <c r="W123" s="182"/>
      <c r="X123" s="182"/>
      <c r="Y123" s="182"/>
      <c r="Z123" s="183"/>
    </row>
    <row r="124" spans="1:26" ht="18" customHeight="1" hidden="1">
      <c r="A124" s="140"/>
      <c r="B124" s="140"/>
      <c r="D124" s="185" t="s">
        <v>247</v>
      </c>
      <c r="E124" s="186"/>
      <c r="F124" s="186"/>
      <c r="G124" s="186"/>
      <c r="H124" s="186"/>
      <c r="I124" s="186"/>
      <c r="J124" s="187"/>
      <c r="K124"/>
      <c r="L124" s="188"/>
      <c r="M124" s="186"/>
      <c r="N124" s="186"/>
      <c r="O124" s="186"/>
      <c r="P124" s="186"/>
      <c r="Q124" s="186"/>
      <c r="R124" s="187"/>
      <c r="T124" s="188"/>
      <c r="U124" s="186"/>
      <c r="V124" s="186"/>
      <c r="W124" s="186"/>
      <c r="X124" s="186"/>
      <c r="Y124" s="186"/>
      <c r="Z124" s="187"/>
    </row>
    <row r="125" spans="1:26" ht="18" customHeight="1" hidden="1">
      <c r="A125" s="140"/>
      <c r="B125" s="140"/>
      <c r="D125" s="189" t="s">
        <v>248</v>
      </c>
      <c r="E125" s="190" t="e">
        <f ca="1">D114&amp;"_"&amp;D12</f>
        <v>#N/A</v>
      </c>
      <c r="F125" s="191"/>
      <c r="G125" s="191"/>
      <c r="H125" s="191"/>
      <c r="I125" s="190"/>
      <c r="J125" s="192"/>
      <c r="K125"/>
      <c r="L125" s="193" t="str">
        <f ca="1">L114&amp;"_"&amp;D12</f>
        <v>SELECT PLAN_PRIMARY</v>
      </c>
      <c r="M125" s="191"/>
      <c r="N125" s="191"/>
      <c r="O125" s="191"/>
      <c r="P125" s="190"/>
      <c r="Q125" s="191"/>
      <c r="R125" s="192"/>
      <c r="T125" s="193" t="str">
        <f>T114&amp;"_"&amp;D12</f>
        <v>SELECT PLAN_PRIMARY</v>
      </c>
      <c r="U125" s="191"/>
      <c r="V125" s="191"/>
      <c r="W125" s="191"/>
      <c r="X125" s="190"/>
      <c r="Y125" s="191"/>
      <c r="Z125" s="192"/>
    </row>
    <row r="126" spans="1:26" ht="18" customHeight="1" hidden="1">
      <c r="A126" s="140"/>
      <c r="B126" s="140"/>
      <c r="D126" s="189" t="s">
        <v>249</v>
      </c>
      <c r="E126" s="191"/>
      <c r="F126" s="191"/>
      <c r="G126" s="191"/>
      <c r="H126" s="191"/>
      <c r="I126" s="191"/>
      <c r="J126" s="192"/>
      <c r="K126"/>
      <c r="L126" s="189"/>
      <c r="M126" s="191"/>
      <c r="N126" s="191"/>
      <c r="O126" s="191"/>
      <c r="P126" s="191"/>
      <c r="Q126" s="191"/>
      <c r="R126" s="192"/>
      <c r="T126" s="189"/>
      <c r="U126" s="191"/>
      <c r="V126" s="191"/>
      <c r="W126" s="191"/>
      <c r="X126" s="191"/>
      <c r="Y126" s="191"/>
      <c r="Z126" s="192"/>
    </row>
    <row r="127" spans="1:26" ht="18" customHeight="1" hidden="1">
      <c r="A127" s="140"/>
      <c r="B127" s="140"/>
      <c r="D127" s="194" t="s">
        <v>250</v>
      </c>
      <c r="E127" s="195"/>
      <c r="F127" s="195"/>
      <c r="G127" s="195"/>
      <c r="H127" s="195"/>
      <c r="I127" s="195"/>
      <c r="J127" s="196"/>
      <c r="K127"/>
      <c r="L127" s="197"/>
      <c r="M127" s="195"/>
      <c r="N127" s="195"/>
      <c r="O127" s="195"/>
      <c r="P127" s="195"/>
      <c r="Q127" s="195"/>
      <c r="R127" s="196"/>
      <c r="T127" s="197"/>
      <c r="U127" s="195"/>
      <c r="V127" s="195"/>
      <c r="W127" s="195"/>
      <c r="X127" s="195"/>
      <c r="Y127" s="195"/>
      <c r="Z127" s="196"/>
    </row>
    <row r="128" spans="1:26" ht="18" customHeight="1" hidden="1">
      <c r="A128" s="140"/>
      <c r="B128" s="140"/>
      <c r="D128" s="198" t="s">
        <v>251</v>
      </c>
      <c r="E128" s="199" t="e">
        <f>_xlfn.XLOOKUP(E125,CurrentPlans!B:B,CurrentPlans!X:X,"NA",0,1)</f>
        <v>#N/A</v>
      </c>
      <c r="F128" s="200"/>
      <c r="G128" s="200"/>
      <c r="H128" s="200"/>
      <c r="I128" s="199"/>
      <c r="J128" s="201"/>
      <c r="K128"/>
      <c r="L128" s="202" t="str">
        <f ca="1">_xlfn.XLOOKUP(L125,RenewalPlans!B:B,RenewalPlans!AA:AA,"NA",0,1)</f>
        <v>NA</v>
      </c>
      <c r="M128" s="200"/>
      <c r="N128" s="200"/>
      <c r="O128" s="200"/>
      <c r="P128" s="199"/>
      <c r="Q128" s="200"/>
      <c r="R128" s="201"/>
      <c r="T128" s="202" t="str">
        <f>_xlfn.XLOOKUP(T125,RenewalPlans!B:B,RenewalPlans!AA:AA,"NA",0,1)</f>
        <v>NA</v>
      </c>
      <c r="U128" s="200"/>
      <c r="V128" s="200"/>
      <c r="W128" s="200"/>
      <c r="X128" s="199"/>
      <c r="Y128" s="200"/>
      <c r="Z128" s="201"/>
    </row>
    <row r="129" spans="1:26" ht="18" customHeight="1" hidden="1">
      <c r="A129" s="140"/>
      <c r="B129" s="140"/>
      <c r="D129" s="198" t="s">
        <v>252</v>
      </c>
      <c r="E129" s="199" t="e">
        <f>_xlfn.XLOOKUP(E125,CurrentPlans!B:B,CurrentPlans!Y:Y,"NA",0,1)</f>
        <v>#N/A</v>
      </c>
      <c r="F129" s="200"/>
      <c r="G129" s="200"/>
      <c r="H129" s="200"/>
      <c r="I129" s="199"/>
      <c r="J129" s="201"/>
      <c r="K129"/>
      <c r="L129" s="202" t="str">
        <f ca="1">_xlfn.XLOOKUP(L125,RenewalPlans!B:B,RenewalPlans!AB:AB,"NA",0,1)</f>
        <v>NA</v>
      </c>
      <c r="M129" s="200"/>
      <c r="N129" s="200"/>
      <c r="O129" s="200"/>
      <c r="P129" s="199"/>
      <c r="Q129" s="200"/>
      <c r="R129" s="201"/>
      <c r="T129" s="202" t="str">
        <f>_xlfn.XLOOKUP(T125,RenewalPlans!B:B,RenewalPlans!AB:AB,"NA",0,1)</f>
        <v>NA</v>
      </c>
      <c r="U129" s="200"/>
      <c r="V129" s="200"/>
      <c r="W129" s="200"/>
      <c r="X129" s="199"/>
      <c r="Y129" s="200"/>
      <c r="Z129" s="201"/>
    </row>
    <row r="130" spans="1:26" ht="18" customHeight="1" hidden="1">
      <c r="A130" s="140"/>
      <c r="B130" s="140"/>
      <c r="D130" s="120" t="s">
        <v>253</v>
      </c>
      <c r="E130" s="121" t="e">
        <f>_xlfn.XLOOKUP(E125,CurrentPlans!B:B,CurrentPlans!W:W,"NA",0,1)</f>
        <v>#N/A</v>
      </c>
      <c r="F130" s="122"/>
      <c r="G130" s="122"/>
      <c r="H130" s="122"/>
      <c r="I130" s="121"/>
      <c r="J130" s="123"/>
      <c r="K130"/>
      <c r="L130" s="124" t="str">
        <f ca="1">_xlfn.XLOOKUP(L125,RenewalPlans!B:B,RenewalPlans!Z:Z,"NA",0,1)</f>
        <v>NA</v>
      </c>
      <c r="M130" s="122"/>
      <c r="N130" s="122"/>
      <c r="O130" s="122"/>
      <c r="P130" s="121"/>
      <c r="Q130" s="122"/>
      <c r="R130" s="123"/>
      <c r="T130" s="124" t="str">
        <f>_xlfn.XLOOKUP(T125,RenewalPlans!B:B,RenewalPlans!Z:Z,"NA",0,1)</f>
        <v>NA</v>
      </c>
      <c r="U130" s="122"/>
      <c r="V130" s="122"/>
      <c r="W130" s="122"/>
      <c r="X130" s="121"/>
      <c r="Y130" s="122"/>
      <c r="Z130" s="123"/>
    </row>
    <row r="131" spans="1:26" ht="18" customHeight="1" hidden="1">
      <c r="A131" s="140"/>
      <c r="B131" s="140"/>
      <c r="D131" s="203" t="s">
        <v>254</v>
      </c>
      <c r="E131" s="204"/>
      <c r="F131" s="205"/>
      <c r="G131" s="205"/>
      <c r="H131" s="205"/>
      <c r="I131" s="204"/>
      <c r="J131" s="206"/>
      <c r="K131"/>
      <c r="L131" s="207"/>
      <c r="M131" s="205"/>
      <c r="N131" s="205"/>
      <c r="O131" s="205"/>
      <c r="P131" s="204"/>
      <c r="Q131" s="205"/>
      <c r="R131" s="206"/>
      <c r="T131" s="207"/>
      <c r="U131" s="205"/>
      <c r="V131" s="205"/>
      <c r="W131" s="205"/>
      <c r="X131" s="204"/>
      <c r="Y131" s="205"/>
      <c r="Z131" s="206"/>
    </row>
    <row r="132" spans="1:26" ht="18" customHeight="1" hidden="1">
      <c r="A132" s="140"/>
      <c r="B132" s="140"/>
      <c r="D132" s="125" t="s">
        <v>255</v>
      </c>
      <c r="E132" s="126" t="e">
        <f>_xlfn.XLOOKUP(E125,CurrentPlans!B:B,CurrentPlans!Z:Z,"NA",0,1)</f>
        <v>#N/A</v>
      </c>
      <c r="F132" s="127"/>
      <c r="G132" s="127"/>
      <c r="H132" s="127"/>
      <c r="I132" s="126"/>
      <c r="J132" s="128"/>
      <c r="K132"/>
      <c r="L132" s="129" t="str">
        <f ca="1">_xlfn.XLOOKUP(L125,RenewalPlans!B:B,RenewalPlans!AC:AC,"NA",0,1)</f>
        <v>NA</v>
      </c>
      <c r="M132" s="127"/>
      <c r="N132" s="127"/>
      <c r="O132" s="127"/>
      <c r="P132" s="126"/>
      <c r="Q132" s="127"/>
      <c r="R132" s="128"/>
      <c r="T132" s="129" t="str">
        <f>_xlfn.XLOOKUP(T125,RenewalPlans!B:B,RenewalPlans!AC:AC,"NA",0,1)</f>
        <v>NA</v>
      </c>
      <c r="U132" s="127"/>
      <c r="V132" s="127"/>
      <c r="W132" s="127"/>
      <c r="X132" s="126"/>
      <c r="Y132" s="127"/>
      <c r="Z132" s="128"/>
    </row>
    <row r="133" spans="1:26" ht="18" customHeight="1" hidden="1">
      <c r="A133" s="140"/>
      <c r="B133" s="140"/>
      <c r="D133" s="198" t="s">
        <v>256</v>
      </c>
      <c r="E133" s="208" t="e">
        <f>_xlfn.XLOOKUP(E125,CurrentPlans!B:B,CurrentPlans!AA:AA,"NA",0,1)</f>
        <v>#N/A</v>
      </c>
      <c r="F133" s="200"/>
      <c r="G133" s="200"/>
      <c r="H133" s="200"/>
      <c r="I133" s="208"/>
      <c r="J133" s="201"/>
      <c r="K133"/>
      <c r="L133" s="209" t="str">
        <f ca="1">_xlfn.XLOOKUP(L125,RenewalPlans!B:B,RenewalPlans!AD:AD,"NA",0,1)</f>
        <v>NA</v>
      </c>
      <c r="M133" s="200"/>
      <c r="N133" s="200"/>
      <c r="O133" s="200"/>
      <c r="P133" s="208"/>
      <c r="Q133" s="200"/>
      <c r="R133" s="201"/>
      <c r="T133" s="209" t="str">
        <f>_xlfn.XLOOKUP(T125,RenewalPlans!B:B,RenewalPlans!AD:AD,"NA",0,1)</f>
        <v>NA</v>
      </c>
      <c r="U133" s="200"/>
      <c r="V133" s="200"/>
      <c r="W133" s="200"/>
      <c r="X133" s="208"/>
      <c r="Y133" s="200"/>
      <c r="Z133" s="201"/>
    </row>
    <row r="134" spans="1:26" ht="18" customHeight="1" hidden="1">
      <c r="A134" s="140"/>
      <c r="B134" s="140"/>
      <c r="D134" s="203" t="s">
        <v>257</v>
      </c>
      <c r="E134" s="204"/>
      <c r="F134" s="205"/>
      <c r="G134" s="205"/>
      <c r="H134" s="205"/>
      <c r="I134" s="204"/>
      <c r="J134" s="206"/>
      <c r="K134"/>
      <c r="L134" s="207"/>
      <c r="M134" s="205"/>
      <c r="N134" s="205"/>
      <c r="O134" s="205"/>
      <c r="P134" s="204"/>
      <c r="Q134" s="205"/>
      <c r="R134" s="206"/>
      <c r="T134" s="207"/>
      <c r="U134" s="205"/>
      <c r="V134" s="205"/>
      <c r="W134" s="205"/>
      <c r="X134" s="204"/>
      <c r="Y134" s="205"/>
      <c r="Z134" s="206"/>
    </row>
    <row r="135" spans="1:26" ht="18" customHeight="1" hidden="1">
      <c r="A135" s="140"/>
      <c r="B135" s="140"/>
      <c r="D135" s="198" t="s">
        <v>258</v>
      </c>
      <c r="E135" s="208" t="e">
        <f>_xlfn.XLOOKUP(E125,CurrentPlans!B:B,CurrentPlans!AB:AB,"NA",0,1)</f>
        <v>#N/A</v>
      </c>
      <c r="F135" s="200"/>
      <c r="G135" s="200"/>
      <c r="H135" s="200"/>
      <c r="I135" s="208"/>
      <c r="J135" s="201"/>
      <c r="K135"/>
      <c r="L135" s="209" t="str">
        <f ca="1">_xlfn.XLOOKUP(L125,RenewalPlans!B:B,RenewalPlans!AE:AE,"NA",0,1)</f>
        <v>NA</v>
      </c>
      <c r="M135" s="200"/>
      <c r="N135" s="200"/>
      <c r="O135" s="200"/>
      <c r="P135" s="208"/>
      <c r="Q135" s="200"/>
      <c r="R135" s="201"/>
      <c r="T135" s="209" t="str">
        <f>_xlfn.XLOOKUP(T125,RenewalPlans!B:B,RenewalPlans!AE:AE,"NA",0,1)</f>
        <v>NA</v>
      </c>
      <c r="U135" s="200"/>
      <c r="V135" s="200"/>
      <c r="W135" s="200"/>
      <c r="X135" s="208"/>
      <c r="Y135" s="200"/>
      <c r="Z135" s="201"/>
    </row>
    <row r="136" spans="1:26" ht="18" customHeight="1" hidden="1">
      <c r="A136" s="140"/>
      <c r="B136" s="140"/>
      <c r="D136" s="198" t="s">
        <v>259</v>
      </c>
      <c r="E136" s="208" t="e">
        <f>_xlfn.XLOOKUP(E125,CurrentPlans!B:B,CurrentPlans!AC:AC,"NA",0,1)</f>
        <v>#N/A</v>
      </c>
      <c r="F136" s="200"/>
      <c r="G136" s="200"/>
      <c r="H136" s="200"/>
      <c r="I136" s="208"/>
      <c r="J136" s="201"/>
      <c r="K136"/>
      <c r="L136" s="209" t="str">
        <f ca="1">_xlfn.XLOOKUP(L125,RenewalPlans!B:B,RenewalPlans!AF:AF,"NA",0,1)</f>
        <v>NA</v>
      </c>
      <c r="M136" s="200"/>
      <c r="N136" s="200"/>
      <c r="O136" s="200"/>
      <c r="P136" s="208"/>
      <c r="Q136" s="200"/>
      <c r="R136" s="201"/>
      <c r="T136" s="209" t="str">
        <f>_xlfn.XLOOKUP(T125,RenewalPlans!B:B,RenewalPlans!AF:AF,"NA",0,1)</f>
        <v>NA</v>
      </c>
      <c r="U136" s="200"/>
      <c r="V136" s="200"/>
      <c r="W136" s="200"/>
      <c r="X136" s="208"/>
      <c r="Y136" s="200"/>
      <c r="Z136" s="201"/>
    </row>
    <row r="137" spans="1:26" ht="18" customHeight="1" hidden="1">
      <c r="A137" s="140"/>
      <c r="B137" s="140"/>
      <c r="D137" s="210"/>
      <c r="E137" s="211"/>
      <c r="F137" s="211"/>
      <c r="G137" s="211"/>
      <c r="H137" s="211"/>
      <c r="I137" s="211"/>
      <c r="J137" s="212"/>
      <c r="K137"/>
      <c r="L137" s="210"/>
      <c r="M137" s="211"/>
      <c r="N137" s="211"/>
      <c r="O137" s="211"/>
      <c r="P137" s="211"/>
      <c r="Q137" s="211"/>
      <c r="R137" s="212"/>
      <c r="T137" s="210"/>
      <c r="U137" s="211"/>
      <c r="V137" s="211"/>
      <c r="W137" s="211"/>
      <c r="X137" s="211"/>
      <c r="Y137" s="211"/>
      <c r="Z137" s="212"/>
    </row>
    <row r="138" spans="1:26" ht="18" customHeight="1" hidden="1">
      <c r="A138" s="140"/>
      <c r="B138" s="140"/>
      <c r="D138" s="185" t="s">
        <v>260</v>
      </c>
      <c r="E138" s="186"/>
      <c r="F138" s="186"/>
      <c r="G138" s="186"/>
      <c r="H138" s="186"/>
      <c r="I138" s="186"/>
      <c r="J138" s="187"/>
      <c r="K138"/>
      <c r="L138" s="188"/>
      <c r="M138" s="186"/>
      <c r="N138" s="186"/>
      <c r="O138" s="186"/>
      <c r="P138" s="186"/>
      <c r="Q138" s="186"/>
      <c r="R138" s="187"/>
      <c r="T138" s="188"/>
      <c r="U138" s="186"/>
      <c r="V138" s="186"/>
      <c r="W138" s="186"/>
      <c r="X138" s="186"/>
      <c r="Y138" s="186"/>
      <c r="Z138" s="187"/>
    </row>
    <row r="139" spans="1:26" ht="18" customHeight="1" hidden="1">
      <c r="A139" s="140"/>
      <c r="B139" s="140"/>
      <c r="D139" s="213" t="s">
        <v>261</v>
      </c>
      <c r="E139" s="130" t="e">
        <f>_xlfn.XLOOKUP(E125,CurrentPlans!B:B,CurrentPlans!AJ:AJ,"NA",0,1)</f>
        <v>#N/A</v>
      </c>
      <c r="F139" s="214"/>
      <c r="G139" s="214"/>
      <c r="H139" s="214"/>
      <c r="I139" s="130"/>
      <c r="J139" s="215"/>
      <c r="K139"/>
      <c r="L139" s="131" t="str">
        <f ca="1">_xlfn.XLOOKUP(L125,RenewalPlans!B:B,RenewalPlans!AM:AM,"NA",0,1)</f>
        <v>NA</v>
      </c>
      <c r="M139" s="214"/>
      <c r="N139" s="214"/>
      <c r="O139" s="214"/>
      <c r="P139" s="130"/>
      <c r="Q139" s="214"/>
      <c r="R139" s="215"/>
      <c r="T139" s="131" t="str">
        <f>_xlfn.XLOOKUP(T125,RenewalPlans!B:B,RenewalPlans!AM:AM,"NA",0,1)</f>
        <v>NA</v>
      </c>
      <c r="U139" s="214"/>
      <c r="V139" s="214"/>
      <c r="W139" s="214"/>
      <c r="X139" s="130"/>
      <c r="Y139" s="214"/>
      <c r="Z139" s="215"/>
    </row>
    <row r="140" spans="1:26" ht="18" customHeight="1" hidden="1">
      <c r="A140" s="140"/>
      <c r="B140" s="140"/>
      <c r="D140" s="198" t="s">
        <v>262</v>
      </c>
      <c r="E140" s="130" t="e">
        <f>_xlfn.XLOOKUP(E125,CurrentPlans!B:B,CurrentPlans!AM:AM,"NA",0,1)</f>
        <v>#N/A</v>
      </c>
      <c r="F140" s="200"/>
      <c r="G140" s="200"/>
      <c r="H140" s="200"/>
      <c r="I140" s="130"/>
      <c r="J140" s="201"/>
      <c r="K140"/>
      <c r="L140" s="131" t="str">
        <f ca="1">_xlfn.XLOOKUP(L125,RenewalPlans!B:B,RenewalPlans!AP:AP,"NA",0,1)</f>
        <v>NA</v>
      </c>
      <c r="M140" s="200"/>
      <c r="N140" s="200"/>
      <c r="O140" s="200"/>
      <c r="P140" s="130"/>
      <c r="Q140" s="200"/>
      <c r="R140" s="201"/>
      <c r="T140" s="131" t="str">
        <f>_xlfn.XLOOKUP(T125,RenewalPlans!B:B,RenewalPlans!AP:AP,"NA",0,1)</f>
        <v>NA</v>
      </c>
      <c r="U140" s="200"/>
      <c r="V140" s="200"/>
      <c r="W140" s="200"/>
      <c r="X140" s="130"/>
      <c r="Y140" s="200"/>
      <c r="Z140" s="201"/>
    </row>
    <row r="141" spans="1:26" ht="18" customHeight="1" hidden="1">
      <c r="A141" s="140"/>
      <c r="B141" s="140"/>
      <c r="D141" s="198" t="s">
        <v>263</v>
      </c>
      <c r="E141" s="130" t="e">
        <f>_xlfn.XLOOKUP(E125,CurrentPlans!B:B,CurrentPlans!AI:AI,"NA",0,1)</f>
        <v>#N/A</v>
      </c>
      <c r="F141" s="200"/>
      <c r="G141" s="200"/>
      <c r="H141" s="200"/>
      <c r="I141" s="130"/>
      <c r="J141" s="201"/>
      <c r="K141"/>
      <c r="L141" s="131" t="str">
        <f ca="1">_xlfn.XLOOKUP(L125,RenewalPlans!B:B,RenewalPlans!AL:AL,"NA",0,1)</f>
        <v>NA</v>
      </c>
      <c r="M141" s="200"/>
      <c r="N141" s="200"/>
      <c r="O141" s="200"/>
      <c r="P141" s="130"/>
      <c r="Q141" s="200"/>
      <c r="R141" s="201"/>
      <c r="T141" s="131" t="str">
        <f>_xlfn.XLOOKUP(T125,RenewalPlans!B:B,RenewalPlans!AL:AL,"NA",0,1)</f>
        <v>NA</v>
      </c>
      <c r="U141" s="200"/>
      <c r="V141" s="200"/>
      <c r="W141" s="200"/>
      <c r="X141" s="130"/>
      <c r="Y141" s="200"/>
      <c r="Z141" s="201"/>
    </row>
    <row r="142" spans="1:26" ht="18" customHeight="1" hidden="1">
      <c r="A142" s="140"/>
      <c r="B142" s="140"/>
      <c r="D142" s="198" t="s">
        <v>264</v>
      </c>
      <c r="E142" s="208" t="e">
        <f>_xlfn.XLOOKUP(E125,CurrentPlans!B:B,CurrentPlans!AN:AN,"NA",0,1)</f>
        <v>#N/A</v>
      </c>
      <c r="F142" s="200"/>
      <c r="G142" s="200"/>
      <c r="H142" s="200"/>
      <c r="I142" s="208"/>
      <c r="J142" s="201"/>
      <c r="K142"/>
      <c r="L142" s="209" t="str">
        <f ca="1">_xlfn.XLOOKUP(L125,RenewalPlans!B:B,RenewalPlans!AQ:AQ,"NA",0,1)</f>
        <v>NA</v>
      </c>
      <c r="M142" s="200"/>
      <c r="N142" s="200"/>
      <c r="O142" s="200"/>
      <c r="P142" s="208"/>
      <c r="Q142" s="200"/>
      <c r="R142" s="201"/>
      <c r="T142" s="209" t="str">
        <f>_xlfn.XLOOKUP(T125,RenewalPlans!B:B,RenewalPlans!AQ:AQ,"NA",0,1)</f>
        <v>NA</v>
      </c>
      <c r="U142" s="200"/>
      <c r="V142" s="200"/>
      <c r="W142" s="200"/>
      <c r="X142" s="208"/>
      <c r="Y142" s="200"/>
      <c r="Z142" s="201"/>
    </row>
    <row r="143" spans="1:26" ht="18" customHeight="1" hidden="1">
      <c r="A143" s="140"/>
      <c r="B143" s="140"/>
      <c r="D143" s="210"/>
      <c r="E143" s="211"/>
      <c r="F143" s="211"/>
      <c r="G143" s="211"/>
      <c r="H143" s="211"/>
      <c r="I143" s="211"/>
      <c r="J143" s="212"/>
      <c r="K143"/>
      <c r="L143" s="210"/>
      <c r="M143" s="211"/>
      <c r="N143" s="211"/>
      <c r="O143" s="211"/>
      <c r="P143" s="211"/>
      <c r="Q143" s="211"/>
      <c r="R143" s="212"/>
      <c r="T143" s="210"/>
      <c r="U143" s="211"/>
      <c r="V143" s="211"/>
      <c r="W143" s="211"/>
      <c r="X143" s="211"/>
      <c r="Y143" s="211"/>
      <c r="Z143" s="212"/>
    </row>
    <row r="144" spans="1:26" ht="18" customHeight="1" hidden="1">
      <c r="A144" s="140"/>
      <c r="B144" s="140"/>
      <c r="D144" s="185" t="s">
        <v>265</v>
      </c>
      <c r="E144" s="186"/>
      <c r="F144" s="186"/>
      <c r="G144" s="186"/>
      <c r="H144" s="186"/>
      <c r="I144" s="186"/>
      <c r="J144" s="187"/>
      <c r="K144"/>
      <c r="L144" s="188"/>
      <c r="M144" s="186"/>
      <c r="N144" s="186"/>
      <c r="O144" s="186"/>
      <c r="P144" s="186"/>
      <c r="Q144" s="186"/>
      <c r="R144" s="187"/>
      <c r="T144" s="188"/>
      <c r="U144" s="186"/>
      <c r="V144" s="186"/>
      <c r="W144" s="186"/>
      <c r="X144" s="186"/>
      <c r="Y144" s="186"/>
      <c r="Z144" s="187"/>
    </row>
    <row r="145" spans="1:26" ht="18" customHeight="1" hidden="1">
      <c r="A145" s="140"/>
      <c r="B145" s="140"/>
      <c r="D145" s="132" t="s">
        <v>266</v>
      </c>
      <c r="E145" s="133" t="e">
        <f>_xlfn.XLOOKUP(E125,CurrentPlans!B:B,CurrentPlans!AE:AE,"NA",0,1)</f>
        <v>#N/A</v>
      </c>
      <c r="F145" s="134"/>
      <c r="G145" s="134"/>
      <c r="H145" s="134"/>
      <c r="I145" s="133"/>
      <c r="J145" s="135"/>
      <c r="K145"/>
      <c r="L145" s="136" t="str">
        <f ca="1">_xlfn.XLOOKUP(L125,RenewalPlans!B:B,RenewalPlans!AH:AH,"NA",0,1)</f>
        <v>NA</v>
      </c>
      <c r="M145" s="134"/>
      <c r="N145" s="134"/>
      <c r="O145" s="134"/>
      <c r="P145" s="133"/>
      <c r="Q145" s="134"/>
      <c r="R145" s="135"/>
      <c r="T145" s="136" t="str">
        <f>_xlfn.XLOOKUP(T125,RenewalPlans!B:B,RenewalPlans!AH:AH,"NA",0,1)</f>
        <v>NA</v>
      </c>
      <c r="U145" s="134"/>
      <c r="V145" s="134"/>
      <c r="W145" s="134"/>
      <c r="X145" s="133"/>
      <c r="Y145" s="134"/>
      <c r="Z145" s="135"/>
    </row>
    <row r="146" spans="1:26" ht="18" customHeight="1" hidden="1">
      <c r="A146" s="140"/>
      <c r="B146" s="140"/>
      <c r="D146" s="120" t="s">
        <v>267</v>
      </c>
      <c r="E146" s="130" t="e">
        <f>_xlfn.XLOOKUP(E125,CurrentPlans!B:B,CurrentPlans!AF:AF,"NA",0,1)</f>
        <v>#N/A</v>
      </c>
      <c r="F146" s="122"/>
      <c r="G146" s="122"/>
      <c r="H146" s="122"/>
      <c r="I146" s="130"/>
      <c r="J146" s="123"/>
      <c r="K146"/>
      <c r="L146" s="131" t="str">
        <f ca="1">_xlfn.XLOOKUP(L125,RenewalPlans!B:B,RenewalPlans!AI:AI,"NA",0,1)</f>
        <v>NA</v>
      </c>
      <c r="M146" s="122"/>
      <c r="N146" s="122"/>
      <c r="O146" s="122"/>
      <c r="P146" s="130"/>
      <c r="Q146" s="122"/>
      <c r="R146" s="123"/>
      <c r="T146" s="131" t="str">
        <f>_xlfn.XLOOKUP(T125,RenewalPlans!B:B,RenewalPlans!AI:AI,"NA",0,1)</f>
        <v>NA</v>
      </c>
      <c r="U146" s="122"/>
      <c r="V146" s="122"/>
      <c r="W146" s="122"/>
      <c r="X146" s="130"/>
      <c r="Y146" s="122"/>
      <c r="Z146" s="123"/>
    </row>
    <row r="147" spans="1:26" ht="18" customHeight="1" hidden="1">
      <c r="A147" s="140"/>
      <c r="B147" s="140"/>
      <c r="D147" s="198" t="s">
        <v>268</v>
      </c>
      <c r="E147" s="130" t="e">
        <f>_xlfn.XLOOKUP(E125,CurrentPlans!B:B,CurrentPlans!AH:AH,"NA",0,1)</f>
        <v>#N/A</v>
      </c>
      <c r="F147" s="200"/>
      <c r="G147" s="200"/>
      <c r="H147" s="200"/>
      <c r="I147" s="130"/>
      <c r="J147" s="201"/>
      <c r="K147"/>
      <c r="L147" s="131" t="str">
        <f ca="1">_xlfn.XLOOKUP(L125,RenewalPlans!B:B,RenewalPlans!AK:AK,"NA",0,1)</f>
        <v>NA</v>
      </c>
      <c r="M147" s="200"/>
      <c r="N147" s="200"/>
      <c r="O147" s="200"/>
      <c r="P147" s="130"/>
      <c r="Q147" s="200"/>
      <c r="R147" s="201"/>
      <c r="T147" s="131" t="str">
        <f>_xlfn.XLOOKUP(T125,RenewalPlans!B:B,RenewalPlans!AK:AK,"NA",0,1)</f>
        <v>NA</v>
      </c>
      <c r="U147" s="200"/>
      <c r="V147" s="200"/>
      <c r="W147" s="200"/>
      <c r="X147" s="130"/>
      <c r="Y147" s="200"/>
      <c r="Z147" s="201"/>
    </row>
    <row r="148" spans="1:26" ht="18" customHeight="1" hidden="1">
      <c r="A148" s="140"/>
      <c r="B148" s="140"/>
      <c r="D148" s="198" t="s">
        <v>269</v>
      </c>
      <c r="E148" s="130" t="e">
        <f>_xlfn.XLOOKUP(E125,CurrentPlans!B:B,CurrentPlans!AG:AG,"NA",0,1)</f>
        <v>#N/A</v>
      </c>
      <c r="F148" s="200"/>
      <c r="G148" s="200"/>
      <c r="H148" s="200"/>
      <c r="I148" s="130"/>
      <c r="J148" s="201"/>
      <c r="K148"/>
      <c r="L148" s="131" t="str">
        <f ca="1">_xlfn.XLOOKUP(L125,RenewalPlans!B:B,RenewalPlans!AJ:AJ,"NA",0,1)</f>
        <v>NA</v>
      </c>
      <c r="M148" s="200"/>
      <c r="N148" s="200"/>
      <c r="O148" s="200"/>
      <c r="P148" s="130"/>
      <c r="Q148" s="200"/>
      <c r="R148" s="201"/>
      <c r="T148" s="131" t="str">
        <f>_xlfn.XLOOKUP(T125,RenewalPlans!B:B,RenewalPlans!AJ:AJ,"NA",0,1)</f>
        <v>NA</v>
      </c>
      <c r="U148" s="200"/>
      <c r="V148" s="200"/>
      <c r="W148" s="200"/>
      <c r="X148" s="130"/>
      <c r="Y148" s="200"/>
      <c r="Z148" s="201"/>
    </row>
    <row r="149" spans="1:26" ht="18" customHeight="1" hidden="1">
      <c r="A149" s="140"/>
      <c r="B149" s="140"/>
      <c r="D149" s="213" t="s">
        <v>270</v>
      </c>
      <c r="E149" s="216" t="e">
        <f>_xlfn.XLOOKUP(E125,CurrentPlans!B:B,CurrentPlans!AU:AU,"NA",0,1)</f>
        <v>#N/A</v>
      </c>
      <c r="F149" s="214"/>
      <c r="G149" s="214"/>
      <c r="H149" s="214"/>
      <c r="I149" s="217"/>
      <c r="J149" s="215"/>
      <c r="K149"/>
      <c r="L149" s="218" t="str">
        <f ca="1">_xlfn.XLOOKUP(L125,RenewalPlans!B:B,RenewalPlans!AX:AX,"NA",0,1)</f>
        <v>NA</v>
      </c>
      <c r="M149" s="214"/>
      <c r="N149" s="214"/>
      <c r="O149" s="214"/>
      <c r="P149" s="217"/>
      <c r="Q149" s="214"/>
      <c r="R149" s="215"/>
      <c r="T149" s="218" t="str">
        <f>_xlfn.XLOOKUP(T125,RenewalPlans!B:B,RenewalPlans!AX:AX,"NA",0,1)</f>
        <v>NA</v>
      </c>
      <c r="U149" s="214"/>
      <c r="V149" s="214"/>
      <c r="W149" s="214"/>
      <c r="X149" s="217"/>
      <c r="Y149" s="214"/>
      <c r="Z149" s="215"/>
    </row>
    <row r="150" spans="1:26" ht="18" customHeight="1" hidden="1">
      <c r="A150" s="140"/>
      <c r="B150" s="140"/>
      <c r="D150" s="213" t="s">
        <v>271</v>
      </c>
      <c r="E150" s="216" t="e">
        <f>_xlfn.XLOOKUP(E125,CurrentPlans!B:B,CurrentPlans!AT:AT,"NA",0,1)</f>
        <v>#N/A</v>
      </c>
      <c r="F150" s="214"/>
      <c r="G150" s="214"/>
      <c r="H150" s="214"/>
      <c r="I150" s="217"/>
      <c r="J150" s="215"/>
      <c r="K150"/>
      <c r="L150" s="218" t="str">
        <f ca="1">_xlfn.XLOOKUP(L125,RenewalPlans!B:B,RenewalPlans!AW:AW,"NA",0,1)</f>
        <v>NA</v>
      </c>
      <c r="M150" s="214"/>
      <c r="N150" s="214"/>
      <c r="O150" s="214"/>
      <c r="P150" s="217"/>
      <c r="Q150" s="214"/>
      <c r="R150" s="215"/>
      <c r="T150" s="218" t="str">
        <f>_xlfn.XLOOKUP(T125,RenewalPlans!B:B,RenewalPlans!AW:AW,"NA",0,1)</f>
        <v>NA</v>
      </c>
      <c r="U150" s="214"/>
      <c r="V150" s="214"/>
      <c r="W150" s="214"/>
      <c r="X150" s="217"/>
      <c r="Y150" s="214"/>
      <c r="Z150" s="215"/>
    </row>
    <row r="151" spans="1:26" ht="18" customHeight="1" hidden="1">
      <c r="A151" s="140"/>
      <c r="B151" s="140"/>
      <c r="D151" s="198" t="s">
        <v>272</v>
      </c>
      <c r="E151" s="130" t="e">
        <f>_xlfn.XLOOKUP(E125,CurrentPlans!B:B,CurrentPlans!AD:AD,"NA",0,1)</f>
        <v>#N/A</v>
      </c>
      <c r="F151" s="200"/>
      <c r="G151" s="200"/>
      <c r="H151" s="200"/>
      <c r="I151" s="130"/>
      <c r="J151" s="201"/>
      <c r="K151"/>
      <c r="L151" s="131" t="str">
        <f ca="1">_xlfn.XLOOKUP(L125,RenewalPlans!B:B,RenewalPlans!AG:AG,"NA",0,1)</f>
        <v>NA</v>
      </c>
      <c r="M151" s="200"/>
      <c r="N151" s="200"/>
      <c r="O151" s="200"/>
      <c r="P151" s="130"/>
      <c r="Q151" s="200"/>
      <c r="R151" s="201"/>
      <c r="T151" s="131" t="str">
        <f>_xlfn.XLOOKUP(T125,RenewalPlans!B:B,RenewalPlans!AG:AG,"NA",0,1)</f>
        <v>NA</v>
      </c>
      <c r="U151" s="200"/>
      <c r="V151" s="200"/>
      <c r="W151" s="200"/>
      <c r="X151" s="130"/>
      <c r="Y151" s="200"/>
      <c r="Z151" s="201"/>
    </row>
    <row r="152" spans="1:26" ht="18" customHeight="1" hidden="1">
      <c r="A152" s="140"/>
      <c r="B152" s="140"/>
      <c r="D152" s="198" t="s">
        <v>273</v>
      </c>
      <c r="E152" s="200"/>
      <c r="F152" s="200"/>
      <c r="G152" s="200"/>
      <c r="H152" s="200"/>
      <c r="I152" s="200"/>
      <c r="J152" s="201"/>
      <c r="K152"/>
      <c r="L152" s="198"/>
      <c r="M152" s="200"/>
      <c r="N152" s="200"/>
      <c r="O152" s="200"/>
      <c r="P152" s="200"/>
      <c r="Q152" s="200"/>
      <c r="R152" s="201"/>
      <c r="T152" s="198"/>
      <c r="U152" s="200"/>
      <c r="V152" s="200"/>
      <c r="W152" s="200"/>
      <c r="X152" s="200"/>
      <c r="Y152" s="200"/>
      <c r="Z152" s="201"/>
    </row>
    <row r="153" spans="1:26" ht="18" customHeight="1" hidden="1">
      <c r="A153" s="140"/>
      <c r="B153" s="140"/>
      <c r="D153" s="210"/>
      <c r="E153" s="211"/>
      <c r="F153" s="211"/>
      <c r="G153" s="211"/>
      <c r="H153" s="211"/>
      <c r="I153" s="211"/>
      <c r="J153" s="212"/>
      <c r="K153"/>
      <c r="L153" s="210"/>
      <c r="M153" s="211"/>
      <c r="N153" s="211"/>
      <c r="O153" s="211"/>
      <c r="P153" s="211"/>
      <c r="Q153" s="211"/>
      <c r="R153" s="212"/>
      <c r="T153" s="210"/>
      <c r="U153" s="211"/>
      <c r="V153" s="211"/>
      <c r="W153" s="211"/>
      <c r="X153" s="211"/>
      <c r="Y153" s="211"/>
      <c r="Z153" s="212"/>
    </row>
    <row r="154" spans="1:26" ht="18" customHeight="1" hidden="1">
      <c r="A154" s="140"/>
      <c r="B154" s="140"/>
      <c r="D154" s="219" t="s">
        <v>274</v>
      </c>
      <c r="E154" s="220"/>
      <c r="F154" s="220"/>
      <c r="G154" s="220"/>
      <c r="H154" s="220"/>
      <c r="I154" s="220"/>
      <c r="J154" s="221"/>
      <c r="K154"/>
      <c r="L154" s="222"/>
      <c r="M154" s="220"/>
      <c r="N154" s="220"/>
      <c r="O154" s="220"/>
      <c r="P154" s="220"/>
      <c r="Q154" s="220"/>
      <c r="R154" s="221"/>
      <c r="T154" s="222"/>
      <c r="U154" s="220"/>
      <c r="V154" s="220"/>
      <c r="W154" s="220"/>
      <c r="X154" s="220"/>
      <c r="Y154" s="220"/>
      <c r="Z154" s="221"/>
    </row>
    <row r="155" spans="1:26" ht="18" customHeight="1" hidden="1">
      <c r="A155" s="140"/>
      <c r="B155" s="140"/>
      <c r="D155" s="223" t="s">
        <v>250</v>
      </c>
      <c r="E155" s="205"/>
      <c r="F155" s="205"/>
      <c r="G155" s="205"/>
      <c r="H155" s="205"/>
      <c r="I155" s="205"/>
      <c r="J155" s="206"/>
      <c r="K155"/>
      <c r="L155" s="203"/>
      <c r="M155" s="205"/>
      <c r="N155" s="205"/>
      <c r="O155" s="205"/>
      <c r="P155" s="205"/>
      <c r="Q155" s="205"/>
      <c r="R155" s="206"/>
      <c r="T155" s="203"/>
      <c r="U155" s="205"/>
      <c r="V155" s="205"/>
      <c r="W155" s="205"/>
      <c r="X155" s="205"/>
      <c r="Y155" s="205"/>
      <c r="Z155" s="206"/>
    </row>
    <row r="156" spans="1:26" ht="18" customHeight="1" hidden="1">
      <c r="A156" s="140"/>
      <c r="B156" s="140"/>
      <c r="D156" s="198" t="s">
        <v>251</v>
      </c>
      <c r="E156" s="130" t="e">
        <f>_xlfn.XLOOKUP(E125,CurrentPlans!B:B,CurrentPlans!AP:AP,"NA",0,1)</f>
        <v>#N/A</v>
      </c>
      <c r="F156" s="200"/>
      <c r="G156" s="200"/>
      <c r="H156" s="200"/>
      <c r="I156" s="130"/>
      <c r="J156" s="201"/>
      <c r="K156"/>
      <c r="L156" s="131" t="str">
        <f ca="1">_xlfn.XLOOKUP(L125,RenewalPlans!B:B,RenewalPlans!AS:AS,"NA",0,1)</f>
        <v>NA</v>
      </c>
      <c r="M156" s="200"/>
      <c r="N156" s="200"/>
      <c r="O156" s="200"/>
      <c r="P156" s="130"/>
      <c r="Q156" s="200"/>
      <c r="R156" s="201"/>
      <c r="T156" s="131" t="str">
        <f>_xlfn.XLOOKUP(T125,RenewalPlans!B:B,RenewalPlans!AS:AS,"NA",0,1)</f>
        <v>NA</v>
      </c>
      <c r="U156" s="200"/>
      <c r="V156" s="200"/>
      <c r="W156" s="200"/>
      <c r="X156" s="130"/>
      <c r="Y156" s="200"/>
      <c r="Z156" s="201"/>
    </row>
    <row r="157" spans="1:26" ht="18" customHeight="1" hidden="1">
      <c r="A157" s="140"/>
      <c r="B157" s="140"/>
      <c r="D157" s="198" t="s">
        <v>252</v>
      </c>
      <c r="E157" s="130" t="e">
        <f>_xlfn.XLOOKUP(E125,CurrentPlans!B:B,CurrentPlans!AQ:AQ,"NA",0,1)</f>
        <v>#N/A</v>
      </c>
      <c r="F157" s="200"/>
      <c r="G157" s="200"/>
      <c r="H157" s="200"/>
      <c r="I157" s="130"/>
      <c r="J157" s="201"/>
      <c r="K157"/>
      <c r="L157" s="131" t="str">
        <f ca="1">_xlfn.XLOOKUP(L125,RenewalPlans!B:B,RenewalPlans!AT:AT,"NA",0,1)</f>
        <v>NA</v>
      </c>
      <c r="M157" s="200"/>
      <c r="N157" s="200"/>
      <c r="O157" s="200"/>
      <c r="P157" s="130"/>
      <c r="Q157" s="200"/>
      <c r="R157" s="201"/>
      <c r="T157" s="131" t="str">
        <f>_xlfn.XLOOKUP(T125,RenewalPlans!B:B,RenewalPlans!AT:AT,"NA",0,1)</f>
        <v>NA</v>
      </c>
      <c r="U157" s="200"/>
      <c r="V157" s="200"/>
      <c r="W157" s="200"/>
      <c r="X157" s="130"/>
      <c r="Y157" s="200"/>
      <c r="Z157" s="201"/>
    </row>
    <row r="158" spans="1:26" ht="18" customHeight="1" hidden="1">
      <c r="A158" s="140"/>
      <c r="B158" s="140"/>
      <c r="D158" s="120" t="s">
        <v>253</v>
      </c>
      <c r="E158" s="133" t="e">
        <f>_xlfn.XLOOKUP(E125,CurrentPlans!B:B,CurrentPlans!AO:AO,"NA",0,1)</f>
        <v>#N/A</v>
      </c>
      <c r="F158" s="122"/>
      <c r="G158" s="122"/>
      <c r="H158" s="122"/>
      <c r="I158" s="133"/>
      <c r="J158" s="123"/>
      <c r="K158"/>
      <c r="L158" s="136" t="str">
        <f ca="1">_xlfn.XLOOKUP(L125,RenewalPlans!B:B,RenewalPlans!AR:AR,"NA",0,1)</f>
        <v>NA</v>
      </c>
      <c r="M158" s="122"/>
      <c r="N158" s="122"/>
      <c r="O158" s="122"/>
      <c r="P158" s="133"/>
      <c r="Q158" s="122"/>
      <c r="R158" s="123"/>
      <c r="T158" s="136" t="str">
        <f>_xlfn.XLOOKUP(T125,RenewalPlans!B:B,RenewalPlans!AR:AR,"NA",0,1)</f>
        <v>NA</v>
      </c>
      <c r="U158" s="122"/>
      <c r="V158" s="122"/>
      <c r="W158" s="122"/>
      <c r="X158" s="133"/>
      <c r="Y158" s="122"/>
      <c r="Z158" s="123"/>
    </row>
    <row r="159" spans="1:26" ht="18" customHeight="1" hidden="1">
      <c r="A159" s="140"/>
      <c r="B159" s="140"/>
      <c r="D159" s="223" t="s">
        <v>254</v>
      </c>
      <c r="E159" s="205"/>
      <c r="F159" s="205"/>
      <c r="G159" s="205"/>
      <c r="H159" s="205"/>
      <c r="I159" s="205"/>
      <c r="J159" s="206"/>
      <c r="K159"/>
      <c r="L159" s="203"/>
      <c r="M159" s="205"/>
      <c r="N159" s="205"/>
      <c r="O159" s="205"/>
      <c r="P159" s="205"/>
      <c r="Q159" s="205"/>
      <c r="R159" s="206"/>
      <c r="T159" s="203"/>
      <c r="U159" s="205"/>
      <c r="V159" s="205"/>
      <c r="W159" s="205"/>
      <c r="X159" s="205"/>
      <c r="Y159" s="205"/>
      <c r="Z159" s="206"/>
    </row>
    <row r="160" spans="1:26" ht="18" customHeight="1" hidden="1">
      <c r="A160" s="140"/>
      <c r="B160" s="140"/>
      <c r="D160" s="198" t="s">
        <v>255</v>
      </c>
      <c r="E160" s="130" t="e">
        <f>_xlfn.XLOOKUP(E125,CurrentPlans!B:B,CurrentPlans!AR:AR,"NA",0,1)</f>
        <v>#N/A</v>
      </c>
      <c r="F160" s="200"/>
      <c r="G160" s="200"/>
      <c r="H160" s="200"/>
      <c r="I160" s="130"/>
      <c r="J160" s="201"/>
      <c r="K160"/>
      <c r="L160" s="131" t="str">
        <f ca="1">_xlfn.XLOOKUP(L125,RenewalPlans!B:B,RenewalPlans!AU:AU,"NA",0,1)</f>
        <v>NA</v>
      </c>
      <c r="M160" s="200"/>
      <c r="N160" s="200"/>
      <c r="O160" s="200"/>
      <c r="P160" s="130"/>
      <c r="Q160" s="200"/>
      <c r="R160" s="201"/>
      <c r="T160" s="131" t="str">
        <f>_xlfn.XLOOKUP(T125,RenewalPlans!B:B,RenewalPlans!AU:AU,"NA",0,1)</f>
        <v>NA</v>
      </c>
      <c r="U160" s="200"/>
      <c r="V160" s="200"/>
      <c r="W160" s="200"/>
      <c r="X160" s="130"/>
      <c r="Y160" s="200"/>
      <c r="Z160" s="201"/>
    </row>
    <row r="161" spans="1:26" ht="18" customHeight="1" hidden="1" thickBot="1">
      <c r="A161" s="140"/>
      <c r="B161" s="140"/>
      <c r="D161" s="224" t="s">
        <v>256</v>
      </c>
      <c r="E161" s="137" t="e">
        <f>_xlfn.XLOOKUP(E125,CurrentPlans!B:B,CurrentPlans!AS:AS,"NA",0,1)</f>
        <v>#N/A</v>
      </c>
      <c r="F161" s="225"/>
      <c r="G161" s="225"/>
      <c r="H161" s="225"/>
      <c r="I161" s="137"/>
      <c r="J161" s="226"/>
      <c r="K161"/>
      <c r="L161" s="138" t="str">
        <f ca="1">_xlfn.XLOOKUP(L125,RenewalPlans!B:B,RenewalPlans!AV:AV,"NA",0,1)</f>
        <v>NA</v>
      </c>
      <c r="M161" s="225"/>
      <c r="N161" s="225"/>
      <c r="O161" s="225"/>
      <c r="P161" s="137"/>
      <c r="Q161" s="225"/>
      <c r="R161" s="226"/>
      <c r="T161" s="138" t="str">
        <f>_xlfn.XLOOKUP(T125,RenewalPlans!B:B,RenewalPlans!AV:AV,"NA",0,1)</f>
        <v>NA</v>
      </c>
      <c r="U161" s="225"/>
      <c r="V161" s="225"/>
      <c r="W161" s="225"/>
      <c r="X161" s="137"/>
      <c r="Y161" s="225"/>
      <c r="Z161" s="226"/>
    </row>
    <row r="162" spans="1:26" ht="18" customHeight="1">
      <c r="A162" s="140"/>
      <c r="B162" s="140"/>
      <c r="D162" s="227"/>
      <c r="E162" s="176"/>
      <c r="F162" s="178"/>
      <c r="G162" s="179"/>
      <c r="H162" s="178"/>
      <c r="I162" s="176"/>
      <c r="J162" s="228"/>
      <c r="K162"/>
      <c r="L162" s="178"/>
      <c r="M162" s="176"/>
      <c r="N162" s="139"/>
      <c r="O162" s="178"/>
      <c r="P162" s="178"/>
      <c r="Q162" s="178"/>
      <c r="R162" s="228"/>
      <c r="T162" s="178"/>
      <c r="U162" s="176"/>
      <c r="V162" s="139"/>
      <c r="W162" s="178"/>
      <c r="X162" s="178"/>
      <c r="Y162" s="178"/>
      <c r="Z162" s="228"/>
    </row>
    <row r="163" spans="1:26" ht="5.25" customHeight="1" thickBot="1">
      <c r="A163" s="140"/>
      <c r="B163" s="140"/>
      <c r="D163" s="229"/>
      <c r="E163" s="229"/>
      <c r="F163" s="230"/>
      <c r="G163" s="231"/>
      <c r="H163" s="232"/>
      <c r="I163" s="233"/>
      <c r="J163" s="233"/>
      <c r="K163"/>
      <c r="L163" s="233"/>
      <c r="M163" s="233"/>
      <c r="N163" s="233"/>
      <c r="O163" s="233"/>
      <c r="P163" s="233"/>
      <c r="Q163" s="233"/>
      <c r="R163" s="233"/>
      <c r="T163" s="233"/>
      <c r="U163" s="233"/>
      <c r="V163" s="233"/>
      <c r="W163" s="233"/>
      <c r="X163" s="233"/>
      <c r="Y163" s="233"/>
      <c r="Z163" s="233"/>
    </row>
    <row r="164" spans="1:26" ht="50.15" customHeight="1">
      <c r="A164" s="140">
        <v>4</v>
      </c>
      <c r="B164" s="140">
        <f>IF(A164&gt;Class3_CurrentHealthCount,"DELETE",Class3_CurrentHealthStart+A164)</f>
        <v>64</v>
      </c>
      <c r="C164" s="164" t="s">
        <v>277</v>
      </c>
      <c r="D164" s="273" t="e">
        <f ca="1">IF(B164="Delete","",VLOOKUP(F164,BEGIN_CURRENT_HEALTH:END_CURRENT_HEALTH,3,FALSE))</f>
        <v>#N/A</v>
      </c>
      <c r="E164" s="165"/>
      <c r="F164" s="272" cm="1">
        <f t="array" ca="1" aca="1" ref="F164">IF(B164="Delete","",INDIRECT("CurrentPlans!A"&amp;B164,TRUE))</f>
        <v>0</v>
      </c>
      <c r="G164" s="166"/>
      <c r="H164" s="167"/>
      <c r="I164" s="168"/>
      <c r="J164" s="169"/>
      <c r="K164"/>
      <c r="L164" s="274" t="str">
        <f ca="1">_xlfn.IFNA(VLOOKUP(F164,BEGIN_RENEWEDFROM_HEALTH:ROW_RenewHealth_PlanID,3,FALSE),"SELECT PLAN")</f>
        <v>SELECT PLAN</v>
      </c>
      <c r="M164" s="170"/>
      <c r="N164" s="274" t="s">
        <v>237</v>
      </c>
      <c r="O164" s="171"/>
      <c r="P164" s="171"/>
      <c r="Q164" s="171"/>
      <c r="R164" s="169"/>
      <c r="T164" s="274" t="s">
        <v>38</v>
      </c>
      <c r="U164" s="170"/>
      <c r="V164" s="274" t="s">
        <v>237</v>
      </c>
      <c r="W164" s="171"/>
      <c r="X164" s="171"/>
      <c r="Y164" s="171"/>
      <c r="Z164" s="169"/>
    </row>
    <row r="165" spans="1:26" ht="18.75" customHeight="1">
      <c r="A165" s="140"/>
      <c r="B165" s="140"/>
      <c r="D165" s="172" t="s">
        <v>238</v>
      </c>
      <c r="E165" s="407" t="str">
        <f ca="1">_xlfn.IFNA(VLOOKUP(F164,BEGIN_CURRENT_HEALTH:END_CURRENT_HEALTH,CURRENT_COL_EO_count,FALSE),"")</f>
        <v/>
      </c>
      <c r="F165" s="408" t="str">
        <f ca="1">_xlfn.IFNA(VLOOKUP(F164,BEGIN_CURRENT_HEALTH:END_CURRENT_HEALTH,CURRENT_COL_EO,FALSE),"")</f>
        <v/>
      </c>
      <c r="G165" s="468" t="str">
        <f ca="1" t="shared" si="15" ref="G165:G168">IF(F165="","",H165/F165)</f>
        <v/>
      </c>
      <c r="H165" s="408" t="str">
        <f ca="1">_xlfn.IFNA(VLOOKUP(F164,BEGIN_CURRENT_HEALTH:END_CURRENT_HEALTH,CURRENT_COL_EOContrib,FALSE),"")</f>
        <v/>
      </c>
      <c r="I165" s="409" t="str">
        <f ca="1">IFERROR(F165-H165,"")</f>
        <v/>
      </c>
      <c r="J165" s="410" t="str">
        <f ca="1">IF(F165="","",H165*E165)</f>
        <v/>
      </c>
      <c r="K165" s="411"/>
      <c r="L165" s="408" t="str" cm="1">
        <f t="array" ca="1" aca="1" ref="L165">_xlfn.IFNA(VLOOKUP(INDIRECT("L"&amp;ROW()-1)&amp;"_"&amp;$D$12,BEGIN_RENEW_HEALTH:END_RENEW_HEALTH,RENEW_COL_EO,FALSE),"")</f>
        <v/>
      </c>
      <c r="M165" s="412" t="str">
        <f ca="1">IF(E165="","",E165)</f>
        <v/>
      </c>
      <c r="N165" s="413"/>
      <c r="O165" s="414"/>
      <c r="P165" s="415" t="str">
        <f>IFERROR(IF($N164="Keep Contribution Same",H165,IF($N164="Enter Percentages",IF(N165="","",N165*L165),IF($N164="Keep Percentage Same",IF(G165="","",G165*L165),IF($N164="Enter Dollar Amount",IF(O165="","",O165),"")))),"")</f>
        <v/>
      </c>
      <c r="Q165" s="408" t="str">
        <f ca="1">IFERROR(L165-P165,"")</f>
        <v/>
      </c>
      <c r="R165" s="410" t="str">
        <f>IFERROR(IF(P165="","",M165*P165),"")</f>
        <v/>
      </c>
      <c r="S165" s="411"/>
      <c r="T165" s="408" t="str" cm="1">
        <f t="array" ca="1" aca="1" ref="T165">_xlfn.IFNA(VLOOKUP(INDIRECT("T"&amp;ROW()-1)&amp;"_"&amp;$D$12,BEGIN_RENEW_HEALTH:END_RENEW_HEALTH,RENEW_COL_EO,FALSE),"")</f>
        <v/>
      </c>
      <c r="U165" s="412" t="str">
        <f ca="1">IF(E165="","",E165)</f>
        <v/>
      </c>
      <c r="V165" s="413"/>
      <c r="W165" s="414"/>
      <c r="X165" s="415" t="str">
        <f>IFERROR(IF($V164="Keep Contribution Same",H165,IF($V164="Enter Percentages",IF(V165="","",V165*T165),IF($V164="Keep Percentage Same",IF(G165="","",G165*T165),IF($V164="Enter Dollar Amount",IF(W165="","",W165),"")))),"")</f>
        <v/>
      </c>
      <c r="Y165" s="408" t="str">
        <f ca="1">IFERROR(T165-X165,"")</f>
        <v/>
      </c>
      <c r="Z165" s="410" t="str">
        <f>IFERROR(IF(X165="","",U165*X165),"")</f>
        <v/>
      </c>
    </row>
    <row r="166" spans="1:26" ht="18.75" customHeight="1">
      <c r="A166" s="140"/>
      <c r="B166" s="140"/>
      <c r="D166" s="172" t="s">
        <v>239</v>
      </c>
      <c r="E166" s="407" t="str">
        <f ca="1">_xlfn.IFNA(VLOOKUP(F164,BEGIN_CURRENT_HEALTH:END_CURRENT_HEALTH,CURRENT_COL_ES_count,FALSE),"")</f>
        <v/>
      </c>
      <c r="F166" s="408" t="str">
        <f ca="1">_xlfn.IFNA(VLOOKUP(F164,BEGIN_CURRENT_HEALTH:END_CURRENT_HEALTH,CURRENT_COL_ES,FALSE),"")</f>
        <v/>
      </c>
      <c r="G166" s="468" t="str">
        <f t="shared" ca="1" si="15"/>
        <v/>
      </c>
      <c r="H166" s="408" t="str">
        <f ca="1">_xlfn.IFNA(VLOOKUP(F164,BEGIN_CURRENT_HEALTH:END_CURRENT_HEALTH,CURRENT_COL_ESContrib,FALSE),"")</f>
        <v/>
      </c>
      <c r="I166" s="409" t="str">
        <f ca="1" t="shared" si="16" ref="I166:I168">IFERROR(F166-H166,"")</f>
        <v/>
      </c>
      <c r="J166" s="410" t="str">
        <f ca="1">IF(F166="","",H166*E166)</f>
        <v/>
      </c>
      <c r="K166" s="411"/>
      <c r="L166" s="408" t="str" cm="1">
        <f t="array" ca="1" aca="1" ref="L166">_xlfn.IFNA(VLOOKUP(INDIRECT("L"&amp;ROW()-2)&amp;"_"&amp;$D$12,BEGIN_RENEW_HEALTH:END_RENEW_HEALTH,RENEW_COL_ES,FALSE),"")</f>
        <v/>
      </c>
      <c r="M166" s="412" t="str">
        <f ca="1">IF(E166="","",E166)</f>
        <v/>
      </c>
      <c r="N166" s="413"/>
      <c r="O166" s="414"/>
      <c r="P166" s="415" t="str">
        <f>IFERROR(IF($N164="Keep Contribution Same",H166,IF($N164="Enter Percentages",IF(N166="","",N166*L166),IF($N164="Keep Percentage Same",IF(G166="","",G166*L166),IF($N164="Enter Dollar Amount",IF(O166="","",O166),"")))),"")</f>
        <v/>
      </c>
      <c r="Q166" s="408" t="str">
        <f ca="1">IFERROR(L166-P166,"")</f>
        <v/>
      </c>
      <c r="R166" s="410" t="str">
        <f>IFERROR(IF(P166="","",M166*P166),"")</f>
        <v/>
      </c>
      <c r="S166" s="411"/>
      <c r="T166" s="408" t="str" cm="1">
        <f t="array" ca="1" aca="1" ref="T166">_xlfn.IFNA(VLOOKUP(INDIRECT("T"&amp;ROW()-2)&amp;"_"&amp;$D$12,BEGIN_RENEW_HEALTH:END_RENEW_HEALTH,RENEW_COL_ES,FALSE),"")</f>
        <v/>
      </c>
      <c r="U166" s="412" t="str">
        <f ca="1" t="shared" si="17" ref="U166:U168">IF(E166="","",E166)</f>
        <v/>
      </c>
      <c r="V166" s="413"/>
      <c r="W166" s="414"/>
      <c r="X166" s="415" t="str">
        <f>IFERROR(IF($V164="Keep Contribution Same",H166,IF($V164="Enter Percentages",IF(V166="","",V166*T166),IF($V164="Keep Percentage Same",IF(G166="","",G166*T166),IF($V164="Enter Dollar Amount",IF(W166="","",W166),"")))),"")</f>
        <v/>
      </c>
      <c r="Y166" s="408" t="str">
        <f ca="1" t="shared" si="18" ref="Y166:Y168">IFERROR(T166-X166,"")</f>
        <v/>
      </c>
      <c r="Z166" s="410" t="str">
        <f t="shared" si="19" ref="Z166:Z168">IFERROR(IF(X166="","",U166*X166),"")</f>
        <v/>
      </c>
    </row>
    <row r="167" spans="1:26" ht="18.75" customHeight="1">
      <c r="A167" s="140"/>
      <c r="B167" s="140"/>
      <c r="D167" s="172" t="s">
        <v>240</v>
      </c>
      <c r="E167" s="407" t="str">
        <f ca="1">_xlfn.IFNA(VLOOKUP(F164,BEGIN_CURRENT_HEALTH:END_CURRENT_HEALTH,CURRENT_COL_EC_count,FALSE),"")</f>
        <v/>
      </c>
      <c r="F167" s="408" t="str">
        <f ca="1">_xlfn.IFNA(VLOOKUP(F164,BEGIN_CURRENT_HEALTH:END_CURRENT_HEALTH,CURRENT_COL_EC,FALSE),"")</f>
        <v/>
      </c>
      <c r="G167" s="468" t="str">
        <f t="shared" ca="1" si="15"/>
        <v/>
      </c>
      <c r="H167" s="408" t="str">
        <f ca="1">_xlfn.IFNA(VLOOKUP(F164,BEGIN_CURRENT_HEALTH:END_CURRENT_HEALTH,CURRENT_COL_ECContrib,FALSE),"")</f>
        <v/>
      </c>
      <c r="I167" s="409" t="str">
        <f t="shared" ca="1" si="16"/>
        <v/>
      </c>
      <c r="J167" s="410" t="str">
        <f ca="1">IF(F167="","",H167*E167)</f>
        <v/>
      </c>
      <c r="K167" s="411"/>
      <c r="L167" s="408" t="str" cm="1">
        <f t="array" ca="1" aca="1" ref="L167">_xlfn.IFNA(VLOOKUP(INDIRECT("L"&amp;ROW()-3)&amp;"_"&amp;$D$12,BEGIN_RENEW_HEALTH:END_RENEW_HEALTH,RENEW_COL_EC,FALSE),"")</f>
        <v/>
      </c>
      <c r="M167" s="412" t="str">
        <f ca="1">IF(E167="","",E167)</f>
        <v/>
      </c>
      <c r="N167" s="413"/>
      <c r="O167" s="414"/>
      <c r="P167" s="415" t="str">
        <f>IFERROR(IF($N164="Keep Contribution Same",H167,IF($N164="Enter Percentages",IF(N167="","",N167*L167),IF($N164="Keep Percentage Same",IF(G167="","",G167*L167),IF($N164="Enter Dollar Amount",IF(O167="","",O167),"")))),"")</f>
        <v/>
      </c>
      <c r="Q167" s="408" t="str">
        <f ca="1">IFERROR(L167-P167,"")</f>
        <v/>
      </c>
      <c r="R167" s="410" t="str">
        <f>IFERROR(IF(P167="","",M167*P167),"")</f>
        <v/>
      </c>
      <c r="S167" s="411"/>
      <c r="T167" s="408" t="str" cm="1">
        <f t="array" ca="1" aca="1" ref="T167">_xlfn.IFNA(VLOOKUP(INDIRECT("T"&amp;ROW()-3)&amp;"_"&amp;$D$12,BEGIN_RENEW_HEALTH:END_RENEW_HEALTH,RENEW_COL_EC,FALSE),"")</f>
        <v/>
      </c>
      <c r="U167" s="412" t="str">
        <f t="shared" ca="1" si="17"/>
        <v/>
      </c>
      <c r="V167" s="413"/>
      <c r="W167" s="414"/>
      <c r="X167" s="415" t="str">
        <f>IFERROR(IF($V164="Keep Contribution Same",H167,IF($V164="Enter Percentages",IF(V167="","",V167*T167),IF($V164="Keep Percentage Same",IF(G167="","",G167*T167),IF($V164="Enter Dollar Amount",IF(W167="","",W167),"")))),"")</f>
        <v/>
      </c>
      <c r="Y167" s="408" t="str">
        <f t="shared" ca="1" si="18"/>
        <v/>
      </c>
      <c r="Z167" s="410" t="str">
        <f t="shared" si="19"/>
        <v/>
      </c>
    </row>
    <row r="168" spans="1:26" ht="18.75" customHeight="1" thickBot="1">
      <c r="A168" s="140"/>
      <c r="B168" s="140"/>
      <c r="D168" s="174" t="s">
        <v>241</v>
      </c>
      <c r="E168" s="416" t="str">
        <f ca="1">_xlfn.IFNA(VLOOKUP(F164,BEGIN_CURRENT_HEALTH:END_CURRENT_HEALTH,CURRENT_COL_FAM_count,FALSE),"")</f>
        <v/>
      </c>
      <c r="F168" s="417" t="str">
        <f ca="1">_xlfn.IFNA(VLOOKUP(F164,BEGIN_CURRENT_HEALTH:END_CURRENT_HEALTH,CURRENT_COL_FAM,FALSE),"")</f>
        <v/>
      </c>
      <c r="G168" s="469" t="str">
        <f t="shared" ca="1" si="15"/>
        <v/>
      </c>
      <c r="H168" s="417" t="str">
        <f ca="1">_xlfn.IFNA(VLOOKUP(F164,BEGIN_CURRENT_HEALTH:END_CURRENT_HEALTH,CURRENT_COL_FAMContrib,FALSE),"")</f>
        <v/>
      </c>
      <c r="I168" s="418" t="str">
        <f t="shared" ca="1" si="16"/>
        <v/>
      </c>
      <c r="J168" s="419" t="str">
        <f ca="1">IF(F168="","",H168*E168)</f>
        <v/>
      </c>
      <c r="K168" s="411"/>
      <c r="L168" s="417" t="str" cm="1">
        <f t="array" ca="1" aca="1" ref="L168">_xlfn.IFNA(VLOOKUP(INDIRECT("L"&amp;ROW()-4)&amp;"_"&amp;$D$12,BEGIN_RENEW_HEALTH:END_RENEW_HEALTH,RENEW_COL_FAM,FALSE),"")</f>
        <v/>
      </c>
      <c r="M168" s="423" t="str">
        <f ca="1">IF(E168="","",E168)</f>
        <v/>
      </c>
      <c r="N168" s="420"/>
      <c r="O168" s="421"/>
      <c r="P168" s="422" t="str">
        <f>IFERROR(IF($N164="Keep Contribution Same",H168,IF($N164="Enter Percentages",IF(N168="","",N168*L168),IF($N164="Keep Percentage Same",IF(G168="","",G168*L168),IF($N164="Enter Dollar Amount",IF(O168="","",O168),"")))),"")</f>
        <v/>
      </c>
      <c r="Q168" s="417" t="str">
        <f ca="1">IFERROR(L168-P168,"")</f>
        <v/>
      </c>
      <c r="R168" s="419" t="str">
        <f>IFERROR(IF(P168="","",M168*P168),"")</f>
        <v/>
      </c>
      <c r="S168" s="411"/>
      <c r="T168" s="417" t="str" cm="1">
        <f t="array" ca="1" aca="1" ref="T168">_xlfn.IFNA(VLOOKUP(INDIRECT("T"&amp;ROW()-4)&amp;"_"&amp;$D$12,BEGIN_RENEW_HEALTH:END_RENEW_HEALTH,RENEW_COL_FAM,FALSE),"")</f>
        <v/>
      </c>
      <c r="U168" s="423" t="str">
        <f t="shared" ca="1" si="17"/>
        <v/>
      </c>
      <c r="V168" s="420"/>
      <c r="W168" s="421"/>
      <c r="X168" s="422" t="str">
        <f>IFERROR(IF($V164="Keep Contribution Same",H168,IF($V164="Enter Percentages",IF(V168="","",V168*T168),IF($V164="Keep Percentage Same",IF(G168="","",G168*T168),IF($V164="Enter Dollar Amount",IF(W168="","",W168),"")))),"")</f>
        <v/>
      </c>
      <c r="Y168" s="417" t="str">
        <f t="shared" ca="1" si="18"/>
        <v/>
      </c>
      <c r="Z168" s="419" t="str">
        <f t="shared" si="19"/>
        <v/>
      </c>
    </row>
    <row r="169" spans="1:26" ht="18.75" customHeight="1" thickTop="1">
      <c r="A169" s="140"/>
      <c r="B169" s="140"/>
      <c r="D169" s="175" t="s">
        <v>242</v>
      </c>
      <c r="E169" s="424"/>
      <c r="F169" s="447" t="str">
        <f ca="1">IFERROR((F165*E165)+(F166*E166)+(F167*E167)+(F168*E168),"")</f>
        <v/>
      </c>
      <c r="G169" s="426"/>
      <c r="H169" s="427"/>
      <c r="I169" s="428"/>
      <c r="J169" s="429" t="str">
        <f ca="1">IFERROR(IF(J165="","",SUM(J165:J168)),0)</f>
        <v/>
      </c>
      <c r="K169" s="1"/>
      <c r="L169" s="430" t="str">
        <f ca="1">IFERROR((M165*L165)+(M166*L166)+(M167*L167)+(M168*L168),"")</f>
        <v/>
      </c>
      <c r="M169" s="427"/>
      <c r="N169" s="426"/>
      <c r="O169" s="427"/>
      <c r="P169" s="431"/>
      <c r="Q169" s="432"/>
      <c r="R169" s="429" t="str">
        <f>IFERROR(IF(R165="","",SUM(R165:R168)),0)</f>
        <v/>
      </c>
      <c r="T169" s="430" t="str">
        <f ca="1">IFERROR((U165*T165)+(U166*T166)+(U167*T167)+(U168*T168),"")</f>
        <v/>
      </c>
      <c r="U169" s="427"/>
      <c r="V169" s="426"/>
      <c r="W169" s="427"/>
      <c r="X169" s="431"/>
      <c r="Y169" s="432"/>
      <c r="Z169" s="429" t="str">
        <f>IFERROR(IF(Z165="","",SUM(Z165:Z168)),0)</f>
        <v/>
      </c>
    </row>
    <row r="170" spans="1:26" ht="18.75" customHeight="1">
      <c r="A170" s="140"/>
      <c r="B170" s="140"/>
      <c r="D170" s="177" t="s">
        <v>243</v>
      </c>
      <c r="E170" s="433"/>
      <c r="F170" s="448" t="str">
        <f ca="1">IFERROR(F169*12,"")</f>
        <v/>
      </c>
      <c r="G170" s="435"/>
      <c r="H170" s="436"/>
      <c r="I170" s="432"/>
      <c r="J170" s="437" t="str">
        <f ca="1">IF(J169="","",J169*12)</f>
        <v/>
      </c>
      <c r="K170" s="1"/>
      <c r="L170" s="438" t="str">
        <f ca="1">IFERROR(L169*12,"")</f>
        <v/>
      </c>
      <c r="M170" s="436"/>
      <c r="N170" s="435"/>
      <c r="O170" s="436"/>
      <c r="P170" s="432"/>
      <c r="Q170" s="432"/>
      <c r="R170" s="437" t="str">
        <f>IF(R169="","",R169*12)</f>
        <v/>
      </c>
      <c r="T170" s="438" t="str">
        <f ca="1">IFERROR(T169*12,"")</f>
        <v/>
      </c>
      <c r="U170" s="436"/>
      <c r="V170" s="435"/>
      <c r="W170" s="436"/>
      <c r="X170" s="432"/>
      <c r="Y170" s="432"/>
      <c r="Z170" s="437" t="str">
        <f>IF(Z169="","",Z169*12)</f>
        <v/>
      </c>
    </row>
    <row r="171" spans="1:26" ht="18" customHeight="1">
      <c r="A171" s="140"/>
      <c r="B171" s="140"/>
      <c r="D171" s="177" t="s">
        <v>244</v>
      </c>
      <c r="E171" s="433"/>
      <c r="F171" s="436"/>
      <c r="G171" s="435"/>
      <c r="H171" s="436"/>
      <c r="I171" s="432"/>
      <c r="J171" s="437"/>
      <c r="K171" s="1"/>
      <c r="L171" s="434" t="str">
        <f ca="1">IFERROR(L170-F170,"")</f>
        <v/>
      </c>
      <c r="M171" s="436"/>
      <c r="N171" s="435"/>
      <c r="O171" s="436"/>
      <c r="P171" s="432"/>
      <c r="Q171" s="432"/>
      <c r="R171" s="437" t="str">
        <f ca="1">IFERROR(IF(J170="","",R170-J170),0)</f>
        <v/>
      </c>
      <c r="T171" s="434" t="str">
        <f ca="1">IFERROR(T170-F170,"")</f>
        <v/>
      </c>
      <c r="U171" s="436"/>
      <c r="V171" s="435"/>
      <c r="W171" s="436"/>
      <c r="X171" s="432"/>
      <c r="Y171" s="432"/>
      <c r="Z171" s="437" t="str">
        <f>IFERROR(IF(R170="","",Z170-R170),0)</f>
        <v/>
      </c>
    </row>
    <row r="172" spans="1:26" ht="18" customHeight="1" thickBot="1">
      <c r="A172" s="140"/>
      <c r="B172" s="140"/>
      <c r="D172" s="180" t="s">
        <v>245</v>
      </c>
      <c r="E172" s="439"/>
      <c r="F172" s="440"/>
      <c r="G172" s="441"/>
      <c r="H172" s="440"/>
      <c r="I172" s="442"/>
      <c r="J172" s="437"/>
      <c r="K172" s="1"/>
      <c r="L172" s="444" t="str">
        <f ca="1">IFERROR(L170/F170-1,"")</f>
        <v/>
      </c>
      <c r="M172" s="440"/>
      <c r="N172" s="441"/>
      <c r="O172" s="440"/>
      <c r="P172" s="445"/>
      <c r="Q172" s="445"/>
      <c r="R172" s="446" t="str">
        <f ca="1">IFERROR(IF(J170="","",(R170/J170)-1),0)</f>
        <v/>
      </c>
      <c r="T172" s="444" t="str">
        <f ca="1">IFERROR(T170/F170-1,"")</f>
        <v/>
      </c>
      <c r="U172" s="440"/>
      <c r="V172" s="441"/>
      <c r="W172" s="440"/>
      <c r="X172" s="445"/>
      <c r="Y172" s="445"/>
      <c r="Z172" s="446" t="str">
        <f>IFERROR(IF(R170="","",(Z170/R170)-1),0)</f>
        <v/>
      </c>
    </row>
    <row r="173" spans="4:26" ht="18" customHeight="1">
      <c r="D173" s="181" t="s">
        <v>246</v>
      </c>
      <c r="E173" s="182"/>
      <c r="F173" s="182"/>
      <c r="G173" s="182"/>
      <c r="H173" s="182"/>
      <c r="I173" s="182"/>
      <c r="J173" s="183"/>
      <c r="K173"/>
      <c r="L173" s="184"/>
      <c r="M173" s="182"/>
      <c r="N173" s="182"/>
      <c r="O173" s="182"/>
      <c r="P173" s="182"/>
      <c r="Q173" s="182"/>
      <c r="R173" s="183"/>
      <c r="T173" s="184"/>
      <c r="U173" s="182"/>
      <c r="V173" s="182"/>
      <c r="W173" s="182"/>
      <c r="X173" s="182"/>
      <c r="Y173" s="182"/>
      <c r="Z173" s="183"/>
    </row>
    <row r="174" spans="4:26" ht="18" customHeight="1" hidden="1">
      <c r="D174" s="185" t="s">
        <v>247</v>
      </c>
      <c r="E174" s="186"/>
      <c r="F174" s="186"/>
      <c r="G174" s="186"/>
      <c r="H174" s="186"/>
      <c r="I174" s="186"/>
      <c r="J174" s="187"/>
      <c r="K174"/>
      <c r="L174" s="188"/>
      <c r="M174" s="186"/>
      <c r="N174" s="186"/>
      <c r="O174" s="186"/>
      <c r="P174" s="186"/>
      <c r="Q174" s="186"/>
      <c r="R174" s="187"/>
      <c r="T174" s="188"/>
      <c r="U174" s="186"/>
      <c r="V174" s="186"/>
      <c r="W174" s="186"/>
      <c r="X174" s="186"/>
      <c r="Y174" s="186"/>
      <c r="Z174" s="187"/>
    </row>
    <row r="175" spans="4:26" ht="18" customHeight="1" hidden="1">
      <c r="D175" s="189" t="s">
        <v>248</v>
      </c>
      <c r="E175" s="190" t="e">
        <f ca="1">D164&amp;"_"&amp;D12</f>
        <v>#N/A</v>
      </c>
      <c r="F175" s="191"/>
      <c r="G175" s="191"/>
      <c r="H175" s="191"/>
      <c r="I175" s="190"/>
      <c r="J175" s="192"/>
      <c r="K175"/>
      <c r="L175" s="193" t="str">
        <f ca="1">L164&amp;"_"&amp;D12</f>
        <v>SELECT PLAN_PRIMARY</v>
      </c>
      <c r="M175" s="191"/>
      <c r="N175" s="191"/>
      <c r="O175" s="191"/>
      <c r="P175" s="190"/>
      <c r="Q175" s="191"/>
      <c r="R175" s="192"/>
      <c r="T175" s="193" t="str">
        <f>T164&amp;"_"&amp;D12</f>
        <v>SELECT PLAN_PRIMARY</v>
      </c>
      <c r="U175" s="191"/>
      <c r="V175" s="191"/>
      <c r="W175" s="191"/>
      <c r="X175" s="190"/>
      <c r="Y175" s="191"/>
      <c r="Z175" s="192"/>
    </row>
    <row r="176" spans="4:26" ht="18" customHeight="1" hidden="1">
      <c r="D176" s="189" t="s">
        <v>249</v>
      </c>
      <c r="E176" s="191"/>
      <c r="F176" s="191"/>
      <c r="G176" s="191"/>
      <c r="H176" s="191"/>
      <c r="I176" s="191"/>
      <c r="J176" s="192"/>
      <c r="K176"/>
      <c r="L176" s="189"/>
      <c r="M176" s="191"/>
      <c r="N176" s="191"/>
      <c r="O176" s="191"/>
      <c r="P176" s="191"/>
      <c r="Q176" s="191"/>
      <c r="R176" s="192"/>
      <c r="T176" s="189"/>
      <c r="U176" s="191"/>
      <c r="V176" s="191"/>
      <c r="W176" s="191"/>
      <c r="X176" s="191"/>
      <c r="Y176" s="191"/>
      <c r="Z176" s="192"/>
    </row>
    <row r="177" spans="4:26" ht="18" customHeight="1" hidden="1">
      <c r="D177" s="194" t="s">
        <v>250</v>
      </c>
      <c r="E177" s="195"/>
      <c r="F177" s="195"/>
      <c r="G177" s="195"/>
      <c r="H177" s="195"/>
      <c r="I177" s="195"/>
      <c r="J177" s="196"/>
      <c r="K177"/>
      <c r="L177" s="197"/>
      <c r="M177" s="195"/>
      <c r="N177" s="195"/>
      <c r="O177" s="195"/>
      <c r="P177" s="195"/>
      <c r="Q177" s="195"/>
      <c r="R177" s="196"/>
      <c r="T177" s="197"/>
      <c r="U177" s="195"/>
      <c r="V177" s="195"/>
      <c r="W177" s="195"/>
      <c r="X177" s="195"/>
      <c r="Y177" s="195"/>
      <c r="Z177" s="196"/>
    </row>
    <row r="178" spans="4:26" ht="18" customHeight="1" hidden="1">
      <c r="D178" s="198" t="s">
        <v>251</v>
      </c>
      <c r="E178" s="199" t="e">
        <f>_xlfn.XLOOKUP(E175,CurrentPlans!B:B,CurrentPlans!X:X,"NA",0,1)</f>
        <v>#N/A</v>
      </c>
      <c r="F178" s="200"/>
      <c r="G178" s="200"/>
      <c r="H178" s="200"/>
      <c r="I178" s="199"/>
      <c r="J178" s="201"/>
      <c r="K178"/>
      <c r="L178" s="202" t="str">
        <f ca="1">_xlfn.XLOOKUP(L175,RenewalPlans!B:B,RenewalPlans!AA:AA,"NA",0,1)</f>
        <v>NA</v>
      </c>
      <c r="M178" s="200"/>
      <c r="N178" s="200"/>
      <c r="O178" s="200"/>
      <c r="P178" s="199"/>
      <c r="Q178" s="200"/>
      <c r="R178" s="201"/>
      <c r="T178" s="202" t="str">
        <f>_xlfn.XLOOKUP(T175,RenewalPlans!B:B,RenewalPlans!AA:AA,"NA",0,1)</f>
        <v>NA</v>
      </c>
      <c r="U178" s="200"/>
      <c r="V178" s="200"/>
      <c r="W178" s="200"/>
      <c r="X178" s="199"/>
      <c r="Y178" s="200"/>
      <c r="Z178" s="201"/>
    </row>
    <row r="179" spans="4:26" ht="18" customHeight="1" hidden="1">
      <c r="D179" s="198" t="s">
        <v>252</v>
      </c>
      <c r="E179" s="199" t="e">
        <f>_xlfn.XLOOKUP(E175,CurrentPlans!B:B,CurrentPlans!Y:Y,"NA",0,1)</f>
        <v>#N/A</v>
      </c>
      <c r="F179" s="200"/>
      <c r="G179" s="200"/>
      <c r="H179" s="200"/>
      <c r="I179" s="199"/>
      <c r="J179" s="201"/>
      <c r="K179"/>
      <c r="L179" s="202" t="str">
        <f ca="1">_xlfn.XLOOKUP(L175,RenewalPlans!B:B,RenewalPlans!AB:AB,"NA",0,1)</f>
        <v>NA</v>
      </c>
      <c r="M179" s="200"/>
      <c r="N179" s="200"/>
      <c r="O179" s="200"/>
      <c r="P179" s="199"/>
      <c r="Q179" s="200"/>
      <c r="R179" s="201"/>
      <c r="T179" s="202" t="str">
        <f>_xlfn.XLOOKUP(T175,RenewalPlans!B:B,RenewalPlans!AB:AB,"NA",0,1)</f>
        <v>NA</v>
      </c>
      <c r="U179" s="200"/>
      <c r="V179" s="200"/>
      <c r="W179" s="200"/>
      <c r="X179" s="199"/>
      <c r="Y179" s="200"/>
      <c r="Z179" s="201"/>
    </row>
    <row r="180" spans="4:26" ht="18" customHeight="1" hidden="1">
      <c r="D180" s="120" t="s">
        <v>253</v>
      </c>
      <c r="E180" s="121" t="e">
        <f>_xlfn.XLOOKUP(E175,CurrentPlans!B:B,CurrentPlans!W:W,"NA",0,1)</f>
        <v>#N/A</v>
      </c>
      <c r="F180" s="122"/>
      <c r="G180" s="122"/>
      <c r="H180" s="122"/>
      <c r="I180" s="121"/>
      <c r="J180" s="123"/>
      <c r="K180"/>
      <c r="L180" s="124" t="str">
        <f ca="1">_xlfn.XLOOKUP(L175,RenewalPlans!B:B,RenewalPlans!Z:Z,"NA",0,1)</f>
        <v>NA</v>
      </c>
      <c r="M180" s="122"/>
      <c r="N180" s="122"/>
      <c r="O180" s="122"/>
      <c r="P180" s="121"/>
      <c r="Q180" s="122"/>
      <c r="R180" s="123"/>
      <c r="T180" s="124" t="str">
        <f>_xlfn.XLOOKUP(T175,RenewalPlans!B:B,RenewalPlans!Z:Z,"NA",0,1)</f>
        <v>NA</v>
      </c>
      <c r="U180" s="122"/>
      <c r="V180" s="122"/>
      <c r="W180" s="122"/>
      <c r="X180" s="121"/>
      <c r="Y180" s="122"/>
      <c r="Z180" s="123"/>
    </row>
    <row r="181" spans="4:26" ht="18" customHeight="1" hidden="1">
      <c r="D181" s="203" t="s">
        <v>254</v>
      </c>
      <c r="E181" s="204"/>
      <c r="F181" s="205"/>
      <c r="G181" s="205"/>
      <c r="H181" s="205"/>
      <c r="I181" s="204"/>
      <c r="J181" s="206"/>
      <c r="K181"/>
      <c r="L181" s="207"/>
      <c r="M181" s="205"/>
      <c r="N181" s="205"/>
      <c r="O181" s="205"/>
      <c r="P181" s="204"/>
      <c r="Q181" s="205"/>
      <c r="R181" s="206"/>
      <c r="T181" s="207"/>
      <c r="U181" s="205"/>
      <c r="V181" s="205"/>
      <c r="W181" s="205"/>
      <c r="X181" s="204"/>
      <c r="Y181" s="205"/>
      <c r="Z181" s="206"/>
    </row>
    <row r="182" spans="4:26" ht="18" customHeight="1" hidden="1">
      <c r="D182" s="125" t="s">
        <v>255</v>
      </c>
      <c r="E182" s="126" t="e">
        <f>_xlfn.XLOOKUP(E175,CurrentPlans!B:B,CurrentPlans!Z:Z,"NA",0,1)</f>
        <v>#N/A</v>
      </c>
      <c r="F182" s="127"/>
      <c r="G182" s="127"/>
      <c r="H182" s="127"/>
      <c r="I182" s="126"/>
      <c r="J182" s="128"/>
      <c r="K182"/>
      <c r="L182" s="129" t="str">
        <f ca="1">_xlfn.XLOOKUP(L175,RenewalPlans!B:B,RenewalPlans!AC:AC,"NA",0,1)</f>
        <v>NA</v>
      </c>
      <c r="M182" s="127"/>
      <c r="N182" s="127"/>
      <c r="O182" s="127"/>
      <c r="P182" s="126"/>
      <c r="Q182" s="127"/>
      <c r="R182" s="128"/>
      <c r="T182" s="129" t="str">
        <f>_xlfn.XLOOKUP(T175,RenewalPlans!B:B,RenewalPlans!AC:AC,"NA",0,1)</f>
        <v>NA</v>
      </c>
      <c r="U182" s="127"/>
      <c r="V182" s="127"/>
      <c r="W182" s="127"/>
      <c r="X182" s="126"/>
      <c r="Y182" s="127"/>
      <c r="Z182" s="128"/>
    </row>
    <row r="183" spans="4:26" ht="18" customHeight="1" hidden="1">
      <c r="D183" s="198" t="s">
        <v>256</v>
      </c>
      <c r="E183" s="208" t="e">
        <f>_xlfn.XLOOKUP(E175,CurrentPlans!B:B,CurrentPlans!AA:AA,"NA",0,1)</f>
        <v>#N/A</v>
      </c>
      <c r="F183" s="200"/>
      <c r="G183" s="200"/>
      <c r="H183" s="200"/>
      <c r="I183" s="208"/>
      <c r="J183" s="201"/>
      <c r="K183"/>
      <c r="L183" s="209" t="str">
        <f ca="1">_xlfn.XLOOKUP(L175,RenewalPlans!B:B,RenewalPlans!AD:AD,"NA",0,1)</f>
        <v>NA</v>
      </c>
      <c r="M183" s="200"/>
      <c r="N183" s="200"/>
      <c r="O183" s="200"/>
      <c r="P183" s="208"/>
      <c r="Q183" s="200"/>
      <c r="R183" s="201"/>
      <c r="T183" s="209" t="str">
        <f>_xlfn.XLOOKUP(T175,RenewalPlans!B:B,RenewalPlans!AD:AD,"NA",0,1)</f>
        <v>NA</v>
      </c>
      <c r="U183" s="200"/>
      <c r="V183" s="200"/>
      <c r="W183" s="200"/>
      <c r="X183" s="208"/>
      <c r="Y183" s="200"/>
      <c r="Z183" s="201"/>
    </row>
    <row r="184" spans="4:26" ht="18" customHeight="1" hidden="1">
      <c r="D184" s="203" t="s">
        <v>257</v>
      </c>
      <c r="E184" s="204"/>
      <c r="F184" s="205"/>
      <c r="G184" s="205"/>
      <c r="H184" s="205"/>
      <c r="I184" s="204"/>
      <c r="J184" s="206"/>
      <c r="K184"/>
      <c r="L184" s="207"/>
      <c r="M184" s="205"/>
      <c r="N184" s="205"/>
      <c r="O184" s="205"/>
      <c r="P184" s="204"/>
      <c r="Q184" s="205"/>
      <c r="R184" s="206"/>
      <c r="T184" s="207"/>
      <c r="U184" s="205"/>
      <c r="V184" s="205"/>
      <c r="W184" s="205"/>
      <c r="X184" s="204"/>
      <c r="Y184" s="205"/>
      <c r="Z184" s="206"/>
    </row>
    <row r="185" spans="4:26" ht="18" customHeight="1" hidden="1">
      <c r="D185" s="198" t="s">
        <v>258</v>
      </c>
      <c r="E185" s="208" t="e">
        <f>_xlfn.XLOOKUP(E175,CurrentPlans!B:B,CurrentPlans!AB:AB,"NA",0,1)</f>
        <v>#N/A</v>
      </c>
      <c r="F185" s="200"/>
      <c r="G185" s="200"/>
      <c r="H185" s="200"/>
      <c r="I185" s="208"/>
      <c r="J185" s="201"/>
      <c r="K185"/>
      <c r="L185" s="209" t="str">
        <f ca="1">_xlfn.XLOOKUP(L175,RenewalPlans!B:B,RenewalPlans!AE:AE,"NA",0,1)</f>
        <v>NA</v>
      </c>
      <c r="M185" s="200"/>
      <c r="N185" s="200"/>
      <c r="O185" s="200"/>
      <c r="P185" s="208"/>
      <c r="Q185" s="200"/>
      <c r="R185" s="201"/>
      <c r="T185" s="209" t="str">
        <f>_xlfn.XLOOKUP(T175,RenewalPlans!B:B,RenewalPlans!AE:AE,"NA",0,1)</f>
        <v>NA</v>
      </c>
      <c r="U185" s="200"/>
      <c r="V185" s="200"/>
      <c r="W185" s="200"/>
      <c r="X185" s="208"/>
      <c r="Y185" s="200"/>
      <c r="Z185" s="201"/>
    </row>
    <row r="186" spans="4:26" ht="18" customHeight="1" hidden="1">
      <c r="D186" s="198" t="s">
        <v>259</v>
      </c>
      <c r="E186" s="208" t="e">
        <f>_xlfn.XLOOKUP(E175,CurrentPlans!B:B,CurrentPlans!AC:AC,"NA",0,1)</f>
        <v>#N/A</v>
      </c>
      <c r="F186" s="200"/>
      <c r="G186" s="200"/>
      <c r="H186" s="200"/>
      <c r="I186" s="208"/>
      <c r="J186" s="201"/>
      <c r="K186"/>
      <c r="L186" s="209" t="str">
        <f ca="1">_xlfn.XLOOKUP(L175,RenewalPlans!B:B,RenewalPlans!AF:AF,"NA",0,1)</f>
        <v>NA</v>
      </c>
      <c r="M186" s="200"/>
      <c r="N186" s="200"/>
      <c r="O186" s="200"/>
      <c r="P186" s="208"/>
      <c r="Q186" s="200"/>
      <c r="R186" s="201"/>
      <c r="T186" s="209" t="str">
        <f>_xlfn.XLOOKUP(T175,RenewalPlans!B:B,RenewalPlans!AF:AF,"NA",0,1)</f>
        <v>NA</v>
      </c>
      <c r="U186" s="200"/>
      <c r="V186" s="200"/>
      <c r="W186" s="200"/>
      <c r="X186" s="208"/>
      <c r="Y186" s="200"/>
      <c r="Z186" s="201"/>
    </row>
    <row r="187" spans="4:26" ht="18" customHeight="1" hidden="1">
      <c r="D187" s="210"/>
      <c r="E187" s="211"/>
      <c r="F187" s="211"/>
      <c r="G187" s="211"/>
      <c r="H187" s="211"/>
      <c r="I187" s="211"/>
      <c r="J187" s="212"/>
      <c r="K187"/>
      <c r="L187" s="210"/>
      <c r="M187" s="211"/>
      <c r="N187" s="211"/>
      <c r="O187" s="211"/>
      <c r="P187" s="211"/>
      <c r="Q187" s="211"/>
      <c r="R187" s="212"/>
      <c r="T187" s="210"/>
      <c r="U187" s="211"/>
      <c r="V187" s="211"/>
      <c r="W187" s="211"/>
      <c r="X187" s="211"/>
      <c r="Y187" s="211"/>
      <c r="Z187" s="212"/>
    </row>
    <row r="188" spans="4:26" ht="18" customHeight="1" hidden="1">
      <c r="D188" s="185" t="s">
        <v>260</v>
      </c>
      <c r="E188" s="186"/>
      <c r="F188" s="186"/>
      <c r="G188" s="186"/>
      <c r="H188" s="186"/>
      <c r="I188" s="186"/>
      <c r="J188" s="187"/>
      <c r="K188"/>
      <c r="L188" s="188"/>
      <c r="M188" s="186"/>
      <c r="N188" s="186"/>
      <c r="O188" s="186"/>
      <c r="P188" s="186"/>
      <c r="Q188" s="186"/>
      <c r="R188" s="187"/>
      <c r="T188" s="188"/>
      <c r="U188" s="186"/>
      <c r="V188" s="186"/>
      <c r="W188" s="186"/>
      <c r="X188" s="186"/>
      <c r="Y188" s="186"/>
      <c r="Z188" s="187"/>
    </row>
    <row r="189" spans="4:26" ht="18" customHeight="1" hidden="1">
      <c r="D189" s="213" t="s">
        <v>261</v>
      </c>
      <c r="E189" s="130" t="e">
        <f>_xlfn.XLOOKUP(E175,CurrentPlans!B:B,CurrentPlans!AJ:AJ,"NA",0,1)</f>
        <v>#N/A</v>
      </c>
      <c r="F189" s="214"/>
      <c r="G189" s="214"/>
      <c r="H189" s="214"/>
      <c r="I189" s="130"/>
      <c r="J189" s="215"/>
      <c r="K189"/>
      <c r="L189" s="131" t="str">
        <f ca="1">_xlfn.XLOOKUP(L175,RenewalPlans!B:B,RenewalPlans!AM:AM,"NA",0,1)</f>
        <v>NA</v>
      </c>
      <c r="M189" s="214"/>
      <c r="N189" s="214"/>
      <c r="O189" s="214"/>
      <c r="P189" s="130"/>
      <c r="Q189" s="214"/>
      <c r="R189" s="215"/>
      <c r="T189" s="131" t="str">
        <f>_xlfn.XLOOKUP(T175,RenewalPlans!B:B,RenewalPlans!AM:AM,"NA",0,1)</f>
        <v>NA</v>
      </c>
      <c r="U189" s="214"/>
      <c r="V189" s="214"/>
      <c r="W189" s="214"/>
      <c r="X189" s="130"/>
      <c r="Y189" s="214"/>
      <c r="Z189" s="215"/>
    </row>
    <row r="190" spans="4:26" ht="18" customHeight="1" hidden="1">
      <c r="D190" s="198" t="s">
        <v>262</v>
      </c>
      <c r="E190" s="130" t="e">
        <f>_xlfn.XLOOKUP(E175,CurrentPlans!B:B,CurrentPlans!AM:AM,"NA",0,1)</f>
        <v>#N/A</v>
      </c>
      <c r="F190" s="200"/>
      <c r="G190" s="200"/>
      <c r="H190" s="200"/>
      <c r="I190" s="130"/>
      <c r="J190" s="201"/>
      <c r="K190"/>
      <c r="L190" s="131" t="str">
        <f ca="1">_xlfn.XLOOKUP(L175,RenewalPlans!B:B,RenewalPlans!AP:AP,"NA",0,1)</f>
        <v>NA</v>
      </c>
      <c r="M190" s="200"/>
      <c r="N190" s="200"/>
      <c r="O190" s="200"/>
      <c r="P190" s="130"/>
      <c r="Q190" s="200"/>
      <c r="R190" s="201"/>
      <c r="T190" s="131" t="str">
        <f>_xlfn.XLOOKUP(T175,RenewalPlans!B:B,RenewalPlans!AP:AP,"NA",0,1)</f>
        <v>NA</v>
      </c>
      <c r="U190" s="200"/>
      <c r="V190" s="200"/>
      <c r="W190" s="200"/>
      <c r="X190" s="130"/>
      <c r="Y190" s="200"/>
      <c r="Z190" s="201"/>
    </row>
    <row r="191" spans="4:26" ht="18" customHeight="1" hidden="1">
      <c r="D191" s="198" t="s">
        <v>263</v>
      </c>
      <c r="E191" s="130" t="e">
        <f>_xlfn.XLOOKUP(E175,CurrentPlans!B:B,CurrentPlans!AI:AI,"NA",0,1)</f>
        <v>#N/A</v>
      </c>
      <c r="F191" s="200"/>
      <c r="G191" s="200"/>
      <c r="H191" s="200"/>
      <c r="I191" s="130"/>
      <c r="J191" s="201"/>
      <c r="K191"/>
      <c r="L191" s="131" t="str">
        <f ca="1">_xlfn.XLOOKUP(L175,RenewalPlans!B:B,RenewalPlans!AL:AL,"NA",0,1)</f>
        <v>NA</v>
      </c>
      <c r="M191" s="200"/>
      <c r="N191" s="200"/>
      <c r="O191" s="200"/>
      <c r="P191" s="130"/>
      <c r="Q191" s="200"/>
      <c r="R191" s="201"/>
      <c r="T191" s="131" t="str">
        <f>_xlfn.XLOOKUP(T175,RenewalPlans!B:B,RenewalPlans!AL:AL,"NA",0,1)</f>
        <v>NA</v>
      </c>
      <c r="U191" s="200"/>
      <c r="V191" s="200"/>
      <c r="W191" s="200"/>
      <c r="X191" s="130"/>
      <c r="Y191" s="200"/>
      <c r="Z191" s="201"/>
    </row>
    <row r="192" spans="4:26" ht="18" customHeight="1" hidden="1">
      <c r="D192" s="198" t="s">
        <v>264</v>
      </c>
      <c r="E192" s="208" t="e">
        <f>_xlfn.XLOOKUP(E175,CurrentPlans!B:B,CurrentPlans!AN:AN,"NA",0,1)</f>
        <v>#N/A</v>
      </c>
      <c r="F192" s="200"/>
      <c r="G192" s="200"/>
      <c r="H192" s="200"/>
      <c r="I192" s="208"/>
      <c r="J192" s="201"/>
      <c r="K192"/>
      <c r="L192" s="209" t="str">
        <f ca="1">_xlfn.XLOOKUP(L175,RenewalPlans!B:B,RenewalPlans!AQ:AQ,"NA",0,1)</f>
        <v>NA</v>
      </c>
      <c r="M192" s="200"/>
      <c r="N192" s="200"/>
      <c r="O192" s="200"/>
      <c r="P192" s="208"/>
      <c r="Q192" s="200"/>
      <c r="R192" s="201"/>
      <c r="T192" s="209" t="str">
        <f>_xlfn.XLOOKUP(T175,RenewalPlans!B:B,RenewalPlans!AQ:AQ,"NA",0,1)</f>
        <v>NA</v>
      </c>
      <c r="U192" s="200"/>
      <c r="V192" s="200"/>
      <c r="W192" s="200"/>
      <c r="X192" s="208"/>
      <c r="Y192" s="200"/>
      <c r="Z192" s="201"/>
    </row>
    <row r="193" spans="4:26" ht="18" customHeight="1" hidden="1">
      <c r="D193" s="210"/>
      <c r="E193" s="211"/>
      <c r="F193" s="211"/>
      <c r="G193" s="211"/>
      <c r="H193" s="211"/>
      <c r="I193" s="211"/>
      <c r="J193" s="212"/>
      <c r="K193"/>
      <c r="L193" s="210"/>
      <c r="M193" s="211"/>
      <c r="N193" s="211"/>
      <c r="O193" s="211"/>
      <c r="P193" s="211"/>
      <c r="Q193" s="211"/>
      <c r="R193" s="212"/>
      <c r="T193" s="210"/>
      <c r="U193" s="211"/>
      <c r="V193" s="211"/>
      <c r="W193" s="211"/>
      <c r="X193" s="211"/>
      <c r="Y193" s="211"/>
      <c r="Z193" s="212"/>
    </row>
    <row r="194" spans="4:26" ht="18" customHeight="1" hidden="1">
      <c r="D194" s="185" t="s">
        <v>265</v>
      </c>
      <c r="E194" s="186"/>
      <c r="F194" s="186"/>
      <c r="G194" s="186"/>
      <c r="H194" s="186"/>
      <c r="I194" s="186"/>
      <c r="J194" s="187"/>
      <c r="K194"/>
      <c r="L194" s="188"/>
      <c r="M194" s="186"/>
      <c r="N194" s="186"/>
      <c r="O194" s="186"/>
      <c r="P194" s="186"/>
      <c r="Q194" s="186"/>
      <c r="R194" s="187"/>
      <c r="T194" s="188"/>
      <c r="U194" s="186"/>
      <c r="V194" s="186"/>
      <c r="W194" s="186"/>
      <c r="X194" s="186"/>
      <c r="Y194" s="186"/>
      <c r="Z194" s="187"/>
    </row>
    <row r="195" spans="4:26" ht="18" customHeight="1" hidden="1">
      <c r="D195" s="132" t="s">
        <v>266</v>
      </c>
      <c r="E195" s="133" t="e">
        <f>_xlfn.XLOOKUP(E175,CurrentPlans!B:B,CurrentPlans!AE:AE,"NA",0,1)</f>
        <v>#N/A</v>
      </c>
      <c r="F195" s="134"/>
      <c r="G195" s="134"/>
      <c r="H195" s="134"/>
      <c r="I195" s="133"/>
      <c r="J195" s="135"/>
      <c r="K195"/>
      <c r="L195" s="136" t="str">
        <f ca="1">_xlfn.XLOOKUP(L175,RenewalPlans!B:B,RenewalPlans!AH:AH,"NA",0,1)</f>
        <v>NA</v>
      </c>
      <c r="M195" s="134"/>
      <c r="N195" s="134"/>
      <c r="O195" s="134"/>
      <c r="P195" s="133"/>
      <c r="Q195" s="134"/>
      <c r="R195" s="135"/>
      <c r="T195" s="136" t="str">
        <f>_xlfn.XLOOKUP(T175,RenewalPlans!B:B,RenewalPlans!AH:AH,"NA",0,1)</f>
        <v>NA</v>
      </c>
      <c r="U195" s="134"/>
      <c r="V195" s="134"/>
      <c r="W195" s="134"/>
      <c r="X195" s="133"/>
      <c r="Y195" s="134"/>
      <c r="Z195" s="135"/>
    </row>
    <row r="196" spans="4:26" ht="18" customHeight="1" hidden="1">
      <c r="D196" s="120" t="s">
        <v>267</v>
      </c>
      <c r="E196" s="130" t="e">
        <f>_xlfn.XLOOKUP(E175,CurrentPlans!B:B,CurrentPlans!AF:AF,"NA",0,1)</f>
        <v>#N/A</v>
      </c>
      <c r="F196" s="122"/>
      <c r="G196" s="122"/>
      <c r="H196" s="122"/>
      <c r="I196" s="130"/>
      <c r="J196" s="123"/>
      <c r="K196"/>
      <c r="L196" s="131" t="str">
        <f ca="1">_xlfn.XLOOKUP(L175,RenewalPlans!B:B,RenewalPlans!AI:AI,"NA",0,1)</f>
        <v>NA</v>
      </c>
      <c r="M196" s="122"/>
      <c r="N196" s="122"/>
      <c r="O196" s="122"/>
      <c r="P196" s="130"/>
      <c r="Q196" s="122"/>
      <c r="R196" s="123"/>
      <c r="T196" s="131" t="str">
        <f>_xlfn.XLOOKUP(T175,RenewalPlans!B:B,RenewalPlans!AI:AI,"NA",0,1)</f>
        <v>NA</v>
      </c>
      <c r="U196" s="122"/>
      <c r="V196" s="122"/>
      <c r="W196" s="122"/>
      <c r="X196" s="130"/>
      <c r="Y196" s="122"/>
      <c r="Z196" s="123"/>
    </row>
    <row r="197" spans="4:26" ht="18" customHeight="1" hidden="1">
      <c r="D197" s="198" t="s">
        <v>268</v>
      </c>
      <c r="E197" s="130" t="e">
        <f>_xlfn.XLOOKUP(E175,CurrentPlans!B:B,CurrentPlans!AH:AH,"NA",0,1)</f>
        <v>#N/A</v>
      </c>
      <c r="F197" s="200"/>
      <c r="G197" s="200"/>
      <c r="H197" s="200"/>
      <c r="I197" s="130"/>
      <c r="J197" s="201"/>
      <c r="K197"/>
      <c r="L197" s="131" t="str">
        <f ca="1">_xlfn.XLOOKUP(L175,RenewalPlans!B:B,RenewalPlans!AK:AK,"NA",0,1)</f>
        <v>NA</v>
      </c>
      <c r="M197" s="200"/>
      <c r="N197" s="200"/>
      <c r="O197" s="200"/>
      <c r="P197" s="130"/>
      <c r="Q197" s="200"/>
      <c r="R197" s="201"/>
      <c r="T197" s="131" t="str">
        <f>_xlfn.XLOOKUP(T175,RenewalPlans!B:B,RenewalPlans!AK:AK,"NA",0,1)</f>
        <v>NA</v>
      </c>
      <c r="U197" s="200"/>
      <c r="V197" s="200"/>
      <c r="W197" s="200"/>
      <c r="X197" s="130"/>
      <c r="Y197" s="200"/>
      <c r="Z197" s="201"/>
    </row>
    <row r="198" spans="4:26" ht="18" customHeight="1" hidden="1">
      <c r="D198" s="198" t="s">
        <v>269</v>
      </c>
      <c r="E198" s="130" t="e">
        <f>_xlfn.XLOOKUP(E175,CurrentPlans!B:B,CurrentPlans!AG:AG,"NA",0,1)</f>
        <v>#N/A</v>
      </c>
      <c r="F198" s="200"/>
      <c r="G198" s="200"/>
      <c r="H198" s="200"/>
      <c r="I198" s="130"/>
      <c r="J198" s="201"/>
      <c r="K198"/>
      <c r="L198" s="131" t="str">
        <f ca="1">_xlfn.XLOOKUP(L175,RenewalPlans!B:B,RenewalPlans!AJ:AJ,"NA",0,1)</f>
        <v>NA</v>
      </c>
      <c r="M198" s="200"/>
      <c r="N198" s="200"/>
      <c r="O198" s="200"/>
      <c r="P198" s="130"/>
      <c r="Q198" s="200"/>
      <c r="R198" s="201"/>
      <c r="T198" s="131" t="str">
        <f>_xlfn.XLOOKUP(T175,RenewalPlans!B:B,RenewalPlans!AJ:AJ,"NA",0,1)</f>
        <v>NA</v>
      </c>
      <c r="U198" s="200"/>
      <c r="V198" s="200"/>
      <c r="W198" s="200"/>
      <c r="X198" s="130"/>
      <c r="Y198" s="200"/>
      <c r="Z198" s="201"/>
    </row>
    <row r="199" spans="4:26" ht="18" customHeight="1" hidden="1">
      <c r="D199" s="213" t="s">
        <v>270</v>
      </c>
      <c r="E199" s="216" t="e">
        <f>_xlfn.XLOOKUP(E175,CurrentPlans!B:B,CurrentPlans!AU:AU,"NA",0,1)</f>
        <v>#N/A</v>
      </c>
      <c r="F199" s="214"/>
      <c r="G199" s="214"/>
      <c r="H199" s="214"/>
      <c r="I199" s="217"/>
      <c r="J199" s="215"/>
      <c r="K199"/>
      <c r="L199" s="218" t="str">
        <f ca="1">_xlfn.XLOOKUP(L175,RenewalPlans!B:B,RenewalPlans!AX:AX,"NA",0,1)</f>
        <v>NA</v>
      </c>
      <c r="M199" s="214"/>
      <c r="N199" s="214"/>
      <c r="O199" s="214"/>
      <c r="P199" s="217"/>
      <c r="Q199" s="214"/>
      <c r="R199" s="215"/>
      <c r="T199" s="218" t="str">
        <f>_xlfn.XLOOKUP(T175,RenewalPlans!B:B,RenewalPlans!AX:AX,"NA",0,1)</f>
        <v>NA</v>
      </c>
      <c r="U199" s="214"/>
      <c r="V199" s="214"/>
      <c r="W199" s="214"/>
      <c r="X199" s="217"/>
      <c r="Y199" s="214"/>
      <c r="Z199" s="215"/>
    </row>
    <row r="200" spans="4:26" ht="18" customHeight="1" hidden="1">
      <c r="D200" s="213" t="s">
        <v>271</v>
      </c>
      <c r="E200" s="216" t="e">
        <f>_xlfn.XLOOKUP(E175,CurrentPlans!B:B,CurrentPlans!AT:AT,"NA",0,1)</f>
        <v>#N/A</v>
      </c>
      <c r="F200" s="214"/>
      <c r="G200" s="214"/>
      <c r="H200" s="214"/>
      <c r="I200" s="217"/>
      <c r="J200" s="215"/>
      <c r="K200"/>
      <c r="L200" s="218" t="str">
        <f ca="1">_xlfn.XLOOKUP(L175,RenewalPlans!B:B,RenewalPlans!AW:AW,"NA",0,1)</f>
        <v>NA</v>
      </c>
      <c r="M200" s="214"/>
      <c r="N200" s="214"/>
      <c r="O200" s="214"/>
      <c r="P200" s="217"/>
      <c r="Q200" s="214"/>
      <c r="R200" s="215"/>
      <c r="T200" s="218" t="str">
        <f>_xlfn.XLOOKUP(T175,RenewalPlans!B:B,RenewalPlans!AW:AW,"NA",0,1)</f>
        <v>NA</v>
      </c>
      <c r="U200" s="214"/>
      <c r="V200" s="214"/>
      <c r="W200" s="214"/>
      <c r="X200" s="217"/>
      <c r="Y200" s="214"/>
      <c r="Z200" s="215"/>
    </row>
    <row r="201" spans="4:26" ht="18" customHeight="1" hidden="1">
      <c r="D201" s="198" t="s">
        <v>272</v>
      </c>
      <c r="E201" s="130" t="e">
        <f>_xlfn.XLOOKUP(E175,CurrentPlans!B:B,CurrentPlans!AD:AD,"NA",0,1)</f>
        <v>#N/A</v>
      </c>
      <c r="F201" s="200"/>
      <c r="G201" s="200"/>
      <c r="H201" s="200"/>
      <c r="I201" s="130"/>
      <c r="J201" s="201"/>
      <c r="K201"/>
      <c r="L201" s="131" t="str">
        <f ca="1">_xlfn.XLOOKUP(L175,RenewalPlans!B:B,RenewalPlans!AG:AG,"NA",0,1)</f>
        <v>NA</v>
      </c>
      <c r="M201" s="200"/>
      <c r="N201" s="200"/>
      <c r="O201" s="200"/>
      <c r="P201" s="130"/>
      <c r="Q201" s="200"/>
      <c r="R201" s="201"/>
      <c r="T201" s="131" t="str">
        <f>_xlfn.XLOOKUP(T175,RenewalPlans!B:B,RenewalPlans!AG:AG,"NA",0,1)</f>
        <v>NA</v>
      </c>
      <c r="U201" s="200"/>
      <c r="V201" s="200"/>
      <c r="W201" s="200"/>
      <c r="X201" s="130"/>
      <c r="Y201" s="200"/>
      <c r="Z201" s="201"/>
    </row>
    <row r="202" spans="4:26" ht="18" customHeight="1" hidden="1">
      <c r="D202" s="198" t="s">
        <v>273</v>
      </c>
      <c r="E202" s="200"/>
      <c r="F202" s="200"/>
      <c r="G202" s="200"/>
      <c r="H202" s="200"/>
      <c r="I202" s="200"/>
      <c r="J202" s="201"/>
      <c r="K202"/>
      <c r="L202" s="198"/>
      <c r="M202" s="200"/>
      <c r="N202" s="200"/>
      <c r="O202" s="200"/>
      <c r="P202" s="200"/>
      <c r="Q202" s="200"/>
      <c r="R202" s="201"/>
      <c r="T202" s="198"/>
      <c r="U202" s="200"/>
      <c r="V202" s="200"/>
      <c r="W202" s="200"/>
      <c r="X202" s="200"/>
      <c r="Y202" s="200"/>
      <c r="Z202" s="201"/>
    </row>
    <row r="203" spans="4:26" ht="18" customHeight="1" hidden="1">
      <c r="D203" s="210"/>
      <c r="E203" s="211"/>
      <c r="F203" s="211"/>
      <c r="G203" s="211"/>
      <c r="H203" s="211"/>
      <c r="I203" s="211"/>
      <c r="J203" s="212"/>
      <c r="K203"/>
      <c r="L203" s="210"/>
      <c r="M203" s="211"/>
      <c r="N203" s="211"/>
      <c r="O203" s="211"/>
      <c r="P203" s="211"/>
      <c r="Q203" s="211"/>
      <c r="R203" s="212"/>
      <c r="T203" s="210"/>
      <c r="U203" s="211"/>
      <c r="V203" s="211"/>
      <c r="W203" s="211"/>
      <c r="X203" s="211"/>
      <c r="Y203" s="211"/>
      <c r="Z203" s="212"/>
    </row>
    <row r="204" spans="4:26" ht="18" customHeight="1" hidden="1">
      <c r="D204" s="219" t="s">
        <v>274</v>
      </c>
      <c r="E204" s="220"/>
      <c r="F204" s="220"/>
      <c r="G204" s="220"/>
      <c r="H204" s="220"/>
      <c r="I204" s="220"/>
      <c r="J204" s="221"/>
      <c r="K204"/>
      <c r="L204" s="222"/>
      <c r="M204" s="220"/>
      <c r="N204" s="220"/>
      <c r="O204" s="220"/>
      <c r="P204" s="220"/>
      <c r="Q204" s="220"/>
      <c r="R204" s="221"/>
      <c r="T204" s="222"/>
      <c r="U204" s="220"/>
      <c r="V204" s="220"/>
      <c r="W204" s="220"/>
      <c r="X204" s="220"/>
      <c r="Y204" s="220"/>
      <c r="Z204" s="221"/>
    </row>
    <row r="205" spans="4:26" ht="18" customHeight="1" hidden="1">
      <c r="D205" s="223" t="s">
        <v>250</v>
      </c>
      <c r="E205" s="205"/>
      <c r="F205" s="205"/>
      <c r="G205" s="205"/>
      <c r="H205" s="205"/>
      <c r="I205" s="205"/>
      <c r="J205" s="206"/>
      <c r="K205"/>
      <c r="L205" s="203"/>
      <c r="M205" s="205"/>
      <c r="N205" s="205"/>
      <c r="O205" s="205"/>
      <c r="P205" s="205"/>
      <c r="Q205" s="205"/>
      <c r="R205" s="206"/>
      <c r="T205" s="203"/>
      <c r="U205" s="205"/>
      <c r="V205" s="205"/>
      <c r="W205" s="205"/>
      <c r="X205" s="205"/>
      <c r="Y205" s="205"/>
      <c r="Z205" s="206"/>
    </row>
    <row r="206" spans="4:26" ht="18" customHeight="1" hidden="1">
      <c r="D206" s="198" t="s">
        <v>251</v>
      </c>
      <c r="E206" s="130" t="e">
        <f>_xlfn.XLOOKUP(E175,CurrentPlans!B:B,CurrentPlans!AP:AP,"NA",0,1)</f>
        <v>#N/A</v>
      </c>
      <c r="F206" s="200"/>
      <c r="G206" s="200"/>
      <c r="H206" s="200"/>
      <c r="I206" s="130"/>
      <c r="J206" s="201"/>
      <c r="K206"/>
      <c r="L206" s="131" t="str">
        <f ca="1">_xlfn.XLOOKUP(L175,RenewalPlans!B:B,RenewalPlans!AS:AS,"NA",0,1)</f>
        <v>NA</v>
      </c>
      <c r="M206" s="200"/>
      <c r="N206" s="200"/>
      <c r="O206" s="200"/>
      <c r="P206" s="130"/>
      <c r="Q206" s="200"/>
      <c r="R206" s="201"/>
      <c r="T206" s="131" t="str">
        <f>_xlfn.XLOOKUP(T175,RenewalPlans!B:B,RenewalPlans!AS:AS,"NA",0,1)</f>
        <v>NA</v>
      </c>
      <c r="U206" s="200"/>
      <c r="V206" s="200"/>
      <c r="W206" s="200"/>
      <c r="X206" s="130"/>
      <c r="Y206" s="200"/>
      <c r="Z206" s="201"/>
    </row>
    <row r="207" spans="4:26" ht="18" customHeight="1" hidden="1">
      <c r="D207" s="198" t="s">
        <v>252</v>
      </c>
      <c r="E207" s="130" t="e">
        <f>_xlfn.XLOOKUP(E175,CurrentPlans!B:B,CurrentPlans!AQ:AQ,"NA",0,1)</f>
        <v>#N/A</v>
      </c>
      <c r="F207" s="200"/>
      <c r="G207" s="200"/>
      <c r="H207" s="200"/>
      <c r="I207" s="130"/>
      <c r="J207" s="201"/>
      <c r="K207"/>
      <c r="L207" s="131" t="str">
        <f ca="1">_xlfn.XLOOKUP(L175,RenewalPlans!B:B,RenewalPlans!AT:AT,"NA",0,1)</f>
        <v>NA</v>
      </c>
      <c r="M207" s="200"/>
      <c r="N207" s="200"/>
      <c r="O207" s="200"/>
      <c r="P207" s="130"/>
      <c r="Q207" s="200"/>
      <c r="R207" s="201"/>
      <c r="T207" s="131" t="str">
        <f>_xlfn.XLOOKUP(T175,RenewalPlans!B:B,RenewalPlans!AT:AT,"NA",0,1)</f>
        <v>NA</v>
      </c>
      <c r="U207" s="200"/>
      <c r="V207" s="200"/>
      <c r="W207" s="200"/>
      <c r="X207" s="130"/>
      <c r="Y207" s="200"/>
      <c r="Z207" s="201"/>
    </row>
    <row r="208" spans="4:26" ht="18" customHeight="1" hidden="1">
      <c r="D208" s="120" t="s">
        <v>253</v>
      </c>
      <c r="E208" s="133" t="e">
        <f>_xlfn.XLOOKUP(E175,CurrentPlans!B:B,CurrentPlans!AO:AO,"NA",0,1)</f>
        <v>#N/A</v>
      </c>
      <c r="F208" s="122"/>
      <c r="G208" s="122"/>
      <c r="H208" s="122"/>
      <c r="I208" s="133"/>
      <c r="J208" s="123"/>
      <c r="K208"/>
      <c r="L208" s="136" t="str">
        <f ca="1">_xlfn.XLOOKUP(L175,RenewalPlans!B:B,RenewalPlans!AR:AR,"NA",0,1)</f>
        <v>NA</v>
      </c>
      <c r="M208" s="122"/>
      <c r="N208" s="122"/>
      <c r="O208" s="122"/>
      <c r="P208" s="133"/>
      <c r="Q208" s="122"/>
      <c r="R208" s="123"/>
      <c r="T208" s="136" t="str">
        <f>_xlfn.XLOOKUP(T175,RenewalPlans!B:B,RenewalPlans!AR:AR,"NA",0,1)</f>
        <v>NA</v>
      </c>
      <c r="U208" s="122"/>
      <c r="V208" s="122"/>
      <c r="W208" s="122"/>
      <c r="X208" s="133"/>
      <c r="Y208" s="122"/>
      <c r="Z208" s="123"/>
    </row>
    <row r="209" spans="4:26" ht="18" customHeight="1" hidden="1">
      <c r="D209" s="223" t="s">
        <v>254</v>
      </c>
      <c r="E209" s="205"/>
      <c r="F209" s="205"/>
      <c r="G209" s="205"/>
      <c r="H209" s="205"/>
      <c r="I209" s="205"/>
      <c r="J209" s="206"/>
      <c r="K209"/>
      <c r="L209" s="203"/>
      <c r="M209" s="205"/>
      <c r="N209" s="205"/>
      <c r="O209" s="205"/>
      <c r="P209" s="205"/>
      <c r="Q209" s="205"/>
      <c r="R209" s="206"/>
      <c r="T209" s="203"/>
      <c r="U209" s="205"/>
      <c r="V209" s="205"/>
      <c r="W209" s="205"/>
      <c r="X209" s="205"/>
      <c r="Y209" s="205"/>
      <c r="Z209" s="206"/>
    </row>
    <row r="210" spans="4:26" ht="18" customHeight="1" hidden="1">
      <c r="D210" s="198" t="s">
        <v>255</v>
      </c>
      <c r="E210" s="130" t="e">
        <f>_xlfn.XLOOKUP(E175,CurrentPlans!B:B,CurrentPlans!AR:AR,"NA",0,1)</f>
        <v>#N/A</v>
      </c>
      <c r="F210" s="200"/>
      <c r="G210" s="200"/>
      <c r="H210" s="200"/>
      <c r="I210" s="130"/>
      <c r="J210" s="201"/>
      <c r="K210"/>
      <c r="L210" s="131" t="str">
        <f ca="1">_xlfn.XLOOKUP(L175,RenewalPlans!B:B,RenewalPlans!AU:AU,"NA",0,1)</f>
        <v>NA</v>
      </c>
      <c r="M210" s="200"/>
      <c r="N210" s="200"/>
      <c r="O210" s="200"/>
      <c r="P210" s="130"/>
      <c r="Q210" s="200"/>
      <c r="R210" s="201"/>
      <c r="T210" s="131" t="str">
        <f>_xlfn.XLOOKUP(T175,RenewalPlans!B:B,RenewalPlans!AU:AU,"NA",0,1)</f>
        <v>NA</v>
      </c>
      <c r="U210" s="200"/>
      <c r="V210" s="200"/>
      <c r="W210" s="200"/>
      <c r="X210" s="130"/>
      <c r="Y210" s="200"/>
      <c r="Z210" s="201"/>
    </row>
    <row r="211" spans="4:26" ht="18" customHeight="1" hidden="1" thickBot="1">
      <c r="D211" s="224" t="s">
        <v>256</v>
      </c>
      <c r="E211" s="137" t="e">
        <f>_xlfn.XLOOKUP(E175,CurrentPlans!B:B,CurrentPlans!AS:AS,"NA",0,1)</f>
        <v>#N/A</v>
      </c>
      <c r="F211" s="225"/>
      <c r="G211" s="225"/>
      <c r="H211" s="225"/>
      <c r="I211" s="137"/>
      <c r="J211" s="226"/>
      <c r="K211"/>
      <c r="L211" s="138" t="str">
        <f ca="1">_xlfn.XLOOKUP(L175,RenewalPlans!B:B,RenewalPlans!AV:AV,"NA",0,1)</f>
        <v>NA</v>
      </c>
      <c r="M211" s="225"/>
      <c r="N211" s="225"/>
      <c r="O211" s="225"/>
      <c r="P211" s="137"/>
      <c r="Q211" s="225"/>
      <c r="R211" s="226"/>
      <c r="T211" s="138" t="str">
        <f>_xlfn.XLOOKUP(T175,RenewalPlans!B:B,RenewalPlans!AV:AV,"NA",0,1)</f>
        <v>NA</v>
      </c>
      <c r="U211" s="225"/>
      <c r="V211" s="225"/>
      <c r="W211" s="225"/>
      <c r="X211" s="137"/>
      <c r="Y211" s="225"/>
      <c r="Z211" s="226"/>
    </row>
    <row r="212" spans="1:26" ht="18" customHeight="1">
      <c r="A212" s="140"/>
      <c r="B212" s="140"/>
      <c r="D212" s="227"/>
      <c r="E212" s="176"/>
      <c r="F212" s="178"/>
      <c r="G212" s="179"/>
      <c r="H212" s="178"/>
      <c r="I212" s="176"/>
      <c r="J212" s="228"/>
      <c r="K212"/>
      <c r="L212" s="178"/>
      <c r="M212" s="176"/>
      <c r="N212" s="139"/>
      <c r="O212" s="178"/>
      <c r="P212" s="178"/>
      <c r="Q212" s="178"/>
      <c r="R212" s="228"/>
      <c r="T212" s="178"/>
      <c r="U212" s="176"/>
      <c r="V212" s="139"/>
      <c r="W212" s="178"/>
      <c r="X212" s="178"/>
      <c r="Y212" s="178"/>
      <c r="Z212" s="228"/>
    </row>
    <row r="213" spans="1:26" ht="5.25" customHeight="1" thickBot="1">
      <c r="A213" s="140"/>
      <c r="B213" s="140"/>
      <c r="D213" s="229"/>
      <c r="E213" s="229"/>
      <c r="F213" s="230"/>
      <c r="G213" s="231"/>
      <c r="H213" s="232"/>
      <c r="I213" s="233"/>
      <c r="J213" s="233"/>
      <c r="K213"/>
      <c r="L213" s="233"/>
      <c r="M213" s="233"/>
      <c r="N213" s="233"/>
      <c r="O213" s="233"/>
      <c r="P213" s="233"/>
      <c r="Q213" s="233"/>
      <c r="R213" s="233"/>
      <c r="T213" s="233"/>
      <c r="U213" s="233"/>
      <c r="V213" s="233"/>
      <c r="W213" s="233"/>
      <c r="X213" s="233"/>
      <c r="Y213" s="233"/>
      <c r="Z213" s="233"/>
    </row>
    <row r="214" spans="1:26" ht="50.15" customHeight="1">
      <c r="A214" s="140">
        <v>5</v>
      </c>
      <c r="B214" s="140">
        <f>IF(A214&gt;Class3_CurrentHealthCount,"DELETE",Class3_CurrentHealthStart+A214)</f>
        <v>65</v>
      </c>
      <c r="C214" s="164" t="s">
        <v>278</v>
      </c>
      <c r="D214" s="273" t="e">
        <f ca="1">IF(B214="Delete","",VLOOKUP(F214,BEGIN_CURRENT_HEALTH:END_CURRENT_HEALTH,3,FALSE))</f>
        <v>#N/A</v>
      </c>
      <c r="E214" s="165"/>
      <c r="F214" s="272" cm="1">
        <f t="array" ca="1" aca="1" ref="F214">IF(B214="Delete","",INDIRECT("CurrentPlans!A"&amp;B214,TRUE))</f>
        <v>0</v>
      </c>
      <c r="G214" s="166"/>
      <c r="H214" s="167"/>
      <c r="I214" s="168"/>
      <c r="J214" s="169"/>
      <c r="K214"/>
      <c r="L214" s="274" t="str">
        <f ca="1">_xlfn.IFNA(VLOOKUP(F214,BEGIN_RENEWEDFROM_HEALTH:ROW_RenewHealth_PlanID,3,FALSE),"SELECT PLAN")</f>
        <v>SELECT PLAN</v>
      </c>
      <c r="M214" s="170"/>
      <c r="N214" s="274" t="s">
        <v>237</v>
      </c>
      <c r="O214" s="171"/>
      <c r="P214" s="171"/>
      <c r="Q214" s="171"/>
      <c r="R214" s="169"/>
      <c r="T214" s="274" t="s">
        <v>38</v>
      </c>
      <c r="U214" s="170"/>
      <c r="V214" s="274" t="s">
        <v>237</v>
      </c>
      <c r="W214" s="171"/>
      <c r="X214" s="171"/>
      <c r="Y214" s="171"/>
      <c r="Z214" s="169"/>
    </row>
    <row r="215" spans="1:26" ht="18.75" customHeight="1">
      <c r="A215" s="140"/>
      <c r="B215" s="140"/>
      <c r="D215" s="172" t="s">
        <v>238</v>
      </c>
      <c r="E215" s="407" t="str">
        <f ca="1">_xlfn.IFNA(VLOOKUP(F214,BEGIN_CURRENT_HEALTH:END_CURRENT_HEALTH,CURRENT_COL_EO_count,FALSE),"")</f>
        <v/>
      </c>
      <c r="F215" s="408" t="str">
        <f ca="1">_xlfn.IFNA(VLOOKUP(F214,BEGIN_CURRENT_HEALTH:END_CURRENT_HEALTH,CURRENT_COL_EO,FALSE),"")</f>
        <v/>
      </c>
      <c r="G215" s="468" t="str">
        <f ca="1" t="shared" si="20" ref="G215:G218">IF(F215="","",H215/F215)</f>
        <v/>
      </c>
      <c r="H215" s="408" t="str">
        <f ca="1">_xlfn.IFNA(VLOOKUP(F214,BEGIN_CURRENT_HEALTH:END_CURRENT_HEALTH,CURRENT_COL_EOContrib,FALSE),"")</f>
        <v/>
      </c>
      <c r="I215" s="409" t="str">
        <f ca="1">IFERROR(F215-H215,"")</f>
        <v/>
      </c>
      <c r="J215" s="410" t="str">
        <f ca="1">IF(F215="","",H215*E215)</f>
        <v/>
      </c>
      <c r="K215" s="411"/>
      <c r="L215" s="408" t="str" cm="1">
        <f t="array" ca="1" aca="1" ref="L215">_xlfn.IFNA(VLOOKUP(INDIRECT("L"&amp;ROW()-1)&amp;"_"&amp;$D$12,BEGIN_RENEW_HEALTH:END_RENEW_HEALTH,RENEW_COL_EO,FALSE),"")</f>
        <v/>
      </c>
      <c r="M215" s="412" t="str">
        <f ca="1">IF(E215="","",E215)</f>
        <v/>
      </c>
      <c r="N215" s="413"/>
      <c r="O215" s="414"/>
      <c r="P215" s="415" t="str">
        <f>IFERROR(IF($N214="Keep Contribution Same",H215,IF($N214="Enter Percentages",IF(N215="","",N215*L215),IF($N214="Keep Percentage Same",IF(G215="","",G215*L215),IF($N214="Enter Dollar Amount",IF(O215="","",O215),"")))),"")</f>
        <v/>
      </c>
      <c r="Q215" s="408" t="str">
        <f ca="1">IFERROR(L215-P215,"")</f>
        <v/>
      </c>
      <c r="R215" s="410" t="str">
        <f>IFERROR(IF(P215="","",M215*P215),"")</f>
        <v/>
      </c>
      <c r="S215" s="411"/>
      <c r="T215" s="408" t="str" cm="1">
        <f t="array" ca="1" aca="1" ref="T215">_xlfn.IFNA(VLOOKUP(INDIRECT("T"&amp;ROW()-1)&amp;"_"&amp;$D$12,BEGIN_RENEW_HEALTH:END_RENEW_HEALTH,RENEW_COL_EO,FALSE),"")</f>
        <v/>
      </c>
      <c r="U215" s="412" t="str">
        <f ca="1">IF(E215="","",E215)</f>
        <v/>
      </c>
      <c r="V215" s="413"/>
      <c r="W215" s="414"/>
      <c r="X215" s="415" t="str">
        <f>IFERROR(IF($V214="Keep Contribution Same",H215,IF($V214="Enter Percentages",IF(V215="","",V215*T215),IF($V214="Keep Percentage Same",IF(G215="","",G215*T215),IF($V214="Enter Dollar Amount",IF(W215="","",W215),"")))),"")</f>
        <v/>
      </c>
      <c r="Y215" s="408" t="str">
        <f ca="1">IFERROR(T215-X215,"")</f>
        <v/>
      </c>
      <c r="Z215" s="410" t="str">
        <f>IFERROR(IF(X215="","",U215*X215),"")</f>
        <v/>
      </c>
    </row>
    <row r="216" spans="1:26" ht="18.75" customHeight="1">
      <c r="A216" s="140"/>
      <c r="B216" s="140"/>
      <c r="D216" s="172" t="s">
        <v>239</v>
      </c>
      <c r="E216" s="407" t="str">
        <f ca="1">_xlfn.IFNA(VLOOKUP(F214,BEGIN_CURRENT_HEALTH:END_CURRENT_HEALTH,CURRENT_COL_ES_count,FALSE),"")</f>
        <v/>
      </c>
      <c r="F216" s="408" t="str">
        <f ca="1">_xlfn.IFNA(VLOOKUP(F214,BEGIN_CURRENT_HEALTH:END_CURRENT_HEALTH,CURRENT_COL_ES,FALSE),"")</f>
        <v/>
      </c>
      <c r="G216" s="468" t="str">
        <f t="shared" ca="1" si="20"/>
        <v/>
      </c>
      <c r="H216" s="408" t="str">
        <f ca="1">_xlfn.IFNA(VLOOKUP(F214,BEGIN_CURRENT_HEALTH:END_CURRENT_HEALTH,CURRENT_COL_ESContrib,FALSE),"")</f>
        <v/>
      </c>
      <c r="I216" s="409" t="str">
        <f ca="1" t="shared" si="21" ref="I216:I218">IFERROR(F216-H216,"")</f>
        <v/>
      </c>
      <c r="J216" s="410" t="str">
        <f ca="1">IF(F216="","",H216*E216)</f>
        <v/>
      </c>
      <c r="K216" s="411"/>
      <c r="L216" s="408" t="str" cm="1">
        <f t="array" ca="1" aca="1" ref="L216">_xlfn.IFNA(VLOOKUP(INDIRECT("L"&amp;ROW()-2)&amp;"_"&amp;$D$12,BEGIN_RENEW_HEALTH:END_RENEW_HEALTH,RENEW_COL_ES,FALSE),"")</f>
        <v/>
      </c>
      <c r="M216" s="412" t="str">
        <f ca="1">IF(E216="","",E216)</f>
        <v/>
      </c>
      <c r="N216" s="413"/>
      <c r="O216" s="414"/>
      <c r="P216" s="415" t="str">
        <f>IFERROR(IF($N214="Keep Contribution Same",H216,IF($N214="Enter Percentages",IF(N216="","",N216*L216),IF($N214="Keep Percentage Same",IF(G216="","",G216*L216),IF($N214="Enter Dollar Amount",IF(O216="","",O216),"")))),"")</f>
        <v/>
      </c>
      <c r="Q216" s="408" t="str">
        <f ca="1">IFERROR(L216-P216,"")</f>
        <v/>
      </c>
      <c r="R216" s="410" t="str">
        <f>IFERROR(IF(P216="","",M216*P216),"")</f>
        <v/>
      </c>
      <c r="S216" s="411"/>
      <c r="T216" s="408" t="str" cm="1">
        <f t="array" ca="1" aca="1" ref="T216">_xlfn.IFNA(VLOOKUP(INDIRECT("T"&amp;ROW()-2)&amp;"_"&amp;$D$12,BEGIN_RENEW_HEALTH:END_RENEW_HEALTH,RENEW_COL_ES,FALSE),"")</f>
        <v/>
      </c>
      <c r="U216" s="412" t="str">
        <f ca="1" t="shared" si="22" ref="U216:U218">IF(E216="","",E216)</f>
        <v/>
      </c>
      <c r="V216" s="413"/>
      <c r="W216" s="414"/>
      <c r="X216" s="415" t="str">
        <f>IFERROR(IF($V214="Keep Contribution Same",H216,IF($V214="Enter Percentages",IF(V216="","",V216*T216),IF($V214="Keep Percentage Same",IF(G216="","",G216*T216),IF($V214="Enter Dollar Amount",IF(W216="","",W216),"")))),"")</f>
        <v/>
      </c>
      <c r="Y216" s="408" t="str">
        <f ca="1" t="shared" si="23" ref="Y216:Y218">IFERROR(T216-X216,"")</f>
        <v/>
      </c>
      <c r="Z216" s="410" t="str">
        <f t="shared" si="24" ref="Z216:Z218">IFERROR(IF(X216="","",U216*X216),"")</f>
        <v/>
      </c>
    </row>
    <row r="217" spans="1:26" ht="18.75" customHeight="1">
      <c r="A217" s="140"/>
      <c r="B217" s="140"/>
      <c r="D217" s="172" t="s">
        <v>240</v>
      </c>
      <c r="E217" s="407" t="str">
        <f ca="1">_xlfn.IFNA(VLOOKUP(F214,BEGIN_CURRENT_HEALTH:END_CURRENT_HEALTH,CURRENT_COL_EC_count,FALSE),"")</f>
        <v/>
      </c>
      <c r="F217" s="408" t="str">
        <f ca="1">_xlfn.IFNA(VLOOKUP(F214,BEGIN_CURRENT_HEALTH:END_CURRENT_HEALTH,CURRENT_COL_EC,FALSE),"")</f>
        <v/>
      </c>
      <c r="G217" s="468" t="str">
        <f t="shared" ca="1" si="20"/>
        <v/>
      </c>
      <c r="H217" s="408" t="str">
        <f ca="1">_xlfn.IFNA(VLOOKUP(F214,BEGIN_CURRENT_HEALTH:END_CURRENT_HEALTH,CURRENT_COL_ECContrib,FALSE),"")</f>
        <v/>
      </c>
      <c r="I217" s="409" t="str">
        <f t="shared" ca="1" si="21"/>
        <v/>
      </c>
      <c r="J217" s="410" t="str">
        <f ca="1">IF(F217="","",H217*E217)</f>
        <v/>
      </c>
      <c r="K217" s="411"/>
      <c r="L217" s="408" t="str" cm="1">
        <f t="array" ca="1" aca="1" ref="L217">_xlfn.IFNA(VLOOKUP(INDIRECT("L"&amp;ROW()-3)&amp;"_"&amp;$D$12,BEGIN_RENEW_HEALTH:END_RENEW_HEALTH,RENEW_COL_EC,FALSE),"")</f>
        <v/>
      </c>
      <c r="M217" s="412" t="str">
        <f ca="1">IF(E217="","",E217)</f>
        <v/>
      </c>
      <c r="N217" s="413"/>
      <c r="O217" s="414"/>
      <c r="P217" s="415" t="str">
        <f>IFERROR(IF($N214="Keep Contribution Same",H217,IF($N214="Enter Percentages",IF(N217="","",N217*L217),IF($N214="Keep Percentage Same",IF(G217="","",G217*L217),IF($N214="Enter Dollar Amount",IF(O217="","",O217),"")))),"")</f>
        <v/>
      </c>
      <c r="Q217" s="408" t="str">
        <f ca="1">IFERROR(L217-P217,"")</f>
        <v/>
      </c>
      <c r="R217" s="410" t="str">
        <f>IFERROR(IF(P217="","",M217*P217),"")</f>
        <v/>
      </c>
      <c r="S217" s="411"/>
      <c r="T217" s="408" t="str" cm="1">
        <f t="array" ca="1" aca="1" ref="T217">_xlfn.IFNA(VLOOKUP(INDIRECT("T"&amp;ROW()-3)&amp;"_"&amp;$D$12,BEGIN_RENEW_HEALTH:END_RENEW_HEALTH,RENEW_COL_EC,FALSE),"")</f>
        <v/>
      </c>
      <c r="U217" s="412" t="str">
        <f t="shared" ca="1" si="22"/>
        <v/>
      </c>
      <c r="V217" s="413"/>
      <c r="W217" s="414"/>
      <c r="X217" s="415" t="str">
        <f>IFERROR(IF($V214="Keep Contribution Same",H217,IF($V214="Enter Percentages",IF(V217="","",V217*T217),IF($V214="Keep Percentage Same",IF(G217="","",G217*T217),IF($V214="Enter Dollar Amount",IF(W217="","",W217),"")))),"")</f>
        <v/>
      </c>
      <c r="Y217" s="408" t="str">
        <f t="shared" ca="1" si="23"/>
        <v/>
      </c>
      <c r="Z217" s="410" t="str">
        <f t="shared" si="24"/>
        <v/>
      </c>
    </row>
    <row r="218" spans="1:26" ht="18.75" customHeight="1" thickBot="1">
      <c r="A218" s="140"/>
      <c r="B218" s="140"/>
      <c r="D218" s="174" t="s">
        <v>241</v>
      </c>
      <c r="E218" s="416" t="str">
        <f ca="1">_xlfn.IFNA(VLOOKUP(F214,BEGIN_CURRENT_HEALTH:END_CURRENT_HEALTH,CURRENT_COL_FAM_count,FALSE),"")</f>
        <v/>
      </c>
      <c r="F218" s="417" t="str">
        <f ca="1">_xlfn.IFNA(VLOOKUP(F214,BEGIN_CURRENT_HEALTH:END_CURRENT_HEALTH,CURRENT_COL_FAM,FALSE),"")</f>
        <v/>
      </c>
      <c r="G218" s="469" t="str">
        <f t="shared" ca="1" si="20"/>
        <v/>
      </c>
      <c r="H218" s="417" t="str">
        <f ca="1">_xlfn.IFNA(VLOOKUP(F214,BEGIN_CURRENT_HEALTH:END_CURRENT_HEALTH,CURRENT_COL_FAMContrib,FALSE),"")</f>
        <v/>
      </c>
      <c r="I218" s="418" t="str">
        <f t="shared" ca="1" si="21"/>
        <v/>
      </c>
      <c r="J218" s="419" t="str">
        <f ca="1">IF(F218="","",H218*E218)</f>
        <v/>
      </c>
      <c r="K218" s="411"/>
      <c r="L218" s="417" t="str" cm="1">
        <f t="array" ca="1" aca="1" ref="L218">_xlfn.IFNA(VLOOKUP(INDIRECT("L"&amp;ROW()-4)&amp;"_"&amp;$D$12,BEGIN_RENEW_HEALTH:END_RENEW_HEALTH,RENEW_COL_FAM,FALSE),"")</f>
        <v/>
      </c>
      <c r="M218" s="423" t="str">
        <f ca="1">IF(E218="","",E218)</f>
        <v/>
      </c>
      <c r="N218" s="420"/>
      <c r="O218" s="421"/>
      <c r="P218" s="422" t="str">
        <f>IFERROR(IF($N214="Keep Contribution Same",H218,IF($N214="Enter Percentages",IF(N218="","",N218*L218),IF($N214="Keep Percentage Same",IF(G218="","",G218*L218),IF($N214="Enter Dollar Amount",IF(O218="","",O218),"")))),"")</f>
        <v/>
      </c>
      <c r="Q218" s="417" t="str">
        <f ca="1">IFERROR(L218-P218,"")</f>
        <v/>
      </c>
      <c r="R218" s="419" t="str">
        <f>IFERROR(IF(P218="","",M218*P218),"")</f>
        <v/>
      </c>
      <c r="S218" s="411"/>
      <c r="T218" s="417" t="str" cm="1">
        <f t="array" ca="1" aca="1" ref="T218">_xlfn.IFNA(VLOOKUP(INDIRECT("T"&amp;ROW()-4)&amp;"_"&amp;$D$12,BEGIN_RENEW_HEALTH:END_RENEW_HEALTH,RENEW_COL_FAM,FALSE),"")</f>
        <v/>
      </c>
      <c r="U218" s="423" t="str">
        <f t="shared" ca="1" si="22"/>
        <v/>
      </c>
      <c r="V218" s="420"/>
      <c r="W218" s="421"/>
      <c r="X218" s="422" t="str">
        <f>IFERROR(IF($V214="Keep Contribution Same",H218,IF($V214="Enter Percentages",IF(V218="","",V218*T218),IF($V214="Keep Percentage Same",IF(G218="","",G218*T218),IF($V214="Enter Dollar Amount",IF(W218="","",W218),"")))),"")</f>
        <v/>
      </c>
      <c r="Y218" s="417" t="str">
        <f t="shared" ca="1" si="23"/>
        <v/>
      </c>
      <c r="Z218" s="419" t="str">
        <f t="shared" si="24"/>
        <v/>
      </c>
    </row>
    <row r="219" spans="1:26" ht="18.75" customHeight="1" thickTop="1">
      <c r="A219" s="140"/>
      <c r="B219" s="140"/>
      <c r="D219" s="175" t="s">
        <v>242</v>
      </c>
      <c r="E219" s="424"/>
      <c r="F219" s="447" t="str">
        <f ca="1">IFERROR((F215*E215)+(F216*E216)+(F217*E217)+(F218*E218),"")</f>
        <v/>
      </c>
      <c r="G219" s="426"/>
      <c r="H219" s="427"/>
      <c r="I219" s="428"/>
      <c r="J219" s="429" t="str">
        <f ca="1">IFERROR(IF(J215="","",SUM(J215:J218)),0)</f>
        <v/>
      </c>
      <c r="K219" s="1"/>
      <c r="L219" s="430" t="str">
        <f ca="1">IFERROR((M215*L215)+(M216*L216)+(M217*L217)+(M218*L218),"")</f>
        <v/>
      </c>
      <c r="M219" s="427"/>
      <c r="N219" s="426"/>
      <c r="O219" s="427"/>
      <c r="P219" s="431"/>
      <c r="Q219" s="432"/>
      <c r="R219" s="429" t="str">
        <f>IFERROR(IF(R215="","",SUM(R215:R218)),0)</f>
        <v/>
      </c>
      <c r="T219" s="430" t="str">
        <f ca="1">IFERROR((U215*T215)+(U216*T216)+(U217*T217)+(U218*T218),"")</f>
        <v/>
      </c>
      <c r="U219" s="427"/>
      <c r="V219" s="426"/>
      <c r="W219" s="427"/>
      <c r="X219" s="431"/>
      <c r="Y219" s="432"/>
      <c r="Z219" s="429" t="str">
        <f>IFERROR(IF(Z215="","",SUM(Z215:Z218)),0)</f>
        <v/>
      </c>
    </row>
    <row r="220" spans="1:26" ht="18.75" customHeight="1">
      <c r="A220" s="140"/>
      <c r="B220" s="140"/>
      <c r="D220" s="177" t="s">
        <v>243</v>
      </c>
      <c r="E220" s="433"/>
      <c r="F220" s="448" t="str">
        <f ca="1">IFERROR(F219*12,"")</f>
        <v/>
      </c>
      <c r="G220" s="435"/>
      <c r="H220" s="436"/>
      <c r="I220" s="432"/>
      <c r="J220" s="437" t="str">
        <f ca="1">IF(J219="","",J219*12)</f>
        <v/>
      </c>
      <c r="K220" s="1"/>
      <c r="L220" s="438" t="str">
        <f ca="1">IFERROR(L219*12,"")</f>
        <v/>
      </c>
      <c r="M220" s="436"/>
      <c r="N220" s="435"/>
      <c r="O220" s="436"/>
      <c r="P220" s="432"/>
      <c r="Q220" s="432"/>
      <c r="R220" s="437" t="str">
        <f>IF(R219="","",R219*12)</f>
        <v/>
      </c>
      <c r="T220" s="438" t="str">
        <f ca="1">IFERROR(T219*12,"")</f>
        <v/>
      </c>
      <c r="U220" s="436"/>
      <c r="V220" s="435"/>
      <c r="W220" s="436"/>
      <c r="X220" s="432"/>
      <c r="Y220" s="432"/>
      <c r="Z220" s="437" t="str">
        <f>IF(Z219="","",Z219*12)</f>
        <v/>
      </c>
    </row>
    <row r="221" spans="1:26" ht="18" customHeight="1">
      <c r="A221" s="140"/>
      <c r="B221" s="140"/>
      <c r="D221" s="177" t="s">
        <v>244</v>
      </c>
      <c r="E221" s="433"/>
      <c r="F221" s="436"/>
      <c r="G221" s="435"/>
      <c r="H221" s="436"/>
      <c r="I221" s="432"/>
      <c r="J221" s="437"/>
      <c r="K221" s="1"/>
      <c r="L221" s="434" t="str">
        <f ca="1">IFERROR(L220-F220,"")</f>
        <v/>
      </c>
      <c r="M221" s="436"/>
      <c r="N221" s="435"/>
      <c r="O221" s="436"/>
      <c r="P221" s="432"/>
      <c r="Q221" s="432"/>
      <c r="R221" s="437" t="str">
        <f ca="1">IFERROR(IF(J220="","",R220-J220),0)</f>
        <v/>
      </c>
      <c r="T221" s="434" t="str">
        <f ca="1">IFERROR(T220-F220,"")</f>
        <v/>
      </c>
      <c r="U221" s="436"/>
      <c r="V221" s="435"/>
      <c r="W221" s="436"/>
      <c r="X221" s="432"/>
      <c r="Y221" s="432"/>
      <c r="Z221" s="437" t="str">
        <f>IFERROR(IF(R220="","",Z220-R220),0)</f>
        <v/>
      </c>
    </row>
    <row r="222" spans="1:26" ht="18" customHeight="1" thickBot="1">
      <c r="A222" s="140"/>
      <c r="B222" s="140"/>
      <c r="D222" s="180" t="s">
        <v>245</v>
      </c>
      <c r="E222" s="439"/>
      <c r="F222" s="440"/>
      <c r="G222" s="441"/>
      <c r="H222" s="440"/>
      <c r="I222" s="442"/>
      <c r="J222" s="437"/>
      <c r="K222" s="1"/>
      <c r="L222" s="444" t="str">
        <f ca="1">IFERROR(L220/F220-1,"")</f>
        <v/>
      </c>
      <c r="M222" s="440"/>
      <c r="N222" s="441"/>
      <c r="O222" s="440"/>
      <c r="P222" s="445"/>
      <c r="Q222" s="445"/>
      <c r="R222" s="446" t="str">
        <f ca="1">IFERROR(IF(J220="","",(R220/J220)-1),0)</f>
        <v/>
      </c>
      <c r="T222" s="444" t="str">
        <f ca="1">IFERROR(T220/F220-1,"")</f>
        <v/>
      </c>
      <c r="U222" s="440"/>
      <c r="V222" s="441"/>
      <c r="W222" s="440"/>
      <c r="X222" s="445"/>
      <c r="Y222" s="445"/>
      <c r="Z222" s="446" t="str">
        <f>IFERROR(IF(R220="","",(Z220/R220)-1),0)</f>
        <v/>
      </c>
    </row>
    <row r="223" spans="4:26" ht="18" customHeight="1">
      <c r="D223" s="181" t="s">
        <v>246</v>
      </c>
      <c r="E223" s="182"/>
      <c r="F223" s="182"/>
      <c r="G223" s="182"/>
      <c r="H223" s="182"/>
      <c r="I223" s="182"/>
      <c r="J223" s="183"/>
      <c r="K223"/>
      <c r="L223" s="184"/>
      <c r="M223" s="182"/>
      <c r="N223" s="182"/>
      <c r="O223" s="182"/>
      <c r="P223" s="182"/>
      <c r="Q223" s="182"/>
      <c r="R223" s="183"/>
      <c r="T223" s="184"/>
      <c r="U223" s="182"/>
      <c r="V223" s="182"/>
      <c r="W223" s="182"/>
      <c r="X223" s="182"/>
      <c r="Y223" s="182"/>
      <c r="Z223" s="183"/>
    </row>
    <row r="224" spans="4:26" ht="18" customHeight="1" hidden="1">
      <c r="D224" s="185" t="s">
        <v>247</v>
      </c>
      <c r="E224" s="186"/>
      <c r="F224" s="186"/>
      <c r="G224" s="186"/>
      <c r="H224" s="186"/>
      <c r="I224" s="186"/>
      <c r="J224" s="187"/>
      <c r="K224"/>
      <c r="L224" s="188"/>
      <c r="M224" s="186"/>
      <c r="N224" s="186"/>
      <c r="O224" s="186"/>
      <c r="P224" s="186"/>
      <c r="Q224" s="186"/>
      <c r="R224" s="187"/>
      <c r="T224" s="188"/>
      <c r="U224" s="186"/>
      <c r="V224" s="186"/>
      <c r="W224" s="186"/>
      <c r="X224" s="186"/>
      <c r="Y224" s="186"/>
      <c r="Z224" s="187"/>
    </row>
    <row r="225" spans="4:26" ht="18" customHeight="1" hidden="1">
      <c r="D225" s="189" t="s">
        <v>248</v>
      </c>
      <c r="E225" s="190" t="e">
        <f ca="1">D214&amp;"_"&amp;D12</f>
        <v>#N/A</v>
      </c>
      <c r="F225" s="191"/>
      <c r="G225" s="191"/>
      <c r="H225" s="191"/>
      <c r="I225" s="190"/>
      <c r="J225" s="192"/>
      <c r="K225"/>
      <c r="L225" s="193" t="str">
        <f ca="1">L214&amp;"_"&amp;D12</f>
        <v>SELECT PLAN_PRIMARY</v>
      </c>
      <c r="M225" s="191"/>
      <c r="N225" s="191"/>
      <c r="O225" s="191"/>
      <c r="P225" s="190"/>
      <c r="Q225" s="191"/>
      <c r="R225" s="192"/>
      <c r="T225" s="193" t="str">
        <f>T214&amp;"_"&amp;D12</f>
        <v>SELECT PLAN_PRIMARY</v>
      </c>
      <c r="U225" s="191"/>
      <c r="V225" s="191"/>
      <c r="W225" s="191"/>
      <c r="X225" s="190"/>
      <c r="Y225" s="191"/>
      <c r="Z225" s="192"/>
    </row>
    <row r="226" spans="4:26" ht="18" customHeight="1" hidden="1">
      <c r="D226" s="189" t="s">
        <v>249</v>
      </c>
      <c r="E226" s="191"/>
      <c r="F226" s="191"/>
      <c r="G226" s="191"/>
      <c r="H226" s="191"/>
      <c r="I226" s="191"/>
      <c r="J226" s="192"/>
      <c r="K226"/>
      <c r="L226" s="189"/>
      <c r="M226" s="191"/>
      <c r="N226" s="191"/>
      <c r="O226" s="191"/>
      <c r="P226" s="191"/>
      <c r="Q226" s="191"/>
      <c r="R226" s="192"/>
      <c r="T226" s="189"/>
      <c r="U226" s="191"/>
      <c r="V226" s="191"/>
      <c r="W226" s="191"/>
      <c r="X226" s="191"/>
      <c r="Y226" s="191"/>
      <c r="Z226" s="192"/>
    </row>
    <row r="227" spans="4:26" ht="18" customHeight="1" hidden="1">
      <c r="D227" s="194" t="s">
        <v>250</v>
      </c>
      <c r="E227" s="195"/>
      <c r="F227" s="195"/>
      <c r="G227" s="195"/>
      <c r="H227" s="195"/>
      <c r="I227" s="195"/>
      <c r="J227" s="196"/>
      <c r="K227"/>
      <c r="L227" s="197"/>
      <c r="M227" s="195"/>
      <c r="N227" s="195"/>
      <c r="O227" s="195"/>
      <c r="P227" s="195"/>
      <c r="Q227" s="195"/>
      <c r="R227" s="196"/>
      <c r="T227" s="197"/>
      <c r="U227" s="195"/>
      <c r="V227" s="195"/>
      <c r="W227" s="195"/>
      <c r="X227" s="195"/>
      <c r="Y227" s="195"/>
      <c r="Z227" s="196"/>
    </row>
    <row r="228" spans="4:26" ht="18" customHeight="1" hidden="1">
      <c r="D228" s="198" t="s">
        <v>251</v>
      </c>
      <c r="E228" s="199" t="e">
        <f>_xlfn.XLOOKUP(E225,CurrentPlans!B:B,CurrentPlans!X:X,"NA",0,1)</f>
        <v>#N/A</v>
      </c>
      <c r="F228" s="200"/>
      <c r="G228" s="200"/>
      <c r="H228" s="200"/>
      <c r="I228" s="199"/>
      <c r="J228" s="201"/>
      <c r="K228"/>
      <c r="L228" s="202" t="str">
        <f ca="1">_xlfn.XLOOKUP(L225,RenewalPlans!B:B,RenewalPlans!AA:AA,"NA",0,1)</f>
        <v>NA</v>
      </c>
      <c r="M228" s="200"/>
      <c r="N228" s="200"/>
      <c r="O228" s="200"/>
      <c r="P228" s="199"/>
      <c r="Q228" s="200"/>
      <c r="R228" s="201"/>
      <c r="T228" s="202" t="str">
        <f>_xlfn.XLOOKUP(T225,RenewalPlans!B:B,RenewalPlans!AA:AA,"NA",0,1)</f>
        <v>NA</v>
      </c>
      <c r="U228" s="200"/>
      <c r="V228" s="200"/>
      <c r="W228" s="200"/>
      <c r="X228" s="199"/>
      <c r="Y228" s="200"/>
      <c r="Z228" s="201"/>
    </row>
    <row r="229" spans="4:26" ht="18" customHeight="1" hidden="1">
      <c r="D229" s="198" t="s">
        <v>252</v>
      </c>
      <c r="E229" s="199" t="e">
        <f>_xlfn.XLOOKUP(E225,CurrentPlans!B:B,CurrentPlans!Y:Y,"NA",0,1)</f>
        <v>#N/A</v>
      </c>
      <c r="F229" s="200"/>
      <c r="G229" s="200"/>
      <c r="H229" s="200"/>
      <c r="I229" s="199"/>
      <c r="J229" s="201"/>
      <c r="K229"/>
      <c r="L229" s="202" t="str">
        <f ca="1">_xlfn.XLOOKUP(L225,RenewalPlans!B:B,RenewalPlans!AB:AB,"NA",0,1)</f>
        <v>NA</v>
      </c>
      <c r="M229" s="200"/>
      <c r="N229" s="200"/>
      <c r="O229" s="200"/>
      <c r="P229" s="199"/>
      <c r="Q229" s="200"/>
      <c r="R229" s="201"/>
      <c r="T229" s="202" t="str">
        <f>_xlfn.XLOOKUP(T225,RenewalPlans!B:B,RenewalPlans!AB:AB,"NA",0,1)</f>
        <v>NA</v>
      </c>
      <c r="U229" s="200"/>
      <c r="V229" s="200"/>
      <c r="W229" s="200"/>
      <c r="X229" s="199"/>
      <c r="Y229" s="200"/>
      <c r="Z229" s="201"/>
    </row>
    <row r="230" spans="4:26" ht="18" customHeight="1" hidden="1">
      <c r="D230" s="120" t="s">
        <v>253</v>
      </c>
      <c r="E230" s="121" t="e">
        <f>_xlfn.XLOOKUP(E225,CurrentPlans!B:B,CurrentPlans!W:W,"NA",0,1)</f>
        <v>#N/A</v>
      </c>
      <c r="F230" s="122"/>
      <c r="G230" s="122"/>
      <c r="H230" s="122"/>
      <c r="I230" s="121"/>
      <c r="J230" s="123"/>
      <c r="K230"/>
      <c r="L230" s="124" t="str">
        <f ca="1">_xlfn.XLOOKUP(L225,RenewalPlans!B:B,RenewalPlans!Z:Z,"NA",0,1)</f>
        <v>NA</v>
      </c>
      <c r="M230" s="122"/>
      <c r="N230" s="122"/>
      <c r="O230" s="122"/>
      <c r="P230" s="121"/>
      <c r="Q230" s="122"/>
      <c r="R230" s="123"/>
      <c r="T230" s="124" t="str">
        <f>_xlfn.XLOOKUP(T225,RenewalPlans!B:B,RenewalPlans!Z:Z,"NA",0,1)</f>
        <v>NA</v>
      </c>
      <c r="U230" s="122"/>
      <c r="V230" s="122"/>
      <c r="W230" s="122"/>
      <c r="X230" s="121"/>
      <c r="Y230" s="122"/>
      <c r="Z230" s="123"/>
    </row>
    <row r="231" spans="4:26" ht="18" customHeight="1" hidden="1">
      <c r="D231" s="203" t="s">
        <v>254</v>
      </c>
      <c r="E231" s="204"/>
      <c r="F231" s="205"/>
      <c r="G231" s="205"/>
      <c r="H231" s="205"/>
      <c r="I231" s="204"/>
      <c r="J231" s="206"/>
      <c r="K231"/>
      <c r="L231" s="207"/>
      <c r="M231" s="205"/>
      <c r="N231" s="205"/>
      <c r="O231" s="205"/>
      <c r="P231" s="204"/>
      <c r="Q231" s="205"/>
      <c r="R231" s="206"/>
      <c r="T231" s="207"/>
      <c r="U231" s="205"/>
      <c r="V231" s="205"/>
      <c r="W231" s="205"/>
      <c r="X231" s="204"/>
      <c r="Y231" s="205"/>
      <c r="Z231" s="206"/>
    </row>
    <row r="232" spans="4:26" ht="18" customHeight="1" hidden="1">
      <c r="D232" s="125" t="s">
        <v>255</v>
      </c>
      <c r="E232" s="126" t="e">
        <f>_xlfn.XLOOKUP(E225,CurrentPlans!B:B,CurrentPlans!Z:Z,"NA",0,1)</f>
        <v>#N/A</v>
      </c>
      <c r="F232" s="127"/>
      <c r="G232" s="127"/>
      <c r="H232" s="127"/>
      <c r="I232" s="126"/>
      <c r="J232" s="128"/>
      <c r="K232"/>
      <c r="L232" s="129" t="str">
        <f ca="1">_xlfn.XLOOKUP(L225,RenewalPlans!B:B,RenewalPlans!AC:AC,"NA",0,1)</f>
        <v>NA</v>
      </c>
      <c r="M232" s="127"/>
      <c r="N232" s="127"/>
      <c r="O232" s="127"/>
      <c r="P232" s="126"/>
      <c r="Q232" s="127"/>
      <c r="R232" s="128"/>
      <c r="T232" s="129" t="str">
        <f>_xlfn.XLOOKUP(T225,RenewalPlans!B:B,RenewalPlans!AC:AC,"NA",0,1)</f>
        <v>NA</v>
      </c>
      <c r="U232" s="127"/>
      <c r="V232" s="127"/>
      <c r="W232" s="127"/>
      <c r="X232" s="126"/>
      <c r="Y232" s="127"/>
      <c r="Z232" s="128"/>
    </row>
    <row r="233" spans="4:26" ht="18" customHeight="1" hidden="1">
      <c r="D233" s="198" t="s">
        <v>256</v>
      </c>
      <c r="E233" s="208" t="e">
        <f>_xlfn.XLOOKUP(E225,CurrentPlans!B:B,CurrentPlans!AA:AA,"NA",0,1)</f>
        <v>#N/A</v>
      </c>
      <c r="F233" s="200"/>
      <c r="G233" s="200"/>
      <c r="H233" s="200"/>
      <c r="I233" s="208"/>
      <c r="J233" s="201"/>
      <c r="K233"/>
      <c r="L233" s="209" t="str">
        <f ca="1">_xlfn.XLOOKUP(L225,RenewalPlans!B:B,RenewalPlans!AD:AD,"NA",0,1)</f>
        <v>NA</v>
      </c>
      <c r="M233" s="200"/>
      <c r="N233" s="200"/>
      <c r="O233" s="200"/>
      <c r="P233" s="208"/>
      <c r="Q233" s="200"/>
      <c r="R233" s="201"/>
      <c r="T233" s="209" t="str">
        <f>_xlfn.XLOOKUP(T225,RenewalPlans!B:B,RenewalPlans!AD:AD,"NA",0,1)</f>
        <v>NA</v>
      </c>
      <c r="U233" s="200"/>
      <c r="V233" s="200"/>
      <c r="W233" s="200"/>
      <c r="X233" s="208"/>
      <c r="Y233" s="200"/>
      <c r="Z233" s="201"/>
    </row>
    <row r="234" spans="4:26" ht="18" customHeight="1" hidden="1">
      <c r="D234" s="203" t="s">
        <v>257</v>
      </c>
      <c r="E234" s="204"/>
      <c r="F234" s="205"/>
      <c r="G234" s="205"/>
      <c r="H234" s="205"/>
      <c r="I234" s="204"/>
      <c r="J234" s="206"/>
      <c r="K234"/>
      <c r="L234" s="207"/>
      <c r="M234" s="205"/>
      <c r="N234" s="205"/>
      <c r="O234" s="205"/>
      <c r="P234" s="204"/>
      <c r="Q234" s="205"/>
      <c r="R234" s="206"/>
      <c r="T234" s="207"/>
      <c r="U234" s="205"/>
      <c r="V234" s="205"/>
      <c r="W234" s="205"/>
      <c r="X234" s="204"/>
      <c r="Y234" s="205"/>
      <c r="Z234" s="206"/>
    </row>
    <row r="235" spans="4:26" ht="18" customHeight="1" hidden="1">
      <c r="D235" s="198" t="s">
        <v>258</v>
      </c>
      <c r="E235" s="208" t="e">
        <f>_xlfn.XLOOKUP(E225,CurrentPlans!B:B,CurrentPlans!AB:AB,"NA",0,1)</f>
        <v>#N/A</v>
      </c>
      <c r="F235" s="200"/>
      <c r="G235" s="200"/>
      <c r="H235" s="200"/>
      <c r="I235" s="208"/>
      <c r="J235" s="201"/>
      <c r="K235"/>
      <c r="L235" s="209" t="str">
        <f ca="1">_xlfn.XLOOKUP(L225,RenewalPlans!B:B,RenewalPlans!AE:AE,"NA",0,1)</f>
        <v>NA</v>
      </c>
      <c r="M235" s="200"/>
      <c r="N235" s="200"/>
      <c r="O235" s="200"/>
      <c r="P235" s="208"/>
      <c r="Q235" s="200"/>
      <c r="R235" s="201"/>
      <c r="T235" s="209" t="str">
        <f>_xlfn.XLOOKUP(T225,RenewalPlans!B:B,RenewalPlans!AE:AE,"NA",0,1)</f>
        <v>NA</v>
      </c>
      <c r="U235" s="200"/>
      <c r="V235" s="200"/>
      <c r="W235" s="200"/>
      <c r="X235" s="208"/>
      <c r="Y235" s="200"/>
      <c r="Z235" s="201"/>
    </row>
    <row r="236" spans="4:26" ht="18" customHeight="1" hidden="1">
      <c r="D236" s="198" t="s">
        <v>259</v>
      </c>
      <c r="E236" s="208" t="e">
        <f>_xlfn.XLOOKUP(E225,CurrentPlans!B:B,CurrentPlans!AC:AC,"NA",0,1)</f>
        <v>#N/A</v>
      </c>
      <c r="F236" s="200"/>
      <c r="G236" s="200"/>
      <c r="H236" s="200"/>
      <c r="I236" s="208"/>
      <c r="J236" s="201"/>
      <c r="K236"/>
      <c r="L236" s="209" t="str">
        <f ca="1">_xlfn.XLOOKUP(L225,RenewalPlans!B:B,RenewalPlans!AF:AF,"NA",0,1)</f>
        <v>NA</v>
      </c>
      <c r="M236" s="200"/>
      <c r="N236" s="200"/>
      <c r="O236" s="200"/>
      <c r="P236" s="208"/>
      <c r="Q236" s="200"/>
      <c r="R236" s="201"/>
      <c r="T236" s="209" t="str">
        <f>_xlfn.XLOOKUP(T225,RenewalPlans!B:B,RenewalPlans!AF:AF,"NA",0,1)</f>
        <v>NA</v>
      </c>
      <c r="U236" s="200"/>
      <c r="V236" s="200"/>
      <c r="W236" s="200"/>
      <c r="X236" s="208"/>
      <c r="Y236" s="200"/>
      <c r="Z236" s="201"/>
    </row>
    <row r="237" spans="4:26" ht="18" customHeight="1" hidden="1">
      <c r="D237" s="210"/>
      <c r="E237" s="211"/>
      <c r="F237" s="211"/>
      <c r="G237" s="211"/>
      <c r="H237" s="211"/>
      <c r="I237" s="211"/>
      <c r="J237" s="212"/>
      <c r="K237"/>
      <c r="L237" s="210"/>
      <c r="M237" s="211"/>
      <c r="N237" s="211"/>
      <c r="O237" s="211"/>
      <c r="P237" s="211"/>
      <c r="Q237" s="211"/>
      <c r="R237" s="212"/>
      <c r="T237" s="210"/>
      <c r="U237" s="211"/>
      <c r="V237" s="211"/>
      <c r="W237" s="211"/>
      <c r="X237" s="211"/>
      <c r="Y237" s="211"/>
      <c r="Z237" s="212"/>
    </row>
    <row r="238" spans="4:26" ht="18" customHeight="1" hidden="1">
      <c r="D238" s="185" t="s">
        <v>260</v>
      </c>
      <c r="E238" s="186"/>
      <c r="F238" s="186"/>
      <c r="G238" s="186"/>
      <c r="H238" s="186"/>
      <c r="I238" s="186"/>
      <c r="J238" s="187"/>
      <c r="K238"/>
      <c r="L238" s="188"/>
      <c r="M238" s="186"/>
      <c r="N238" s="186"/>
      <c r="O238" s="186"/>
      <c r="P238" s="186"/>
      <c r="Q238" s="186"/>
      <c r="R238" s="187"/>
      <c r="T238" s="188"/>
      <c r="U238" s="186"/>
      <c r="V238" s="186"/>
      <c r="W238" s="186"/>
      <c r="X238" s="186"/>
      <c r="Y238" s="186"/>
      <c r="Z238" s="187"/>
    </row>
    <row r="239" spans="4:26" ht="18" customHeight="1" hidden="1">
      <c r="D239" s="213" t="s">
        <v>261</v>
      </c>
      <c r="E239" s="130" t="e">
        <f>_xlfn.XLOOKUP(E225,CurrentPlans!B:B,CurrentPlans!AJ:AJ,"NA",0,1)</f>
        <v>#N/A</v>
      </c>
      <c r="F239" s="214"/>
      <c r="G239" s="214"/>
      <c r="H239" s="214"/>
      <c r="I239" s="130"/>
      <c r="J239" s="215"/>
      <c r="K239"/>
      <c r="L239" s="131" t="str">
        <f ca="1">_xlfn.XLOOKUP(L225,RenewalPlans!B:B,RenewalPlans!AM:AM,"NA",0,1)</f>
        <v>NA</v>
      </c>
      <c r="M239" s="214"/>
      <c r="N239" s="214"/>
      <c r="O239" s="214"/>
      <c r="P239" s="130"/>
      <c r="Q239" s="214"/>
      <c r="R239" s="215"/>
      <c r="T239" s="131" t="str">
        <f>_xlfn.XLOOKUP(T225,RenewalPlans!B:B,RenewalPlans!AM:AM,"NA",0,1)</f>
        <v>NA</v>
      </c>
      <c r="U239" s="214"/>
      <c r="V239" s="214"/>
      <c r="W239" s="214"/>
      <c r="X239" s="130"/>
      <c r="Y239" s="214"/>
      <c r="Z239" s="215"/>
    </row>
    <row r="240" spans="4:26" ht="18" customHeight="1" hidden="1">
      <c r="D240" s="198" t="s">
        <v>262</v>
      </c>
      <c r="E240" s="130" t="e">
        <f>_xlfn.XLOOKUP(E225,CurrentPlans!B:B,CurrentPlans!AM:AM,"NA",0,1)</f>
        <v>#N/A</v>
      </c>
      <c r="F240" s="200"/>
      <c r="G240" s="200"/>
      <c r="H240" s="200"/>
      <c r="I240" s="130"/>
      <c r="J240" s="201"/>
      <c r="K240"/>
      <c r="L240" s="131" t="str">
        <f ca="1">_xlfn.XLOOKUP(L225,RenewalPlans!B:B,RenewalPlans!AP:AP,"NA",0,1)</f>
        <v>NA</v>
      </c>
      <c r="M240" s="200"/>
      <c r="N240" s="200"/>
      <c r="O240" s="200"/>
      <c r="P240" s="130"/>
      <c r="Q240" s="200"/>
      <c r="R240" s="201"/>
      <c r="T240" s="131" t="str">
        <f>_xlfn.XLOOKUP(T225,RenewalPlans!B:B,RenewalPlans!AP:AP,"NA",0,1)</f>
        <v>NA</v>
      </c>
      <c r="U240" s="200"/>
      <c r="V240" s="200"/>
      <c r="W240" s="200"/>
      <c r="X240" s="130"/>
      <c r="Y240" s="200"/>
      <c r="Z240" s="201"/>
    </row>
    <row r="241" spans="4:26" ht="18" customHeight="1" hidden="1">
      <c r="D241" s="198" t="s">
        <v>263</v>
      </c>
      <c r="E241" s="130" t="e">
        <f>_xlfn.XLOOKUP(E225,CurrentPlans!B:B,CurrentPlans!AI:AI,"NA",0,1)</f>
        <v>#N/A</v>
      </c>
      <c r="F241" s="200"/>
      <c r="G241" s="200"/>
      <c r="H241" s="200"/>
      <c r="I241" s="130"/>
      <c r="J241" s="201"/>
      <c r="K241"/>
      <c r="L241" s="131" t="str">
        <f ca="1">_xlfn.XLOOKUP(L225,RenewalPlans!B:B,RenewalPlans!AL:AL,"NA",0,1)</f>
        <v>NA</v>
      </c>
      <c r="M241" s="200"/>
      <c r="N241" s="200"/>
      <c r="O241" s="200"/>
      <c r="P241" s="130"/>
      <c r="Q241" s="200"/>
      <c r="R241" s="201"/>
      <c r="T241" s="131" t="str">
        <f>_xlfn.XLOOKUP(T225,RenewalPlans!B:B,RenewalPlans!AL:AL,"NA",0,1)</f>
        <v>NA</v>
      </c>
      <c r="U241" s="200"/>
      <c r="V241" s="200"/>
      <c r="W241" s="200"/>
      <c r="X241" s="130"/>
      <c r="Y241" s="200"/>
      <c r="Z241" s="201"/>
    </row>
    <row r="242" spans="4:26" ht="18" customHeight="1" hidden="1">
      <c r="D242" s="198" t="s">
        <v>264</v>
      </c>
      <c r="E242" s="208" t="e">
        <f>_xlfn.XLOOKUP(E225,CurrentPlans!B:B,CurrentPlans!AN:AN,"NA",0,1)</f>
        <v>#N/A</v>
      </c>
      <c r="F242" s="200"/>
      <c r="G242" s="200"/>
      <c r="H242" s="200"/>
      <c r="I242" s="208"/>
      <c r="J242" s="201"/>
      <c r="K242"/>
      <c r="L242" s="209" t="str">
        <f ca="1">_xlfn.XLOOKUP(L225,RenewalPlans!B:B,RenewalPlans!AQ:AQ,"NA",0,1)</f>
        <v>NA</v>
      </c>
      <c r="M242" s="200"/>
      <c r="N242" s="200"/>
      <c r="O242" s="200"/>
      <c r="P242" s="208"/>
      <c r="Q242" s="200"/>
      <c r="R242" s="201"/>
      <c r="T242" s="209" t="str">
        <f>_xlfn.XLOOKUP(T225,RenewalPlans!B:B,RenewalPlans!AQ:AQ,"NA",0,1)</f>
        <v>NA</v>
      </c>
      <c r="U242" s="200"/>
      <c r="V242" s="200"/>
      <c r="W242" s="200"/>
      <c r="X242" s="208"/>
      <c r="Y242" s="200"/>
      <c r="Z242" s="201"/>
    </row>
    <row r="243" spans="4:26" ht="18" customHeight="1" hidden="1">
      <c r="D243" s="210"/>
      <c r="E243" s="211"/>
      <c r="F243" s="211"/>
      <c r="G243" s="211"/>
      <c r="H243" s="211"/>
      <c r="I243" s="211"/>
      <c r="J243" s="212"/>
      <c r="K243"/>
      <c r="L243" s="210"/>
      <c r="M243" s="211"/>
      <c r="N243" s="211"/>
      <c r="O243" s="211"/>
      <c r="P243" s="211"/>
      <c r="Q243" s="211"/>
      <c r="R243" s="212"/>
      <c r="T243" s="210"/>
      <c r="U243" s="211"/>
      <c r="V243" s="211"/>
      <c r="W243" s="211"/>
      <c r="X243" s="211"/>
      <c r="Y243" s="211"/>
      <c r="Z243" s="212"/>
    </row>
    <row r="244" spans="4:26" ht="18" customHeight="1" hidden="1">
      <c r="D244" s="185" t="s">
        <v>265</v>
      </c>
      <c r="E244" s="186"/>
      <c r="F244" s="186"/>
      <c r="G244" s="186"/>
      <c r="H244" s="186"/>
      <c r="I244" s="186"/>
      <c r="J244" s="187"/>
      <c r="K244"/>
      <c r="L244" s="188"/>
      <c r="M244" s="186"/>
      <c r="N244" s="186"/>
      <c r="O244" s="186"/>
      <c r="P244" s="186"/>
      <c r="Q244" s="186"/>
      <c r="R244" s="187"/>
      <c r="T244" s="188"/>
      <c r="U244" s="186"/>
      <c r="V244" s="186"/>
      <c r="W244" s="186"/>
      <c r="X244" s="186"/>
      <c r="Y244" s="186"/>
      <c r="Z244" s="187"/>
    </row>
    <row r="245" spans="4:26" ht="18" customHeight="1" hidden="1">
      <c r="D245" s="132" t="s">
        <v>266</v>
      </c>
      <c r="E245" s="133" t="e">
        <f>_xlfn.XLOOKUP(E225,CurrentPlans!B:B,CurrentPlans!AE:AE,"NA",0,1)</f>
        <v>#N/A</v>
      </c>
      <c r="F245" s="134"/>
      <c r="G245" s="134"/>
      <c r="H245" s="134"/>
      <c r="I245" s="133"/>
      <c r="J245" s="135"/>
      <c r="K245"/>
      <c r="L245" s="136" t="str">
        <f ca="1">_xlfn.XLOOKUP(L225,RenewalPlans!B:B,RenewalPlans!AH:AH,"NA",0,1)</f>
        <v>NA</v>
      </c>
      <c r="M245" s="134"/>
      <c r="N245" s="134"/>
      <c r="O245" s="134"/>
      <c r="P245" s="133"/>
      <c r="Q245" s="134"/>
      <c r="R245" s="135"/>
      <c r="T245" s="136" t="str">
        <f>_xlfn.XLOOKUP(T225,RenewalPlans!B:B,RenewalPlans!AH:AH,"NA",0,1)</f>
        <v>NA</v>
      </c>
      <c r="U245" s="134"/>
      <c r="V245" s="134"/>
      <c r="W245" s="134"/>
      <c r="X245" s="133"/>
      <c r="Y245" s="134"/>
      <c r="Z245" s="135"/>
    </row>
    <row r="246" spans="4:26" ht="18" customHeight="1" hidden="1">
      <c r="D246" s="120" t="s">
        <v>267</v>
      </c>
      <c r="E246" s="130" t="e">
        <f>_xlfn.XLOOKUP(E225,CurrentPlans!B:B,CurrentPlans!AF:AF,"NA",0,1)</f>
        <v>#N/A</v>
      </c>
      <c r="F246" s="122"/>
      <c r="G246" s="122"/>
      <c r="H246" s="122"/>
      <c r="I246" s="130"/>
      <c r="J246" s="123"/>
      <c r="K246"/>
      <c r="L246" s="131" t="str">
        <f ca="1">_xlfn.XLOOKUP(L225,RenewalPlans!B:B,RenewalPlans!AI:AI,"NA",0,1)</f>
        <v>NA</v>
      </c>
      <c r="M246" s="122"/>
      <c r="N246" s="122"/>
      <c r="O246" s="122"/>
      <c r="P246" s="130"/>
      <c r="Q246" s="122"/>
      <c r="R246" s="123"/>
      <c r="T246" s="131" t="str">
        <f>_xlfn.XLOOKUP(T225,RenewalPlans!B:B,RenewalPlans!AI:AI,"NA",0,1)</f>
        <v>NA</v>
      </c>
      <c r="U246" s="122"/>
      <c r="V246" s="122"/>
      <c r="W246" s="122"/>
      <c r="X246" s="130"/>
      <c r="Y246" s="122"/>
      <c r="Z246" s="123"/>
    </row>
    <row r="247" spans="4:26" ht="18" customHeight="1" hidden="1">
      <c r="D247" s="198" t="s">
        <v>268</v>
      </c>
      <c r="E247" s="130" t="e">
        <f>_xlfn.XLOOKUP(E225,CurrentPlans!B:B,CurrentPlans!AH:AH,"NA",0,1)</f>
        <v>#N/A</v>
      </c>
      <c r="F247" s="200"/>
      <c r="G247" s="200"/>
      <c r="H247" s="200"/>
      <c r="I247" s="130"/>
      <c r="J247" s="201"/>
      <c r="K247"/>
      <c r="L247" s="131" t="str">
        <f ca="1">_xlfn.XLOOKUP(L225,RenewalPlans!B:B,RenewalPlans!AK:AK,"NA",0,1)</f>
        <v>NA</v>
      </c>
      <c r="M247" s="200"/>
      <c r="N247" s="200"/>
      <c r="O247" s="200"/>
      <c r="P247" s="130"/>
      <c r="Q247" s="200"/>
      <c r="R247" s="201"/>
      <c r="T247" s="131" t="str">
        <f>_xlfn.XLOOKUP(T225,RenewalPlans!B:B,RenewalPlans!AK:AK,"NA",0,1)</f>
        <v>NA</v>
      </c>
      <c r="U247" s="200"/>
      <c r="V247" s="200"/>
      <c r="W247" s="200"/>
      <c r="X247" s="130"/>
      <c r="Y247" s="200"/>
      <c r="Z247" s="201"/>
    </row>
    <row r="248" spans="4:26" ht="18" customHeight="1" hidden="1">
      <c r="D248" s="198" t="s">
        <v>269</v>
      </c>
      <c r="E248" s="130" t="e">
        <f>_xlfn.XLOOKUP(E225,CurrentPlans!B:B,CurrentPlans!AG:AG,"NA",0,1)</f>
        <v>#N/A</v>
      </c>
      <c r="F248" s="200"/>
      <c r="G248" s="200"/>
      <c r="H248" s="200"/>
      <c r="I248" s="130"/>
      <c r="J248" s="201"/>
      <c r="K248"/>
      <c r="L248" s="131" t="str">
        <f ca="1">_xlfn.XLOOKUP(L225,RenewalPlans!B:B,RenewalPlans!AJ:AJ,"NA",0,1)</f>
        <v>NA</v>
      </c>
      <c r="M248" s="200"/>
      <c r="N248" s="200"/>
      <c r="O248" s="200"/>
      <c r="P248" s="130"/>
      <c r="Q248" s="200"/>
      <c r="R248" s="201"/>
      <c r="T248" s="131" t="str">
        <f>_xlfn.XLOOKUP(T225,RenewalPlans!B:B,RenewalPlans!AJ:AJ,"NA",0,1)</f>
        <v>NA</v>
      </c>
      <c r="U248" s="200"/>
      <c r="V248" s="200"/>
      <c r="W248" s="200"/>
      <c r="X248" s="130"/>
      <c r="Y248" s="200"/>
      <c r="Z248" s="201"/>
    </row>
    <row r="249" spans="4:26" ht="18" customHeight="1" hidden="1">
      <c r="D249" s="213" t="s">
        <v>270</v>
      </c>
      <c r="E249" s="216" t="e">
        <f>_xlfn.XLOOKUP(E225,CurrentPlans!B:B,CurrentPlans!AU:AU,"NA",0,1)</f>
        <v>#N/A</v>
      </c>
      <c r="F249" s="214"/>
      <c r="G249" s="214"/>
      <c r="H249" s="214"/>
      <c r="I249" s="217"/>
      <c r="J249" s="215"/>
      <c r="K249"/>
      <c r="L249" s="218" t="str">
        <f ca="1">_xlfn.XLOOKUP(L225,RenewalPlans!B:B,RenewalPlans!AX:AX,"NA",0,1)</f>
        <v>NA</v>
      </c>
      <c r="M249" s="214"/>
      <c r="N249" s="214"/>
      <c r="O249" s="214"/>
      <c r="P249" s="217"/>
      <c r="Q249" s="214"/>
      <c r="R249" s="215"/>
      <c r="T249" s="218" t="str">
        <f>_xlfn.XLOOKUP(T225,RenewalPlans!B:B,RenewalPlans!AX:AX,"NA",0,1)</f>
        <v>NA</v>
      </c>
      <c r="U249" s="214"/>
      <c r="V249" s="214"/>
      <c r="W249" s="214"/>
      <c r="X249" s="217"/>
      <c r="Y249" s="214"/>
      <c r="Z249" s="215"/>
    </row>
    <row r="250" spans="4:26" ht="18" customHeight="1" hidden="1">
      <c r="D250" s="213" t="s">
        <v>271</v>
      </c>
      <c r="E250" s="216" t="e">
        <f>_xlfn.XLOOKUP(E225,CurrentPlans!B:B,CurrentPlans!AT:AT,"NA",0,1)</f>
        <v>#N/A</v>
      </c>
      <c r="F250" s="214"/>
      <c r="G250" s="214"/>
      <c r="H250" s="214"/>
      <c r="I250" s="217"/>
      <c r="J250" s="215"/>
      <c r="K250"/>
      <c r="L250" s="218" t="str">
        <f ca="1">_xlfn.XLOOKUP(L225,RenewalPlans!B:B,RenewalPlans!AW:AW,"NA",0,1)</f>
        <v>NA</v>
      </c>
      <c r="M250" s="214"/>
      <c r="N250" s="214"/>
      <c r="O250" s="214"/>
      <c r="P250" s="217"/>
      <c r="Q250" s="214"/>
      <c r="R250" s="215"/>
      <c r="T250" s="218" t="str">
        <f>_xlfn.XLOOKUP(T225,RenewalPlans!B:B,RenewalPlans!AW:AW,"NA",0,1)</f>
        <v>NA</v>
      </c>
      <c r="U250" s="214"/>
      <c r="V250" s="214"/>
      <c r="W250" s="214"/>
      <c r="X250" s="217"/>
      <c r="Y250" s="214"/>
      <c r="Z250" s="215"/>
    </row>
    <row r="251" spans="4:26" ht="18" customHeight="1" hidden="1">
      <c r="D251" s="198" t="s">
        <v>272</v>
      </c>
      <c r="E251" s="130" t="e">
        <f>_xlfn.XLOOKUP(E225,CurrentPlans!B:B,CurrentPlans!AD:AD,"NA",0,1)</f>
        <v>#N/A</v>
      </c>
      <c r="F251" s="200"/>
      <c r="G251" s="200"/>
      <c r="H251" s="200"/>
      <c r="I251" s="130"/>
      <c r="J251" s="201"/>
      <c r="K251"/>
      <c r="L251" s="131" t="str">
        <f ca="1">_xlfn.XLOOKUP(L225,RenewalPlans!B:B,RenewalPlans!AG:AG,"NA",0,1)</f>
        <v>NA</v>
      </c>
      <c r="M251" s="200"/>
      <c r="N251" s="200"/>
      <c r="O251" s="200"/>
      <c r="P251" s="130"/>
      <c r="Q251" s="200"/>
      <c r="R251" s="201"/>
      <c r="T251" s="131" t="str">
        <f>_xlfn.XLOOKUP(T225,RenewalPlans!B:B,RenewalPlans!AG:AG,"NA",0,1)</f>
        <v>NA</v>
      </c>
      <c r="U251" s="200"/>
      <c r="V251" s="200"/>
      <c r="W251" s="200"/>
      <c r="X251" s="130"/>
      <c r="Y251" s="200"/>
      <c r="Z251" s="201"/>
    </row>
    <row r="252" spans="4:26" ht="18" customHeight="1" hidden="1">
      <c r="D252" s="198" t="s">
        <v>273</v>
      </c>
      <c r="E252" s="200"/>
      <c r="F252" s="200"/>
      <c r="G252" s="200"/>
      <c r="H252" s="200"/>
      <c r="I252" s="200"/>
      <c r="J252" s="201"/>
      <c r="K252"/>
      <c r="L252" s="198"/>
      <c r="M252" s="200"/>
      <c r="N252" s="200"/>
      <c r="O252" s="200"/>
      <c r="P252" s="200"/>
      <c r="Q252" s="200"/>
      <c r="R252" s="201"/>
      <c r="T252" s="198"/>
      <c r="U252" s="200"/>
      <c r="V252" s="200"/>
      <c r="W252" s="200"/>
      <c r="X252" s="200"/>
      <c r="Y252" s="200"/>
      <c r="Z252" s="201"/>
    </row>
    <row r="253" spans="4:26" ht="18" customHeight="1" hidden="1">
      <c r="D253" s="210"/>
      <c r="E253" s="211"/>
      <c r="F253" s="211"/>
      <c r="G253" s="211"/>
      <c r="H253" s="211"/>
      <c r="I253" s="211"/>
      <c r="J253" s="212"/>
      <c r="K253"/>
      <c r="L253" s="210"/>
      <c r="M253" s="211"/>
      <c r="N253" s="211"/>
      <c r="O253" s="211"/>
      <c r="P253" s="211"/>
      <c r="Q253" s="211"/>
      <c r="R253" s="212"/>
      <c r="T253" s="210"/>
      <c r="U253" s="211"/>
      <c r="V253" s="211"/>
      <c r="W253" s="211"/>
      <c r="X253" s="211"/>
      <c r="Y253" s="211"/>
      <c r="Z253" s="212"/>
    </row>
    <row r="254" spans="4:26" ht="18" customHeight="1" hidden="1">
      <c r="D254" s="219" t="s">
        <v>274</v>
      </c>
      <c r="E254" s="220"/>
      <c r="F254" s="220"/>
      <c r="G254" s="220"/>
      <c r="H254" s="220"/>
      <c r="I254" s="220"/>
      <c r="J254" s="221"/>
      <c r="K254"/>
      <c r="L254" s="222"/>
      <c r="M254" s="220"/>
      <c r="N254" s="220"/>
      <c r="O254" s="220"/>
      <c r="P254" s="220"/>
      <c r="Q254" s="220"/>
      <c r="R254" s="221"/>
      <c r="T254" s="222"/>
      <c r="U254" s="220"/>
      <c r="V254" s="220"/>
      <c r="W254" s="220"/>
      <c r="X254" s="220"/>
      <c r="Y254" s="220"/>
      <c r="Z254" s="221"/>
    </row>
    <row r="255" spans="4:26" ht="18" customHeight="1" hidden="1">
      <c r="D255" s="223" t="s">
        <v>250</v>
      </c>
      <c r="E255" s="205"/>
      <c r="F255" s="205"/>
      <c r="G255" s="205"/>
      <c r="H255" s="205"/>
      <c r="I255" s="205"/>
      <c r="J255" s="206"/>
      <c r="K255"/>
      <c r="L255" s="203"/>
      <c r="M255" s="205"/>
      <c r="N255" s="205"/>
      <c r="O255" s="205"/>
      <c r="P255" s="205"/>
      <c r="Q255" s="205"/>
      <c r="R255" s="206"/>
      <c r="T255" s="203"/>
      <c r="U255" s="205"/>
      <c r="V255" s="205"/>
      <c r="W255" s="205"/>
      <c r="X255" s="205"/>
      <c r="Y255" s="205"/>
      <c r="Z255" s="206"/>
    </row>
    <row r="256" spans="4:26" ht="18" customHeight="1" hidden="1">
      <c r="D256" s="198" t="s">
        <v>251</v>
      </c>
      <c r="E256" s="130" t="e">
        <f>_xlfn.XLOOKUP(E225,CurrentPlans!B:B,CurrentPlans!AP:AP,"NA",0,1)</f>
        <v>#N/A</v>
      </c>
      <c r="F256" s="200"/>
      <c r="G256" s="200"/>
      <c r="H256" s="200"/>
      <c r="I256" s="130"/>
      <c r="J256" s="201"/>
      <c r="K256"/>
      <c r="L256" s="131" t="str">
        <f ca="1">_xlfn.XLOOKUP(L225,RenewalPlans!B:B,RenewalPlans!AS:AS,"NA",0,1)</f>
        <v>NA</v>
      </c>
      <c r="M256" s="200"/>
      <c r="N256" s="200"/>
      <c r="O256" s="200"/>
      <c r="P256" s="130"/>
      <c r="Q256" s="200"/>
      <c r="R256" s="201"/>
      <c r="T256" s="131" t="str">
        <f>_xlfn.XLOOKUP(T225,RenewalPlans!B:B,RenewalPlans!AS:AS,"NA",0,1)</f>
        <v>NA</v>
      </c>
      <c r="U256" s="200"/>
      <c r="V256" s="200"/>
      <c r="W256" s="200"/>
      <c r="X256" s="130"/>
      <c r="Y256" s="200"/>
      <c r="Z256" s="201"/>
    </row>
    <row r="257" spans="4:26" ht="18" customHeight="1" hidden="1">
      <c r="D257" s="198" t="s">
        <v>252</v>
      </c>
      <c r="E257" s="130" t="e">
        <f>_xlfn.XLOOKUP(E225,CurrentPlans!B:B,CurrentPlans!AQ:AQ,"NA",0,1)</f>
        <v>#N/A</v>
      </c>
      <c r="F257" s="200"/>
      <c r="G257" s="200"/>
      <c r="H257" s="200"/>
      <c r="I257" s="130"/>
      <c r="J257" s="201"/>
      <c r="K257"/>
      <c r="L257" s="131" t="str">
        <f ca="1">_xlfn.XLOOKUP(L225,RenewalPlans!B:B,RenewalPlans!AT:AT,"NA",0,1)</f>
        <v>NA</v>
      </c>
      <c r="M257" s="200"/>
      <c r="N257" s="200"/>
      <c r="O257" s="200"/>
      <c r="P257" s="130"/>
      <c r="Q257" s="200"/>
      <c r="R257" s="201"/>
      <c r="T257" s="131" t="str">
        <f>_xlfn.XLOOKUP(T225,RenewalPlans!B:B,RenewalPlans!AT:AT,"NA",0,1)</f>
        <v>NA</v>
      </c>
      <c r="U257" s="200"/>
      <c r="V257" s="200"/>
      <c r="W257" s="200"/>
      <c r="X257" s="130"/>
      <c r="Y257" s="200"/>
      <c r="Z257" s="201"/>
    </row>
    <row r="258" spans="4:26" ht="18" customHeight="1" hidden="1">
      <c r="D258" s="120" t="s">
        <v>253</v>
      </c>
      <c r="E258" s="133" t="e">
        <f>_xlfn.XLOOKUP(E225,CurrentPlans!B:B,CurrentPlans!AO:AO,"NA",0,1)</f>
        <v>#N/A</v>
      </c>
      <c r="F258" s="122"/>
      <c r="G258" s="122"/>
      <c r="H258" s="122"/>
      <c r="I258" s="133"/>
      <c r="J258" s="123"/>
      <c r="K258"/>
      <c r="L258" s="136" t="str">
        <f ca="1">_xlfn.XLOOKUP(L225,RenewalPlans!B:B,RenewalPlans!AR:AR,"NA",0,1)</f>
        <v>NA</v>
      </c>
      <c r="M258" s="122"/>
      <c r="N258" s="122"/>
      <c r="O258" s="122"/>
      <c r="P258" s="133"/>
      <c r="Q258" s="122"/>
      <c r="R258" s="123"/>
      <c r="T258" s="136" t="str">
        <f>_xlfn.XLOOKUP(T225,RenewalPlans!B:B,RenewalPlans!AR:AR,"NA",0,1)</f>
        <v>NA</v>
      </c>
      <c r="U258" s="122"/>
      <c r="V258" s="122"/>
      <c r="W258" s="122"/>
      <c r="X258" s="133"/>
      <c r="Y258" s="122"/>
      <c r="Z258" s="123"/>
    </row>
    <row r="259" spans="4:26" ht="18" customHeight="1" hidden="1">
      <c r="D259" s="223" t="s">
        <v>254</v>
      </c>
      <c r="E259" s="205"/>
      <c r="F259" s="205"/>
      <c r="G259" s="205"/>
      <c r="H259" s="205"/>
      <c r="I259" s="205"/>
      <c r="J259" s="206"/>
      <c r="K259"/>
      <c r="L259" s="203"/>
      <c r="M259" s="205"/>
      <c r="N259" s="205"/>
      <c r="O259" s="205"/>
      <c r="P259" s="205"/>
      <c r="Q259" s="205"/>
      <c r="R259" s="206"/>
      <c r="T259" s="203"/>
      <c r="U259" s="205"/>
      <c r="V259" s="205"/>
      <c r="W259" s="205"/>
      <c r="X259" s="205"/>
      <c r="Y259" s="205"/>
      <c r="Z259" s="206"/>
    </row>
    <row r="260" spans="4:26" ht="18" customHeight="1" hidden="1">
      <c r="D260" s="198" t="s">
        <v>255</v>
      </c>
      <c r="E260" s="130" t="e">
        <f>_xlfn.XLOOKUP(E225,CurrentPlans!B:B,CurrentPlans!AR:AR,"NA",0,1)</f>
        <v>#N/A</v>
      </c>
      <c r="F260" s="200"/>
      <c r="G260" s="200"/>
      <c r="H260" s="200"/>
      <c r="I260" s="130"/>
      <c r="J260" s="201"/>
      <c r="K260"/>
      <c r="L260" s="131" t="str">
        <f ca="1">_xlfn.XLOOKUP(L225,RenewalPlans!B:B,RenewalPlans!AU:AU,"NA",0,1)</f>
        <v>NA</v>
      </c>
      <c r="M260" s="200"/>
      <c r="N260" s="200"/>
      <c r="O260" s="200"/>
      <c r="P260" s="130"/>
      <c r="Q260" s="200"/>
      <c r="R260" s="201"/>
      <c r="T260" s="131" t="str">
        <f>_xlfn.XLOOKUP(T225,RenewalPlans!B:B,RenewalPlans!AU:AU,"NA",0,1)</f>
        <v>NA</v>
      </c>
      <c r="U260" s="200"/>
      <c r="V260" s="200"/>
      <c r="W260" s="200"/>
      <c r="X260" s="130"/>
      <c r="Y260" s="200"/>
      <c r="Z260" s="201"/>
    </row>
    <row r="261" spans="4:26" ht="18" customHeight="1" hidden="1" thickBot="1">
      <c r="D261" s="224" t="s">
        <v>256</v>
      </c>
      <c r="E261" s="137" t="e">
        <f>_xlfn.XLOOKUP(E225,CurrentPlans!B:B,CurrentPlans!AS:AS,"NA",0,1)</f>
        <v>#N/A</v>
      </c>
      <c r="F261" s="225"/>
      <c r="G261" s="225"/>
      <c r="H261" s="225"/>
      <c r="I261" s="137"/>
      <c r="J261" s="226"/>
      <c r="K261"/>
      <c r="L261" s="138" t="str">
        <f ca="1">_xlfn.XLOOKUP(L225,RenewalPlans!B:B,RenewalPlans!AV:AV,"NA",0,1)</f>
        <v>NA</v>
      </c>
      <c r="M261" s="225"/>
      <c r="N261" s="225"/>
      <c r="O261" s="225"/>
      <c r="P261" s="137"/>
      <c r="Q261" s="225"/>
      <c r="R261" s="226"/>
      <c r="T261" s="138" t="str">
        <f>_xlfn.XLOOKUP(T225,RenewalPlans!B:B,RenewalPlans!AV:AV,"NA",0,1)</f>
        <v>NA</v>
      </c>
      <c r="U261" s="225"/>
      <c r="V261" s="225"/>
      <c r="W261" s="225"/>
      <c r="X261" s="137"/>
      <c r="Y261" s="225"/>
      <c r="Z261" s="226"/>
    </row>
    <row r="262" spans="4:26" ht="18" customHeight="1">
      <c r="D262" s="227"/>
      <c r="E262" s="176"/>
      <c r="F262" s="178"/>
      <c r="G262" s="179"/>
      <c r="H262" s="178"/>
      <c r="I262" s="176"/>
      <c r="J262" s="228"/>
      <c r="K262"/>
      <c r="L262" s="178"/>
      <c r="M262" s="176"/>
      <c r="N262" s="139"/>
      <c r="O262" s="178"/>
      <c r="P262" s="178"/>
      <c r="Q262" s="178"/>
      <c r="R262" s="228"/>
      <c r="T262" s="178"/>
      <c r="U262" s="176"/>
      <c r="V262" s="139"/>
      <c r="W262" s="178"/>
      <c r="X262" s="178"/>
      <c r="Y262" s="178"/>
      <c r="Z262" s="228"/>
    </row>
    <row r="263" spans="1:26" ht="5.25" customHeight="1" thickBot="1">
      <c r="A263" s="140"/>
      <c r="B263" s="140"/>
      <c r="D263" s="229"/>
      <c r="E263" s="229"/>
      <c r="F263" s="230"/>
      <c r="G263" s="231"/>
      <c r="H263" s="232"/>
      <c r="I263" s="233"/>
      <c r="J263" s="233"/>
      <c r="K263"/>
      <c r="L263" s="233"/>
      <c r="M263" s="233"/>
      <c r="N263" s="233"/>
      <c r="O263" s="233"/>
      <c r="P263" s="233"/>
      <c r="Q263" s="233"/>
      <c r="R263" s="233"/>
      <c r="T263" s="233"/>
      <c r="U263" s="233"/>
      <c r="V263" s="233"/>
      <c r="W263" s="233"/>
      <c r="X263" s="233"/>
      <c r="Y263" s="233"/>
      <c r="Z263" s="233"/>
    </row>
    <row r="264" spans="1:26" ht="50.15" customHeight="1">
      <c r="A264" s="140">
        <v>6</v>
      </c>
      <c r="B264" s="140">
        <f>IF(A264&gt;Class3_CurrentHealthCount,"DELETE",Class3_CurrentHealthStart+A264)</f>
        <v>66</v>
      </c>
      <c r="C264" s="164" t="s">
        <v>279</v>
      </c>
      <c r="D264" s="273" t="e">
        <f ca="1">IF(B264="Delete","",VLOOKUP(F264,BEGIN_CURRENT_HEALTH:END_CURRENT_HEALTH,3,FALSE))</f>
        <v>#N/A</v>
      </c>
      <c r="E264" s="165"/>
      <c r="F264" s="272" cm="1">
        <f t="array" ca="1" aca="1" ref="F264">IF(B264="Delete","",INDIRECT("CurrentPlans!A"&amp;B264,TRUE))</f>
        <v>0</v>
      </c>
      <c r="G264" s="166"/>
      <c r="H264" s="167"/>
      <c r="I264" s="168"/>
      <c r="J264" s="169"/>
      <c r="K264"/>
      <c r="L264" s="274" t="str">
        <f ca="1">_xlfn.IFNA(VLOOKUP(F264,BEGIN_RENEWEDFROM_HEALTH:ROW_RenewHealth_PlanID,3,FALSE),"SELECT PLAN")</f>
        <v>SELECT PLAN</v>
      </c>
      <c r="M264" s="170"/>
      <c r="N264" s="274" t="s">
        <v>237</v>
      </c>
      <c r="O264" s="171"/>
      <c r="P264" s="171"/>
      <c r="Q264" s="171"/>
      <c r="R264" s="169"/>
      <c r="T264" s="274" t="s">
        <v>38</v>
      </c>
      <c r="U264" s="170"/>
      <c r="V264" s="274" t="s">
        <v>237</v>
      </c>
      <c r="W264" s="171"/>
      <c r="X264" s="171"/>
      <c r="Y264" s="171"/>
      <c r="Z264" s="169"/>
    </row>
    <row r="265" spans="1:26" ht="18.75" customHeight="1">
      <c r="A265" s="140"/>
      <c r="B265" s="140"/>
      <c r="D265" s="172" t="s">
        <v>238</v>
      </c>
      <c r="E265" s="407" t="str">
        <f ca="1">_xlfn.IFNA(VLOOKUP(F264,BEGIN_CURRENT_HEALTH:END_CURRENT_HEALTH,CURRENT_COL_EO_count,FALSE),"")</f>
        <v/>
      </c>
      <c r="F265" s="408" t="str">
        <f ca="1">_xlfn.IFNA(VLOOKUP(F264,BEGIN_CURRENT_HEALTH:END_CURRENT_HEALTH,CURRENT_COL_EO,FALSE),"")</f>
        <v/>
      </c>
      <c r="G265" s="468" t="str">
        <f ca="1" t="shared" si="25" ref="G265:G268">IF(F265="","",H265/F265)</f>
        <v/>
      </c>
      <c r="H265" s="408" t="str">
        <f ca="1">_xlfn.IFNA(VLOOKUP(F264,BEGIN_CURRENT_HEALTH:END_CURRENT_HEALTH,CURRENT_COL_EOContrib,FALSE),"")</f>
        <v/>
      </c>
      <c r="I265" s="409" t="str">
        <f ca="1">IFERROR(F265-H265,"")</f>
        <v/>
      </c>
      <c r="J265" s="410" t="str">
        <f ca="1">IF(F265="","",H265*E265)</f>
        <v/>
      </c>
      <c r="K265" s="411"/>
      <c r="L265" s="408" t="str" cm="1">
        <f t="array" ca="1" aca="1" ref="L265">_xlfn.IFNA(VLOOKUP(INDIRECT("L"&amp;ROW()-1)&amp;"_"&amp;$D$12,BEGIN_RENEW_HEALTH:END_RENEW_HEALTH,RENEW_COL_EO,FALSE),"")</f>
        <v/>
      </c>
      <c r="M265" s="412" t="str">
        <f ca="1">IF(E265="","",E265)</f>
        <v/>
      </c>
      <c r="N265" s="413"/>
      <c r="O265" s="414"/>
      <c r="P265" s="415" t="str">
        <f>IFERROR(IF($N264="Keep Contribution Same",H265,IF($N264="Enter Percentages",IF(N265="","",N265*L265),IF($N264="Keep Percentage Same",IF(G265="","",G265*L265),IF($N264="Enter Dollar Amount",IF(O265="","",O265),"")))),"")</f>
        <v/>
      </c>
      <c r="Q265" s="408" t="str">
        <f ca="1">IFERROR(L265-P265,"")</f>
        <v/>
      </c>
      <c r="R265" s="410" t="str">
        <f>IFERROR(IF(P265="","",M265*P265),"")</f>
        <v/>
      </c>
      <c r="S265" s="411"/>
      <c r="T265" s="408" t="str" cm="1">
        <f t="array" ca="1" aca="1" ref="T265">_xlfn.IFNA(VLOOKUP(INDIRECT("T"&amp;ROW()-1)&amp;"_"&amp;$D$12,BEGIN_RENEW_HEALTH:END_RENEW_HEALTH,RENEW_COL_EO,FALSE),"")</f>
        <v/>
      </c>
      <c r="U265" s="412" t="str">
        <f ca="1">IF(E265="","",E265)</f>
        <v/>
      </c>
      <c r="V265" s="413"/>
      <c r="W265" s="414"/>
      <c r="X265" s="415" t="str">
        <f>IFERROR(IF($V264="Keep Contribution Same",H265,IF($V264="Enter Percentages",IF(V265="","",V265*T265),IF($V264="Keep Percentage Same",IF(G265="","",G265*T265),IF($V264="Enter Dollar Amount",IF(W265="","",W265),"")))),"")</f>
        <v/>
      </c>
      <c r="Y265" s="408" t="str">
        <f ca="1">IFERROR(T265-X265,"")</f>
        <v/>
      </c>
      <c r="Z265" s="410" t="str">
        <f>IFERROR(IF(X265="","",U265*X265),"")</f>
        <v/>
      </c>
    </row>
    <row r="266" spans="1:26" ht="18.75" customHeight="1">
      <c r="A266" s="140"/>
      <c r="B266" s="140"/>
      <c r="D266" s="172" t="s">
        <v>239</v>
      </c>
      <c r="E266" s="407" t="str">
        <f ca="1">_xlfn.IFNA(VLOOKUP(F264,BEGIN_CURRENT_HEALTH:END_CURRENT_HEALTH,CURRENT_COL_ES_count,FALSE),"")</f>
        <v/>
      </c>
      <c r="F266" s="408" t="str">
        <f ca="1">_xlfn.IFNA(VLOOKUP(F264,BEGIN_CURRENT_HEALTH:END_CURRENT_HEALTH,CURRENT_COL_ES,FALSE),"")</f>
        <v/>
      </c>
      <c r="G266" s="468" t="str">
        <f t="shared" ca="1" si="25"/>
        <v/>
      </c>
      <c r="H266" s="408" t="str">
        <f ca="1">_xlfn.IFNA(VLOOKUP(F264,BEGIN_CURRENT_HEALTH:END_CURRENT_HEALTH,CURRENT_COL_ESContrib,FALSE),"")</f>
        <v/>
      </c>
      <c r="I266" s="409" t="str">
        <f ca="1" t="shared" si="26" ref="I266:I268">IFERROR(F266-H266,"")</f>
        <v/>
      </c>
      <c r="J266" s="410" t="str">
        <f ca="1">IF(F266="","",H266*E266)</f>
        <v/>
      </c>
      <c r="K266" s="411"/>
      <c r="L266" s="408" t="str" cm="1">
        <f t="array" ca="1" aca="1" ref="L266">_xlfn.IFNA(VLOOKUP(INDIRECT("L"&amp;ROW()-2)&amp;"_"&amp;$D$12,BEGIN_RENEW_HEALTH:END_RENEW_HEALTH,RENEW_COL_ES,FALSE),"")</f>
        <v/>
      </c>
      <c r="M266" s="412" t="str">
        <f ca="1">IF(E266="","",E266)</f>
        <v/>
      </c>
      <c r="N266" s="413"/>
      <c r="O266" s="414"/>
      <c r="P266" s="415" t="str">
        <f>IFERROR(IF($N264="Keep Contribution Same",H266,IF($N264="Enter Percentages",IF(N266="","",N266*L266),IF($N264="Keep Percentage Same",IF(G266="","",G266*L266),IF($N264="Enter Dollar Amount",IF(O266="","",O266),"")))),"")</f>
        <v/>
      </c>
      <c r="Q266" s="408" t="str">
        <f ca="1">IFERROR(L266-P266,"")</f>
        <v/>
      </c>
      <c r="R266" s="410" t="str">
        <f>IFERROR(IF(P266="","",M266*P266),"")</f>
        <v/>
      </c>
      <c r="S266" s="411"/>
      <c r="T266" s="408" t="str" cm="1">
        <f t="array" ca="1" aca="1" ref="T266">_xlfn.IFNA(VLOOKUP(INDIRECT("T"&amp;ROW()-2)&amp;"_"&amp;$D$12,BEGIN_RENEW_HEALTH:END_RENEW_HEALTH,RENEW_COL_ES,FALSE),"")</f>
        <v/>
      </c>
      <c r="U266" s="412" t="str">
        <f ca="1" t="shared" si="27" ref="U266:U268">IF(E266="","",E266)</f>
        <v/>
      </c>
      <c r="V266" s="413"/>
      <c r="W266" s="414"/>
      <c r="X266" s="415" t="str">
        <f>IFERROR(IF($V264="Keep Contribution Same",H266,IF($V264="Enter Percentages",IF(V266="","",V266*T266),IF($V264="Keep Percentage Same",IF(G266="","",G266*T266),IF($V264="Enter Dollar Amount",IF(W266="","",W266),"")))),"")</f>
        <v/>
      </c>
      <c r="Y266" s="408" t="str">
        <f ca="1" t="shared" si="28" ref="Y266:Y268">IFERROR(T266-X266,"")</f>
        <v/>
      </c>
      <c r="Z266" s="410" t="str">
        <f t="shared" si="29" ref="Z266:Z268">IFERROR(IF(X266="","",U266*X266),"")</f>
        <v/>
      </c>
    </row>
    <row r="267" spans="1:26" ht="18.75" customHeight="1">
      <c r="A267" s="140"/>
      <c r="B267" s="140"/>
      <c r="D267" s="172" t="s">
        <v>240</v>
      </c>
      <c r="E267" s="407" t="str">
        <f ca="1">_xlfn.IFNA(VLOOKUP(F264,BEGIN_CURRENT_HEALTH:END_CURRENT_HEALTH,CURRENT_COL_EC_count,FALSE),"")</f>
        <v/>
      </c>
      <c r="F267" s="408" t="str">
        <f ca="1">_xlfn.IFNA(VLOOKUP(F264,BEGIN_CURRENT_HEALTH:END_CURRENT_HEALTH,CURRENT_COL_EC,FALSE),"")</f>
        <v/>
      </c>
      <c r="G267" s="468" t="str">
        <f t="shared" ca="1" si="25"/>
        <v/>
      </c>
      <c r="H267" s="408" t="str">
        <f ca="1">_xlfn.IFNA(VLOOKUP(F264,BEGIN_CURRENT_HEALTH:END_CURRENT_HEALTH,CURRENT_COL_ECContrib,FALSE),"")</f>
        <v/>
      </c>
      <c r="I267" s="409" t="str">
        <f t="shared" ca="1" si="26"/>
        <v/>
      </c>
      <c r="J267" s="410" t="str">
        <f ca="1">IF(F267="","",H267*E267)</f>
        <v/>
      </c>
      <c r="K267" s="411"/>
      <c r="L267" s="408" t="str" cm="1">
        <f t="array" ca="1" aca="1" ref="L267">_xlfn.IFNA(VLOOKUP(INDIRECT("L"&amp;ROW()-3)&amp;"_"&amp;$D$12,BEGIN_RENEW_HEALTH:END_RENEW_HEALTH,RENEW_COL_EC,FALSE),"")</f>
        <v/>
      </c>
      <c r="M267" s="412" t="str">
        <f ca="1">IF(E267="","",E267)</f>
        <v/>
      </c>
      <c r="N267" s="413"/>
      <c r="O267" s="414"/>
      <c r="P267" s="415" t="str">
        <f>IFERROR(IF($N264="Keep Contribution Same",H267,IF($N264="Enter Percentages",IF(N267="","",N267*L267),IF($N264="Keep Percentage Same",IF(G267="","",G267*L267),IF($N264="Enter Dollar Amount",IF(O267="","",O267),"")))),"")</f>
        <v/>
      </c>
      <c r="Q267" s="408" t="str">
        <f ca="1">IFERROR(L267-P267,"")</f>
        <v/>
      </c>
      <c r="R267" s="410" t="str">
        <f>IFERROR(IF(P267="","",M267*P267),"")</f>
        <v/>
      </c>
      <c r="S267" s="411"/>
      <c r="T267" s="408" t="str" cm="1">
        <f t="array" ca="1" aca="1" ref="T267">_xlfn.IFNA(VLOOKUP(INDIRECT("T"&amp;ROW()-3)&amp;"_"&amp;$D$12,BEGIN_RENEW_HEALTH:END_RENEW_HEALTH,RENEW_COL_EC,FALSE),"")</f>
        <v/>
      </c>
      <c r="U267" s="412" t="str">
        <f t="shared" ca="1" si="27"/>
        <v/>
      </c>
      <c r="V267" s="413"/>
      <c r="W267" s="414"/>
      <c r="X267" s="415" t="str">
        <f>IFERROR(IF($V264="Keep Contribution Same",H267,IF($V264="Enter Percentages",IF(V267="","",V267*T267),IF($V264="Keep Percentage Same",IF(G267="","",G267*T267),IF($V264="Enter Dollar Amount",IF(W267="","",W267),"")))),"")</f>
        <v/>
      </c>
      <c r="Y267" s="408" t="str">
        <f t="shared" ca="1" si="28"/>
        <v/>
      </c>
      <c r="Z267" s="410" t="str">
        <f t="shared" si="29"/>
        <v/>
      </c>
    </row>
    <row r="268" spans="1:26" ht="18.75" customHeight="1" thickBot="1">
      <c r="A268" s="140"/>
      <c r="B268" s="140"/>
      <c r="D268" s="174" t="s">
        <v>241</v>
      </c>
      <c r="E268" s="416" t="str">
        <f ca="1">_xlfn.IFNA(VLOOKUP(F264,BEGIN_CURRENT_HEALTH:END_CURRENT_HEALTH,CURRENT_COL_FAM_count,FALSE),"")</f>
        <v/>
      </c>
      <c r="F268" s="417" t="str">
        <f ca="1">_xlfn.IFNA(VLOOKUP(F264,BEGIN_CURRENT_HEALTH:END_CURRENT_HEALTH,CURRENT_COL_FAM,FALSE),"")</f>
        <v/>
      </c>
      <c r="G268" s="469" t="str">
        <f t="shared" ca="1" si="25"/>
        <v/>
      </c>
      <c r="H268" s="417" t="str">
        <f ca="1">_xlfn.IFNA(VLOOKUP(F264,BEGIN_CURRENT_HEALTH:END_CURRENT_HEALTH,CURRENT_COL_FAMContrib,FALSE),"")</f>
        <v/>
      </c>
      <c r="I268" s="418" t="str">
        <f t="shared" ca="1" si="26"/>
        <v/>
      </c>
      <c r="J268" s="419" t="str">
        <f ca="1">IF(F268="","",H268*E268)</f>
        <v/>
      </c>
      <c r="K268" s="411"/>
      <c r="L268" s="417" t="str" cm="1">
        <f t="array" ca="1" aca="1" ref="L268">_xlfn.IFNA(VLOOKUP(INDIRECT("L"&amp;ROW()-4)&amp;"_"&amp;$D$12,BEGIN_RENEW_HEALTH:END_RENEW_HEALTH,RENEW_COL_FAM,FALSE),"")</f>
        <v/>
      </c>
      <c r="M268" s="423" t="str">
        <f ca="1">IF(E268="","",E268)</f>
        <v/>
      </c>
      <c r="N268" s="420"/>
      <c r="O268" s="421"/>
      <c r="P268" s="422" t="str">
        <f>IFERROR(IF($N264="Keep Contribution Same",H268,IF($N264="Enter Percentages",IF(N268="","",N268*L268),IF($N264="Keep Percentage Same",IF(G268="","",G268*L268),IF($N264="Enter Dollar Amount",IF(O268="","",O268),"")))),"")</f>
        <v/>
      </c>
      <c r="Q268" s="417" t="str">
        <f ca="1">IFERROR(L268-P268,"")</f>
        <v/>
      </c>
      <c r="R268" s="419" t="str">
        <f>IFERROR(IF(P268="","",M268*P268),"")</f>
        <v/>
      </c>
      <c r="S268" s="411"/>
      <c r="T268" s="417" t="str" cm="1">
        <f t="array" ca="1" aca="1" ref="T268">_xlfn.IFNA(VLOOKUP(INDIRECT("T"&amp;ROW()-4)&amp;"_"&amp;$D$12,BEGIN_RENEW_HEALTH:END_RENEW_HEALTH,RENEW_COL_FAM,FALSE),"")</f>
        <v/>
      </c>
      <c r="U268" s="423" t="str">
        <f t="shared" ca="1" si="27"/>
        <v/>
      </c>
      <c r="V268" s="420"/>
      <c r="W268" s="421"/>
      <c r="X268" s="422" t="str">
        <f>IFERROR(IF($V264="Keep Contribution Same",H268,IF($V264="Enter Percentages",IF(V268="","",V268*T268),IF($V264="Keep Percentage Same",IF(G268="","",G268*T268),IF($V264="Enter Dollar Amount",IF(W268="","",W268),"")))),"")</f>
        <v/>
      </c>
      <c r="Y268" s="417" t="str">
        <f t="shared" ca="1" si="28"/>
        <v/>
      </c>
      <c r="Z268" s="419" t="str">
        <f t="shared" si="29"/>
        <v/>
      </c>
    </row>
    <row r="269" spans="1:26" ht="18.75" customHeight="1" thickTop="1">
      <c r="A269" s="140"/>
      <c r="B269" s="140"/>
      <c r="D269" s="175" t="s">
        <v>242</v>
      </c>
      <c r="E269" s="424"/>
      <c r="F269" s="447" t="str">
        <f ca="1">IFERROR((F265*E265)+(F266*E266)+(F267*E267)+(F268*E268),"")</f>
        <v/>
      </c>
      <c r="G269" s="426"/>
      <c r="H269" s="427"/>
      <c r="I269" s="428"/>
      <c r="J269" s="429" t="str">
        <f ca="1">IFERROR(IF(J265="","",SUM(J265:J268)),0)</f>
        <v/>
      </c>
      <c r="K269" s="1"/>
      <c r="L269" s="430" t="str">
        <f ca="1">IFERROR((M265*L265)+(M266*L266)+(M267*L267)+(M268*L268),"")</f>
        <v/>
      </c>
      <c r="M269" s="427"/>
      <c r="N269" s="426"/>
      <c r="O269" s="427"/>
      <c r="P269" s="431"/>
      <c r="Q269" s="432"/>
      <c r="R269" s="429" t="str">
        <f>IFERROR(IF(R265="","",SUM(R265:R268)),0)</f>
        <v/>
      </c>
      <c r="T269" s="430" t="str">
        <f ca="1">IFERROR((U265*T265)+(U266*T266)+(U267*T267)+(U268*T268),"")</f>
        <v/>
      </c>
      <c r="U269" s="427"/>
      <c r="V269" s="426"/>
      <c r="W269" s="427"/>
      <c r="X269" s="431"/>
      <c r="Y269" s="432"/>
      <c r="Z269" s="429" t="str">
        <f>IFERROR(IF(Z265="","",SUM(Z265:Z268)),0)</f>
        <v/>
      </c>
    </row>
    <row r="270" spans="1:26" ht="18.75" customHeight="1">
      <c r="A270" s="140"/>
      <c r="B270" s="140"/>
      <c r="D270" s="177" t="s">
        <v>243</v>
      </c>
      <c r="E270" s="433"/>
      <c r="F270" s="448" t="str">
        <f ca="1">IFERROR(F269*12,"")</f>
        <v/>
      </c>
      <c r="G270" s="435"/>
      <c r="H270" s="436"/>
      <c r="I270" s="432"/>
      <c r="J270" s="437" t="str">
        <f ca="1">IF(J269="","",J269*12)</f>
        <v/>
      </c>
      <c r="K270" s="1"/>
      <c r="L270" s="438" t="str">
        <f ca="1">IFERROR(L269*12,"")</f>
        <v/>
      </c>
      <c r="M270" s="436"/>
      <c r="N270" s="435"/>
      <c r="O270" s="436"/>
      <c r="P270" s="432"/>
      <c r="Q270" s="432"/>
      <c r="R270" s="437" t="str">
        <f>IF(R269="","",R269*12)</f>
        <v/>
      </c>
      <c r="T270" s="438" t="str">
        <f ca="1">IFERROR(T269*12,"")</f>
        <v/>
      </c>
      <c r="U270" s="436"/>
      <c r="V270" s="435"/>
      <c r="W270" s="436"/>
      <c r="X270" s="432"/>
      <c r="Y270" s="432"/>
      <c r="Z270" s="437" t="str">
        <f>IF(Z269="","",Z269*12)</f>
        <v/>
      </c>
    </row>
    <row r="271" spans="1:26" ht="18" customHeight="1">
      <c r="A271" s="140"/>
      <c r="B271" s="140"/>
      <c r="D271" s="177" t="s">
        <v>244</v>
      </c>
      <c r="E271" s="433"/>
      <c r="F271" s="436"/>
      <c r="G271" s="435"/>
      <c r="H271" s="436"/>
      <c r="I271" s="432"/>
      <c r="J271" s="437"/>
      <c r="K271" s="1"/>
      <c r="L271" s="434" t="str">
        <f ca="1">IFERROR(L270-F270,"")</f>
        <v/>
      </c>
      <c r="M271" s="436"/>
      <c r="N271" s="435"/>
      <c r="O271" s="436"/>
      <c r="P271" s="432"/>
      <c r="Q271" s="432"/>
      <c r="R271" s="437" t="str">
        <f ca="1">IFERROR(IF(J270="","",R270-J270),0)</f>
        <v/>
      </c>
      <c r="T271" s="434" t="str">
        <f ca="1">IFERROR(T270-F270,"")</f>
        <v/>
      </c>
      <c r="U271" s="436"/>
      <c r="V271" s="435"/>
      <c r="W271" s="436"/>
      <c r="X271" s="432"/>
      <c r="Y271" s="432"/>
      <c r="Z271" s="437" t="str">
        <f>IFERROR(IF(R270="","",Z270-R270),0)</f>
        <v/>
      </c>
    </row>
    <row r="272" spans="1:26" ht="18" customHeight="1" thickBot="1">
      <c r="A272" s="140"/>
      <c r="B272" s="140"/>
      <c r="D272" s="180" t="s">
        <v>245</v>
      </c>
      <c r="E272" s="439"/>
      <c r="F272" s="440"/>
      <c r="G272" s="441"/>
      <c r="H272" s="440"/>
      <c r="I272" s="442"/>
      <c r="J272" s="437"/>
      <c r="K272" s="1"/>
      <c r="L272" s="444" t="str">
        <f ca="1">IFERROR(L270/F270-1,"")</f>
        <v/>
      </c>
      <c r="M272" s="440"/>
      <c r="N272" s="441"/>
      <c r="O272" s="440"/>
      <c r="P272" s="445"/>
      <c r="Q272" s="445"/>
      <c r="R272" s="446" t="str">
        <f ca="1">IFERROR(IF(J270="","",(R270/J270)-1),0)</f>
        <v/>
      </c>
      <c r="T272" s="444" t="str">
        <f ca="1">IFERROR(T270/F270-1,"")</f>
        <v/>
      </c>
      <c r="U272" s="440"/>
      <c r="V272" s="441"/>
      <c r="W272" s="440"/>
      <c r="X272" s="445"/>
      <c r="Y272" s="445"/>
      <c r="Z272" s="446" t="str">
        <f>IFERROR(IF(R270="","",(Z270/R270)-1),0)</f>
        <v/>
      </c>
    </row>
    <row r="273" spans="1:26" ht="18" customHeight="1">
      <c r="A273" s="140"/>
      <c r="B273" s="140"/>
      <c r="D273" s="181" t="s">
        <v>246</v>
      </c>
      <c r="E273" s="182"/>
      <c r="F273" s="182"/>
      <c r="G273" s="182"/>
      <c r="H273" s="182"/>
      <c r="I273" s="182"/>
      <c r="J273" s="183"/>
      <c r="K273"/>
      <c r="L273" s="184"/>
      <c r="M273" s="182"/>
      <c r="N273" s="182"/>
      <c r="O273" s="182"/>
      <c r="P273" s="182"/>
      <c r="Q273" s="182"/>
      <c r="R273" s="183"/>
      <c r="T273" s="184"/>
      <c r="U273" s="182"/>
      <c r="V273" s="182"/>
      <c r="W273" s="182"/>
      <c r="X273" s="182"/>
      <c r="Y273" s="182"/>
      <c r="Z273" s="183"/>
    </row>
    <row r="274" spans="1:26" ht="18" customHeight="1" hidden="1">
      <c r="A274" s="140"/>
      <c r="B274" s="140"/>
      <c r="D274" s="185" t="s">
        <v>247</v>
      </c>
      <c r="E274" s="186"/>
      <c r="F274" s="186"/>
      <c r="G274" s="186"/>
      <c r="H274" s="186"/>
      <c r="I274" s="186"/>
      <c r="J274" s="187"/>
      <c r="K274"/>
      <c r="L274" s="188"/>
      <c r="M274" s="186"/>
      <c r="N274" s="186"/>
      <c r="O274" s="186"/>
      <c r="P274" s="186"/>
      <c r="Q274" s="186"/>
      <c r="R274" s="187"/>
      <c r="T274" s="188"/>
      <c r="U274" s="186"/>
      <c r="V274" s="186"/>
      <c r="W274" s="186"/>
      <c r="X274" s="186"/>
      <c r="Y274" s="186"/>
      <c r="Z274" s="187"/>
    </row>
    <row r="275" spans="1:26" ht="18" customHeight="1" hidden="1">
      <c r="A275" s="140"/>
      <c r="B275" s="140"/>
      <c r="D275" s="189" t="s">
        <v>248</v>
      </c>
      <c r="E275" s="190" t="e">
        <f ca="1">D264&amp;"_"&amp;D12</f>
        <v>#N/A</v>
      </c>
      <c r="F275" s="191"/>
      <c r="G275" s="191"/>
      <c r="H275" s="191"/>
      <c r="I275" s="190"/>
      <c r="J275" s="192"/>
      <c r="K275"/>
      <c r="L275" s="193" t="str">
        <f ca="1">L264&amp;"_"&amp;D12</f>
        <v>SELECT PLAN_PRIMARY</v>
      </c>
      <c r="M275" s="191"/>
      <c r="N275" s="191"/>
      <c r="O275" s="191"/>
      <c r="P275" s="190"/>
      <c r="Q275" s="191"/>
      <c r="R275" s="192"/>
      <c r="T275" s="193" t="str">
        <f>T264&amp;"_"&amp;D12</f>
        <v>SELECT PLAN_PRIMARY</v>
      </c>
      <c r="U275" s="191"/>
      <c r="V275" s="191"/>
      <c r="W275" s="191"/>
      <c r="X275" s="190"/>
      <c r="Y275" s="191"/>
      <c r="Z275" s="192"/>
    </row>
    <row r="276" spans="1:26" ht="18" customHeight="1" hidden="1">
      <c r="A276" s="140"/>
      <c r="B276" s="140"/>
      <c r="D276" s="189" t="s">
        <v>249</v>
      </c>
      <c r="E276" s="191"/>
      <c r="F276" s="191"/>
      <c r="G276" s="191"/>
      <c r="H276" s="191"/>
      <c r="I276" s="191"/>
      <c r="J276" s="192"/>
      <c r="K276"/>
      <c r="L276" s="189"/>
      <c r="M276" s="191"/>
      <c r="N276" s="191"/>
      <c r="O276" s="191"/>
      <c r="P276" s="191"/>
      <c r="Q276" s="191"/>
      <c r="R276" s="192"/>
      <c r="T276" s="189"/>
      <c r="U276" s="191"/>
      <c r="V276" s="191"/>
      <c r="W276" s="191"/>
      <c r="X276" s="191"/>
      <c r="Y276" s="191"/>
      <c r="Z276" s="192"/>
    </row>
    <row r="277" spans="1:26" ht="18" customHeight="1" hidden="1">
      <c r="A277" s="140"/>
      <c r="B277" s="140"/>
      <c r="D277" s="194" t="s">
        <v>250</v>
      </c>
      <c r="E277" s="195"/>
      <c r="F277" s="195"/>
      <c r="G277" s="195"/>
      <c r="H277" s="195"/>
      <c r="I277" s="195"/>
      <c r="J277" s="196"/>
      <c r="K277"/>
      <c r="L277" s="197"/>
      <c r="M277" s="195"/>
      <c r="N277" s="195"/>
      <c r="O277" s="195"/>
      <c r="P277" s="195"/>
      <c r="Q277" s="195"/>
      <c r="R277" s="196"/>
      <c r="T277" s="197"/>
      <c r="U277" s="195"/>
      <c r="V277" s="195"/>
      <c r="W277" s="195"/>
      <c r="X277" s="195"/>
      <c r="Y277" s="195"/>
      <c r="Z277" s="196"/>
    </row>
    <row r="278" spans="1:26" ht="18" customHeight="1" hidden="1">
      <c r="A278" s="140"/>
      <c r="B278" s="140"/>
      <c r="D278" s="198" t="s">
        <v>251</v>
      </c>
      <c r="E278" s="199" t="e">
        <f>_xlfn.XLOOKUP(E275,CurrentPlans!B:B,CurrentPlans!X:X,"NA",0,1)</f>
        <v>#N/A</v>
      </c>
      <c r="F278" s="200"/>
      <c r="G278" s="200"/>
      <c r="H278" s="200"/>
      <c r="I278" s="199"/>
      <c r="J278" s="201"/>
      <c r="K278"/>
      <c r="L278" s="202" t="str">
        <f ca="1">_xlfn.XLOOKUP(L275,RenewalPlans!B:B,RenewalPlans!AA:AA,"NA",0,1)</f>
        <v>NA</v>
      </c>
      <c r="M278" s="200"/>
      <c r="N278" s="200"/>
      <c r="O278" s="200"/>
      <c r="P278" s="199"/>
      <c r="Q278" s="200"/>
      <c r="R278" s="201"/>
      <c r="T278" s="202" t="str">
        <f>_xlfn.XLOOKUP(T275,RenewalPlans!B:B,RenewalPlans!AA:AA,"NA",0,1)</f>
        <v>NA</v>
      </c>
      <c r="U278" s="200"/>
      <c r="V278" s="200"/>
      <c r="W278" s="200"/>
      <c r="X278" s="199"/>
      <c r="Y278" s="200"/>
      <c r="Z278" s="201"/>
    </row>
    <row r="279" spans="1:26" ht="18" customHeight="1" hidden="1">
      <c r="A279" s="140"/>
      <c r="B279" s="140"/>
      <c r="D279" s="198" t="s">
        <v>252</v>
      </c>
      <c r="E279" s="199" t="e">
        <f>_xlfn.XLOOKUP(E275,CurrentPlans!B:B,CurrentPlans!Y:Y,"NA",0,1)</f>
        <v>#N/A</v>
      </c>
      <c r="F279" s="200"/>
      <c r="G279" s="200"/>
      <c r="H279" s="200"/>
      <c r="I279" s="199"/>
      <c r="J279" s="201"/>
      <c r="K279"/>
      <c r="L279" s="202" t="str">
        <f ca="1">_xlfn.XLOOKUP(L275,RenewalPlans!B:B,RenewalPlans!AB:AB,"NA",0,1)</f>
        <v>NA</v>
      </c>
      <c r="M279" s="200"/>
      <c r="N279" s="200"/>
      <c r="O279" s="200"/>
      <c r="P279" s="199"/>
      <c r="Q279" s="200"/>
      <c r="R279" s="201"/>
      <c r="T279" s="202" t="str">
        <f>_xlfn.XLOOKUP(T275,RenewalPlans!B:B,RenewalPlans!AB:AB,"NA",0,1)</f>
        <v>NA</v>
      </c>
      <c r="U279" s="200"/>
      <c r="V279" s="200"/>
      <c r="W279" s="200"/>
      <c r="X279" s="199"/>
      <c r="Y279" s="200"/>
      <c r="Z279" s="201"/>
    </row>
    <row r="280" spans="1:26" ht="18" customHeight="1" hidden="1">
      <c r="A280" s="140"/>
      <c r="B280" s="140"/>
      <c r="D280" s="120" t="s">
        <v>253</v>
      </c>
      <c r="E280" s="121" t="e">
        <f>_xlfn.XLOOKUP(E275,CurrentPlans!B:B,CurrentPlans!W:W,"NA",0,1)</f>
        <v>#N/A</v>
      </c>
      <c r="F280" s="122"/>
      <c r="G280" s="122"/>
      <c r="H280" s="122"/>
      <c r="I280" s="121"/>
      <c r="J280" s="123"/>
      <c r="K280"/>
      <c r="L280" s="124" t="str">
        <f ca="1">_xlfn.XLOOKUP(L275,RenewalPlans!B:B,RenewalPlans!Z:Z,"NA",0,1)</f>
        <v>NA</v>
      </c>
      <c r="M280" s="122"/>
      <c r="N280" s="122"/>
      <c r="O280" s="122"/>
      <c r="P280" s="121"/>
      <c r="Q280" s="122"/>
      <c r="R280" s="123"/>
      <c r="T280" s="124" t="str">
        <f>_xlfn.XLOOKUP(T275,RenewalPlans!B:B,RenewalPlans!Z:Z,"NA",0,1)</f>
        <v>NA</v>
      </c>
      <c r="U280" s="122"/>
      <c r="V280" s="122"/>
      <c r="W280" s="122"/>
      <c r="X280" s="121"/>
      <c r="Y280" s="122"/>
      <c r="Z280" s="123"/>
    </row>
    <row r="281" spans="1:26" ht="18" customHeight="1" hidden="1">
      <c r="A281" s="140"/>
      <c r="B281" s="140"/>
      <c r="D281" s="203" t="s">
        <v>254</v>
      </c>
      <c r="E281" s="204"/>
      <c r="F281" s="205"/>
      <c r="G281" s="205"/>
      <c r="H281" s="205"/>
      <c r="I281" s="204"/>
      <c r="J281" s="206"/>
      <c r="K281"/>
      <c r="L281" s="207"/>
      <c r="M281" s="205"/>
      <c r="N281" s="205"/>
      <c r="O281" s="205"/>
      <c r="P281" s="204"/>
      <c r="Q281" s="205"/>
      <c r="R281" s="206"/>
      <c r="T281" s="207"/>
      <c r="U281" s="205"/>
      <c r="V281" s="205"/>
      <c r="W281" s="205"/>
      <c r="X281" s="204"/>
      <c r="Y281" s="205"/>
      <c r="Z281" s="206"/>
    </row>
    <row r="282" spans="1:26" ht="18" customHeight="1" hidden="1">
      <c r="A282" s="140"/>
      <c r="B282" s="140"/>
      <c r="D282" s="125" t="s">
        <v>255</v>
      </c>
      <c r="E282" s="126" t="e">
        <f>_xlfn.XLOOKUP(E275,CurrentPlans!B:B,CurrentPlans!Z:Z,"NA",0,1)</f>
        <v>#N/A</v>
      </c>
      <c r="F282" s="127"/>
      <c r="G282" s="127"/>
      <c r="H282" s="127"/>
      <c r="I282" s="126"/>
      <c r="J282" s="128"/>
      <c r="K282"/>
      <c r="L282" s="129" t="str">
        <f ca="1">_xlfn.XLOOKUP(L275,RenewalPlans!B:B,RenewalPlans!AC:AC,"NA",0,1)</f>
        <v>NA</v>
      </c>
      <c r="M282" s="127"/>
      <c r="N282" s="127"/>
      <c r="O282" s="127"/>
      <c r="P282" s="126"/>
      <c r="Q282" s="127"/>
      <c r="R282" s="128"/>
      <c r="T282" s="129" t="str">
        <f>_xlfn.XLOOKUP(T275,RenewalPlans!B:B,RenewalPlans!AC:AC,"NA",0,1)</f>
        <v>NA</v>
      </c>
      <c r="U282" s="127"/>
      <c r="V282" s="127"/>
      <c r="W282" s="127"/>
      <c r="X282" s="126"/>
      <c r="Y282" s="127"/>
      <c r="Z282" s="128"/>
    </row>
    <row r="283" spans="1:26" ht="18" customHeight="1" hidden="1">
      <c r="A283" s="140"/>
      <c r="B283" s="140"/>
      <c r="D283" s="198" t="s">
        <v>256</v>
      </c>
      <c r="E283" s="208" t="e">
        <f>_xlfn.XLOOKUP(E275,CurrentPlans!B:B,CurrentPlans!AA:AA,"NA",0,1)</f>
        <v>#N/A</v>
      </c>
      <c r="F283" s="200"/>
      <c r="G283" s="200"/>
      <c r="H283" s="200"/>
      <c r="I283" s="208"/>
      <c r="J283" s="201"/>
      <c r="K283"/>
      <c r="L283" s="209" t="str">
        <f ca="1">_xlfn.XLOOKUP(L275,RenewalPlans!B:B,RenewalPlans!AD:AD,"NA",0,1)</f>
        <v>NA</v>
      </c>
      <c r="M283" s="200"/>
      <c r="N283" s="200"/>
      <c r="O283" s="200"/>
      <c r="P283" s="208"/>
      <c r="Q283" s="200"/>
      <c r="R283" s="201"/>
      <c r="T283" s="209" t="str">
        <f>_xlfn.XLOOKUP(T275,RenewalPlans!B:B,RenewalPlans!AD:AD,"NA",0,1)</f>
        <v>NA</v>
      </c>
      <c r="U283" s="200"/>
      <c r="V283" s="200"/>
      <c r="W283" s="200"/>
      <c r="X283" s="208"/>
      <c r="Y283" s="200"/>
      <c r="Z283" s="201"/>
    </row>
    <row r="284" spans="1:26" ht="18" customHeight="1" hidden="1">
      <c r="A284" s="140"/>
      <c r="B284" s="140"/>
      <c r="D284" s="203" t="s">
        <v>257</v>
      </c>
      <c r="E284" s="204"/>
      <c r="F284" s="205"/>
      <c r="G284" s="205"/>
      <c r="H284" s="205"/>
      <c r="I284" s="204"/>
      <c r="J284" s="206"/>
      <c r="K284"/>
      <c r="L284" s="207"/>
      <c r="M284" s="205"/>
      <c r="N284" s="205"/>
      <c r="O284" s="205"/>
      <c r="P284" s="204"/>
      <c r="Q284" s="205"/>
      <c r="R284" s="206"/>
      <c r="T284" s="207"/>
      <c r="U284" s="205"/>
      <c r="V284" s="205"/>
      <c r="W284" s="205"/>
      <c r="X284" s="204"/>
      <c r="Y284" s="205"/>
      <c r="Z284" s="206"/>
    </row>
    <row r="285" spans="1:26" ht="18" customHeight="1" hidden="1">
      <c r="A285" s="140"/>
      <c r="B285" s="140"/>
      <c r="D285" s="198" t="s">
        <v>258</v>
      </c>
      <c r="E285" s="208" t="e">
        <f>_xlfn.XLOOKUP(E275,CurrentPlans!B:B,CurrentPlans!AB:AB,"NA",0,1)</f>
        <v>#N/A</v>
      </c>
      <c r="F285" s="200"/>
      <c r="G285" s="200"/>
      <c r="H285" s="200"/>
      <c r="I285" s="208"/>
      <c r="J285" s="201"/>
      <c r="K285"/>
      <c r="L285" s="209" t="str">
        <f ca="1">_xlfn.XLOOKUP(L275,RenewalPlans!B:B,RenewalPlans!AE:AE,"NA",0,1)</f>
        <v>NA</v>
      </c>
      <c r="M285" s="200"/>
      <c r="N285" s="200"/>
      <c r="O285" s="200"/>
      <c r="P285" s="208"/>
      <c r="Q285" s="200"/>
      <c r="R285" s="201"/>
      <c r="T285" s="209" t="str">
        <f>_xlfn.XLOOKUP(T275,RenewalPlans!B:B,RenewalPlans!AE:AE,"NA",0,1)</f>
        <v>NA</v>
      </c>
      <c r="U285" s="200"/>
      <c r="V285" s="200"/>
      <c r="W285" s="200"/>
      <c r="X285" s="208"/>
      <c r="Y285" s="200"/>
      <c r="Z285" s="201"/>
    </row>
    <row r="286" spans="1:26" ht="18" customHeight="1" hidden="1">
      <c r="A286" s="140"/>
      <c r="B286" s="140"/>
      <c r="D286" s="198" t="s">
        <v>259</v>
      </c>
      <c r="E286" s="208" t="e">
        <f>_xlfn.XLOOKUP(E275,CurrentPlans!B:B,CurrentPlans!AC:AC,"NA",0,1)</f>
        <v>#N/A</v>
      </c>
      <c r="F286" s="200"/>
      <c r="G286" s="200"/>
      <c r="H286" s="200"/>
      <c r="I286" s="208"/>
      <c r="J286" s="201"/>
      <c r="K286"/>
      <c r="L286" s="209" t="str">
        <f ca="1">_xlfn.XLOOKUP(L275,RenewalPlans!B:B,RenewalPlans!AF:AF,"NA",0,1)</f>
        <v>NA</v>
      </c>
      <c r="M286" s="200"/>
      <c r="N286" s="200"/>
      <c r="O286" s="200"/>
      <c r="P286" s="208"/>
      <c r="Q286" s="200"/>
      <c r="R286" s="201"/>
      <c r="T286" s="209" t="str">
        <f>_xlfn.XLOOKUP(T275,RenewalPlans!B:B,RenewalPlans!AF:AF,"NA",0,1)</f>
        <v>NA</v>
      </c>
      <c r="U286" s="200"/>
      <c r="V286" s="200"/>
      <c r="W286" s="200"/>
      <c r="X286" s="208"/>
      <c r="Y286" s="200"/>
      <c r="Z286" s="201"/>
    </row>
    <row r="287" spans="1:26" ht="18" customHeight="1" hidden="1">
      <c r="A287" s="140"/>
      <c r="B287" s="140"/>
      <c r="D287" s="210"/>
      <c r="E287" s="211"/>
      <c r="F287" s="211"/>
      <c r="G287" s="211"/>
      <c r="H287" s="211"/>
      <c r="I287" s="211"/>
      <c r="J287" s="212"/>
      <c r="K287"/>
      <c r="L287" s="210"/>
      <c r="M287" s="211"/>
      <c r="N287" s="211"/>
      <c r="O287" s="211"/>
      <c r="P287" s="211"/>
      <c r="Q287" s="211"/>
      <c r="R287" s="212"/>
      <c r="T287" s="210"/>
      <c r="U287" s="211"/>
      <c r="V287" s="211"/>
      <c r="W287" s="211"/>
      <c r="X287" s="211"/>
      <c r="Y287" s="211"/>
      <c r="Z287" s="212"/>
    </row>
    <row r="288" spans="1:26" ht="18" customHeight="1" hidden="1">
      <c r="A288" s="140"/>
      <c r="B288" s="140"/>
      <c r="D288" s="185" t="s">
        <v>260</v>
      </c>
      <c r="E288" s="186"/>
      <c r="F288" s="186"/>
      <c r="G288" s="186"/>
      <c r="H288" s="186"/>
      <c r="I288" s="186"/>
      <c r="J288" s="187"/>
      <c r="K288"/>
      <c r="L288" s="188"/>
      <c r="M288" s="186"/>
      <c r="N288" s="186"/>
      <c r="O288" s="186"/>
      <c r="P288" s="186"/>
      <c r="Q288" s="186"/>
      <c r="R288" s="187"/>
      <c r="T288" s="188"/>
      <c r="U288" s="186"/>
      <c r="V288" s="186"/>
      <c r="W288" s="186"/>
      <c r="X288" s="186"/>
      <c r="Y288" s="186"/>
      <c r="Z288" s="187"/>
    </row>
    <row r="289" spans="1:26" ht="18" customHeight="1" hidden="1">
      <c r="A289" s="140"/>
      <c r="B289" s="140"/>
      <c r="D289" s="213" t="s">
        <v>261</v>
      </c>
      <c r="E289" s="130" t="e">
        <f>_xlfn.XLOOKUP(E275,CurrentPlans!B:B,CurrentPlans!AJ:AJ,"NA",0,1)</f>
        <v>#N/A</v>
      </c>
      <c r="F289" s="214"/>
      <c r="G289" s="214"/>
      <c r="H289" s="214"/>
      <c r="I289" s="130"/>
      <c r="J289" s="215"/>
      <c r="K289"/>
      <c r="L289" s="131" t="str">
        <f ca="1">_xlfn.XLOOKUP(L275,RenewalPlans!B:B,RenewalPlans!AM:AM,"NA",0,1)</f>
        <v>NA</v>
      </c>
      <c r="M289" s="214"/>
      <c r="N289" s="214"/>
      <c r="O289" s="214"/>
      <c r="P289" s="130"/>
      <c r="Q289" s="214"/>
      <c r="R289" s="215"/>
      <c r="T289" s="131" t="str">
        <f>_xlfn.XLOOKUP(T275,RenewalPlans!B:B,RenewalPlans!AM:AM,"NA",0,1)</f>
        <v>NA</v>
      </c>
      <c r="U289" s="214"/>
      <c r="V289" s="214"/>
      <c r="W289" s="214"/>
      <c r="X289" s="130"/>
      <c r="Y289" s="214"/>
      <c r="Z289" s="215"/>
    </row>
    <row r="290" spans="1:26" ht="18" customHeight="1" hidden="1">
      <c r="A290" s="140"/>
      <c r="B290" s="140"/>
      <c r="D290" s="198" t="s">
        <v>262</v>
      </c>
      <c r="E290" s="130" t="e">
        <f>_xlfn.XLOOKUP(E275,CurrentPlans!B:B,CurrentPlans!AM:AM,"NA",0,1)</f>
        <v>#N/A</v>
      </c>
      <c r="F290" s="200"/>
      <c r="G290" s="200"/>
      <c r="H290" s="200"/>
      <c r="I290" s="130"/>
      <c r="J290" s="201"/>
      <c r="K290"/>
      <c r="L290" s="131" t="str">
        <f ca="1">_xlfn.XLOOKUP(L275,RenewalPlans!B:B,RenewalPlans!AP:AP,"NA",0,1)</f>
        <v>NA</v>
      </c>
      <c r="M290" s="200"/>
      <c r="N290" s="200"/>
      <c r="O290" s="200"/>
      <c r="P290" s="130"/>
      <c r="Q290" s="200"/>
      <c r="R290" s="201"/>
      <c r="T290" s="131" t="str">
        <f>_xlfn.XLOOKUP(T275,RenewalPlans!B:B,RenewalPlans!AP:AP,"NA",0,1)</f>
        <v>NA</v>
      </c>
      <c r="U290" s="200"/>
      <c r="V290" s="200"/>
      <c r="W290" s="200"/>
      <c r="X290" s="130"/>
      <c r="Y290" s="200"/>
      <c r="Z290" s="201"/>
    </row>
    <row r="291" spans="1:26" ht="18" customHeight="1" hidden="1">
      <c r="A291" s="140"/>
      <c r="B291" s="140"/>
      <c r="D291" s="198" t="s">
        <v>263</v>
      </c>
      <c r="E291" s="130" t="e">
        <f>_xlfn.XLOOKUP(E275,CurrentPlans!B:B,CurrentPlans!AI:AI,"NA",0,1)</f>
        <v>#N/A</v>
      </c>
      <c r="F291" s="200"/>
      <c r="G291" s="200"/>
      <c r="H291" s="200"/>
      <c r="I291" s="130"/>
      <c r="J291" s="201"/>
      <c r="K291"/>
      <c r="L291" s="131" t="str">
        <f ca="1">_xlfn.XLOOKUP(L275,RenewalPlans!B:B,RenewalPlans!AL:AL,"NA",0,1)</f>
        <v>NA</v>
      </c>
      <c r="M291" s="200"/>
      <c r="N291" s="200"/>
      <c r="O291" s="200"/>
      <c r="P291" s="130"/>
      <c r="Q291" s="200"/>
      <c r="R291" s="201"/>
      <c r="T291" s="131" t="str">
        <f>_xlfn.XLOOKUP(T275,RenewalPlans!B:B,RenewalPlans!AL:AL,"NA",0,1)</f>
        <v>NA</v>
      </c>
      <c r="U291" s="200"/>
      <c r="V291" s="200"/>
      <c r="W291" s="200"/>
      <c r="X291" s="130"/>
      <c r="Y291" s="200"/>
      <c r="Z291" s="201"/>
    </row>
    <row r="292" spans="1:26" ht="18" customHeight="1" hidden="1">
      <c r="A292" s="140"/>
      <c r="B292" s="140"/>
      <c r="D292" s="198" t="s">
        <v>264</v>
      </c>
      <c r="E292" s="208" t="e">
        <f>_xlfn.XLOOKUP(E275,CurrentPlans!B:B,CurrentPlans!AN:AN,"NA",0,1)</f>
        <v>#N/A</v>
      </c>
      <c r="F292" s="200"/>
      <c r="G292" s="200"/>
      <c r="H292" s="200"/>
      <c r="I292" s="208"/>
      <c r="J292" s="201"/>
      <c r="K292"/>
      <c r="L292" s="209" t="str">
        <f ca="1">_xlfn.XLOOKUP(L275,RenewalPlans!B:B,RenewalPlans!AQ:AQ,"NA",0,1)</f>
        <v>NA</v>
      </c>
      <c r="M292" s="200"/>
      <c r="N292" s="200"/>
      <c r="O292" s="200"/>
      <c r="P292" s="208"/>
      <c r="Q292" s="200"/>
      <c r="R292" s="201"/>
      <c r="T292" s="209" t="str">
        <f>_xlfn.XLOOKUP(T275,RenewalPlans!B:B,RenewalPlans!AQ:AQ,"NA",0,1)</f>
        <v>NA</v>
      </c>
      <c r="U292" s="200"/>
      <c r="V292" s="200"/>
      <c r="W292" s="200"/>
      <c r="X292" s="208"/>
      <c r="Y292" s="200"/>
      <c r="Z292" s="201"/>
    </row>
    <row r="293" spans="1:26" ht="18" customHeight="1" hidden="1">
      <c r="A293" s="140"/>
      <c r="B293" s="140"/>
      <c r="D293" s="210"/>
      <c r="E293" s="211"/>
      <c r="F293" s="211"/>
      <c r="G293" s="211"/>
      <c r="H293" s="211"/>
      <c r="I293" s="211"/>
      <c r="J293" s="212"/>
      <c r="K293"/>
      <c r="L293" s="210"/>
      <c r="M293" s="211"/>
      <c r="N293" s="211"/>
      <c r="O293" s="211"/>
      <c r="P293" s="211"/>
      <c r="Q293" s="211"/>
      <c r="R293" s="212"/>
      <c r="T293" s="210"/>
      <c r="U293" s="211"/>
      <c r="V293" s="211"/>
      <c r="W293" s="211"/>
      <c r="X293" s="211"/>
      <c r="Y293" s="211"/>
      <c r="Z293" s="212"/>
    </row>
    <row r="294" spans="1:26" ht="18" customHeight="1" hidden="1">
      <c r="A294" s="140"/>
      <c r="B294" s="140"/>
      <c r="D294" s="185" t="s">
        <v>265</v>
      </c>
      <c r="E294" s="186"/>
      <c r="F294" s="186"/>
      <c r="G294" s="186"/>
      <c r="H294" s="186"/>
      <c r="I294" s="186"/>
      <c r="J294" s="187"/>
      <c r="K294"/>
      <c r="L294" s="188"/>
      <c r="M294" s="186"/>
      <c r="N294" s="186"/>
      <c r="O294" s="186"/>
      <c r="P294" s="186"/>
      <c r="Q294" s="186"/>
      <c r="R294" s="187"/>
      <c r="T294" s="188"/>
      <c r="U294" s="186"/>
      <c r="V294" s="186"/>
      <c r="W294" s="186"/>
      <c r="X294" s="186"/>
      <c r="Y294" s="186"/>
      <c r="Z294" s="187"/>
    </row>
    <row r="295" spans="1:26" ht="18" customHeight="1" hidden="1">
      <c r="A295" s="140"/>
      <c r="B295" s="140"/>
      <c r="D295" s="132" t="s">
        <v>266</v>
      </c>
      <c r="E295" s="133" t="e">
        <f>_xlfn.XLOOKUP(E275,CurrentPlans!B:B,CurrentPlans!AE:AE,"NA",0,1)</f>
        <v>#N/A</v>
      </c>
      <c r="F295" s="134"/>
      <c r="G295" s="134"/>
      <c r="H295" s="134"/>
      <c r="I295" s="133"/>
      <c r="J295" s="135"/>
      <c r="K295"/>
      <c r="L295" s="136" t="str">
        <f ca="1">_xlfn.XLOOKUP(L275,RenewalPlans!B:B,RenewalPlans!AH:AH,"NA",0,1)</f>
        <v>NA</v>
      </c>
      <c r="M295" s="134"/>
      <c r="N295" s="134"/>
      <c r="O295" s="134"/>
      <c r="P295" s="133"/>
      <c r="Q295" s="134"/>
      <c r="R295" s="135"/>
      <c r="T295" s="136" t="str">
        <f>_xlfn.XLOOKUP(T275,RenewalPlans!B:B,RenewalPlans!AH:AH,"NA",0,1)</f>
        <v>NA</v>
      </c>
      <c r="U295" s="134"/>
      <c r="V295" s="134"/>
      <c r="W295" s="134"/>
      <c r="X295" s="133"/>
      <c r="Y295" s="134"/>
      <c r="Z295" s="135"/>
    </row>
    <row r="296" spans="1:26" ht="18" customHeight="1" hidden="1">
      <c r="A296" s="140"/>
      <c r="B296" s="140"/>
      <c r="D296" s="120" t="s">
        <v>267</v>
      </c>
      <c r="E296" s="130" t="e">
        <f>_xlfn.XLOOKUP(E275,CurrentPlans!B:B,CurrentPlans!AF:AF,"NA",0,1)</f>
        <v>#N/A</v>
      </c>
      <c r="F296" s="122"/>
      <c r="G296" s="122"/>
      <c r="H296" s="122"/>
      <c r="I296" s="130"/>
      <c r="J296" s="123"/>
      <c r="K296"/>
      <c r="L296" s="131" t="str">
        <f ca="1">_xlfn.XLOOKUP(L275,RenewalPlans!B:B,RenewalPlans!AI:AI,"NA",0,1)</f>
        <v>NA</v>
      </c>
      <c r="M296" s="122"/>
      <c r="N296" s="122"/>
      <c r="O296" s="122"/>
      <c r="P296" s="130"/>
      <c r="Q296" s="122"/>
      <c r="R296" s="123"/>
      <c r="T296" s="131" t="str">
        <f>_xlfn.XLOOKUP(T275,RenewalPlans!B:B,RenewalPlans!AI:AI,"NA",0,1)</f>
        <v>NA</v>
      </c>
      <c r="U296" s="122"/>
      <c r="V296" s="122"/>
      <c r="W296" s="122"/>
      <c r="X296" s="130"/>
      <c r="Y296" s="122"/>
      <c r="Z296" s="123"/>
    </row>
    <row r="297" spans="1:26" ht="18" customHeight="1" hidden="1">
      <c r="A297" s="140"/>
      <c r="B297" s="140"/>
      <c r="D297" s="198" t="s">
        <v>268</v>
      </c>
      <c r="E297" s="130" t="e">
        <f>_xlfn.XLOOKUP(E275,CurrentPlans!B:B,CurrentPlans!AH:AH,"NA",0,1)</f>
        <v>#N/A</v>
      </c>
      <c r="F297" s="200"/>
      <c r="G297" s="200"/>
      <c r="H297" s="200"/>
      <c r="I297" s="130"/>
      <c r="J297" s="201"/>
      <c r="K297"/>
      <c r="L297" s="131" t="str">
        <f ca="1">_xlfn.XLOOKUP(L275,RenewalPlans!B:B,RenewalPlans!AK:AK,"NA",0,1)</f>
        <v>NA</v>
      </c>
      <c r="M297" s="200"/>
      <c r="N297" s="200"/>
      <c r="O297" s="200"/>
      <c r="P297" s="130"/>
      <c r="Q297" s="200"/>
      <c r="R297" s="201"/>
      <c r="T297" s="131" t="str">
        <f>_xlfn.XLOOKUP(T275,RenewalPlans!B:B,RenewalPlans!AK:AK,"NA",0,1)</f>
        <v>NA</v>
      </c>
      <c r="U297" s="200"/>
      <c r="V297" s="200"/>
      <c r="W297" s="200"/>
      <c r="X297" s="130"/>
      <c r="Y297" s="200"/>
      <c r="Z297" s="201"/>
    </row>
    <row r="298" spans="1:26" ht="18" customHeight="1" hidden="1">
      <c r="A298" s="140"/>
      <c r="B298" s="140"/>
      <c r="D298" s="198" t="s">
        <v>269</v>
      </c>
      <c r="E298" s="130" t="e">
        <f>_xlfn.XLOOKUP(E275,CurrentPlans!B:B,CurrentPlans!AG:AG,"NA",0,1)</f>
        <v>#N/A</v>
      </c>
      <c r="F298" s="200"/>
      <c r="G298" s="200"/>
      <c r="H298" s="200"/>
      <c r="I298" s="130"/>
      <c r="J298" s="201"/>
      <c r="K298"/>
      <c r="L298" s="131" t="str">
        <f ca="1">_xlfn.XLOOKUP(L275,RenewalPlans!B:B,RenewalPlans!AJ:AJ,"NA",0,1)</f>
        <v>NA</v>
      </c>
      <c r="M298" s="200"/>
      <c r="N298" s="200"/>
      <c r="O298" s="200"/>
      <c r="P298" s="130"/>
      <c r="Q298" s="200"/>
      <c r="R298" s="201"/>
      <c r="T298" s="131" t="str">
        <f>_xlfn.XLOOKUP(T275,RenewalPlans!B:B,RenewalPlans!AJ:AJ,"NA",0,1)</f>
        <v>NA</v>
      </c>
      <c r="U298" s="200"/>
      <c r="V298" s="200"/>
      <c r="W298" s="200"/>
      <c r="X298" s="130"/>
      <c r="Y298" s="200"/>
      <c r="Z298" s="201"/>
    </row>
    <row r="299" spans="1:26" ht="18" customHeight="1" hidden="1">
      <c r="A299" s="140"/>
      <c r="B299" s="140"/>
      <c r="D299" s="213" t="s">
        <v>270</v>
      </c>
      <c r="E299" s="216" t="e">
        <f>_xlfn.XLOOKUP(E275,CurrentPlans!B:B,CurrentPlans!AU:AU,"NA",0,1)</f>
        <v>#N/A</v>
      </c>
      <c r="F299" s="214"/>
      <c r="G299" s="214"/>
      <c r="H299" s="214"/>
      <c r="I299" s="217"/>
      <c r="J299" s="215"/>
      <c r="K299"/>
      <c r="L299" s="218" t="str">
        <f ca="1">_xlfn.XLOOKUP(L275,RenewalPlans!B:B,RenewalPlans!AX:AX,"NA",0,1)</f>
        <v>NA</v>
      </c>
      <c r="M299" s="214"/>
      <c r="N299" s="214"/>
      <c r="O299" s="214"/>
      <c r="P299" s="217"/>
      <c r="Q299" s="214"/>
      <c r="R299" s="215"/>
      <c r="T299" s="218" t="str">
        <f>_xlfn.XLOOKUP(T275,RenewalPlans!B:B,RenewalPlans!AX:AX,"NA",0,1)</f>
        <v>NA</v>
      </c>
      <c r="U299" s="214"/>
      <c r="V299" s="214"/>
      <c r="W299" s="214"/>
      <c r="X299" s="217"/>
      <c r="Y299" s="214"/>
      <c r="Z299" s="215"/>
    </row>
    <row r="300" spans="1:26" ht="18" customHeight="1" hidden="1">
      <c r="A300" s="140"/>
      <c r="B300" s="140"/>
      <c r="D300" s="213" t="s">
        <v>271</v>
      </c>
      <c r="E300" s="216" t="e">
        <f>_xlfn.XLOOKUP(E275,CurrentPlans!B:B,CurrentPlans!AT:AT,"NA",0,1)</f>
        <v>#N/A</v>
      </c>
      <c r="F300" s="214"/>
      <c r="G300" s="214"/>
      <c r="H300" s="214"/>
      <c r="I300" s="217"/>
      <c r="J300" s="215"/>
      <c r="K300"/>
      <c r="L300" s="218" t="str">
        <f ca="1">_xlfn.XLOOKUP(L275,RenewalPlans!B:B,RenewalPlans!AW:AW,"NA",0,1)</f>
        <v>NA</v>
      </c>
      <c r="M300" s="214"/>
      <c r="N300" s="214"/>
      <c r="O300" s="214"/>
      <c r="P300" s="217"/>
      <c r="Q300" s="214"/>
      <c r="R300" s="215"/>
      <c r="T300" s="218" t="str">
        <f>_xlfn.XLOOKUP(T275,RenewalPlans!B:B,RenewalPlans!AW:AW,"NA",0,1)</f>
        <v>NA</v>
      </c>
      <c r="U300" s="214"/>
      <c r="V300" s="214"/>
      <c r="W300" s="214"/>
      <c r="X300" s="217"/>
      <c r="Y300" s="214"/>
      <c r="Z300" s="215"/>
    </row>
    <row r="301" spans="1:26" ht="18" customHeight="1" hidden="1">
      <c r="A301" s="140"/>
      <c r="B301" s="140"/>
      <c r="D301" s="198" t="s">
        <v>272</v>
      </c>
      <c r="E301" s="130" t="e">
        <f>_xlfn.XLOOKUP(E275,CurrentPlans!B:B,CurrentPlans!AD:AD,"NA",0,1)</f>
        <v>#N/A</v>
      </c>
      <c r="F301" s="200"/>
      <c r="G301" s="200"/>
      <c r="H301" s="200"/>
      <c r="I301" s="130"/>
      <c r="J301" s="201"/>
      <c r="K301"/>
      <c r="L301" s="131" t="str">
        <f ca="1">_xlfn.XLOOKUP(L275,RenewalPlans!B:B,RenewalPlans!AG:AG,"NA",0,1)</f>
        <v>NA</v>
      </c>
      <c r="M301" s="200"/>
      <c r="N301" s="200"/>
      <c r="O301" s="200"/>
      <c r="P301" s="130"/>
      <c r="Q301" s="200"/>
      <c r="R301" s="201"/>
      <c r="T301" s="131" t="str">
        <f>_xlfn.XLOOKUP(T275,RenewalPlans!B:B,RenewalPlans!AG:AG,"NA",0,1)</f>
        <v>NA</v>
      </c>
      <c r="U301" s="200"/>
      <c r="V301" s="200"/>
      <c r="W301" s="200"/>
      <c r="X301" s="130"/>
      <c r="Y301" s="200"/>
      <c r="Z301" s="201"/>
    </row>
    <row r="302" spans="1:26" ht="18" customHeight="1" hidden="1">
      <c r="A302" s="140"/>
      <c r="B302" s="140"/>
      <c r="D302" s="198" t="s">
        <v>273</v>
      </c>
      <c r="E302" s="200"/>
      <c r="F302" s="200"/>
      <c r="G302" s="200"/>
      <c r="H302" s="200"/>
      <c r="I302" s="200"/>
      <c r="J302" s="201"/>
      <c r="K302"/>
      <c r="L302" s="198"/>
      <c r="M302" s="200"/>
      <c r="N302" s="200"/>
      <c r="O302" s="200"/>
      <c r="P302" s="200"/>
      <c r="Q302" s="200"/>
      <c r="R302" s="201"/>
      <c r="T302" s="198"/>
      <c r="U302" s="200"/>
      <c r="V302" s="200"/>
      <c r="W302" s="200"/>
      <c r="X302" s="200"/>
      <c r="Y302" s="200"/>
      <c r="Z302" s="201"/>
    </row>
    <row r="303" spans="1:26" ht="18" customHeight="1" hidden="1">
      <c r="A303" s="140"/>
      <c r="B303" s="140"/>
      <c r="D303" s="210"/>
      <c r="E303" s="211"/>
      <c r="F303" s="211"/>
      <c r="G303" s="211"/>
      <c r="H303" s="211"/>
      <c r="I303" s="211"/>
      <c r="J303" s="212"/>
      <c r="K303"/>
      <c r="L303" s="210"/>
      <c r="M303" s="211"/>
      <c r="N303" s="211"/>
      <c r="O303" s="211"/>
      <c r="P303" s="211"/>
      <c r="Q303" s="211"/>
      <c r="R303" s="212"/>
      <c r="T303" s="210"/>
      <c r="U303" s="211"/>
      <c r="V303" s="211"/>
      <c r="W303" s="211"/>
      <c r="X303" s="211"/>
      <c r="Y303" s="211"/>
      <c r="Z303" s="212"/>
    </row>
    <row r="304" spans="1:26" ht="18" customHeight="1" hidden="1">
      <c r="A304" s="140"/>
      <c r="B304" s="140"/>
      <c r="D304" s="219" t="s">
        <v>274</v>
      </c>
      <c r="E304" s="220"/>
      <c r="F304" s="220"/>
      <c r="G304" s="220"/>
      <c r="H304" s="220"/>
      <c r="I304" s="220"/>
      <c r="J304" s="221"/>
      <c r="K304"/>
      <c r="L304" s="222"/>
      <c r="M304" s="220"/>
      <c r="N304" s="220"/>
      <c r="O304" s="220"/>
      <c r="P304" s="220"/>
      <c r="Q304" s="220"/>
      <c r="R304" s="221"/>
      <c r="T304" s="222"/>
      <c r="U304" s="220"/>
      <c r="V304" s="220"/>
      <c r="W304" s="220"/>
      <c r="X304" s="220"/>
      <c r="Y304" s="220"/>
      <c r="Z304" s="221"/>
    </row>
    <row r="305" spans="1:26" ht="18" customHeight="1" hidden="1">
      <c r="A305" s="140"/>
      <c r="B305" s="140"/>
      <c r="D305" s="223" t="s">
        <v>250</v>
      </c>
      <c r="E305" s="205"/>
      <c r="F305" s="205"/>
      <c r="G305" s="205"/>
      <c r="H305" s="205"/>
      <c r="I305" s="205"/>
      <c r="J305" s="206"/>
      <c r="K305"/>
      <c r="L305" s="203"/>
      <c r="M305" s="205"/>
      <c r="N305" s="205"/>
      <c r="O305" s="205"/>
      <c r="P305" s="205"/>
      <c r="Q305" s="205"/>
      <c r="R305" s="206"/>
      <c r="T305" s="203"/>
      <c r="U305" s="205"/>
      <c r="V305" s="205"/>
      <c r="W305" s="205"/>
      <c r="X305" s="205"/>
      <c r="Y305" s="205"/>
      <c r="Z305" s="206"/>
    </row>
    <row r="306" spans="1:26" ht="18" customHeight="1" hidden="1">
      <c r="A306" s="140"/>
      <c r="B306" s="140"/>
      <c r="D306" s="198" t="s">
        <v>251</v>
      </c>
      <c r="E306" s="130" t="e">
        <f>_xlfn.XLOOKUP(E275,CurrentPlans!B:B,CurrentPlans!AP:AP,"NA",0,1)</f>
        <v>#N/A</v>
      </c>
      <c r="F306" s="200"/>
      <c r="G306" s="200"/>
      <c r="H306" s="200"/>
      <c r="I306" s="130"/>
      <c r="J306" s="201"/>
      <c r="K306"/>
      <c r="L306" s="131" t="str">
        <f ca="1">_xlfn.XLOOKUP(L275,RenewalPlans!B:B,RenewalPlans!AS:AS,"NA",0,1)</f>
        <v>NA</v>
      </c>
      <c r="M306" s="200"/>
      <c r="N306" s="200"/>
      <c r="O306" s="200"/>
      <c r="P306" s="130"/>
      <c r="Q306" s="200"/>
      <c r="R306" s="201"/>
      <c r="T306" s="131" t="str">
        <f>_xlfn.XLOOKUP(T275,RenewalPlans!B:B,RenewalPlans!AS:AS,"NA",0,1)</f>
        <v>NA</v>
      </c>
      <c r="U306" s="200"/>
      <c r="V306" s="200"/>
      <c r="W306" s="200"/>
      <c r="X306" s="130"/>
      <c r="Y306" s="200"/>
      <c r="Z306" s="201"/>
    </row>
    <row r="307" spans="1:26" ht="18" customHeight="1" hidden="1">
      <c r="A307" s="140"/>
      <c r="B307" s="140"/>
      <c r="D307" s="198" t="s">
        <v>252</v>
      </c>
      <c r="E307" s="130" t="e">
        <f>_xlfn.XLOOKUP(E275,CurrentPlans!B:B,CurrentPlans!AQ:AQ,"NA",0,1)</f>
        <v>#N/A</v>
      </c>
      <c r="F307" s="200"/>
      <c r="G307" s="200"/>
      <c r="H307" s="200"/>
      <c r="I307" s="130"/>
      <c r="J307" s="201"/>
      <c r="K307"/>
      <c r="L307" s="131" t="str">
        <f ca="1">_xlfn.XLOOKUP(L275,RenewalPlans!B:B,RenewalPlans!AT:AT,"NA",0,1)</f>
        <v>NA</v>
      </c>
      <c r="M307" s="200"/>
      <c r="N307" s="200"/>
      <c r="O307" s="200"/>
      <c r="P307" s="130"/>
      <c r="Q307" s="200"/>
      <c r="R307" s="201"/>
      <c r="T307" s="131" t="str">
        <f>_xlfn.XLOOKUP(T275,RenewalPlans!B:B,RenewalPlans!AT:AT,"NA",0,1)</f>
        <v>NA</v>
      </c>
      <c r="U307" s="200"/>
      <c r="V307" s="200"/>
      <c r="W307" s="200"/>
      <c r="X307" s="130"/>
      <c r="Y307" s="200"/>
      <c r="Z307" s="201"/>
    </row>
    <row r="308" spans="1:26" ht="18" customHeight="1" hidden="1">
      <c r="A308" s="140"/>
      <c r="B308" s="140"/>
      <c r="D308" s="120" t="s">
        <v>253</v>
      </c>
      <c r="E308" s="133" t="e">
        <f>_xlfn.XLOOKUP(E275,CurrentPlans!B:B,CurrentPlans!AO:AO,"NA",0,1)</f>
        <v>#N/A</v>
      </c>
      <c r="F308" s="122"/>
      <c r="G308" s="122"/>
      <c r="H308" s="122"/>
      <c r="I308" s="133"/>
      <c r="J308" s="123"/>
      <c r="K308"/>
      <c r="L308" s="136" t="str">
        <f ca="1">_xlfn.XLOOKUP(L275,RenewalPlans!B:B,RenewalPlans!AR:AR,"NA",0,1)</f>
        <v>NA</v>
      </c>
      <c r="M308" s="122"/>
      <c r="N308" s="122"/>
      <c r="O308" s="122"/>
      <c r="P308" s="133"/>
      <c r="Q308" s="122"/>
      <c r="R308" s="123"/>
      <c r="T308" s="136" t="str">
        <f>_xlfn.XLOOKUP(T275,RenewalPlans!B:B,RenewalPlans!AR:AR,"NA",0,1)</f>
        <v>NA</v>
      </c>
      <c r="U308" s="122"/>
      <c r="V308" s="122"/>
      <c r="W308" s="122"/>
      <c r="X308" s="133"/>
      <c r="Y308" s="122"/>
      <c r="Z308" s="123"/>
    </row>
    <row r="309" spans="1:26" ht="18" customHeight="1" hidden="1">
      <c r="A309" s="140"/>
      <c r="B309" s="140"/>
      <c r="D309" s="223" t="s">
        <v>254</v>
      </c>
      <c r="E309" s="205"/>
      <c r="F309" s="205"/>
      <c r="G309" s="205"/>
      <c r="H309" s="205"/>
      <c r="I309" s="205"/>
      <c r="J309" s="206"/>
      <c r="K309"/>
      <c r="L309" s="203"/>
      <c r="M309" s="205"/>
      <c r="N309" s="205"/>
      <c r="O309" s="205"/>
      <c r="P309" s="205"/>
      <c r="Q309" s="205"/>
      <c r="R309" s="206"/>
      <c r="T309" s="203"/>
      <c r="U309" s="205"/>
      <c r="V309" s="205"/>
      <c r="W309" s="205"/>
      <c r="X309" s="205"/>
      <c r="Y309" s="205"/>
      <c r="Z309" s="206"/>
    </row>
    <row r="310" spans="1:26" ht="18" customHeight="1" hidden="1">
      <c r="A310" s="140"/>
      <c r="B310" s="140"/>
      <c r="D310" s="198" t="s">
        <v>255</v>
      </c>
      <c r="E310" s="130" t="e">
        <f>_xlfn.XLOOKUP(E275,CurrentPlans!B:B,CurrentPlans!AR:AR,"NA",0,1)</f>
        <v>#N/A</v>
      </c>
      <c r="F310" s="200"/>
      <c r="G310" s="200"/>
      <c r="H310" s="200"/>
      <c r="I310" s="130"/>
      <c r="J310" s="201"/>
      <c r="K310"/>
      <c r="L310" s="131" t="str">
        <f ca="1">_xlfn.XLOOKUP(L275,RenewalPlans!B:B,RenewalPlans!AU:AU,"NA",0,1)</f>
        <v>NA</v>
      </c>
      <c r="M310" s="200"/>
      <c r="N310" s="200"/>
      <c r="O310" s="200"/>
      <c r="P310" s="130"/>
      <c r="Q310" s="200"/>
      <c r="R310" s="201"/>
      <c r="T310" s="131" t="str">
        <f>_xlfn.XLOOKUP(T275,RenewalPlans!B:B,RenewalPlans!AU:AU,"NA",0,1)</f>
        <v>NA</v>
      </c>
      <c r="U310" s="200"/>
      <c r="V310" s="200"/>
      <c r="W310" s="200"/>
      <c r="X310" s="130"/>
      <c r="Y310" s="200"/>
      <c r="Z310" s="201"/>
    </row>
    <row r="311" spans="1:26" ht="18" customHeight="1" hidden="1" thickBot="1">
      <c r="A311" s="140"/>
      <c r="B311" s="140"/>
      <c r="D311" s="224" t="s">
        <v>256</v>
      </c>
      <c r="E311" s="137" t="e">
        <f>_xlfn.XLOOKUP(E275,CurrentPlans!B:B,CurrentPlans!AS:AS,"NA",0,1)</f>
        <v>#N/A</v>
      </c>
      <c r="F311" s="225"/>
      <c r="G311" s="225"/>
      <c r="H311" s="225"/>
      <c r="I311" s="137"/>
      <c r="J311" s="226"/>
      <c r="K311"/>
      <c r="L311" s="138" t="str">
        <f ca="1">_xlfn.XLOOKUP(L275,RenewalPlans!B:B,RenewalPlans!AV:AV,"NA",0,1)</f>
        <v>NA</v>
      </c>
      <c r="M311" s="225"/>
      <c r="N311" s="225"/>
      <c r="O311" s="225"/>
      <c r="P311" s="137"/>
      <c r="Q311" s="225"/>
      <c r="R311" s="226"/>
      <c r="T311" s="138" t="str">
        <f>_xlfn.XLOOKUP(T275,RenewalPlans!B:B,RenewalPlans!AV:AV,"NA",0,1)</f>
        <v>NA</v>
      </c>
      <c r="U311" s="225"/>
      <c r="V311" s="225"/>
      <c r="W311" s="225"/>
      <c r="X311" s="137"/>
      <c r="Y311" s="225"/>
      <c r="Z311" s="226"/>
    </row>
    <row r="312" spans="1:26" ht="18" customHeight="1">
      <c r="A312" s="140"/>
      <c r="B312" s="140"/>
      <c r="D312" s="227"/>
      <c r="E312" s="176"/>
      <c r="F312" s="178"/>
      <c r="G312" s="179"/>
      <c r="H312" s="178"/>
      <c r="I312" s="176"/>
      <c r="J312" s="228"/>
      <c r="K312"/>
      <c r="L312" s="178"/>
      <c r="M312" s="176"/>
      <c r="N312" s="139"/>
      <c r="O312" s="178"/>
      <c r="P312" s="178"/>
      <c r="Q312" s="178"/>
      <c r="R312" s="228"/>
      <c r="T312" s="178"/>
      <c r="U312" s="176"/>
      <c r="V312" s="139"/>
      <c r="W312" s="178"/>
      <c r="X312" s="178"/>
      <c r="Y312" s="178"/>
      <c r="Z312" s="228"/>
    </row>
    <row r="313" spans="1:26" ht="5.25" customHeight="1" thickBot="1">
      <c r="A313" s="140"/>
      <c r="B313" s="140"/>
      <c r="D313" s="229"/>
      <c r="E313" s="229"/>
      <c r="F313" s="230"/>
      <c r="G313" s="231"/>
      <c r="H313" s="232"/>
      <c r="I313" s="233"/>
      <c r="J313" s="233"/>
      <c r="K313"/>
      <c r="L313" s="233"/>
      <c r="M313" s="233"/>
      <c r="N313" s="233"/>
      <c r="O313" s="233"/>
      <c r="P313" s="233"/>
      <c r="Q313" s="233"/>
      <c r="R313" s="233"/>
      <c r="T313" s="233"/>
      <c r="U313" s="233"/>
      <c r="V313" s="233"/>
      <c r="W313" s="233"/>
      <c r="X313" s="233"/>
      <c r="Y313" s="233"/>
      <c r="Z313" s="233"/>
    </row>
    <row r="314" spans="1:26" ht="50.15" customHeight="1">
      <c r="A314" s="140">
        <v>7</v>
      </c>
      <c r="B314" s="140">
        <f>IF(A314&gt;Class3_CurrentHealthCount,"DELETE",Class3_CurrentHealthStart+A314)</f>
        <v>67</v>
      </c>
      <c r="C314" s="164" t="s">
        <v>280</v>
      </c>
      <c r="D314" s="273" t="e">
        <f ca="1">IF(B314="Delete","",VLOOKUP(F314,BEGIN_CURRENT_HEALTH:END_CURRENT_HEALTH,3,FALSE))</f>
        <v>#N/A</v>
      </c>
      <c r="E314" s="165"/>
      <c r="F314" s="272" cm="1">
        <f t="array" ca="1" aca="1" ref="F314">IF(B314="Delete","",INDIRECT("CurrentPlans!A"&amp;B314,TRUE))</f>
        <v>0</v>
      </c>
      <c r="G314" s="166"/>
      <c r="H314" s="167"/>
      <c r="I314" s="168"/>
      <c r="J314" s="169"/>
      <c r="K314"/>
      <c r="L314" s="274" t="str">
        <f ca="1">_xlfn.IFNA(VLOOKUP(F314,BEGIN_RENEWEDFROM_HEALTH:ROW_RenewHealth_PlanID,3,FALSE),"SELECT PLAN")</f>
        <v>SELECT PLAN</v>
      </c>
      <c r="M314" s="170"/>
      <c r="N314" s="274" t="s">
        <v>237</v>
      </c>
      <c r="O314" s="171"/>
      <c r="P314" s="171"/>
      <c r="Q314" s="171"/>
      <c r="R314" s="169"/>
      <c r="T314" s="274" t="s">
        <v>38</v>
      </c>
      <c r="U314" s="170"/>
      <c r="V314" s="274" t="s">
        <v>237</v>
      </c>
      <c r="W314" s="171"/>
      <c r="X314" s="171"/>
      <c r="Y314" s="171"/>
      <c r="Z314" s="169"/>
    </row>
    <row r="315" spans="1:26" ht="18.75" customHeight="1">
      <c r="A315" s="140"/>
      <c r="B315" s="140"/>
      <c r="D315" s="172" t="s">
        <v>238</v>
      </c>
      <c r="E315" s="407" t="str">
        <f ca="1">_xlfn.IFNA(VLOOKUP(F314,BEGIN_CURRENT_HEALTH:END_CURRENT_HEALTH,CURRENT_COL_EO_count,FALSE),"")</f>
        <v/>
      </c>
      <c r="F315" s="408" t="str">
        <f ca="1">_xlfn.IFNA(VLOOKUP(F314,BEGIN_CURRENT_HEALTH:END_CURRENT_HEALTH,CURRENT_COL_EO,FALSE),"")</f>
        <v/>
      </c>
      <c r="G315" s="468" t="str">
        <f ca="1" t="shared" si="30" ref="G315:G318">IF(F315="","",H315/F315)</f>
        <v/>
      </c>
      <c r="H315" s="408" t="str">
        <f ca="1">_xlfn.IFNA(VLOOKUP(F314,BEGIN_CURRENT_HEALTH:END_CURRENT_HEALTH,CURRENT_COL_EOContrib,FALSE),"")</f>
        <v/>
      </c>
      <c r="I315" s="409" t="str">
        <f ca="1">IFERROR(F315-H315,"")</f>
        <v/>
      </c>
      <c r="J315" s="410" t="str">
        <f ca="1">IF(F315="","",H315*E315)</f>
        <v/>
      </c>
      <c r="K315" s="411"/>
      <c r="L315" s="408" t="str" cm="1">
        <f t="array" ca="1" aca="1" ref="L315">_xlfn.IFNA(VLOOKUP(INDIRECT("L"&amp;ROW()-1)&amp;"_"&amp;$D$12,BEGIN_RENEW_HEALTH:END_RENEW_HEALTH,RENEW_COL_EO,FALSE),"")</f>
        <v/>
      </c>
      <c r="M315" s="412" t="str">
        <f ca="1">IF(E315="","",E315)</f>
        <v/>
      </c>
      <c r="N315" s="413"/>
      <c r="O315" s="414"/>
      <c r="P315" s="415" t="str">
        <f>IFERROR(IF($N314="Keep Contribution Same",H315,IF($N314="Enter Percentages",IF(N315="","",N315*L315),IF($N314="Keep Percentage Same",IF(G315="","",G315*L315),IF($N314="Enter Dollar Amount",IF(O315="","",O315),"")))),"")</f>
        <v/>
      </c>
      <c r="Q315" s="408" t="str">
        <f ca="1">IFERROR(L315-P315,"")</f>
        <v/>
      </c>
      <c r="R315" s="410" t="str">
        <f>IFERROR(IF(P315="","",M315*P315),"")</f>
        <v/>
      </c>
      <c r="S315" s="411"/>
      <c r="T315" s="408" t="str" cm="1">
        <f t="array" ca="1" aca="1" ref="T315">_xlfn.IFNA(VLOOKUP(INDIRECT("T"&amp;ROW()-1)&amp;"_"&amp;$D$12,BEGIN_RENEW_HEALTH:END_RENEW_HEALTH,RENEW_COL_EO,FALSE),"")</f>
        <v/>
      </c>
      <c r="U315" s="412" t="str">
        <f ca="1">IF(E315="","",E315)</f>
        <v/>
      </c>
      <c r="V315" s="413"/>
      <c r="W315" s="414"/>
      <c r="X315" s="415" t="str">
        <f>IFERROR(IF($V314="Keep Contribution Same",H315,IF($V314="Enter Percentages",IF(V315="","",V315*T315),IF($V314="Keep Percentage Same",IF(G315="","",G315*T315),IF($V314="Enter Dollar Amount",IF(W315="","",W315),"")))),"")</f>
        <v/>
      </c>
      <c r="Y315" s="408" t="str">
        <f ca="1">IFERROR(T315-X315,"")</f>
        <v/>
      </c>
      <c r="Z315" s="410" t="str">
        <f>IFERROR(IF(X315="","",U315*X315),"")</f>
        <v/>
      </c>
    </row>
    <row r="316" spans="1:26" ht="18.75" customHeight="1">
      <c r="A316" s="140"/>
      <c r="B316" s="140"/>
      <c r="D316" s="172" t="s">
        <v>239</v>
      </c>
      <c r="E316" s="407" t="str">
        <f ca="1">_xlfn.IFNA(VLOOKUP(F314,BEGIN_CURRENT_HEALTH:END_CURRENT_HEALTH,CURRENT_COL_ES_count,FALSE),"")</f>
        <v/>
      </c>
      <c r="F316" s="408" t="str">
        <f ca="1">_xlfn.IFNA(VLOOKUP(F314,BEGIN_CURRENT_HEALTH:END_CURRENT_HEALTH,CURRENT_COL_ES,FALSE),"")</f>
        <v/>
      </c>
      <c r="G316" s="468" t="str">
        <f t="shared" ca="1" si="30"/>
        <v/>
      </c>
      <c r="H316" s="408" t="str">
        <f ca="1">_xlfn.IFNA(VLOOKUP(F314,BEGIN_CURRENT_HEALTH:END_CURRENT_HEALTH,CURRENT_COL_ESContrib,FALSE),"")</f>
        <v/>
      </c>
      <c r="I316" s="409" t="str">
        <f ca="1" t="shared" si="31" ref="I316:I318">IFERROR(F316-H316,"")</f>
        <v/>
      </c>
      <c r="J316" s="410" t="str">
        <f ca="1">IF(F316="","",H316*E316)</f>
        <v/>
      </c>
      <c r="K316" s="411"/>
      <c r="L316" s="408" t="str" cm="1">
        <f t="array" ca="1" aca="1" ref="L316">_xlfn.IFNA(VLOOKUP(INDIRECT("L"&amp;ROW()-2)&amp;"_"&amp;$D$12,BEGIN_RENEW_HEALTH:END_RENEW_HEALTH,RENEW_COL_ES,FALSE),"")</f>
        <v/>
      </c>
      <c r="M316" s="412" t="str">
        <f ca="1">IF(E316="","",E316)</f>
        <v/>
      </c>
      <c r="N316" s="413"/>
      <c r="O316" s="414"/>
      <c r="P316" s="415" t="str">
        <f>IFERROR(IF($N314="Keep Contribution Same",H316,IF($N314="Enter Percentages",IF(N316="","",N316*L316),IF($N314="Keep Percentage Same",IF(G316="","",G316*L316),IF($N314="Enter Dollar Amount",IF(O316="","",O316),"")))),"")</f>
        <v/>
      </c>
      <c r="Q316" s="408" t="str">
        <f ca="1">IFERROR(L316-P316,"")</f>
        <v/>
      </c>
      <c r="R316" s="410" t="str">
        <f>IFERROR(IF(P316="","",M316*P316),"")</f>
        <v/>
      </c>
      <c r="S316" s="411"/>
      <c r="T316" s="408" t="str" cm="1">
        <f t="array" ca="1" aca="1" ref="T316">_xlfn.IFNA(VLOOKUP(INDIRECT("T"&amp;ROW()-2)&amp;"_"&amp;$D$12,BEGIN_RENEW_HEALTH:END_RENEW_HEALTH,RENEW_COL_ES,FALSE),"")</f>
        <v/>
      </c>
      <c r="U316" s="412" t="str">
        <f ca="1" t="shared" si="32" ref="U316:U318">IF(E316="","",E316)</f>
        <v/>
      </c>
      <c r="V316" s="413"/>
      <c r="W316" s="414"/>
      <c r="X316" s="415" t="str">
        <f>IFERROR(IF($V314="Keep Contribution Same",H316,IF($V314="Enter Percentages",IF(V316="","",V316*T316),IF($V314="Keep Percentage Same",IF(G316="","",G316*T316),IF($V314="Enter Dollar Amount",IF(W316="","",W316),"")))),"")</f>
        <v/>
      </c>
      <c r="Y316" s="408" t="str">
        <f ca="1" t="shared" si="33" ref="Y316:Y318">IFERROR(T316-X316,"")</f>
        <v/>
      </c>
      <c r="Z316" s="410" t="str">
        <f t="shared" si="34" ref="Z316:Z318">IFERROR(IF(X316="","",U316*X316),"")</f>
        <v/>
      </c>
    </row>
    <row r="317" spans="1:26" ht="18.75" customHeight="1">
      <c r="A317" s="140"/>
      <c r="B317" s="140"/>
      <c r="D317" s="172" t="s">
        <v>240</v>
      </c>
      <c r="E317" s="407" t="str">
        <f ca="1">_xlfn.IFNA(VLOOKUP(F314,BEGIN_CURRENT_HEALTH:END_CURRENT_HEALTH,CURRENT_COL_EC_count,FALSE),"")</f>
        <v/>
      </c>
      <c r="F317" s="408" t="str">
        <f ca="1">_xlfn.IFNA(VLOOKUP(F314,BEGIN_CURRENT_HEALTH:END_CURRENT_HEALTH,CURRENT_COL_EC,FALSE),"")</f>
        <v/>
      </c>
      <c r="G317" s="468" t="str">
        <f t="shared" ca="1" si="30"/>
        <v/>
      </c>
      <c r="H317" s="408" t="str">
        <f ca="1">_xlfn.IFNA(VLOOKUP(F314,BEGIN_CURRENT_HEALTH:END_CURRENT_HEALTH,CURRENT_COL_ECContrib,FALSE),"")</f>
        <v/>
      </c>
      <c r="I317" s="409" t="str">
        <f t="shared" ca="1" si="31"/>
        <v/>
      </c>
      <c r="J317" s="410" t="str">
        <f ca="1">IF(F317="","",H317*E317)</f>
        <v/>
      </c>
      <c r="K317" s="411"/>
      <c r="L317" s="408" t="str" cm="1">
        <f t="array" ca="1" aca="1" ref="L317">_xlfn.IFNA(VLOOKUP(INDIRECT("L"&amp;ROW()-3)&amp;"_"&amp;$D$12,BEGIN_RENEW_HEALTH:END_RENEW_HEALTH,RENEW_COL_EC,FALSE),"")</f>
        <v/>
      </c>
      <c r="M317" s="412" t="str">
        <f ca="1">IF(E317="","",E317)</f>
        <v/>
      </c>
      <c r="N317" s="413"/>
      <c r="O317" s="414"/>
      <c r="P317" s="415" t="str">
        <f>IFERROR(IF($N314="Keep Contribution Same",H317,IF($N314="Enter Percentages",IF(N317="","",N317*L317),IF($N314="Keep Percentage Same",IF(G317="","",G317*L317),IF($N314="Enter Dollar Amount",IF(O317="","",O317),"")))),"")</f>
        <v/>
      </c>
      <c r="Q317" s="408" t="str">
        <f ca="1">IFERROR(L317-P317,"")</f>
        <v/>
      </c>
      <c r="R317" s="410" t="str">
        <f>IFERROR(IF(P317="","",M317*P317),"")</f>
        <v/>
      </c>
      <c r="S317" s="411"/>
      <c r="T317" s="408" t="str" cm="1">
        <f t="array" ca="1" aca="1" ref="T317">_xlfn.IFNA(VLOOKUP(INDIRECT("T"&amp;ROW()-3)&amp;"_"&amp;$D$12,BEGIN_RENEW_HEALTH:END_RENEW_HEALTH,RENEW_COL_EC,FALSE),"")</f>
        <v/>
      </c>
      <c r="U317" s="412" t="str">
        <f t="shared" ca="1" si="32"/>
        <v/>
      </c>
      <c r="V317" s="413"/>
      <c r="W317" s="414"/>
      <c r="X317" s="415" t="str">
        <f>IFERROR(IF($V314="Keep Contribution Same",H317,IF($V314="Enter Percentages",IF(V317="","",V317*T317),IF($V314="Keep Percentage Same",IF(G317="","",G317*T317),IF($V314="Enter Dollar Amount",IF(W317="","",W317),"")))),"")</f>
        <v/>
      </c>
      <c r="Y317" s="408" t="str">
        <f t="shared" ca="1" si="33"/>
        <v/>
      </c>
      <c r="Z317" s="410" t="str">
        <f t="shared" si="34"/>
        <v/>
      </c>
    </row>
    <row r="318" spans="1:26" ht="18.75" customHeight="1" thickBot="1">
      <c r="A318" s="140"/>
      <c r="B318" s="140"/>
      <c r="D318" s="174" t="s">
        <v>241</v>
      </c>
      <c r="E318" s="416" t="str">
        <f ca="1">_xlfn.IFNA(VLOOKUP(F314,BEGIN_CURRENT_HEALTH:END_CURRENT_HEALTH,CURRENT_COL_FAM_count,FALSE),"")</f>
        <v/>
      </c>
      <c r="F318" s="417" t="str">
        <f ca="1">_xlfn.IFNA(VLOOKUP(F314,BEGIN_CURRENT_HEALTH:END_CURRENT_HEALTH,CURRENT_COL_FAM,FALSE),"")</f>
        <v/>
      </c>
      <c r="G318" s="469" t="str">
        <f t="shared" ca="1" si="30"/>
        <v/>
      </c>
      <c r="H318" s="417" t="str">
        <f ca="1">_xlfn.IFNA(VLOOKUP(F314,BEGIN_CURRENT_HEALTH:END_CURRENT_HEALTH,CURRENT_COL_FAMContrib,FALSE),"")</f>
        <v/>
      </c>
      <c r="I318" s="418" t="str">
        <f t="shared" ca="1" si="31"/>
        <v/>
      </c>
      <c r="J318" s="419" t="str">
        <f ca="1">IF(F318="","",H318*E318)</f>
        <v/>
      </c>
      <c r="K318" s="411"/>
      <c r="L318" s="417" t="str" cm="1">
        <f t="array" ca="1" aca="1" ref="L318">_xlfn.IFNA(VLOOKUP(INDIRECT("L"&amp;ROW()-4)&amp;"_"&amp;$D$12,BEGIN_RENEW_HEALTH:END_RENEW_HEALTH,RENEW_COL_FAM,FALSE),"")</f>
        <v/>
      </c>
      <c r="M318" s="423" t="str">
        <f ca="1">IF(E318="","",E318)</f>
        <v/>
      </c>
      <c r="N318" s="420"/>
      <c r="O318" s="421"/>
      <c r="P318" s="422" t="str">
        <f>IFERROR(IF($N314="Keep Contribution Same",H318,IF($N314="Enter Percentages",IF(N318="","",N318*L318),IF($N314="Keep Percentage Same",IF(G318="","",G318*L318),IF($N314="Enter Dollar Amount",IF(O318="","",O318),"")))),"")</f>
        <v/>
      </c>
      <c r="Q318" s="417" t="str">
        <f ca="1">IFERROR(L318-P318,"")</f>
        <v/>
      </c>
      <c r="R318" s="419" t="str">
        <f>IFERROR(IF(P318="","",M318*P318),"")</f>
        <v/>
      </c>
      <c r="S318" s="411"/>
      <c r="T318" s="417" t="str" cm="1">
        <f t="array" ca="1" aca="1" ref="T318">_xlfn.IFNA(VLOOKUP(INDIRECT("T"&amp;ROW()-4)&amp;"_"&amp;$D$12,BEGIN_RENEW_HEALTH:END_RENEW_HEALTH,RENEW_COL_FAM,FALSE),"")</f>
        <v/>
      </c>
      <c r="U318" s="423" t="str">
        <f t="shared" ca="1" si="32"/>
        <v/>
      </c>
      <c r="V318" s="420"/>
      <c r="W318" s="421"/>
      <c r="X318" s="422" t="str">
        <f>IFERROR(IF($V314="Keep Contribution Same",H318,IF($V314="Enter Percentages",IF(V318="","",V318*T318),IF($V314="Keep Percentage Same",IF(G318="","",G318*T318),IF($V314="Enter Dollar Amount",IF(W318="","",W318),"")))),"")</f>
        <v/>
      </c>
      <c r="Y318" s="417" t="str">
        <f t="shared" ca="1" si="33"/>
        <v/>
      </c>
      <c r="Z318" s="419" t="str">
        <f t="shared" si="34"/>
        <v/>
      </c>
    </row>
    <row r="319" spans="1:26" ht="18.75" customHeight="1" thickTop="1">
      <c r="A319" s="140"/>
      <c r="B319" s="140"/>
      <c r="D319" s="175" t="s">
        <v>242</v>
      </c>
      <c r="E319" s="424"/>
      <c r="F319" s="447" t="str">
        <f ca="1">IFERROR((F315*E315)+(F316*E316)+(F317*E317)+(F318*E318),"")</f>
        <v/>
      </c>
      <c r="G319" s="426"/>
      <c r="H319" s="427"/>
      <c r="I319" s="428"/>
      <c r="J319" s="429" t="str">
        <f ca="1">IFERROR(IF(J315="","",SUM(J315:J318)),0)</f>
        <v/>
      </c>
      <c r="K319" s="1"/>
      <c r="L319" s="430" t="str">
        <f ca="1">IFERROR((M315*L315)+(M316*L316)+(M317*L317)+(M318*L318),"")</f>
        <v/>
      </c>
      <c r="M319" s="427"/>
      <c r="N319" s="426"/>
      <c r="O319" s="427"/>
      <c r="P319" s="431"/>
      <c r="Q319" s="432"/>
      <c r="R319" s="429" t="str">
        <f>IFERROR(IF(R315="","",SUM(R315:R318)),0)</f>
        <v/>
      </c>
      <c r="T319" s="430" t="str">
        <f ca="1">IFERROR((U315*T315)+(U316*T316)+(U317*T317)+(U318*T318),"")</f>
        <v/>
      </c>
      <c r="U319" s="427"/>
      <c r="V319" s="426"/>
      <c r="W319" s="427"/>
      <c r="X319" s="431"/>
      <c r="Y319" s="432"/>
      <c r="Z319" s="429" t="str">
        <f>IFERROR(IF(Z315="","",SUM(Z315:Z318)),0)</f>
        <v/>
      </c>
    </row>
    <row r="320" spans="1:26" ht="18.75" customHeight="1">
      <c r="A320" s="140"/>
      <c r="B320" s="140"/>
      <c r="D320" s="177" t="s">
        <v>243</v>
      </c>
      <c r="E320" s="433"/>
      <c r="F320" s="448" t="str">
        <f ca="1">IFERROR(F319*12,"")</f>
        <v/>
      </c>
      <c r="G320" s="435"/>
      <c r="H320" s="436"/>
      <c r="I320" s="432"/>
      <c r="J320" s="437" t="str">
        <f ca="1">IF(J319="","",J319*12)</f>
        <v/>
      </c>
      <c r="K320" s="1"/>
      <c r="L320" s="438" t="str">
        <f ca="1">IFERROR(L319*12,"")</f>
        <v/>
      </c>
      <c r="M320" s="436"/>
      <c r="N320" s="435"/>
      <c r="O320" s="436"/>
      <c r="P320" s="432"/>
      <c r="Q320" s="432"/>
      <c r="R320" s="437" t="str">
        <f>IF(R319="","",R319*12)</f>
        <v/>
      </c>
      <c r="T320" s="438" t="str">
        <f ca="1">IFERROR(T319*12,"")</f>
        <v/>
      </c>
      <c r="U320" s="436"/>
      <c r="V320" s="435"/>
      <c r="W320" s="436"/>
      <c r="X320" s="432"/>
      <c r="Y320" s="432"/>
      <c r="Z320" s="437" t="str">
        <f>IF(Z319="","",Z319*12)</f>
        <v/>
      </c>
    </row>
    <row r="321" spans="1:26" ht="18" customHeight="1">
      <c r="A321" s="140"/>
      <c r="B321" s="140"/>
      <c r="D321" s="177" t="s">
        <v>244</v>
      </c>
      <c r="E321" s="433"/>
      <c r="F321" s="436"/>
      <c r="G321" s="435"/>
      <c r="H321" s="436"/>
      <c r="I321" s="432"/>
      <c r="J321" s="437"/>
      <c r="K321" s="1"/>
      <c r="L321" s="434" t="str">
        <f ca="1">IFERROR(L320-F320,"")</f>
        <v/>
      </c>
      <c r="M321" s="436"/>
      <c r="N321" s="435"/>
      <c r="O321" s="436"/>
      <c r="P321" s="432"/>
      <c r="Q321" s="432"/>
      <c r="R321" s="437" t="str">
        <f ca="1">IFERROR(IF(J320="","",R320-J320),0)</f>
        <v/>
      </c>
      <c r="T321" s="434" t="str">
        <f ca="1">IFERROR(T320-F320,"")</f>
        <v/>
      </c>
      <c r="U321" s="436"/>
      <c r="V321" s="435"/>
      <c r="W321" s="436"/>
      <c r="X321" s="432"/>
      <c r="Y321" s="432"/>
      <c r="Z321" s="437" t="str">
        <f>IFERROR(IF(R320="","",Z320-R320),0)</f>
        <v/>
      </c>
    </row>
    <row r="322" spans="1:26" ht="18" customHeight="1" thickBot="1">
      <c r="A322" s="140"/>
      <c r="B322" s="140"/>
      <c r="D322" s="180" t="s">
        <v>245</v>
      </c>
      <c r="E322" s="439"/>
      <c r="F322" s="440"/>
      <c r="G322" s="441"/>
      <c r="H322" s="440"/>
      <c r="I322" s="442"/>
      <c r="J322" s="437"/>
      <c r="K322" s="1"/>
      <c r="L322" s="444" t="str">
        <f ca="1">IFERROR(L320/F320-1,"")</f>
        <v/>
      </c>
      <c r="M322" s="440"/>
      <c r="N322" s="441"/>
      <c r="O322" s="440"/>
      <c r="P322" s="445"/>
      <c r="Q322" s="445"/>
      <c r="R322" s="446" t="str">
        <f ca="1">IFERROR(IF(J320="","",(R320/J320)-1),0)</f>
        <v/>
      </c>
      <c r="T322" s="444" t="str">
        <f ca="1">IFERROR(T320/F320-1,"")</f>
        <v/>
      </c>
      <c r="U322" s="440"/>
      <c r="V322" s="441"/>
      <c r="W322" s="440"/>
      <c r="X322" s="445"/>
      <c r="Y322" s="445"/>
      <c r="Z322" s="446" t="str">
        <f>IFERROR(IF(R320="","",(Z320/R320)-1),0)</f>
        <v/>
      </c>
    </row>
    <row r="323" spans="1:26" ht="18" customHeight="1">
      <c r="A323" s="140"/>
      <c r="B323" s="140"/>
      <c r="D323" s="181" t="s">
        <v>246</v>
      </c>
      <c r="E323" s="182"/>
      <c r="F323" s="182"/>
      <c r="G323" s="182"/>
      <c r="H323" s="182"/>
      <c r="I323" s="182"/>
      <c r="J323" s="183"/>
      <c r="K323"/>
      <c r="L323" s="184"/>
      <c r="M323" s="182"/>
      <c r="N323" s="182"/>
      <c r="O323" s="182"/>
      <c r="P323" s="182"/>
      <c r="Q323" s="182"/>
      <c r="R323" s="183"/>
      <c r="T323" s="184"/>
      <c r="U323" s="182"/>
      <c r="V323" s="182"/>
      <c r="W323" s="182"/>
      <c r="X323" s="182"/>
      <c r="Y323" s="182"/>
      <c r="Z323" s="183"/>
    </row>
    <row r="324" spans="1:26" ht="18" customHeight="1" hidden="1">
      <c r="A324" s="140"/>
      <c r="B324" s="140"/>
      <c r="D324" s="185" t="s">
        <v>247</v>
      </c>
      <c r="E324" s="186"/>
      <c r="F324" s="186"/>
      <c r="G324" s="186"/>
      <c r="H324" s="186"/>
      <c r="I324" s="186"/>
      <c r="J324" s="187"/>
      <c r="K324"/>
      <c r="L324" s="188"/>
      <c r="M324" s="186"/>
      <c r="N324" s="186"/>
      <c r="O324" s="186"/>
      <c r="P324" s="186"/>
      <c r="Q324" s="186"/>
      <c r="R324" s="187"/>
      <c r="T324" s="188"/>
      <c r="U324" s="186"/>
      <c r="V324" s="186"/>
      <c r="W324" s="186"/>
      <c r="X324" s="186"/>
      <c r="Y324" s="186"/>
      <c r="Z324" s="187"/>
    </row>
    <row r="325" spans="1:26" ht="18" customHeight="1" hidden="1">
      <c r="A325" s="140"/>
      <c r="B325" s="140"/>
      <c r="D325" s="189" t="s">
        <v>248</v>
      </c>
      <c r="E325" s="190" t="e">
        <f ca="1">D314&amp;"_"&amp;D12</f>
        <v>#N/A</v>
      </c>
      <c r="F325" s="191"/>
      <c r="G325" s="191"/>
      <c r="H325" s="191"/>
      <c r="I325" s="190"/>
      <c r="J325" s="192"/>
      <c r="K325"/>
      <c r="L325" s="193" t="str">
        <f ca="1">L314&amp;"_"&amp;D12</f>
        <v>SELECT PLAN_PRIMARY</v>
      </c>
      <c r="M325" s="191"/>
      <c r="N325" s="191"/>
      <c r="O325" s="191"/>
      <c r="P325" s="190"/>
      <c r="Q325" s="191"/>
      <c r="R325" s="192"/>
      <c r="T325" s="193" t="str">
        <f>T314&amp;"_"&amp;D12</f>
        <v>SELECT PLAN_PRIMARY</v>
      </c>
      <c r="U325" s="191"/>
      <c r="V325" s="191"/>
      <c r="W325" s="191"/>
      <c r="X325" s="190"/>
      <c r="Y325" s="191"/>
      <c r="Z325" s="192"/>
    </row>
    <row r="326" spans="1:26" ht="18" customHeight="1" hidden="1">
      <c r="A326" s="140"/>
      <c r="B326" s="140"/>
      <c r="D326" s="189" t="s">
        <v>249</v>
      </c>
      <c r="E326" s="191"/>
      <c r="F326" s="191"/>
      <c r="G326" s="191"/>
      <c r="H326" s="191"/>
      <c r="I326" s="191"/>
      <c r="J326" s="192"/>
      <c r="K326"/>
      <c r="L326" s="189"/>
      <c r="M326" s="191"/>
      <c r="N326" s="191"/>
      <c r="O326" s="191"/>
      <c r="P326" s="191"/>
      <c r="Q326" s="191"/>
      <c r="R326" s="192"/>
      <c r="T326" s="189"/>
      <c r="U326" s="191"/>
      <c r="V326" s="191"/>
      <c r="W326" s="191"/>
      <c r="X326" s="191"/>
      <c r="Y326" s="191"/>
      <c r="Z326" s="192"/>
    </row>
    <row r="327" spans="1:26" ht="18" customHeight="1" hidden="1">
      <c r="A327" s="140"/>
      <c r="B327" s="140"/>
      <c r="D327" s="194" t="s">
        <v>250</v>
      </c>
      <c r="E327" s="195"/>
      <c r="F327" s="195"/>
      <c r="G327" s="195"/>
      <c r="H327" s="195"/>
      <c r="I327" s="195"/>
      <c r="J327" s="196"/>
      <c r="K327"/>
      <c r="L327" s="197"/>
      <c r="M327" s="195"/>
      <c r="N327" s="195"/>
      <c r="O327" s="195"/>
      <c r="P327" s="195"/>
      <c r="Q327" s="195"/>
      <c r="R327" s="196"/>
      <c r="T327" s="197"/>
      <c r="U327" s="195"/>
      <c r="V327" s="195"/>
      <c r="W327" s="195"/>
      <c r="X327" s="195"/>
      <c r="Y327" s="195"/>
      <c r="Z327" s="196"/>
    </row>
    <row r="328" spans="1:26" ht="18" customHeight="1" hidden="1">
      <c r="A328" s="140"/>
      <c r="B328" s="140"/>
      <c r="D328" s="198" t="s">
        <v>251</v>
      </c>
      <c r="E328" s="199" t="e">
        <f>_xlfn.XLOOKUP(E325,CurrentPlans!B:B,CurrentPlans!X:X,"NA",0,1)</f>
        <v>#N/A</v>
      </c>
      <c r="F328" s="200"/>
      <c r="G328" s="200"/>
      <c r="H328" s="200"/>
      <c r="I328" s="199"/>
      <c r="J328" s="201"/>
      <c r="K328"/>
      <c r="L328" s="202" t="str">
        <f ca="1">_xlfn.XLOOKUP(L325,RenewalPlans!B:B,RenewalPlans!AA:AA,"NA",0,1)</f>
        <v>NA</v>
      </c>
      <c r="M328" s="200"/>
      <c r="N328" s="200"/>
      <c r="O328" s="200"/>
      <c r="P328" s="199"/>
      <c r="Q328" s="200"/>
      <c r="R328" s="201"/>
      <c r="T328" s="202" t="str">
        <f>_xlfn.XLOOKUP(T325,RenewalPlans!B:B,RenewalPlans!AA:AA,"NA",0,1)</f>
        <v>NA</v>
      </c>
      <c r="U328" s="200"/>
      <c r="V328" s="200"/>
      <c r="W328" s="200"/>
      <c r="X328" s="199"/>
      <c r="Y328" s="200"/>
      <c r="Z328" s="201"/>
    </row>
    <row r="329" spans="1:26" ht="18" customHeight="1" hidden="1">
      <c r="A329" s="140"/>
      <c r="B329" s="140"/>
      <c r="D329" s="198" t="s">
        <v>252</v>
      </c>
      <c r="E329" s="199" t="e">
        <f>_xlfn.XLOOKUP(E325,CurrentPlans!B:B,CurrentPlans!Y:Y,"NA",0,1)</f>
        <v>#N/A</v>
      </c>
      <c r="F329" s="200"/>
      <c r="G329" s="200"/>
      <c r="H329" s="200"/>
      <c r="I329" s="199"/>
      <c r="J329" s="201"/>
      <c r="K329"/>
      <c r="L329" s="202" t="str">
        <f ca="1">_xlfn.XLOOKUP(L325,RenewalPlans!B:B,RenewalPlans!AB:AB,"NA",0,1)</f>
        <v>NA</v>
      </c>
      <c r="M329" s="200"/>
      <c r="N329" s="200"/>
      <c r="O329" s="200"/>
      <c r="P329" s="199"/>
      <c r="Q329" s="200"/>
      <c r="R329" s="201"/>
      <c r="T329" s="202" t="str">
        <f>_xlfn.XLOOKUP(T325,RenewalPlans!B:B,RenewalPlans!AB:AB,"NA",0,1)</f>
        <v>NA</v>
      </c>
      <c r="U329" s="200"/>
      <c r="V329" s="200"/>
      <c r="W329" s="200"/>
      <c r="X329" s="199"/>
      <c r="Y329" s="200"/>
      <c r="Z329" s="201"/>
    </row>
    <row r="330" spans="1:26" ht="18" customHeight="1" hidden="1">
      <c r="A330" s="140"/>
      <c r="B330" s="140"/>
      <c r="D330" s="120" t="s">
        <v>253</v>
      </c>
      <c r="E330" s="121" t="e">
        <f>_xlfn.XLOOKUP(E325,CurrentPlans!B:B,CurrentPlans!W:W,"NA",0,1)</f>
        <v>#N/A</v>
      </c>
      <c r="F330" s="122"/>
      <c r="G330" s="122"/>
      <c r="H330" s="122"/>
      <c r="I330" s="121"/>
      <c r="J330" s="123"/>
      <c r="K330"/>
      <c r="L330" s="124" t="str">
        <f ca="1">_xlfn.XLOOKUP(L325,RenewalPlans!B:B,RenewalPlans!Z:Z,"NA",0,1)</f>
        <v>NA</v>
      </c>
      <c r="M330" s="122"/>
      <c r="N330" s="122"/>
      <c r="O330" s="122"/>
      <c r="P330" s="121"/>
      <c r="Q330" s="122"/>
      <c r="R330" s="123"/>
      <c r="T330" s="124" t="str">
        <f>_xlfn.XLOOKUP(T325,RenewalPlans!B:B,RenewalPlans!Z:Z,"NA",0,1)</f>
        <v>NA</v>
      </c>
      <c r="U330" s="122"/>
      <c r="V330" s="122"/>
      <c r="W330" s="122"/>
      <c r="X330" s="121"/>
      <c r="Y330" s="122"/>
      <c r="Z330" s="123"/>
    </row>
    <row r="331" spans="1:26" ht="18" customHeight="1" hidden="1">
      <c r="A331" s="140"/>
      <c r="B331" s="140"/>
      <c r="D331" s="203" t="s">
        <v>254</v>
      </c>
      <c r="E331" s="204"/>
      <c r="F331" s="205"/>
      <c r="G331" s="205"/>
      <c r="H331" s="205"/>
      <c r="I331" s="204"/>
      <c r="J331" s="206"/>
      <c r="K331"/>
      <c r="L331" s="207"/>
      <c r="M331" s="205"/>
      <c r="N331" s="205"/>
      <c r="O331" s="205"/>
      <c r="P331" s="204"/>
      <c r="Q331" s="205"/>
      <c r="R331" s="206"/>
      <c r="T331" s="207"/>
      <c r="U331" s="205"/>
      <c r="V331" s="205"/>
      <c r="W331" s="205"/>
      <c r="X331" s="204"/>
      <c r="Y331" s="205"/>
      <c r="Z331" s="206"/>
    </row>
    <row r="332" spans="1:26" ht="18" customHeight="1" hidden="1">
      <c r="A332" s="140"/>
      <c r="B332" s="140"/>
      <c r="D332" s="125" t="s">
        <v>255</v>
      </c>
      <c r="E332" s="126" t="e">
        <f>_xlfn.XLOOKUP(E325,CurrentPlans!B:B,CurrentPlans!Z:Z,"NA",0,1)</f>
        <v>#N/A</v>
      </c>
      <c r="F332" s="127"/>
      <c r="G332" s="127"/>
      <c r="H332" s="127"/>
      <c r="I332" s="126"/>
      <c r="J332" s="128"/>
      <c r="K332"/>
      <c r="L332" s="129" t="str">
        <f ca="1">_xlfn.XLOOKUP(L325,RenewalPlans!B:B,RenewalPlans!AC:AC,"NA",0,1)</f>
        <v>NA</v>
      </c>
      <c r="M332" s="127"/>
      <c r="N332" s="127"/>
      <c r="O332" s="127"/>
      <c r="P332" s="126"/>
      <c r="Q332" s="127"/>
      <c r="R332" s="128"/>
      <c r="T332" s="129" t="str">
        <f>_xlfn.XLOOKUP(T325,RenewalPlans!B:B,RenewalPlans!AC:AC,"NA",0,1)</f>
        <v>NA</v>
      </c>
      <c r="U332" s="127"/>
      <c r="V332" s="127"/>
      <c r="W332" s="127"/>
      <c r="X332" s="126"/>
      <c r="Y332" s="127"/>
      <c r="Z332" s="128"/>
    </row>
    <row r="333" spans="1:26" ht="18" customHeight="1" hidden="1">
      <c r="A333" s="140"/>
      <c r="B333" s="140"/>
      <c r="D333" s="198" t="s">
        <v>256</v>
      </c>
      <c r="E333" s="208" t="e">
        <f>_xlfn.XLOOKUP(E325,CurrentPlans!B:B,CurrentPlans!AA:AA,"NA",0,1)</f>
        <v>#N/A</v>
      </c>
      <c r="F333" s="200"/>
      <c r="G333" s="200"/>
      <c r="H333" s="200"/>
      <c r="I333" s="208"/>
      <c r="J333" s="201"/>
      <c r="K333"/>
      <c r="L333" s="209" t="str">
        <f ca="1">_xlfn.XLOOKUP(L325,RenewalPlans!B:B,RenewalPlans!AD:AD,"NA",0,1)</f>
        <v>NA</v>
      </c>
      <c r="M333" s="200"/>
      <c r="N333" s="200"/>
      <c r="O333" s="200"/>
      <c r="P333" s="208"/>
      <c r="Q333" s="200"/>
      <c r="R333" s="201"/>
      <c r="T333" s="209" t="str">
        <f>_xlfn.XLOOKUP(T325,RenewalPlans!B:B,RenewalPlans!AD:AD,"NA",0,1)</f>
        <v>NA</v>
      </c>
      <c r="U333" s="200"/>
      <c r="V333" s="200"/>
      <c r="W333" s="200"/>
      <c r="X333" s="208"/>
      <c r="Y333" s="200"/>
      <c r="Z333" s="201"/>
    </row>
    <row r="334" spans="1:26" ht="18" customHeight="1" hidden="1">
      <c r="A334" s="140"/>
      <c r="B334" s="140"/>
      <c r="D334" s="203" t="s">
        <v>257</v>
      </c>
      <c r="E334" s="204"/>
      <c r="F334" s="205"/>
      <c r="G334" s="205"/>
      <c r="H334" s="205"/>
      <c r="I334" s="204"/>
      <c r="J334" s="206"/>
      <c r="K334"/>
      <c r="L334" s="207"/>
      <c r="M334" s="205"/>
      <c r="N334" s="205"/>
      <c r="O334" s="205"/>
      <c r="P334" s="204"/>
      <c r="Q334" s="205"/>
      <c r="R334" s="206"/>
      <c r="T334" s="207"/>
      <c r="U334" s="205"/>
      <c r="V334" s="205"/>
      <c r="W334" s="205"/>
      <c r="X334" s="204"/>
      <c r="Y334" s="205"/>
      <c r="Z334" s="206"/>
    </row>
    <row r="335" spans="1:26" ht="18" customHeight="1" hidden="1">
      <c r="A335" s="140"/>
      <c r="B335" s="140"/>
      <c r="D335" s="198" t="s">
        <v>258</v>
      </c>
      <c r="E335" s="208" t="e">
        <f>_xlfn.XLOOKUP(E325,CurrentPlans!B:B,CurrentPlans!AB:AB,"NA",0,1)</f>
        <v>#N/A</v>
      </c>
      <c r="F335" s="200"/>
      <c r="G335" s="200"/>
      <c r="H335" s="200"/>
      <c r="I335" s="208"/>
      <c r="J335" s="201"/>
      <c r="K335"/>
      <c r="L335" s="209" t="str">
        <f ca="1">_xlfn.XLOOKUP(L325,RenewalPlans!B:B,RenewalPlans!AE:AE,"NA",0,1)</f>
        <v>NA</v>
      </c>
      <c r="M335" s="200"/>
      <c r="N335" s="200"/>
      <c r="O335" s="200"/>
      <c r="P335" s="208"/>
      <c r="Q335" s="200"/>
      <c r="R335" s="201"/>
      <c r="T335" s="209" t="str">
        <f>_xlfn.XLOOKUP(T325,RenewalPlans!B:B,RenewalPlans!AE:AE,"NA",0,1)</f>
        <v>NA</v>
      </c>
      <c r="U335" s="200"/>
      <c r="V335" s="200"/>
      <c r="W335" s="200"/>
      <c r="X335" s="208"/>
      <c r="Y335" s="200"/>
      <c r="Z335" s="201"/>
    </row>
    <row r="336" spans="1:26" ht="18" customHeight="1" hidden="1">
      <c r="A336" s="140"/>
      <c r="B336" s="140"/>
      <c r="D336" s="198" t="s">
        <v>259</v>
      </c>
      <c r="E336" s="208" t="e">
        <f>_xlfn.XLOOKUP(E325,CurrentPlans!B:B,CurrentPlans!AC:AC,"NA",0,1)</f>
        <v>#N/A</v>
      </c>
      <c r="F336" s="200"/>
      <c r="G336" s="200"/>
      <c r="H336" s="200"/>
      <c r="I336" s="208"/>
      <c r="J336" s="201"/>
      <c r="K336"/>
      <c r="L336" s="209" t="str">
        <f ca="1">_xlfn.XLOOKUP(L325,RenewalPlans!B:B,RenewalPlans!AF:AF,"NA",0,1)</f>
        <v>NA</v>
      </c>
      <c r="M336" s="200"/>
      <c r="N336" s="200"/>
      <c r="O336" s="200"/>
      <c r="P336" s="208"/>
      <c r="Q336" s="200"/>
      <c r="R336" s="201"/>
      <c r="T336" s="209" t="str">
        <f>_xlfn.XLOOKUP(T325,RenewalPlans!B:B,RenewalPlans!AF:AF,"NA",0,1)</f>
        <v>NA</v>
      </c>
      <c r="U336" s="200"/>
      <c r="V336" s="200"/>
      <c r="W336" s="200"/>
      <c r="X336" s="208"/>
      <c r="Y336" s="200"/>
      <c r="Z336" s="201"/>
    </row>
    <row r="337" spans="1:26" ht="18" customHeight="1" hidden="1">
      <c r="A337" s="140"/>
      <c r="B337" s="140"/>
      <c r="D337" s="210"/>
      <c r="E337" s="211"/>
      <c r="F337" s="211"/>
      <c r="G337" s="211"/>
      <c r="H337" s="211"/>
      <c r="I337" s="211"/>
      <c r="J337" s="212"/>
      <c r="K337"/>
      <c r="L337" s="210"/>
      <c r="M337" s="211"/>
      <c r="N337" s="211"/>
      <c r="O337" s="211"/>
      <c r="P337" s="211"/>
      <c r="Q337" s="211"/>
      <c r="R337" s="212"/>
      <c r="T337" s="210"/>
      <c r="U337" s="211"/>
      <c r="V337" s="211"/>
      <c r="W337" s="211"/>
      <c r="X337" s="211"/>
      <c r="Y337" s="211"/>
      <c r="Z337" s="212"/>
    </row>
    <row r="338" spans="1:26" ht="18" customHeight="1" hidden="1">
      <c r="A338" s="140"/>
      <c r="B338" s="140"/>
      <c r="D338" s="185" t="s">
        <v>260</v>
      </c>
      <c r="E338" s="186"/>
      <c r="F338" s="186"/>
      <c r="G338" s="186"/>
      <c r="H338" s="186"/>
      <c r="I338" s="186"/>
      <c r="J338" s="187"/>
      <c r="K338"/>
      <c r="L338" s="188"/>
      <c r="M338" s="186"/>
      <c r="N338" s="186"/>
      <c r="O338" s="186"/>
      <c r="P338" s="186"/>
      <c r="Q338" s="186"/>
      <c r="R338" s="187"/>
      <c r="T338" s="188"/>
      <c r="U338" s="186"/>
      <c r="V338" s="186"/>
      <c r="W338" s="186"/>
      <c r="X338" s="186"/>
      <c r="Y338" s="186"/>
      <c r="Z338" s="187"/>
    </row>
    <row r="339" spans="1:26" ht="18" customHeight="1" hidden="1">
      <c r="A339" s="140"/>
      <c r="B339" s="140"/>
      <c r="D339" s="213" t="s">
        <v>261</v>
      </c>
      <c r="E339" s="130" t="e">
        <f>_xlfn.XLOOKUP(E325,CurrentPlans!B:B,CurrentPlans!AJ:AJ,"NA",0,1)</f>
        <v>#N/A</v>
      </c>
      <c r="F339" s="214"/>
      <c r="G339" s="214"/>
      <c r="H339" s="214"/>
      <c r="I339" s="130"/>
      <c r="J339" s="215"/>
      <c r="K339"/>
      <c r="L339" s="131" t="str">
        <f ca="1">_xlfn.XLOOKUP(L325,RenewalPlans!B:B,RenewalPlans!AM:AM,"NA",0,1)</f>
        <v>NA</v>
      </c>
      <c r="M339" s="214"/>
      <c r="N339" s="214"/>
      <c r="O339" s="214"/>
      <c r="P339" s="130"/>
      <c r="Q339" s="214"/>
      <c r="R339" s="215"/>
      <c r="T339" s="131" t="str">
        <f>_xlfn.XLOOKUP(T325,RenewalPlans!B:B,RenewalPlans!AM:AM,"NA",0,1)</f>
        <v>NA</v>
      </c>
      <c r="U339" s="214"/>
      <c r="V339" s="214"/>
      <c r="W339" s="214"/>
      <c r="X339" s="130"/>
      <c r="Y339" s="214"/>
      <c r="Z339" s="215"/>
    </row>
    <row r="340" spans="1:26" ht="18" customHeight="1" hidden="1">
      <c r="A340" s="140"/>
      <c r="B340" s="140"/>
      <c r="D340" s="198" t="s">
        <v>262</v>
      </c>
      <c r="E340" s="130" t="e">
        <f>_xlfn.XLOOKUP(E325,CurrentPlans!B:B,CurrentPlans!AM:AM,"NA",0,1)</f>
        <v>#N/A</v>
      </c>
      <c r="F340" s="200"/>
      <c r="G340" s="200"/>
      <c r="H340" s="200"/>
      <c r="I340" s="130"/>
      <c r="J340" s="201"/>
      <c r="K340"/>
      <c r="L340" s="131" t="str">
        <f ca="1">_xlfn.XLOOKUP(L325,RenewalPlans!B:B,RenewalPlans!AP:AP,"NA",0,1)</f>
        <v>NA</v>
      </c>
      <c r="M340" s="200"/>
      <c r="N340" s="200"/>
      <c r="O340" s="200"/>
      <c r="P340" s="130"/>
      <c r="Q340" s="200"/>
      <c r="R340" s="201"/>
      <c r="T340" s="131" t="str">
        <f>_xlfn.XLOOKUP(T325,RenewalPlans!B:B,RenewalPlans!AP:AP,"NA",0,1)</f>
        <v>NA</v>
      </c>
      <c r="U340" s="200"/>
      <c r="V340" s="200"/>
      <c r="W340" s="200"/>
      <c r="X340" s="130"/>
      <c r="Y340" s="200"/>
      <c r="Z340" s="201"/>
    </row>
    <row r="341" spans="1:26" ht="18" customHeight="1" hidden="1">
      <c r="A341" s="140"/>
      <c r="B341" s="140"/>
      <c r="D341" s="198" t="s">
        <v>263</v>
      </c>
      <c r="E341" s="130" t="e">
        <f>_xlfn.XLOOKUP(E325,CurrentPlans!B:B,CurrentPlans!AI:AI,"NA",0,1)</f>
        <v>#N/A</v>
      </c>
      <c r="F341" s="200"/>
      <c r="G341" s="200"/>
      <c r="H341" s="200"/>
      <c r="I341" s="130"/>
      <c r="J341" s="201"/>
      <c r="K341"/>
      <c r="L341" s="131" t="str">
        <f ca="1">_xlfn.XLOOKUP(L325,RenewalPlans!B:B,RenewalPlans!AL:AL,"NA",0,1)</f>
        <v>NA</v>
      </c>
      <c r="M341" s="200"/>
      <c r="N341" s="200"/>
      <c r="O341" s="200"/>
      <c r="P341" s="130"/>
      <c r="Q341" s="200"/>
      <c r="R341" s="201"/>
      <c r="T341" s="131" t="str">
        <f>_xlfn.XLOOKUP(T325,RenewalPlans!B:B,RenewalPlans!AL:AL,"NA",0,1)</f>
        <v>NA</v>
      </c>
      <c r="U341" s="200"/>
      <c r="V341" s="200"/>
      <c r="W341" s="200"/>
      <c r="X341" s="130"/>
      <c r="Y341" s="200"/>
      <c r="Z341" s="201"/>
    </row>
    <row r="342" spans="1:26" ht="18" customHeight="1" hidden="1">
      <c r="A342" s="140"/>
      <c r="B342" s="140"/>
      <c r="D342" s="198" t="s">
        <v>264</v>
      </c>
      <c r="E342" s="208" t="e">
        <f>_xlfn.XLOOKUP(E325,CurrentPlans!B:B,CurrentPlans!AN:AN,"NA",0,1)</f>
        <v>#N/A</v>
      </c>
      <c r="F342" s="200"/>
      <c r="G342" s="200"/>
      <c r="H342" s="200"/>
      <c r="I342" s="208"/>
      <c r="J342" s="201"/>
      <c r="K342"/>
      <c r="L342" s="209" t="str">
        <f ca="1">_xlfn.XLOOKUP(L325,RenewalPlans!B:B,RenewalPlans!AQ:AQ,"NA",0,1)</f>
        <v>NA</v>
      </c>
      <c r="M342" s="200"/>
      <c r="N342" s="200"/>
      <c r="O342" s="200"/>
      <c r="P342" s="208"/>
      <c r="Q342" s="200"/>
      <c r="R342" s="201"/>
      <c r="T342" s="209" t="str">
        <f>_xlfn.XLOOKUP(T325,RenewalPlans!B:B,RenewalPlans!AQ:AQ,"NA",0,1)</f>
        <v>NA</v>
      </c>
      <c r="U342" s="200"/>
      <c r="V342" s="200"/>
      <c r="W342" s="200"/>
      <c r="X342" s="208"/>
      <c r="Y342" s="200"/>
      <c r="Z342" s="201"/>
    </row>
    <row r="343" spans="1:26" ht="18" customHeight="1" hidden="1">
      <c r="A343" s="140"/>
      <c r="B343" s="140"/>
      <c r="D343" s="210"/>
      <c r="E343" s="211"/>
      <c r="F343" s="211"/>
      <c r="G343" s="211"/>
      <c r="H343" s="211"/>
      <c r="I343" s="211"/>
      <c r="J343" s="212"/>
      <c r="K343"/>
      <c r="L343" s="210"/>
      <c r="M343" s="211"/>
      <c r="N343" s="211"/>
      <c r="O343" s="211"/>
      <c r="P343" s="211"/>
      <c r="Q343" s="211"/>
      <c r="R343" s="212"/>
      <c r="T343" s="210"/>
      <c r="U343" s="211"/>
      <c r="V343" s="211"/>
      <c r="W343" s="211"/>
      <c r="X343" s="211"/>
      <c r="Y343" s="211"/>
      <c r="Z343" s="212"/>
    </row>
    <row r="344" spans="1:26" ht="18" customHeight="1" hidden="1">
      <c r="A344" s="140"/>
      <c r="B344" s="140"/>
      <c r="D344" s="185" t="s">
        <v>265</v>
      </c>
      <c r="E344" s="186"/>
      <c r="F344" s="186"/>
      <c r="G344" s="186"/>
      <c r="H344" s="186"/>
      <c r="I344" s="186"/>
      <c r="J344" s="187"/>
      <c r="K344"/>
      <c r="L344" s="188"/>
      <c r="M344" s="186"/>
      <c r="N344" s="186"/>
      <c r="O344" s="186"/>
      <c r="P344" s="186"/>
      <c r="Q344" s="186"/>
      <c r="R344" s="187"/>
      <c r="T344" s="188"/>
      <c r="U344" s="186"/>
      <c r="V344" s="186"/>
      <c r="W344" s="186"/>
      <c r="X344" s="186"/>
      <c r="Y344" s="186"/>
      <c r="Z344" s="187"/>
    </row>
    <row r="345" spans="1:26" ht="18" customHeight="1" hidden="1">
      <c r="A345" s="140"/>
      <c r="B345" s="140"/>
      <c r="D345" s="132" t="s">
        <v>266</v>
      </c>
      <c r="E345" s="133" t="e">
        <f>_xlfn.XLOOKUP(E325,CurrentPlans!B:B,CurrentPlans!AE:AE,"NA",0,1)</f>
        <v>#N/A</v>
      </c>
      <c r="F345" s="134"/>
      <c r="G345" s="134"/>
      <c r="H345" s="134"/>
      <c r="I345" s="133"/>
      <c r="J345" s="135"/>
      <c r="K345"/>
      <c r="L345" s="136" t="str">
        <f ca="1">_xlfn.XLOOKUP(L325,RenewalPlans!B:B,RenewalPlans!AH:AH,"NA",0,1)</f>
        <v>NA</v>
      </c>
      <c r="M345" s="134"/>
      <c r="N345" s="134"/>
      <c r="O345" s="134"/>
      <c r="P345" s="133"/>
      <c r="Q345" s="134"/>
      <c r="R345" s="135"/>
      <c r="T345" s="136" t="str">
        <f>_xlfn.XLOOKUP(T325,RenewalPlans!B:B,RenewalPlans!AH:AH,"NA",0,1)</f>
        <v>NA</v>
      </c>
      <c r="U345" s="134"/>
      <c r="V345" s="134"/>
      <c r="W345" s="134"/>
      <c r="X345" s="133"/>
      <c r="Y345" s="134"/>
      <c r="Z345" s="135"/>
    </row>
    <row r="346" spans="1:26" ht="18" customHeight="1" hidden="1">
      <c r="A346" s="140"/>
      <c r="B346" s="140"/>
      <c r="D346" s="120" t="s">
        <v>267</v>
      </c>
      <c r="E346" s="130" t="e">
        <f>_xlfn.XLOOKUP(E325,CurrentPlans!B:B,CurrentPlans!AF:AF,"NA",0,1)</f>
        <v>#N/A</v>
      </c>
      <c r="F346" s="122"/>
      <c r="G346" s="122"/>
      <c r="H346" s="122"/>
      <c r="I346" s="130"/>
      <c r="J346" s="123"/>
      <c r="K346"/>
      <c r="L346" s="131" t="str">
        <f ca="1">_xlfn.XLOOKUP(L325,RenewalPlans!B:B,RenewalPlans!AI:AI,"NA",0,1)</f>
        <v>NA</v>
      </c>
      <c r="M346" s="122"/>
      <c r="N346" s="122"/>
      <c r="O346" s="122"/>
      <c r="P346" s="130"/>
      <c r="Q346" s="122"/>
      <c r="R346" s="123"/>
      <c r="T346" s="131" t="str">
        <f>_xlfn.XLOOKUP(T325,RenewalPlans!B:B,RenewalPlans!AI:AI,"NA",0,1)</f>
        <v>NA</v>
      </c>
      <c r="U346" s="122"/>
      <c r="V346" s="122"/>
      <c r="W346" s="122"/>
      <c r="X346" s="130"/>
      <c r="Y346" s="122"/>
      <c r="Z346" s="123"/>
    </row>
    <row r="347" spans="1:26" ht="18" customHeight="1" hidden="1">
      <c r="A347" s="140"/>
      <c r="B347" s="140"/>
      <c r="D347" s="198" t="s">
        <v>268</v>
      </c>
      <c r="E347" s="130" t="e">
        <f>_xlfn.XLOOKUP(E325,CurrentPlans!B:B,CurrentPlans!AH:AH,"NA",0,1)</f>
        <v>#N/A</v>
      </c>
      <c r="F347" s="200"/>
      <c r="G347" s="200"/>
      <c r="H347" s="200"/>
      <c r="I347" s="130"/>
      <c r="J347" s="201"/>
      <c r="K347"/>
      <c r="L347" s="131" t="str">
        <f ca="1">_xlfn.XLOOKUP(L325,RenewalPlans!B:B,RenewalPlans!AK:AK,"NA",0,1)</f>
        <v>NA</v>
      </c>
      <c r="M347" s="200"/>
      <c r="N347" s="200"/>
      <c r="O347" s="200"/>
      <c r="P347" s="130"/>
      <c r="Q347" s="200"/>
      <c r="R347" s="201"/>
      <c r="T347" s="131" t="str">
        <f>_xlfn.XLOOKUP(T325,RenewalPlans!B:B,RenewalPlans!AK:AK,"NA",0,1)</f>
        <v>NA</v>
      </c>
      <c r="U347" s="200"/>
      <c r="V347" s="200"/>
      <c r="W347" s="200"/>
      <c r="X347" s="130"/>
      <c r="Y347" s="200"/>
      <c r="Z347" s="201"/>
    </row>
    <row r="348" spans="1:26" ht="18" customHeight="1" hidden="1">
      <c r="A348" s="140"/>
      <c r="B348" s="140"/>
      <c r="D348" s="198" t="s">
        <v>269</v>
      </c>
      <c r="E348" s="130" t="e">
        <f>_xlfn.XLOOKUP(E325,CurrentPlans!B:B,CurrentPlans!AG:AG,"NA",0,1)</f>
        <v>#N/A</v>
      </c>
      <c r="F348" s="200"/>
      <c r="G348" s="200"/>
      <c r="H348" s="200"/>
      <c r="I348" s="130"/>
      <c r="J348" s="201"/>
      <c r="K348"/>
      <c r="L348" s="131" t="str">
        <f ca="1">_xlfn.XLOOKUP(L325,RenewalPlans!B:B,RenewalPlans!AJ:AJ,"NA",0,1)</f>
        <v>NA</v>
      </c>
      <c r="M348" s="200"/>
      <c r="N348" s="200"/>
      <c r="O348" s="200"/>
      <c r="P348" s="130"/>
      <c r="Q348" s="200"/>
      <c r="R348" s="201"/>
      <c r="T348" s="131" t="str">
        <f>_xlfn.XLOOKUP(T325,RenewalPlans!B:B,RenewalPlans!AJ:AJ,"NA",0,1)</f>
        <v>NA</v>
      </c>
      <c r="U348" s="200"/>
      <c r="V348" s="200"/>
      <c r="W348" s="200"/>
      <c r="X348" s="130"/>
      <c r="Y348" s="200"/>
      <c r="Z348" s="201"/>
    </row>
    <row r="349" spans="1:26" ht="18" customHeight="1" hidden="1">
      <c r="A349" s="140"/>
      <c r="B349" s="140"/>
      <c r="D349" s="213" t="s">
        <v>270</v>
      </c>
      <c r="E349" s="216" t="e">
        <f>_xlfn.XLOOKUP(E325,CurrentPlans!B:B,CurrentPlans!AU:AU,"NA",0,1)</f>
        <v>#N/A</v>
      </c>
      <c r="F349" s="214"/>
      <c r="G349" s="214"/>
      <c r="H349" s="214"/>
      <c r="I349" s="217"/>
      <c r="J349" s="215"/>
      <c r="K349"/>
      <c r="L349" s="218" t="str">
        <f ca="1">_xlfn.XLOOKUP(L325,RenewalPlans!B:B,RenewalPlans!AX:AX,"NA",0,1)</f>
        <v>NA</v>
      </c>
      <c r="M349" s="214"/>
      <c r="N349" s="214"/>
      <c r="O349" s="214"/>
      <c r="P349" s="217"/>
      <c r="Q349" s="214"/>
      <c r="R349" s="215"/>
      <c r="T349" s="218" t="str">
        <f>_xlfn.XLOOKUP(T325,RenewalPlans!B:B,RenewalPlans!AX:AX,"NA",0,1)</f>
        <v>NA</v>
      </c>
      <c r="U349" s="214"/>
      <c r="V349" s="214"/>
      <c r="W349" s="214"/>
      <c r="X349" s="217"/>
      <c r="Y349" s="214"/>
      <c r="Z349" s="215"/>
    </row>
    <row r="350" spans="1:26" ht="18" customHeight="1" hidden="1">
      <c r="A350" s="140"/>
      <c r="B350" s="140"/>
      <c r="D350" s="213" t="s">
        <v>271</v>
      </c>
      <c r="E350" s="216" t="e">
        <f>_xlfn.XLOOKUP(E325,CurrentPlans!B:B,CurrentPlans!AT:AT,"NA",0,1)</f>
        <v>#N/A</v>
      </c>
      <c r="F350" s="214"/>
      <c r="G350" s="214"/>
      <c r="H350" s="214"/>
      <c r="I350" s="217"/>
      <c r="J350" s="215"/>
      <c r="K350"/>
      <c r="L350" s="218" t="str">
        <f ca="1">_xlfn.XLOOKUP(L325,RenewalPlans!B:B,RenewalPlans!AW:AW,"NA",0,1)</f>
        <v>NA</v>
      </c>
      <c r="M350" s="214"/>
      <c r="N350" s="214"/>
      <c r="O350" s="214"/>
      <c r="P350" s="217"/>
      <c r="Q350" s="214"/>
      <c r="R350" s="215"/>
      <c r="T350" s="218" t="str">
        <f>_xlfn.XLOOKUP(T325,RenewalPlans!B:B,RenewalPlans!AW:AW,"NA",0,1)</f>
        <v>NA</v>
      </c>
      <c r="U350" s="214"/>
      <c r="V350" s="214"/>
      <c r="W350" s="214"/>
      <c r="X350" s="217"/>
      <c r="Y350" s="214"/>
      <c r="Z350" s="215"/>
    </row>
    <row r="351" spans="1:26" ht="18" customHeight="1" hidden="1">
      <c r="A351" s="140"/>
      <c r="B351" s="140"/>
      <c r="D351" s="198" t="s">
        <v>272</v>
      </c>
      <c r="E351" s="130" t="e">
        <f>_xlfn.XLOOKUP(E325,CurrentPlans!B:B,CurrentPlans!AD:AD,"NA",0,1)</f>
        <v>#N/A</v>
      </c>
      <c r="F351" s="200"/>
      <c r="G351" s="200"/>
      <c r="H351" s="200"/>
      <c r="I351" s="130"/>
      <c r="J351" s="201"/>
      <c r="K351"/>
      <c r="L351" s="131" t="str">
        <f ca="1">_xlfn.XLOOKUP(L325,RenewalPlans!B:B,RenewalPlans!AG:AG,"NA",0,1)</f>
        <v>NA</v>
      </c>
      <c r="M351" s="200"/>
      <c r="N351" s="200"/>
      <c r="O351" s="200"/>
      <c r="P351" s="130"/>
      <c r="Q351" s="200"/>
      <c r="R351" s="201"/>
      <c r="T351" s="131" t="str">
        <f>_xlfn.XLOOKUP(T325,RenewalPlans!B:B,RenewalPlans!AG:AG,"NA",0,1)</f>
        <v>NA</v>
      </c>
      <c r="U351" s="200"/>
      <c r="V351" s="200"/>
      <c r="W351" s="200"/>
      <c r="X351" s="130"/>
      <c r="Y351" s="200"/>
      <c r="Z351" s="201"/>
    </row>
    <row r="352" spans="1:26" ht="18" customHeight="1" hidden="1">
      <c r="A352" s="140"/>
      <c r="B352" s="140"/>
      <c r="D352" s="198" t="s">
        <v>273</v>
      </c>
      <c r="E352" s="200"/>
      <c r="F352" s="200"/>
      <c r="G352" s="200"/>
      <c r="H352" s="200"/>
      <c r="I352" s="200"/>
      <c r="J352" s="201"/>
      <c r="K352"/>
      <c r="L352" s="198"/>
      <c r="M352" s="200"/>
      <c r="N352" s="200"/>
      <c r="O352" s="200"/>
      <c r="P352" s="200"/>
      <c r="Q352" s="200"/>
      <c r="R352" s="201"/>
      <c r="T352" s="198"/>
      <c r="U352" s="200"/>
      <c r="V352" s="200"/>
      <c r="W352" s="200"/>
      <c r="X352" s="200"/>
      <c r="Y352" s="200"/>
      <c r="Z352" s="201"/>
    </row>
    <row r="353" spans="1:26" ht="18" customHeight="1" hidden="1">
      <c r="A353" s="140"/>
      <c r="B353" s="140"/>
      <c r="D353" s="210"/>
      <c r="E353" s="211"/>
      <c r="F353" s="211"/>
      <c r="G353" s="211"/>
      <c r="H353" s="211"/>
      <c r="I353" s="211"/>
      <c r="J353" s="212"/>
      <c r="K353"/>
      <c r="L353" s="210"/>
      <c r="M353" s="211"/>
      <c r="N353" s="211"/>
      <c r="O353" s="211"/>
      <c r="P353" s="211"/>
      <c r="Q353" s="211"/>
      <c r="R353" s="212"/>
      <c r="T353" s="210"/>
      <c r="U353" s="211"/>
      <c r="V353" s="211"/>
      <c r="W353" s="211"/>
      <c r="X353" s="211"/>
      <c r="Y353" s="211"/>
      <c r="Z353" s="212"/>
    </row>
    <row r="354" spans="1:26" ht="18" customHeight="1" hidden="1">
      <c r="A354" s="140"/>
      <c r="B354" s="140"/>
      <c r="D354" s="219" t="s">
        <v>274</v>
      </c>
      <c r="E354" s="220"/>
      <c r="F354" s="220"/>
      <c r="G354" s="220"/>
      <c r="H354" s="220"/>
      <c r="I354" s="220"/>
      <c r="J354" s="221"/>
      <c r="K354"/>
      <c r="L354" s="222"/>
      <c r="M354" s="220"/>
      <c r="N354" s="220"/>
      <c r="O354" s="220"/>
      <c r="P354" s="220"/>
      <c r="Q354" s="220"/>
      <c r="R354" s="221"/>
      <c r="T354" s="222"/>
      <c r="U354" s="220"/>
      <c r="V354" s="220"/>
      <c r="W354" s="220"/>
      <c r="X354" s="220"/>
      <c r="Y354" s="220"/>
      <c r="Z354" s="221"/>
    </row>
    <row r="355" spans="1:26" ht="18" customHeight="1" hidden="1">
      <c r="A355" s="140"/>
      <c r="B355" s="140"/>
      <c r="D355" s="223" t="s">
        <v>250</v>
      </c>
      <c r="E355" s="205"/>
      <c r="F355" s="205"/>
      <c r="G355" s="205"/>
      <c r="H355" s="205"/>
      <c r="I355" s="205"/>
      <c r="J355" s="206"/>
      <c r="K355"/>
      <c r="L355" s="203"/>
      <c r="M355" s="205"/>
      <c r="N355" s="205"/>
      <c r="O355" s="205"/>
      <c r="P355" s="205"/>
      <c r="Q355" s="205"/>
      <c r="R355" s="206"/>
      <c r="T355" s="203"/>
      <c r="U355" s="205"/>
      <c r="V355" s="205"/>
      <c r="W355" s="205"/>
      <c r="X355" s="205"/>
      <c r="Y355" s="205"/>
      <c r="Z355" s="206"/>
    </row>
    <row r="356" spans="1:26" ht="18" customHeight="1" hidden="1">
      <c r="A356" s="140"/>
      <c r="B356" s="140"/>
      <c r="D356" s="198" t="s">
        <v>251</v>
      </c>
      <c r="E356" s="130" t="e">
        <f>_xlfn.XLOOKUP(E325,CurrentPlans!B:B,CurrentPlans!AP:AP,"NA",0,1)</f>
        <v>#N/A</v>
      </c>
      <c r="F356" s="200"/>
      <c r="G356" s="200"/>
      <c r="H356" s="200"/>
      <c r="I356" s="130"/>
      <c r="J356" s="201"/>
      <c r="K356"/>
      <c r="L356" s="131" t="str">
        <f ca="1">_xlfn.XLOOKUP(L325,RenewalPlans!B:B,RenewalPlans!AS:AS,"NA",0,1)</f>
        <v>NA</v>
      </c>
      <c r="M356" s="200"/>
      <c r="N356" s="200"/>
      <c r="O356" s="200"/>
      <c r="P356" s="130"/>
      <c r="Q356" s="200"/>
      <c r="R356" s="201"/>
      <c r="T356" s="131" t="str">
        <f>_xlfn.XLOOKUP(T325,RenewalPlans!B:B,RenewalPlans!AS:AS,"NA",0,1)</f>
        <v>NA</v>
      </c>
      <c r="U356" s="200"/>
      <c r="V356" s="200"/>
      <c r="W356" s="200"/>
      <c r="X356" s="130"/>
      <c r="Y356" s="200"/>
      <c r="Z356" s="201"/>
    </row>
    <row r="357" spans="1:26" ht="18" customHeight="1" hidden="1">
      <c r="A357" s="140"/>
      <c r="B357" s="140"/>
      <c r="D357" s="198" t="s">
        <v>252</v>
      </c>
      <c r="E357" s="130" t="e">
        <f>_xlfn.XLOOKUP(E325,CurrentPlans!B:B,CurrentPlans!AQ:AQ,"NA",0,1)</f>
        <v>#N/A</v>
      </c>
      <c r="F357" s="200"/>
      <c r="G357" s="200"/>
      <c r="H357" s="200"/>
      <c r="I357" s="130"/>
      <c r="J357" s="201"/>
      <c r="K357"/>
      <c r="L357" s="131" t="str">
        <f ca="1">_xlfn.XLOOKUP(L325,RenewalPlans!B:B,RenewalPlans!AT:AT,"NA",0,1)</f>
        <v>NA</v>
      </c>
      <c r="M357" s="200"/>
      <c r="N357" s="200"/>
      <c r="O357" s="200"/>
      <c r="P357" s="130"/>
      <c r="Q357" s="200"/>
      <c r="R357" s="201"/>
      <c r="T357" s="131" t="str">
        <f>_xlfn.XLOOKUP(T325,RenewalPlans!B:B,RenewalPlans!AT:AT,"NA",0,1)</f>
        <v>NA</v>
      </c>
      <c r="U357" s="200"/>
      <c r="V357" s="200"/>
      <c r="W357" s="200"/>
      <c r="X357" s="130"/>
      <c r="Y357" s="200"/>
      <c r="Z357" s="201"/>
    </row>
    <row r="358" spans="1:26" ht="18" customHeight="1" hidden="1">
      <c r="A358" s="140"/>
      <c r="B358" s="140"/>
      <c r="D358" s="120" t="s">
        <v>253</v>
      </c>
      <c r="E358" s="133" t="e">
        <f>_xlfn.XLOOKUP(E325,CurrentPlans!B:B,CurrentPlans!AO:AO,"NA",0,1)</f>
        <v>#N/A</v>
      </c>
      <c r="F358" s="122"/>
      <c r="G358" s="122"/>
      <c r="H358" s="122"/>
      <c r="I358" s="133"/>
      <c r="J358" s="123"/>
      <c r="K358"/>
      <c r="L358" s="136" t="str">
        <f ca="1">_xlfn.XLOOKUP(L325,RenewalPlans!B:B,RenewalPlans!AR:AR,"NA",0,1)</f>
        <v>NA</v>
      </c>
      <c r="M358" s="122"/>
      <c r="N358" s="122"/>
      <c r="O358" s="122"/>
      <c r="P358" s="133"/>
      <c r="Q358" s="122"/>
      <c r="R358" s="123"/>
      <c r="T358" s="136" t="str">
        <f>_xlfn.XLOOKUP(T325,RenewalPlans!B:B,RenewalPlans!AR:AR,"NA",0,1)</f>
        <v>NA</v>
      </c>
      <c r="U358" s="122"/>
      <c r="V358" s="122"/>
      <c r="W358" s="122"/>
      <c r="X358" s="133"/>
      <c r="Y358" s="122"/>
      <c r="Z358" s="123"/>
    </row>
    <row r="359" spans="1:26" ht="18" customHeight="1" hidden="1">
      <c r="A359" s="140"/>
      <c r="B359" s="140"/>
      <c r="D359" s="223" t="s">
        <v>254</v>
      </c>
      <c r="E359" s="205"/>
      <c r="F359" s="205"/>
      <c r="G359" s="205"/>
      <c r="H359" s="205"/>
      <c r="I359" s="205"/>
      <c r="J359" s="206"/>
      <c r="K359"/>
      <c r="L359" s="203"/>
      <c r="M359" s="205"/>
      <c r="N359" s="205"/>
      <c r="O359" s="205"/>
      <c r="P359" s="205"/>
      <c r="Q359" s="205"/>
      <c r="R359" s="206"/>
      <c r="T359" s="203"/>
      <c r="U359" s="205"/>
      <c r="V359" s="205"/>
      <c r="W359" s="205"/>
      <c r="X359" s="205"/>
      <c r="Y359" s="205"/>
      <c r="Z359" s="206"/>
    </row>
    <row r="360" spans="1:26" ht="18" customHeight="1" hidden="1">
      <c r="A360" s="140"/>
      <c r="B360" s="140"/>
      <c r="D360" s="198" t="s">
        <v>255</v>
      </c>
      <c r="E360" s="130" t="e">
        <f>_xlfn.XLOOKUP(E325,CurrentPlans!B:B,CurrentPlans!AR:AR,"NA",0,1)</f>
        <v>#N/A</v>
      </c>
      <c r="F360" s="200"/>
      <c r="G360" s="200"/>
      <c r="H360" s="200"/>
      <c r="I360" s="130"/>
      <c r="J360" s="201"/>
      <c r="K360"/>
      <c r="L360" s="131" t="str">
        <f ca="1">_xlfn.XLOOKUP(L325,RenewalPlans!B:B,RenewalPlans!AU:AU,"NA",0,1)</f>
        <v>NA</v>
      </c>
      <c r="M360" s="200"/>
      <c r="N360" s="200"/>
      <c r="O360" s="200"/>
      <c r="P360" s="130"/>
      <c r="Q360" s="200"/>
      <c r="R360" s="201"/>
      <c r="T360" s="131" t="str">
        <f>_xlfn.XLOOKUP(T325,RenewalPlans!B:B,RenewalPlans!AU:AU,"NA",0,1)</f>
        <v>NA</v>
      </c>
      <c r="U360" s="200"/>
      <c r="V360" s="200"/>
      <c r="W360" s="200"/>
      <c r="X360" s="130"/>
      <c r="Y360" s="200"/>
      <c r="Z360" s="201"/>
    </row>
    <row r="361" spans="1:26" ht="18" customHeight="1" hidden="1" thickBot="1">
      <c r="A361" s="140"/>
      <c r="B361" s="140"/>
      <c r="D361" s="224" t="s">
        <v>256</v>
      </c>
      <c r="E361" s="137" t="e">
        <f>_xlfn.XLOOKUP(E325,CurrentPlans!B:B,CurrentPlans!AS:AS,"NA",0,1)</f>
        <v>#N/A</v>
      </c>
      <c r="F361" s="225"/>
      <c r="G361" s="225"/>
      <c r="H361" s="225"/>
      <c r="I361" s="137"/>
      <c r="J361" s="226"/>
      <c r="K361"/>
      <c r="L361" s="138" t="str">
        <f ca="1">_xlfn.XLOOKUP(L325,RenewalPlans!B:B,RenewalPlans!AV:AV,"NA",0,1)</f>
        <v>NA</v>
      </c>
      <c r="M361" s="225"/>
      <c r="N361" s="225"/>
      <c r="O361" s="225"/>
      <c r="P361" s="137"/>
      <c r="Q361" s="225"/>
      <c r="R361" s="226"/>
      <c r="T361" s="138" t="str">
        <f>_xlfn.XLOOKUP(T325,RenewalPlans!B:B,RenewalPlans!AV:AV,"NA",0,1)</f>
        <v>NA</v>
      </c>
      <c r="U361" s="225"/>
      <c r="V361" s="225"/>
      <c r="W361" s="225"/>
      <c r="X361" s="137"/>
      <c r="Y361" s="225"/>
      <c r="Z361" s="226"/>
    </row>
    <row r="362" spans="1:26" ht="18" customHeight="1">
      <c r="A362" s="140"/>
      <c r="B362" s="140"/>
      <c r="D362" s="227"/>
      <c r="E362" s="176"/>
      <c r="F362" s="178"/>
      <c r="G362" s="179"/>
      <c r="H362" s="178"/>
      <c r="I362" s="176"/>
      <c r="J362" s="228"/>
      <c r="K362"/>
      <c r="L362" s="178"/>
      <c r="M362" s="176"/>
      <c r="N362" s="139"/>
      <c r="O362" s="178"/>
      <c r="P362" s="178"/>
      <c r="Q362" s="178"/>
      <c r="R362" s="228"/>
      <c r="T362" s="178"/>
      <c r="U362" s="176"/>
      <c r="V362" s="139"/>
      <c r="W362" s="178"/>
      <c r="X362" s="178"/>
      <c r="Y362" s="178"/>
      <c r="Z362" s="228"/>
    </row>
    <row r="363" spans="1:26" ht="5.25" customHeight="1" thickBot="1">
      <c r="A363" s="140"/>
      <c r="B363" s="140"/>
      <c r="D363" s="229"/>
      <c r="E363" s="229"/>
      <c r="F363" s="230"/>
      <c r="G363" s="231"/>
      <c r="H363" s="232"/>
      <c r="I363" s="233"/>
      <c r="J363" s="233"/>
      <c r="K363"/>
      <c r="L363" s="233"/>
      <c r="M363" s="233"/>
      <c r="N363" s="233"/>
      <c r="O363" s="233"/>
      <c r="P363" s="233"/>
      <c r="Q363" s="233"/>
      <c r="R363" s="233"/>
      <c r="T363" s="233"/>
      <c r="U363" s="233"/>
      <c r="V363" s="233"/>
      <c r="W363" s="233"/>
      <c r="X363" s="233"/>
      <c r="Y363" s="233"/>
      <c r="Z363" s="233"/>
    </row>
    <row r="364" spans="1:26" ht="50.15" customHeight="1">
      <c r="A364" s="140">
        <v>8</v>
      </c>
      <c r="B364" s="140">
        <f>IF(A364&gt;Class3_CurrentHealthCount,"DELETE",Class3_CurrentHealthStart+A364)</f>
        <v>68</v>
      </c>
      <c r="C364" s="164" t="s">
        <v>281</v>
      </c>
      <c r="D364" s="273" t="e">
        <f ca="1">IF(B364="Delete","",VLOOKUP(F364,BEGIN_CURRENT_HEALTH:END_CURRENT_HEALTH,3,FALSE))</f>
        <v>#N/A</v>
      </c>
      <c r="E364" s="165"/>
      <c r="F364" s="272" cm="1">
        <f t="array" ca="1" aca="1" ref="F364">IF(B364="Delete","",INDIRECT("CurrentPlans!A"&amp;B364,TRUE))</f>
        <v>0</v>
      </c>
      <c r="G364" s="166"/>
      <c r="H364" s="167"/>
      <c r="I364" s="168"/>
      <c r="J364" s="169"/>
      <c r="K364"/>
      <c r="L364" s="274" t="str">
        <f ca="1">_xlfn.IFNA(VLOOKUP(F364,BEGIN_RENEWEDFROM_HEALTH:ROW_RenewHealth_PlanID,3,FALSE),"SELECT PLAN")</f>
        <v>SELECT PLAN</v>
      </c>
      <c r="M364" s="170"/>
      <c r="N364" s="274" t="s">
        <v>237</v>
      </c>
      <c r="O364" s="171"/>
      <c r="P364" s="171"/>
      <c r="Q364" s="171"/>
      <c r="R364" s="169"/>
      <c r="T364" s="274" t="s">
        <v>38</v>
      </c>
      <c r="U364" s="170"/>
      <c r="V364" s="274" t="s">
        <v>237</v>
      </c>
      <c r="W364" s="171"/>
      <c r="X364" s="171"/>
      <c r="Y364" s="171"/>
      <c r="Z364" s="169"/>
    </row>
    <row r="365" spans="1:26" ht="18.75" customHeight="1">
      <c r="A365" s="140"/>
      <c r="B365" s="140"/>
      <c r="D365" s="172" t="s">
        <v>238</v>
      </c>
      <c r="E365" s="407" t="str">
        <f ca="1">_xlfn.IFNA(VLOOKUP(F364,BEGIN_CURRENT_HEALTH:END_CURRENT_HEALTH,CURRENT_COL_EO_count,FALSE),"")</f>
        <v/>
      </c>
      <c r="F365" s="408" t="str">
        <f ca="1">_xlfn.IFNA(VLOOKUP(F364,BEGIN_CURRENT_HEALTH:END_CURRENT_HEALTH,CURRENT_COL_EO,FALSE),"")</f>
        <v/>
      </c>
      <c r="G365" s="468" t="str">
        <f ca="1" t="shared" si="35" ref="G365:G368">IF(F365="","",H365/F365)</f>
        <v/>
      </c>
      <c r="H365" s="408" t="str">
        <f ca="1">_xlfn.IFNA(VLOOKUP(F364,BEGIN_CURRENT_HEALTH:END_CURRENT_HEALTH,CURRENT_COL_EOContrib,FALSE),"")</f>
        <v/>
      </c>
      <c r="I365" s="409" t="str">
        <f ca="1">IFERROR(F365-H365,"")</f>
        <v/>
      </c>
      <c r="J365" s="410" t="str">
        <f ca="1">IF(F365="","",H365*E365)</f>
        <v/>
      </c>
      <c r="K365" s="411"/>
      <c r="L365" s="408" t="str" cm="1">
        <f t="array" ca="1" aca="1" ref="L365">_xlfn.IFNA(VLOOKUP(INDIRECT("L"&amp;ROW()-1)&amp;"_"&amp;$D$12,BEGIN_RENEW_HEALTH:END_RENEW_HEALTH,RENEW_COL_EO,FALSE),"")</f>
        <v/>
      </c>
      <c r="M365" s="412" t="str">
        <f ca="1">IF(E365="","",E365)</f>
        <v/>
      </c>
      <c r="N365" s="413"/>
      <c r="O365" s="414"/>
      <c r="P365" s="415" t="str">
        <f>IFERROR(IF($N364="Keep Contribution Same",H365,IF($N364="Enter Percentages",IF(N365="","",N365*L365),IF($N364="Keep Percentage Same",IF(G365="","",G365*L365),IF($N364="Enter Dollar Amount",IF(O365="","",O365),"")))),"")</f>
        <v/>
      </c>
      <c r="Q365" s="408" t="str">
        <f ca="1">IFERROR(L365-P365,"")</f>
        <v/>
      </c>
      <c r="R365" s="410" t="str">
        <f>IFERROR(IF(P365="","",M365*P365),"")</f>
        <v/>
      </c>
      <c r="S365" s="411"/>
      <c r="T365" s="408" t="str" cm="1">
        <f t="array" ca="1" aca="1" ref="T365">_xlfn.IFNA(VLOOKUP(INDIRECT("T"&amp;ROW()-1)&amp;"_"&amp;$D$12,BEGIN_RENEW_HEALTH:END_RENEW_HEALTH,RENEW_COL_EO,FALSE),"")</f>
        <v/>
      </c>
      <c r="U365" s="412" t="str">
        <f ca="1">IF(E365="","",E365)</f>
        <v/>
      </c>
      <c r="V365" s="413"/>
      <c r="W365" s="414"/>
      <c r="X365" s="415" t="str">
        <f>IFERROR(IF($V364="Keep Contribution Same",H365,IF($V364="Enter Percentages",IF(V365="","",V365*T365),IF($V364="Keep Percentage Same",IF(G365="","",G365*T365),IF($V364="Enter Dollar Amount",IF(W365="","",W365),"")))),"")</f>
        <v/>
      </c>
      <c r="Y365" s="408" t="str">
        <f ca="1">IFERROR(T365-X365,"")</f>
        <v/>
      </c>
      <c r="Z365" s="410" t="str">
        <f>IFERROR(IF(X365="","",U365*X365),"")</f>
        <v/>
      </c>
    </row>
    <row r="366" spans="1:26" ht="18.75" customHeight="1">
      <c r="A366" s="140"/>
      <c r="B366" s="140"/>
      <c r="D366" s="172" t="s">
        <v>239</v>
      </c>
      <c r="E366" s="407" t="str">
        <f ca="1">_xlfn.IFNA(VLOOKUP(F364,BEGIN_CURRENT_HEALTH:END_CURRENT_HEALTH,CURRENT_COL_ES_count,FALSE),"")</f>
        <v/>
      </c>
      <c r="F366" s="408" t="str">
        <f ca="1">_xlfn.IFNA(VLOOKUP(F364,BEGIN_CURRENT_HEALTH:END_CURRENT_HEALTH,CURRENT_COL_ES,FALSE),"")</f>
        <v/>
      </c>
      <c r="G366" s="468" t="str">
        <f t="shared" ca="1" si="35"/>
        <v/>
      </c>
      <c r="H366" s="408" t="str">
        <f ca="1">_xlfn.IFNA(VLOOKUP(F364,BEGIN_CURRENT_HEALTH:END_CURRENT_HEALTH,CURRENT_COL_ESContrib,FALSE),"")</f>
        <v/>
      </c>
      <c r="I366" s="409" t="str">
        <f ca="1" t="shared" si="36" ref="I366:I368">IFERROR(F366-H366,"")</f>
        <v/>
      </c>
      <c r="J366" s="410" t="str">
        <f ca="1">IF(F366="","",H366*E366)</f>
        <v/>
      </c>
      <c r="K366" s="411"/>
      <c r="L366" s="408" t="str" cm="1">
        <f t="array" ca="1" aca="1" ref="L366">_xlfn.IFNA(VLOOKUP(INDIRECT("L"&amp;ROW()-2)&amp;"_"&amp;$D$12,BEGIN_RENEW_HEALTH:END_RENEW_HEALTH,RENEW_COL_ES,FALSE),"")</f>
        <v/>
      </c>
      <c r="M366" s="412" t="str">
        <f ca="1">IF(E366="","",E366)</f>
        <v/>
      </c>
      <c r="N366" s="413"/>
      <c r="O366" s="414"/>
      <c r="P366" s="415" t="str">
        <f>IFERROR(IF($N364="Keep Contribution Same",H366,IF($N364="Enter Percentages",IF(N366="","",N366*L366),IF($N364="Keep Percentage Same",IF(G366="","",G366*L366),IF($N364="Enter Dollar Amount",IF(O366="","",O366),"")))),"")</f>
        <v/>
      </c>
      <c r="Q366" s="408" t="str">
        <f ca="1">IFERROR(L366-P366,"")</f>
        <v/>
      </c>
      <c r="R366" s="410" t="str">
        <f>IFERROR(IF(P366="","",M366*P366),"")</f>
        <v/>
      </c>
      <c r="S366" s="411"/>
      <c r="T366" s="408" t="str" cm="1">
        <f t="array" ca="1" aca="1" ref="T366">_xlfn.IFNA(VLOOKUP(INDIRECT("T"&amp;ROW()-2)&amp;"_"&amp;$D$12,BEGIN_RENEW_HEALTH:END_RENEW_HEALTH,RENEW_COL_ES,FALSE),"")</f>
        <v/>
      </c>
      <c r="U366" s="412" t="str">
        <f ca="1" t="shared" si="37" ref="U366:U368">IF(E366="","",E366)</f>
        <v/>
      </c>
      <c r="V366" s="413"/>
      <c r="W366" s="414"/>
      <c r="X366" s="415" t="str">
        <f>IFERROR(IF($V364="Keep Contribution Same",H366,IF($V364="Enter Percentages",IF(V366="","",V366*T366),IF($V364="Keep Percentage Same",IF(G366="","",G366*T366),IF($V364="Enter Dollar Amount",IF(W366="","",W366),"")))),"")</f>
        <v/>
      </c>
      <c r="Y366" s="408" t="str">
        <f ca="1" t="shared" si="38" ref="Y366:Y368">IFERROR(T366-X366,"")</f>
        <v/>
      </c>
      <c r="Z366" s="410" t="str">
        <f t="shared" si="39" ref="Z366:Z368">IFERROR(IF(X366="","",U366*X366),"")</f>
        <v/>
      </c>
    </row>
    <row r="367" spans="1:26" ht="18.75" customHeight="1">
      <c r="A367" s="140"/>
      <c r="B367" s="140"/>
      <c r="D367" s="172" t="s">
        <v>240</v>
      </c>
      <c r="E367" s="407" t="str">
        <f ca="1">_xlfn.IFNA(VLOOKUP(F364,BEGIN_CURRENT_HEALTH:END_CURRENT_HEALTH,CURRENT_COL_EC_count,FALSE),"")</f>
        <v/>
      </c>
      <c r="F367" s="408" t="str">
        <f ca="1">_xlfn.IFNA(VLOOKUP(F364,BEGIN_CURRENT_HEALTH:END_CURRENT_HEALTH,CURRENT_COL_EC,FALSE),"")</f>
        <v/>
      </c>
      <c r="G367" s="468" t="str">
        <f t="shared" ca="1" si="35"/>
        <v/>
      </c>
      <c r="H367" s="408" t="str">
        <f ca="1">_xlfn.IFNA(VLOOKUP(F364,BEGIN_CURRENT_HEALTH:END_CURRENT_HEALTH,CURRENT_COL_ECContrib,FALSE),"")</f>
        <v/>
      </c>
      <c r="I367" s="409" t="str">
        <f t="shared" ca="1" si="36"/>
        <v/>
      </c>
      <c r="J367" s="410" t="str">
        <f ca="1">IF(F367="","",H367*E367)</f>
        <v/>
      </c>
      <c r="K367" s="411"/>
      <c r="L367" s="408" t="str" cm="1">
        <f t="array" ca="1" aca="1" ref="L367">_xlfn.IFNA(VLOOKUP(INDIRECT("L"&amp;ROW()-3)&amp;"_"&amp;$D$12,BEGIN_RENEW_HEALTH:END_RENEW_HEALTH,RENEW_COL_EC,FALSE),"")</f>
        <v/>
      </c>
      <c r="M367" s="412" t="str">
        <f ca="1">IF(E367="","",E367)</f>
        <v/>
      </c>
      <c r="N367" s="413"/>
      <c r="O367" s="414"/>
      <c r="P367" s="415" t="str">
        <f>IFERROR(IF($N364="Keep Contribution Same",H367,IF($N364="Enter Percentages",IF(N367="","",N367*L367),IF($N364="Keep Percentage Same",IF(G367="","",G367*L367),IF($N364="Enter Dollar Amount",IF(O367="","",O367),"")))),"")</f>
        <v/>
      </c>
      <c r="Q367" s="408" t="str">
        <f ca="1">IFERROR(L367-P367,"")</f>
        <v/>
      </c>
      <c r="R367" s="410" t="str">
        <f>IFERROR(IF(P367="","",M367*P367),"")</f>
        <v/>
      </c>
      <c r="S367" s="411"/>
      <c r="T367" s="408" t="str" cm="1">
        <f t="array" ca="1" aca="1" ref="T367">_xlfn.IFNA(VLOOKUP(INDIRECT("T"&amp;ROW()-3)&amp;"_"&amp;$D$12,BEGIN_RENEW_HEALTH:END_RENEW_HEALTH,RENEW_COL_EC,FALSE),"")</f>
        <v/>
      </c>
      <c r="U367" s="412" t="str">
        <f t="shared" ca="1" si="37"/>
        <v/>
      </c>
      <c r="V367" s="413"/>
      <c r="W367" s="414"/>
      <c r="X367" s="415" t="str">
        <f>IFERROR(IF($V364="Keep Contribution Same",H367,IF($V364="Enter Percentages",IF(V367="","",V367*T367),IF($V364="Keep Percentage Same",IF(G367="","",G367*T367),IF($V364="Enter Dollar Amount",IF(W367="","",W367),"")))),"")</f>
        <v/>
      </c>
      <c r="Y367" s="408" t="str">
        <f t="shared" ca="1" si="38"/>
        <v/>
      </c>
      <c r="Z367" s="410" t="str">
        <f t="shared" si="39"/>
        <v/>
      </c>
    </row>
    <row r="368" spans="1:26" ht="18.75" customHeight="1" thickBot="1">
      <c r="A368" s="140"/>
      <c r="B368" s="140"/>
      <c r="D368" s="174" t="s">
        <v>241</v>
      </c>
      <c r="E368" s="416" t="str">
        <f ca="1">_xlfn.IFNA(VLOOKUP(F364,BEGIN_CURRENT_HEALTH:END_CURRENT_HEALTH,CURRENT_COL_FAM_count,FALSE),"")</f>
        <v/>
      </c>
      <c r="F368" s="417" t="str">
        <f ca="1">_xlfn.IFNA(VLOOKUP(F364,BEGIN_CURRENT_HEALTH:END_CURRENT_HEALTH,CURRENT_COL_FAM,FALSE),"")</f>
        <v/>
      </c>
      <c r="G368" s="469" t="str">
        <f t="shared" ca="1" si="35"/>
        <v/>
      </c>
      <c r="H368" s="417" t="str">
        <f ca="1">_xlfn.IFNA(VLOOKUP(F364,BEGIN_CURRENT_HEALTH:END_CURRENT_HEALTH,CURRENT_COL_FAMContrib,FALSE),"")</f>
        <v/>
      </c>
      <c r="I368" s="418" t="str">
        <f t="shared" ca="1" si="36"/>
        <v/>
      </c>
      <c r="J368" s="419" t="str">
        <f ca="1">IF(F368="","",H368*E368)</f>
        <v/>
      </c>
      <c r="K368" s="411"/>
      <c r="L368" s="417" t="str" cm="1">
        <f t="array" ca="1" aca="1" ref="L368">_xlfn.IFNA(VLOOKUP(INDIRECT("L"&amp;ROW()-4)&amp;"_"&amp;$D$12,BEGIN_RENEW_HEALTH:END_RENEW_HEALTH,RENEW_COL_FAM,FALSE),"")</f>
        <v/>
      </c>
      <c r="M368" s="423" t="str">
        <f ca="1">IF(E368="","",E368)</f>
        <v/>
      </c>
      <c r="N368" s="420"/>
      <c r="O368" s="421"/>
      <c r="P368" s="422" t="str">
        <f>IFERROR(IF($N364="Keep Contribution Same",H368,IF($N364="Enter Percentages",IF(N368="","",N368*L368),IF($N364="Keep Percentage Same",IF(G368="","",G368*L368),IF($N364="Enter Dollar Amount",IF(O368="","",O368),"")))),"")</f>
        <v/>
      </c>
      <c r="Q368" s="417" t="str">
        <f ca="1">IFERROR(L368-P368,"")</f>
        <v/>
      </c>
      <c r="R368" s="419" t="str">
        <f>IFERROR(IF(P368="","",M368*P368),"")</f>
        <v/>
      </c>
      <c r="S368" s="411"/>
      <c r="T368" s="417" t="str" cm="1">
        <f t="array" ca="1" aca="1" ref="T368">_xlfn.IFNA(VLOOKUP(INDIRECT("T"&amp;ROW()-4)&amp;"_"&amp;$D$12,BEGIN_RENEW_HEALTH:END_RENEW_HEALTH,RENEW_COL_FAM,FALSE),"")</f>
        <v/>
      </c>
      <c r="U368" s="423" t="str">
        <f t="shared" ca="1" si="37"/>
        <v/>
      </c>
      <c r="V368" s="420"/>
      <c r="W368" s="421"/>
      <c r="X368" s="422" t="str">
        <f>IFERROR(IF($V364="Keep Contribution Same",H368,IF($V364="Enter Percentages",IF(V368="","",V368*T368),IF($V364="Keep Percentage Same",IF(G368="","",G368*T368),IF($V364="Enter Dollar Amount",IF(W368="","",W368),"")))),"")</f>
        <v/>
      </c>
      <c r="Y368" s="417" t="str">
        <f t="shared" ca="1" si="38"/>
        <v/>
      </c>
      <c r="Z368" s="419" t="str">
        <f t="shared" si="39"/>
        <v/>
      </c>
    </row>
    <row r="369" spans="1:26" ht="18.75" customHeight="1" thickTop="1">
      <c r="A369" s="140"/>
      <c r="B369" s="140"/>
      <c r="D369" s="175" t="s">
        <v>242</v>
      </c>
      <c r="E369" s="424"/>
      <c r="F369" s="447" t="str">
        <f ca="1">IFERROR((F365*E365)+(F366*E366)+(F367*E367)+(F368*E368),"")</f>
        <v/>
      </c>
      <c r="G369" s="426"/>
      <c r="H369" s="427"/>
      <c r="I369" s="428"/>
      <c r="J369" s="429" t="str">
        <f ca="1">IFERROR(IF(J365="","",SUM(J365:J368)),0)</f>
        <v/>
      </c>
      <c r="K369" s="1"/>
      <c r="L369" s="430" t="str">
        <f ca="1">IFERROR((M365*L365)+(M366*L366)+(M367*L367)+(M368*L368),"")</f>
        <v/>
      </c>
      <c r="M369" s="427"/>
      <c r="N369" s="426"/>
      <c r="O369" s="427"/>
      <c r="P369" s="431"/>
      <c r="Q369" s="432"/>
      <c r="R369" s="429" t="str">
        <f>IFERROR(IF(R365="","",SUM(R365:R368)),0)</f>
        <v/>
      </c>
      <c r="T369" s="430" t="str">
        <f ca="1">IFERROR((U365*T365)+(U366*T366)+(U367*T367)+(U368*T368),"")</f>
        <v/>
      </c>
      <c r="U369" s="427"/>
      <c r="V369" s="426"/>
      <c r="W369" s="427"/>
      <c r="X369" s="431"/>
      <c r="Y369" s="432"/>
      <c r="Z369" s="429" t="str">
        <f>IFERROR(IF(Z365="","",SUM(Z365:Z368)),0)</f>
        <v/>
      </c>
    </row>
    <row r="370" spans="1:26" ht="18.75" customHeight="1">
      <c r="A370" s="140"/>
      <c r="B370" s="140"/>
      <c r="D370" s="177" t="s">
        <v>243</v>
      </c>
      <c r="E370" s="433"/>
      <c r="F370" s="448" t="str">
        <f ca="1">IFERROR(F369*12,"")</f>
        <v/>
      </c>
      <c r="G370" s="435"/>
      <c r="H370" s="436"/>
      <c r="I370" s="432"/>
      <c r="J370" s="437" t="str">
        <f ca="1">IF(J369="","",J369*12)</f>
        <v/>
      </c>
      <c r="K370" s="1"/>
      <c r="L370" s="438" t="str">
        <f ca="1">IFERROR(L369*12,"")</f>
        <v/>
      </c>
      <c r="M370" s="436"/>
      <c r="N370" s="435"/>
      <c r="O370" s="436"/>
      <c r="P370" s="432"/>
      <c r="Q370" s="432"/>
      <c r="R370" s="437" t="str">
        <f>IF(R369="","",R369*12)</f>
        <v/>
      </c>
      <c r="T370" s="438" t="str">
        <f ca="1">IFERROR(T369*12,"")</f>
        <v/>
      </c>
      <c r="U370" s="436"/>
      <c r="V370" s="435"/>
      <c r="W370" s="436"/>
      <c r="X370" s="432"/>
      <c r="Y370" s="432"/>
      <c r="Z370" s="437" t="str">
        <f>IF(Z369="","",Z369*12)</f>
        <v/>
      </c>
    </row>
    <row r="371" spans="1:26" ht="18" customHeight="1">
      <c r="A371" s="140"/>
      <c r="B371" s="140"/>
      <c r="D371" s="177" t="s">
        <v>244</v>
      </c>
      <c r="E371" s="433"/>
      <c r="F371" s="436"/>
      <c r="G371" s="435"/>
      <c r="H371" s="436"/>
      <c r="I371" s="432"/>
      <c r="J371" s="437"/>
      <c r="K371" s="1"/>
      <c r="L371" s="434" t="str">
        <f ca="1">IFERROR(L370-F370,"")</f>
        <v/>
      </c>
      <c r="M371" s="436"/>
      <c r="N371" s="435"/>
      <c r="O371" s="436"/>
      <c r="P371" s="432"/>
      <c r="Q371" s="432"/>
      <c r="R371" s="437" t="str">
        <f ca="1">IFERROR(IF(J370="","",R370-J370),0)</f>
        <v/>
      </c>
      <c r="T371" s="434" t="str">
        <f ca="1">IFERROR(T370-F370,"")</f>
        <v/>
      </c>
      <c r="U371" s="436"/>
      <c r="V371" s="435"/>
      <c r="W371" s="436"/>
      <c r="X371" s="432"/>
      <c r="Y371" s="432"/>
      <c r="Z371" s="437" t="str">
        <f>IFERROR(IF(R370="","",Z370-R370),0)</f>
        <v/>
      </c>
    </row>
    <row r="372" spans="1:26" ht="18" customHeight="1" thickBot="1">
      <c r="A372" s="140"/>
      <c r="B372" s="140"/>
      <c r="D372" s="180" t="s">
        <v>245</v>
      </c>
      <c r="E372" s="439"/>
      <c r="F372" s="440"/>
      <c r="G372" s="441"/>
      <c r="H372" s="440"/>
      <c r="I372" s="442"/>
      <c r="J372" s="437"/>
      <c r="K372" s="1"/>
      <c r="L372" s="444" t="str">
        <f ca="1">IFERROR(L370/F370-1,"")</f>
        <v/>
      </c>
      <c r="M372" s="440"/>
      <c r="N372" s="441"/>
      <c r="O372" s="440"/>
      <c r="P372" s="445"/>
      <c r="Q372" s="445"/>
      <c r="R372" s="446" t="str">
        <f ca="1">IFERROR(IF(J370="","",(R370/J370)-1),0)</f>
        <v/>
      </c>
      <c r="T372" s="444" t="str">
        <f ca="1">IFERROR(T370/F370-1,"")</f>
        <v/>
      </c>
      <c r="U372" s="440"/>
      <c r="V372" s="441"/>
      <c r="W372" s="440"/>
      <c r="X372" s="445"/>
      <c r="Y372" s="445"/>
      <c r="Z372" s="446" t="str">
        <f>IFERROR(IF(R370="","",(Z370/R370)-1),0)</f>
        <v/>
      </c>
    </row>
    <row r="373" spans="1:26" ht="18" customHeight="1">
      <c r="A373" s="140"/>
      <c r="B373" s="140"/>
      <c r="D373" s="181" t="s">
        <v>246</v>
      </c>
      <c r="E373" s="182"/>
      <c r="F373" s="182"/>
      <c r="G373" s="182"/>
      <c r="H373" s="182"/>
      <c r="I373" s="182"/>
      <c r="J373" s="183"/>
      <c r="K373"/>
      <c r="L373" s="184"/>
      <c r="M373" s="182"/>
      <c r="N373" s="182"/>
      <c r="O373" s="182"/>
      <c r="P373" s="182"/>
      <c r="Q373" s="182"/>
      <c r="R373" s="183"/>
      <c r="T373" s="184"/>
      <c r="U373" s="182"/>
      <c r="V373" s="182"/>
      <c r="W373" s="182"/>
      <c r="X373" s="182"/>
      <c r="Y373" s="182"/>
      <c r="Z373" s="183"/>
    </row>
    <row r="374" spans="1:26" ht="18" customHeight="1" hidden="1">
      <c r="A374" s="140"/>
      <c r="B374" s="140"/>
      <c r="D374" s="185" t="s">
        <v>247</v>
      </c>
      <c r="E374" s="186"/>
      <c r="F374" s="186"/>
      <c r="G374" s="186"/>
      <c r="H374" s="186"/>
      <c r="I374" s="186"/>
      <c r="J374" s="187"/>
      <c r="K374"/>
      <c r="L374" s="188"/>
      <c r="M374" s="186"/>
      <c r="N374" s="186"/>
      <c r="O374" s="186"/>
      <c r="P374" s="186"/>
      <c r="Q374" s="186"/>
      <c r="R374" s="187"/>
      <c r="T374" s="188"/>
      <c r="U374" s="186"/>
      <c r="V374" s="186"/>
      <c r="W374" s="186"/>
      <c r="X374" s="186"/>
      <c r="Y374" s="186"/>
      <c r="Z374" s="187"/>
    </row>
    <row r="375" spans="1:26" ht="18" customHeight="1" hidden="1">
      <c r="A375" s="140"/>
      <c r="B375" s="140"/>
      <c r="D375" s="189" t="s">
        <v>248</v>
      </c>
      <c r="E375" s="190" t="e">
        <f ca="1">D364&amp;"_"&amp;D12</f>
        <v>#N/A</v>
      </c>
      <c r="F375" s="191"/>
      <c r="G375" s="191"/>
      <c r="H375" s="191"/>
      <c r="I375" s="190"/>
      <c r="J375" s="192"/>
      <c r="K375"/>
      <c r="L375" s="193" t="str">
        <f ca="1">L364&amp;"_"&amp;D12</f>
        <v>SELECT PLAN_PRIMARY</v>
      </c>
      <c r="M375" s="191"/>
      <c r="N375" s="191"/>
      <c r="O375" s="191"/>
      <c r="P375" s="190"/>
      <c r="Q375" s="191"/>
      <c r="R375" s="192"/>
      <c r="T375" s="193" t="str">
        <f>T364&amp;"_"&amp;D12</f>
        <v>SELECT PLAN_PRIMARY</v>
      </c>
      <c r="U375" s="191"/>
      <c r="V375" s="191"/>
      <c r="W375" s="191"/>
      <c r="X375" s="190"/>
      <c r="Y375" s="191"/>
      <c r="Z375" s="192"/>
    </row>
    <row r="376" spans="1:26" ht="18" customHeight="1" hidden="1">
      <c r="A376" s="140"/>
      <c r="B376" s="140"/>
      <c r="D376" s="189" t="s">
        <v>249</v>
      </c>
      <c r="E376" s="191"/>
      <c r="F376" s="191"/>
      <c r="G376" s="191"/>
      <c r="H376" s="191"/>
      <c r="I376" s="191"/>
      <c r="J376" s="192"/>
      <c r="K376"/>
      <c r="L376" s="189"/>
      <c r="M376" s="191"/>
      <c r="N376" s="191"/>
      <c r="O376" s="191"/>
      <c r="P376" s="191"/>
      <c r="Q376" s="191"/>
      <c r="R376" s="192"/>
      <c r="T376" s="189"/>
      <c r="U376" s="191"/>
      <c r="V376" s="191"/>
      <c r="W376" s="191"/>
      <c r="X376" s="191"/>
      <c r="Y376" s="191"/>
      <c r="Z376" s="192"/>
    </row>
    <row r="377" spans="1:26" ht="18" customHeight="1" hidden="1">
      <c r="A377" s="140"/>
      <c r="B377" s="140"/>
      <c r="D377" s="194" t="s">
        <v>250</v>
      </c>
      <c r="E377" s="195"/>
      <c r="F377" s="195"/>
      <c r="G377" s="195"/>
      <c r="H377" s="195"/>
      <c r="I377" s="195"/>
      <c r="J377" s="196"/>
      <c r="K377"/>
      <c r="L377" s="197"/>
      <c r="M377" s="195"/>
      <c r="N377" s="195"/>
      <c r="O377" s="195"/>
      <c r="P377" s="195"/>
      <c r="Q377" s="195"/>
      <c r="R377" s="196"/>
      <c r="T377" s="197"/>
      <c r="U377" s="195"/>
      <c r="V377" s="195"/>
      <c r="W377" s="195"/>
      <c r="X377" s="195"/>
      <c r="Y377" s="195"/>
      <c r="Z377" s="196"/>
    </row>
    <row r="378" spans="1:26" ht="18" customHeight="1" hidden="1">
      <c r="A378" s="140"/>
      <c r="B378" s="140"/>
      <c r="D378" s="198" t="s">
        <v>251</v>
      </c>
      <c r="E378" s="199" t="e">
        <f>_xlfn.XLOOKUP(E375,CurrentPlans!B:B,CurrentPlans!X:X,"NA",0,1)</f>
        <v>#N/A</v>
      </c>
      <c r="F378" s="200"/>
      <c r="G378" s="200"/>
      <c r="H378" s="200"/>
      <c r="I378" s="199"/>
      <c r="J378" s="201"/>
      <c r="K378"/>
      <c r="L378" s="202" t="str">
        <f ca="1">_xlfn.XLOOKUP(L375,RenewalPlans!B:B,RenewalPlans!AA:AA,"NA",0,1)</f>
        <v>NA</v>
      </c>
      <c r="M378" s="200"/>
      <c r="N378" s="200"/>
      <c r="O378" s="200"/>
      <c r="P378" s="199"/>
      <c r="Q378" s="200"/>
      <c r="R378" s="201"/>
      <c r="T378" s="202" t="str">
        <f>_xlfn.XLOOKUP(T375,RenewalPlans!B:B,RenewalPlans!AA:AA,"NA",0,1)</f>
        <v>NA</v>
      </c>
      <c r="U378" s="200"/>
      <c r="V378" s="200"/>
      <c r="W378" s="200"/>
      <c r="X378" s="199"/>
      <c r="Y378" s="200"/>
      <c r="Z378" s="201"/>
    </row>
    <row r="379" spans="1:26" ht="18" customHeight="1" hidden="1">
      <c r="A379" s="140"/>
      <c r="B379" s="140"/>
      <c r="D379" s="198" t="s">
        <v>252</v>
      </c>
      <c r="E379" s="199" t="e">
        <f>_xlfn.XLOOKUP(E375,CurrentPlans!B:B,CurrentPlans!Y:Y,"NA",0,1)</f>
        <v>#N/A</v>
      </c>
      <c r="F379" s="200"/>
      <c r="G379" s="200"/>
      <c r="H379" s="200"/>
      <c r="I379" s="199"/>
      <c r="J379" s="201"/>
      <c r="K379"/>
      <c r="L379" s="202" t="str">
        <f ca="1">_xlfn.XLOOKUP(L375,RenewalPlans!B:B,RenewalPlans!AB:AB,"NA",0,1)</f>
        <v>NA</v>
      </c>
      <c r="M379" s="200"/>
      <c r="N379" s="200"/>
      <c r="O379" s="200"/>
      <c r="P379" s="199"/>
      <c r="Q379" s="200"/>
      <c r="R379" s="201"/>
      <c r="T379" s="202" t="str">
        <f>_xlfn.XLOOKUP(T375,RenewalPlans!B:B,RenewalPlans!AB:AB,"NA",0,1)</f>
        <v>NA</v>
      </c>
      <c r="U379" s="200"/>
      <c r="V379" s="200"/>
      <c r="W379" s="200"/>
      <c r="X379" s="199"/>
      <c r="Y379" s="200"/>
      <c r="Z379" s="201"/>
    </row>
    <row r="380" spans="1:26" ht="18" customHeight="1" hidden="1">
      <c r="A380" s="140"/>
      <c r="B380" s="140"/>
      <c r="D380" s="120" t="s">
        <v>253</v>
      </c>
      <c r="E380" s="121" t="e">
        <f>_xlfn.XLOOKUP(E375,CurrentPlans!B:B,CurrentPlans!W:W,"NA",0,1)</f>
        <v>#N/A</v>
      </c>
      <c r="F380" s="122"/>
      <c r="G380" s="122"/>
      <c r="H380" s="122"/>
      <c r="I380" s="121"/>
      <c r="J380" s="123"/>
      <c r="K380"/>
      <c r="L380" s="124" t="str">
        <f ca="1">_xlfn.XLOOKUP(L375,RenewalPlans!B:B,RenewalPlans!Z:Z,"NA",0,1)</f>
        <v>NA</v>
      </c>
      <c r="M380" s="122"/>
      <c r="N380" s="122"/>
      <c r="O380" s="122"/>
      <c r="P380" s="121"/>
      <c r="Q380" s="122"/>
      <c r="R380" s="123"/>
      <c r="T380" s="124" t="str">
        <f>_xlfn.XLOOKUP(T375,RenewalPlans!B:B,RenewalPlans!Z:Z,"NA",0,1)</f>
        <v>NA</v>
      </c>
      <c r="U380" s="122"/>
      <c r="V380" s="122"/>
      <c r="W380" s="122"/>
      <c r="X380" s="121"/>
      <c r="Y380" s="122"/>
      <c r="Z380" s="123"/>
    </row>
    <row r="381" spans="1:26" ht="18" customHeight="1" hidden="1">
      <c r="A381" s="140"/>
      <c r="B381" s="140"/>
      <c r="D381" s="203" t="s">
        <v>254</v>
      </c>
      <c r="E381" s="204"/>
      <c r="F381" s="205"/>
      <c r="G381" s="205"/>
      <c r="H381" s="205"/>
      <c r="I381" s="204"/>
      <c r="J381" s="206"/>
      <c r="K381"/>
      <c r="L381" s="207"/>
      <c r="M381" s="205"/>
      <c r="N381" s="205"/>
      <c r="O381" s="205"/>
      <c r="P381" s="204"/>
      <c r="Q381" s="205"/>
      <c r="R381" s="206"/>
      <c r="T381" s="207"/>
      <c r="U381" s="205"/>
      <c r="V381" s="205"/>
      <c r="W381" s="205"/>
      <c r="X381" s="204"/>
      <c r="Y381" s="205"/>
      <c r="Z381" s="206"/>
    </row>
    <row r="382" spans="1:26" ht="18" customHeight="1" hidden="1">
      <c r="A382" s="140"/>
      <c r="B382" s="140"/>
      <c r="D382" s="125" t="s">
        <v>255</v>
      </c>
      <c r="E382" s="126" t="e">
        <f>_xlfn.XLOOKUP(E375,CurrentPlans!B:B,CurrentPlans!Z:Z,"NA",0,1)</f>
        <v>#N/A</v>
      </c>
      <c r="F382" s="127"/>
      <c r="G382" s="127"/>
      <c r="H382" s="127"/>
      <c r="I382" s="126"/>
      <c r="J382" s="128"/>
      <c r="K382"/>
      <c r="L382" s="129" t="str">
        <f ca="1">_xlfn.XLOOKUP(L375,RenewalPlans!B:B,RenewalPlans!AC:AC,"NA",0,1)</f>
        <v>NA</v>
      </c>
      <c r="M382" s="127"/>
      <c r="N382" s="127"/>
      <c r="O382" s="127"/>
      <c r="P382" s="126"/>
      <c r="Q382" s="127"/>
      <c r="R382" s="128"/>
      <c r="T382" s="129" t="str">
        <f>_xlfn.XLOOKUP(T375,RenewalPlans!B:B,RenewalPlans!AC:AC,"NA",0,1)</f>
        <v>NA</v>
      </c>
      <c r="U382" s="127"/>
      <c r="V382" s="127"/>
      <c r="W382" s="127"/>
      <c r="X382" s="126"/>
      <c r="Y382" s="127"/>
      <c r="Z382" s="128"/>
    </row>
    <row r="383" spans="1:26" ht="18" customHeight="1" hidden="1">
      <c r="A383" s="140"/>
      <c r="B383" s="140"/>
      <c r="D383" s="198" t="s">
        <v>256</v>
      </c>
      <c r="E383" s="208" t="e">
        <f>_xlfn.XLOOKUP(E375,CurrentPlans!B:B,CurrentPlans!AA:AA,"NA",0,1)</f>
        <v>#N/A</v>
      </c>
      <c r="F383" s="200"/>
      <c r="G383" s="200"/>
      <c r="H383" s="200"/>
      <c r="I383" s="208"/>
      <c r="J383" s="201"/>
      <c r="K383"/>
      <c r="L383" s="209" t="str">
        <f ca="1">_xlfn.XLOOKUP(L375,RenewalPlans!B:B,RenewalPlans!AD:AD,"NA",0,1)</f>
        <v>NA</v>
      </c>
      <c r="M383" s="200"/>
      <c r="N383" s="200"/>
      <c r="O383" s="200"/>
      <c r="P383" s="208"/>
      <c r="Q383" s="200"/>
      <c r="R383" s="201"/>
      <c r="T383" s="209" t="str">
        <f>_xlfn.XLOOKUP(T375,RenewalPlans!B:B,RenewalPlans!AD:AD,"NA",0,1)</f>
        <v>NA</v>
      </c>
      <c r="U383" s="200"/>
      <c r="V383" s="200"/>
      <c r="W383" s="200"/>
      <c r="X383" s="208"/>
      <c r="Y383" s="200"/>
      <c r="Z383" s="201"/>
    </row>
    <row r="384" spans="1:26" ht="18" customHeight="1" hidden="1">
      <c r="A384" s="140"/>
      <c r="B384" s="140"/>
      <c r="D384" s="203" t="s">
        <v>257</v>
      </c>
      <c r="E384" s="204"/>
      <c r="F384" s="205"/>
      <c r="G384" s="205"/>
      <c r="H384" s="205"/>
      <c r="I384" s="204"/>
      <c r="J384" s="206"/>
      <c r="K384"/>
      <c r="L384" s="207"/>
      <c r="M384" s="205"/>
      <c r="N384" s="205"/>
      <c r="O384" s="205"/>
      <c r="P384" s="204"/>
      <c r="Q384" s="205"/>
      <c r="R384" s="206"/>
      <c r="T384" s="207"/>
      <c r="U384" s="205"/>
      <c r="V384" s="205"/>
      <c r="W384" s="205"/>
      <c r="X384" s="204"/>
      <c r="Y384" s="205"/>
      <c r="Z384" s="206"/>
    </row>
    <row r="385" spans="1:26" ht="18" customHeight="1" hidden="1">
      <c r="A385" s="140"/>
      <c r="B385" s="140"/>
      <c r="D385" s="198" t="s">
        <v>258</v>
      </c>
      <c r="E385" s="208" t="e">
        <f>_xlfn.XLOOKUP(E375,CurrentPlans!B:B,CurrentPlans!AB:AB,"NA",0,1)</f>
        <v>#N/A</v>
      </c>
      <c r="F385" s="200"/>
      <c r="G385" s="200"/>
      <c r="H385" s="200"/>
      <c r="I385" s="208"/>
      <c r="J385" s="201"/>
      <c r="K385"/>
      <c r="L385" s="209" t="str">
        <f ca="1">_xlfn.XLOOKUP(L375,RenewalPlans!B:B,RenewalPlans!AE:AE,"NA",0,1)</f>
        <v>NA</v>
      </c>
      <c r="M385" s="200"/>
      <c r="N385" s="200"/>
      <c r="O385" s="200"/>
      <c r="P385" s="208"/>
      <c r="Q385" s="200"/>
      <c r="R385" s="201"/>
      <c r="T385" s="209" t="str">
        <f>_xlfn.XLOOKUP(T375,RenewalPlans!B:B,RenewalPlans!AE:AE,"NA",0,1)</f>
        <v>NA</v>
      </c>
      <c r="U385" s="200"/>
      <c r="V385" s="200"/>
      <c r="W385" s="200"/>
      <c r="X385" s="208"/>
      <c r="Y385" s="200"/>
      <c r="Z385" s="201"/>
    </row>
    <row r="386" spans="1:26" ht="18" customHeight="1" hidden="1">
      <c r="A386" s="140"/>
      <c r="B386" s="140"/>
      <c r="D386" s="198" t="s">
        <v>259</v>
      </c>
      <c r="E386" s="208" t="e">
        <f>_xlfn.XLOOKUP(E375,CurrentPlans!B:B,CurrentPlans!AC:AC,"NA",0,1)</f>
        <v>#N/A</v>
      </c>
      <c r="F386" s="200"/>
      <c r="G386" s="200"/>
      <c r="H386" s="200"/>
      <c r="I386" s="208"/>
      <c r="J386" s="201"/>
      <c r="K386"/>
      <c r="L386" s="209" t="str">
        <f ca="1">_xlfn.XLOOKUP(L375,RenewalPlans!B:B,RenewalPlans!AF:AF,"NA",0,1)</f>
        <v>NA</v>
      </c>
      <c r="M386" s="200"/>
      <c r="N386" s="200"/>
      <c r="O386" s="200"/>
      <c r="P386" s="208"/>
      <c r="Q386" s="200"/>
      <c r="R386" s="201"/>
      <c r="T386" s="209" t="str">
        <f>_xlfn.XLOOKUP(T375,RenewalPlans!B:B,RenewalPlans!AF:AF,"NA",0,1)</f>
        <v>NA</v>
      </c>
      <c r="U386" s="200"/>
      <c r="V386" s="200"/>
      <c r="W386" s="200"/>
      <c r="X386" s="208"/>
      <c r="Y386" s="200"/>
      <c r="Z386" s="201"/>
    </row>
    <row r="387" spans="1:26" ht="18" customHeight="1" hidden="1">
      <c r="A387" s="140"/>
      <c r="B387" s="140"/>
      <c r="D387" s="210"/>
      <c r="E387" s="211"/>
      <c r="F387" s="211"/>
      <c r="G387" s="211"/>
      <c r="H387" s="211"/>
      <c r="I387" s="211"/>
      <c r="J387" s="212"/>
      <c r="K387"/>
      <c r="L387" s="210"/>
      <c r="M387" s="211"/>
      <c r="N387" s="211"/>
      <c r="O387" s="211"/>
      <c r="P387" s="211"/>
      <c r="Q387" s="211"/>
      <c r="R387" s="212"/>
      <c r="T387" s="210"/>
      <c r="U387" s="211"/>
      <c r="V387" s="211"/>
      <c r="W387" s="211"/>
      <c r="X387" s="211"/>
      <c r="Y387" s="211"/>
      <c r="Z387" s="212"/>
    </row>
    <row r="388" spans="1:26" ht="18" customHeight="1" hidden="1">
      <c r="A388" s="140"/>
      <c r="B388" s="140"/>
      <c r="D388" s="185" t="s">
        <v>260</v>
      </c>
      <c r="E388" s="186"/>
      <c r="F388" s="186"/>
      <c r="G388" s="186"/>
      <c r="H388" s="186"/>
      <c r="I388" s="186"/>
      <c r="J388" s="187"/>
      <c r="K388"/>
      <c r="L388" s="188"/>
      <c r="M388" s="186"/>
      <c r="N388" s="186"/>
      <c r="O388" s="186"/>
      <c r="P388" s="186"/>
      <c r="Q388" s="186"/>
      <c r="R388" s="187"/>
      <c r="T388" s="188"/>
      <c r="U388" s="186"/>
      <c r="V388" s="186"/>
      <c r="W388" s="186"/>
      <c r="X388" s="186"/>
      <c r="Y388" s="186"/>
      <c r="Z388" s="187"/>
    </row>
    <row r="389" spans="1:26" ht="18" customHeight="1" hidden="1">
      <c r="A389" s="140"/>
      <c r="B389" s="140"/>
      <c r="D389" s="213" t="s">
        <v>261</v>
      </c>
      <c r="E389" s="130" t="e">
        <f>_xlfn.XLOOKUP(E375,CurrentPlans!B:B,CurrentPlans!AJ:AJ,"NA",0,1)</f>
        <v>#N/A</v>
      </c>
      <c r="F389" s="214"/>
      <c r="G389" s="214"/>
      <c r="H389" s="214"/>
      <c r="I389" s="130"/>
      <c r="J389" s="215"/>
      <c r="K389"/>
      <c r="L389" s="131" t="str">
        <f ca="1">_xlfn.XLOOKUP(L375,RenewalPlans!B:B,RenewalPlans!AM:AM,"NA",0,1)</f>
        <v>NA</v>
      </c>
      <c r="M389" s="214"/>
      <c r="N389" s="214"/>
      <c r="O389" s="214"/>
      <c r="P389" s="130"/>
      <c r="Q389" s="214"/>
      <c r="R389" s="215"/>
      <c r="T389" s="131" t="str">
        <f>_xlfn.XLOOKUP(T375,RenewalPlans!B:B,RenewalPlans!AM:AM,"NA",0,1)</f>
        <v>NA</v>
      </c>
      <c r="U389" s="214"/>
      <c r="V389" s="214"/>
      <c r="W389" s="214"/>
      <c r="X389" s="130"/>
      <c r="Y389" s="214"/>
      <c r="Z389" s="215"/>
    </row>
    <row r="390" spans="1:26" ht="18" customHeight="1" hidden="1">
      <c r="A390" s="140"/>
      <c r="B390" s="140"/>
      <c r="D390" s="198" t="s">
        <v>262</v>
      </c>
      <c r="E390" s="130" t="e">
        <f>_xlfn.XLOOKUP(E375,CurrentPlans!B:B,CurrentPlans!AM:AM,"NA",0,1)</f>
        <v>#N/A</v>
      </c>
      <c r="F390" s="200"/>
      <c r="G390" s="200"/>
      <c r="H390" s="200"/>
      <c r="I390" s="130"/>
      <c r="J390" s="201"/>
      <c r="K390"/>
      <c r="L390" s="131" t="str">
        <f ca="1">_xlfn.XLOOKUP(L375,RenewalPlans!B:B,RenewalPlans!AP:AP,"NA",0,1)</f>
        <v>NA</v>
      </c>
      <c r="M390" s="200"/>
      <c r="N390" s="200"/>
      <c r="O390" s="200"/>
      <c r="P390" s="130"/>
      <c r="Q390" s="200"/>
      <c r="R390" s="201"/>
      <c r="T390" s="131" t="str">
        <f>_xlfn.XLOOKUP(T375,RenewalPlans!B:B,RenewalPlans!AP:AP,"NA",0,1)</f>
        <v>NA</v>
      </c>
      <c r="U390" s="200"/>
      <c r="V390" s="200"/>
      <c r="W390" s="200"/>
      <c r="X390" s="130"/>
      <c r="Y390" s="200"/>
      <c r="Z390" s="201"/>
    </row>
    <row r="391" spans="1:26" ht="18" customHeight="1" hidden="1">
      <c r="A391" s="140"/>
      <c r="B391" s="140"/>
      <c r="D391" s="198" t="s">
        <v>263</v>
      </c>
      <c r="E391" s="130" t="e">
        <f>_xlfn.XLOOKUP(E375,CurrentPlans!B:B,CurrentPlans!AI:AI,"NA",0,1)</f>
        <v>#N/A</v>
      </c>
      <c r="F391" s="200"/>
      <c r="G391" s="200"/>
      <c r="H391" s="200"/>
      <c r="I391" s="130"/>
      <c r="J391" s="201"/>
      <c r="K391"/>
      <c r="L391" s="131" t="str">
        <f ca="1">_xlfn.XLOOKUP(L375,RenewalPlans!B:B,RenewalPlans!AL:AL,"NA",0,1)</f>
        <v>NA</v>
      </c>
      <c r="M391" s="200"/>
      <c r="N391" s="200"/>
      <c r="O391" s="200"/>
      <c r="P391" s="130"/>
      <c r="Q391" s="200"/>
      <c r="R391" s="201"/>
      <c r="T391" s="131" t="str">
        <f>_xlfn.XLOOKUP(T375,RenewalPlans!B:B,RenewalPlans!AL:AL,"NA",0,1)</f>
        <v>NA</v>
      </c>
      <c r="U391" s="200"/>
      <c r="V391" s="200"/>
      <c r="W391" s="200"/>
      <c r="X391" s="130"/>
      <c r="Y391" s="200"/>
      <c r="Z391" s="201"/>
    </row>
    <row r="392" spans="1:26" ht="18" customHeight="1" hidden="1">
      <c r="A392" s="140"/>
      <c r="B392" s="140"/>
      <c r="D392" s="198" t="s">
        <v>264</v>
      </c>
      <c r="E392" s="208" t="e">
        <f>_xlfn.XLOOKUP(E375,CurrentPlans!B:B,CurrentPlans!AN:AN,"NA",0,1)</f>
        <v>#N/A</v>
      </c>
      <c r="F392" s="200"/>
      <c r="G392" s="200"/>
      <c r="H392" s="200"/>
      <c r="I392" s="208"/>
      <c r="J392" s="201"/>
      <c r="K392"/>
      <c r="L392" s="209" t="str">
        <f ca="1">_xlfn.XLOOKUP(L375,RenewalPlans!B:B,RenewalPlans!AQ:AQ,"NA",0,1)</f>
        <v>NA</v>
      </c>
      <c r="M392" s="200"/>
      <c r="N392" s="200"/>
      <c r="O392" s="200"/>
      <c r="P392" s="208"/>
      <c r="Q392" s="200"/>
      <c r="R392" s="201"/>
      <c r="T392" s="209" t="str">
        <f>_xlfn.XLOOKUP(T375,RenewalPlans!B:B,RenewalPlans!AQ:AQ,"NA",0,1)</f>
        <v>NA</v>
      </c>
      <c r="U392" s="200"/>
      <c r="V392" s="200"/>
      <c r="W392" s="200"/>
      <c r="X392" s="208"/>
      <c r="Y392" s="200"/>
      <c r="Z392" s="201"/>
    </row>
    <row r="393" spans="1:26" ht="18" customHeight="1" hidden="1">
      <c r="A393" s="140"/>
      <c r="B393" s="140"/>
      <c r="D393" s="210"/>
      <c r="E393" s="211"/>
      <c r="F393" s="211"/>
      <c r="G393" s="211"/>
      <c r="H393" s="211"/>
      <c r="I393" s="211"/>
      <c r="J393" s="212"/>
      <c r="K393"/>
      <c r="L393" s="210"/>
      <c r="M393" s="211"/>
      <c r="N393" s="211"/>
      <c r="O393" s="211"/>
      <c r="P393" s="211"/>
      <c r="Q393" s="211"/>
      <c r="R393" s="212"/>
      <c r="T393" s="210"/>
      <c r="U393" s="211"/>
      <c r="V393" s="211"/>
      <c r="W393" s="211"/>
      <c r="X393" s="211"/>
      <c r="Y393" s="211"/>
      <c r="Z393" s="212"/>
    </row>
    <row r="394" spans="1:26" ht="18" customHeight="1" hidden="1">
      <c r="A394" s="140"/>
      <c r="B394" s="140"/>
      <c r="D394" s="185" t="s">
        <v>265</v>
      </c>
      <c r="E394" s="186"/>
      <c r="F394" s="186"/>
      <c r="G394" s="186"/>
      <c r="H394" s="186"/>
      <c r="I394" s="186"/>
      <c r="J394" s="187"/>
      <c r="K394"/>
      <c r="L394" s="188"/>
      <c r="M394" s="186"/>
      <c r="N394" s="186"/>
      <c r="O394" s="186"/>
      <c r="P394" s="186"/>
      <c r="Q394" s="186"/>
      <c r="R394" s="187"/>
      <c r="T394" s="188"/>
      <c r="U394" s="186"/>
      <c r="V394" s="186"/>
      <c r="W394" s="186"/>
      <c r="X394" s="186"/>
      <c r="Y394" s="186"/>
      <c r="Z394" s="187"/>
    </row>
    <row r="395" spans="1:26" ht="18" customHeight="1" hidden="1">
      <c r="A395" s="140"/>
      <c r="B395" s="140"/>
      <c r="D395" s="132" t="s">
        <v>266</v>
      </c>
      <c r="E395" s="133" t="e">
        <f>_xlfn.XLOOKUP(E375,CurrentPlans!B:B,CurrentPlans!AE:AE,"NA",0,1)</f>
        <v>#N/A</v>
      </c>
      <c r="F395" s="134"/>
      <c r="G395" s="134"/>
      <c r="H395" s="134"/>
      <c r="I395" s="133"/>
      <c r="J395" s="135"/>
      <c r="K395"/>
      <c r="L395" s="136" t="str">
        <f ca="1">_xlfn.XLOOKUP(L375,RenewalPlans!B:B,RenewalPlans!AH:AH,"NA",0,1)</f>
        <v>NA</v>
      </c>
      <c r="M395" s="134"/>
      <c r="N395" s="134"/>
      <c r="O395" s="134"/>
      <c r="P395" s="133"/>
      <c r="Q395" s="134"/>
      <c r="R395" s="135"/>
      <c r="T395" s="136" t="str">
        <f>_xlfn.XLOOKUP(T375,RenewalPlans!B:B,RenewalPlans!AH:AH,"NA",0,1)</f>
        <v>NA</v>
      </c>
      <c r="U395" s="134"/>
      <c r="V395" s="134"/>
      <c r="W395" s="134"/>
      <c r="X395" s="133"/>
      <c r="Y395" s="134"/>
      <c r="Z395" s="135"/>
    </row>
    <row r="396" spans="1:26" ht="18" customHeight="1" hidden="1">
      <c r="A396" s="140"/>
      <c r="B396" s="140"/>
      <c r="D396" s="120" t="s">
        <v>267</v>
      </c>
      <c r="E396" s="130" t="e">
        <f>_xlfn.XLOOKUP(E375,CurrentPlans!B:B,CurrentPlans!AF:AF,"NA",0,1)</f>
        <v>#N/A</v>
      </c>
      <c r="F396" s="122"/>
      <c r="G396" s="122"/>
      <c r="H396" s="122"/>
      <c r="I396" s="130"/>
      <c r="J396" s="123"/>
      <c r="K396"/>
      <c r="L396" s="131" t="str">
        <f ca="1">_xlfn.XLOOKUP(L375,RenewalPlans!B:B,RenewalPlans!AI:AI,"NA",0,1)</f>
        <v>NA</v>
      </c>
      <c r="M396" s="122"/>
      <c r="N396" s="122"/>
      <c r="O396" s="122"/>
      <c r="P396" s="130"/>
      <c r="Q396" s="122"/>
      <c r="R396" s="123"/>
      <c r="T396" s="131" t="str">
        <f>_xlfn.XLOOKUP(T375,RenewalPlans!B:B,RenewalPlans!AI:AI,"NA",0,1)</f>
        <v>NA</v>
      </c>
      <c r="U396" s="122"/>
      <c r="V396" s="122"/>
      <c r="W396" s="122"/>
      <c r="X396" s="130"/>
      <c r="Y396" s="122"/>
      <c r="Z396" s="123"/>
    </row>
    <row r="397" spans="1:26" ht="18" customHeight="1" hidden="1">
      <c r="A397" s="140"/>
      <c r="B397" s="140"/>
      <c r="D397" s="198" t="s">
        <v>268</v>
      </c>
      <c r="E397" s="130" t="e">
        <f>_xlfn.XLOOKUP(E375,CurrentPlans!B:B,CurrentPlans!AH:AH,"NA",0,1)</f>
        <v>#N/A</v>
      </c>
      <c r="F397" s="200"/>
      <c r="G397" s="200"/>
      <c r="H397" s="200"/>
      <c r="I397" s="130"/>
      <c r="J397" s="201"/>
      <c r="K397"/>
      <c r="L397" s="131" t="str">
        <f ca="1">_xlfn.XLOOKUP(L375,RenewalPlans!B:B,RenewalPlans!AK:AK,"NA",0,1)</f>
        <v>NA</v>
      </c>
      <c r="M397" s="200"/>
      <c r="N397" s="200"/>
      <c r="O397" s="200"/>
      <c r="P397" s="130"/>
      <c r="Q397" s="200"/>
      <c r="R397" s="201"/>
      <c r="T397" s="131" t="str">
        <f>_xlfn.XLOOKUP(T375,RenewalPlans!B:B,RenewalPlans!AK:AK,"NA",0,1)</f>
        <v>NA</v>
      </c>
      <c r="U397" s="200"/>
      <c r="V397" s="200"/>
      <c r="W397" s="200"/>
      <c r="X397" s="130"/>
      <c r="Y397" s="200"/>
      <c r="Z397" s="201"/>
    </row>
    <row r="398" spans="1:26" ht="18" customHeight="1" hidden="1">
      <c r="A398" s="140"/>
      <c r="B398" s="140"/>
      <c r="D398" s="198" t="s">
        <v>269</v>
      </c>
      <c r="E398" s="130" t="e">
        <f>_xlfn.XLOOKUP(E375,CurrentPlans!B:B,CurrentPlans!AG:AG,"NA",0,1)</f>
        <v>#N/A</v>
      </c>
      <c r="F398" s="200"/>
      <c r="G398" s="200"/>
      <c r="H398" s="200"/>
      <c r="I398" s="130"/>
      <c r="J398" s="201"/>
      <c r="K398"/>
      <c r="L398" s="131" t="str">
        <f ca="1">_xlfn.XLOOKUP(L375,RenewalPlans!B:B,RenewalPlans!AJ:AJ,"NA",0,1)</f>
        <v>NA</v>
      </c>
      <c r="M398" s="200"/>
      <c r="N398" s="200"/>
      <c r="O398" s="200"/>
      <c r="P398" s="130"/>
      <c r="Q398" s="200"/>
      <c r="R398" s="201"/>
      <c r="T398" s="131" t="str">
        <f>_xlfn.XLOOKUP(T375,RenewalPlans!B:B,RenewalPlans!AJ:AJ,"NA",0,1)</f>
        <v>NA</v>
      </c>
      <c r="U398" s="200"/>
      <c r="V398" s="200"/>
      <c r="W398" s="200"/>
      <c r="X398" s="130"/>
      <c r="Y398" s="200"/>
      <c r="Z398" s="201"/>
    </row>
    <row r="399" spans="1:26" ht="18" customHeight="1" hidden="1">
      <c r="A399" s="140"/>
      <c r="B399" s="140"/>
      <c r="D399" s="213" t="s">
        <v>270</v>
      </c>
      <c r="E399" s="216" t="e">
        <f>_xlfn.XLOOKUP(E375,CurrentPlans!B:B,CurrentPlans!AU:AU,"NA",0,1)</f>
        <v>#N/A</v>
      </c>
      <c r="F399" s="214"/>
      <c r="G399" s="214"/>
      <c r="H399" s="214"/>
      <c r="I399" s="217"/>
      <c r="J399" s="215"/>
      <c r="K399"/>
      <c r="L399" s="218" t="str">
        <f ca="1">_xlfn.XLOOKUP(L375,RenewalPlans!B:B,RenewalPlans!AX:AX,"NA",0,1)</f>
        <v>NA</v>
      </c>
      <c r="M399" s="214"/>
      <c r="N399" s="214"/>
      <c r="O399" s="214"/>
      <c r="P399" s="217"/>
      <c r="Q399" s="214"/>
      <c r="R399" s="215"/>
      <c r="T399" s="218" t="str">
        <f>_xlfn.XLOOKUP(T375,RenewalPlans!B:B,RenewalPlans!AX:AX,"NA",0,1)</f>
        <v>NA</v>
      </c>
      <c r="U399" s="214"/>
      <c r="V399" s="214"/>
      <c r="W399" s="214"/>
      <c r="X399" s="217"/>
      <c r="Y399" s="214"/>
      <c r="Z399" s="215"/>
    </row>
    <row r="400" spans="1:26" ht="18" customHeight="1" hidden="1">
      <c r="A400" s="140"/>
      <c r="B400" s="140"/>
      <c r="D400" s="213" t="s">
        <v>271</v>
      </c>
      <c r="E400" s="216" t="e">
        <f>_xlfn.XLOOKUP(E375,CurrentPlans!B:B,CurrentPlans!AT:AT,"NA",0,1)</f>
        <v>#N/A</v>
      </c>
      <c r="F400" s="214"/>
      <c r="G400" s="214"/>
      <c r="H400" s="214"/>
      <c r="I400" s="217"/>
      <c r="J400" s="215"/>
      <c r="K400"/>
      <c r="L400" s="218" t="str">
        <f ca="1">_xlfn.XLOOKUP(L375,RenewalPlans!B:B,RenewalPlans!AW:AW,"NA",0,1)</f>
        <v>NA</v>
      </c>
      <c r="M400" s="214"/>
      <c r="N400" s="214"/>
      <c r="O400" s="214"/>
      <c r="P400" s="217"/>
      <c r="Q400" s="214"/>
      <c r="R400" s="215"/>
      <c r="T400" s="218" t="str">
        <f>_xlfn.XLOOKUP(T375,RenewalPlans!B:B,RenewalPlans!AW:AW,"NA",0,1)</f>
        <v>NA</v>
      </c>
      <c r="U400" s="214"/>
      <c r="V400" s="214"/>
      <c r="W400" s="214"/>
      <c r="X400" s="217"/>
      <c r="Y400" s="214"/>
      <c r="Z400" s="215"/>
    </row>
    <row r="401" spans="1:26" ht="18" customHeight="1" hidden="1">
      <c r="A401" s="140"/>
      <c r="B401" s="140"/>
      <c r="D401" s="198" t="s">
        <v>272</v>
      </c>
      <c r="E401" s="130" t="e">
        <f>_xlfn.XLOOKUP(E375,CurrentPlans!B:B,CurrentPlans!AD:AD,"NA",0,1)</f>
        <v>#N/A</v>
      </c>
      <c r="F401" s="200"/>
      <c r="G401" s="200"/>
      <c r="H401" s="200"/>
      <c r="I401" s="130"/>
      <c r="J401" s="201"/>
      <c r="K401"/>
      <c r="L401" s="131" t="str">
        <f ca="1">_xlfn.XLOOKUP(L375,RenewalPlans!B:B,RenewalPlans!AG:AG,"NA",0,1)</f>
        <v>NA</v>
      </c>
      <c r="M401" s="200"/>
      <c r="N401" s="200"/>
      <c r="O401" s="200"/>
      <c r="P401" s="130"/>
      <c r="Q401" s="200"/>
      <c r="R401" s="201"/>
      <c r="T401" s="131" t="str">
        <f>_xlfn.XLOOKUP(T375,RenewalPlans!B:B,RenewalPlans!AG:AG,"NA",0,1)</f>
        <v>NA</v>
      </c>
      <c r="U401" s="200"/>
      <c r="V401" s="200"/>
      <c r="W401" s="200"/>
      <c r="X401" s="130"/>
      <c r="Y401" s="200"/>
      <c r="Z401" s="201"/>
    </row>
    <row r="402" spans="1:26" ht="18" customHeight="1" hidden="1">
      <c r="A402" s="140"/>
      <c r="B402" s="140"/>
      <c r="D402" s="198" t="s">
        <v>273</v>
      </c>
      <c r="E402" s="200"/>
      <c r="F402" s="200"/>
      <c r="G402" s="200"/>
      <c r="H402" s="200"/>
      <c r="I402" s="200"/>
      <c r="J402" s="201"/>
      <c r="K402"/>
      <c r="L402" s="198"/>
      <c r="M402" s="200"/>
      <c r="N402" s="200"/>
      <c r="O402" s="200"/>
      <c r="P402" s="200"/>
      <c r="Q402" s="200"/>
      <c r="R402" s="201"/>
      <c r="T402" s="198"/>
      <c r="U402" s="200"/>
      <c r="V402" s="200"/>
      <c r="W402" s="200"/>
      <c r="X402" s="200"/>
      <c r="Y402" s="200"/>
      <c r="Z402" s="201"/>
    </row>
    <row r="403" spans="1:26" ht="18" customHeight="1" hidden="1">
      <c r="A403" s="140"/>
      <c r="B403" s="140"/>
      <c r="D403" s="210"/>
      <c r="E403" s="211"/>
      <c r="F403" s="211"/>
      <c r="G403" s="211"/>
      <c r="H403" s="211"/>
      <c r="I403" s="211"/>
      <c r="J403" s="212"/>
      <c r="K403"/>
      <c r="L403" s="210"/>
      <c r="M403" s="211"/>
      <c r="N403" s="211"/>
      <c r="O403" s="211"/>
      <c r="P403" s="211"/>
      <c r="Q403" s="211"/>
      <c r="R403" s="212"/>
      <c r="T403" s="210"/>
      <c r="U403" s="211"/>
      <c r="V403" s="211"/>
      <c r="W403" s="211"/>
      <c r="X403" s="211"/>
      <c r="Y403" s="211"/>
      <c r="Z403" s="212"/>
    </row>
    <row r="404" spans="1:26" ht="18" customHeight="1" hidden="1">
      <c r="A404" s="140"/>
      <c r="B404" s="140"/>
      <c r="D404" s="219" t="s">
        <v>274</v>
      </c>
      <c r="E404" s="220"/>
      <c r="F404" s="220"/>
      <c r="G404" s="220"/>
      <c r="H404" s="220"/>
      <c r="I404" s="220"/>
      <c r="J404" s="221"/>
      <c r="K404"/>
      <c r="L404" s="222"/>
      <c r="M404" s="220"/>
      <c r="N404" s="220"/>
      <c r="O404" s="220"/>
      <c r="P404" s="220"/>
      <c r="Q404" s="220"/>
      <c r="R404" s="221"/>
      <c r="T404" s="222"/>
      <c r="U404" s="220"/>
      <c r="V404" s="220"/>
      <c r="W404" s="220"/>
      <c r="X404" s="220"/>
      <c r="Y404" s="220"/>
      <c r="Z404" s="221"/>
    </row>
    <row r="405" spans="1:26" ht="18" customHeight="1" hidden="1">
      <c r="A405" s="140"/>
      <c r="B405" s="140"/>
      <c r="D405" s="223" t="s">
        <v>250</v>
      </c>
      <c r="E405" s="205"/>
      <c r="F405" s="205"/>
      <c r="G405" s="205"/>
      <c r="H405" s="205"/>
      <c r="I405" s="205"/>
      <c r="J405" s="206"/>
      <c r="K405"/>
      <c r="L405" s="203"/>
      <c r="M405" s="205"/>
      <c r="N405" s="205"/>
      <c r="O405" s="205"/>
      <c r="P405" s="205"/>
      <c r="Q405" s="205"/>
      <c r="R405" s="206"/>
      <c r="T405" s="203"/>
      <c r="U405" s="205"/>
      <c r="V405" s="205"/>
      <c r="W405" s="205"/>
      <c r="X405" s="205"/>
      <c r="Y405" s="205"/>
      <c r="Z405" s="206"/>
    </row>
    <row r="406" spans="1:26" ht="18" customHeight="1" hidden="1">
      <c r="A406" s="140"/>
      <c r="B406" s="140"/>
      <c r="D406" s="198" t="s">
        <v>251</v>
      </c>
      <c r="E406" s="130" t="e">
        <f>_xlfn.XLOOKUP(E375,CurrentPlans!B:B,CurrentPlans!AP:AP,"NA",0,1)</f>
        <v>#N/A</v>
      </c>
      <c r="F406" s="200"/>
      <c r="G406" s="200"/>
      <c r="H406" s="200"/>
      <c r="I406" s="130"/>
      <c r="J406" s="201"/>
      <c r="K406"/>
      <c r="L406" s="131" t="str">
        <f ca="1">_xlfn.XLOOKUP(L375,RenewalPlans!B:B,RenewalPlans!AS:AS,"NA",0,1)</f>
        <v>NA</v>
      </c>
      <c r="M406" s="200"/>
      <c r="N406" s="200"/>
      <c r="O406" s="200"/>
      <c r="P406" s="130"/>
      <c r="Q406" s="200"/>
      <c r="R406" s="201"/>
      <c r="T406" s="131" t="str">
        <f>_xlfn.XLOOKUP(T375,RenewalPlans!B:B,RenewalPlans!AS:AS,"NA",0,1)</f>
        <v>NA</v>
      </c>
      <c r="U406" s="200"/>
      <c r="V406" s="200"/>
      <c r="W406" s="200"/>
      <c r="X406" s="130"/>
      <c r="Y406" s="200"/>
      <c r="Z406" s="201"/>
    </row>
    <row r="407" spans="1:26" ht="18" customHeight="1" hidden="1">
      <c r="A407" s="140"/>
      <c r="B407" s="140"/>
      <c r="D407" s="198" t="s">
        <v>252</v>
      </c>
      <c r="E407" s="130" t="e">
        <f>_xlfn.XLOOKUP(E375,CurrentPlans!B:B,CurrentPlans!AQ:AQ,"NA",0,1)</f>
        <v>#N/A</v>
      </c>
      <c r="F407" s="200"/>
      <c r="G407" s="200"/>
      <c r="H407" s="200"/>
      <c r="I407" s="130"/>
      <c r="J407" s="201"/>
      <c r="K407"/>
      <c r="L407" s="131" t="str">
        <f ca="1">_xlfn.XLOOKUP(L375,RenewalPlans!B:B,RenewalPlans!AT:AT,"NA",0,1)</f>
        <v>NA</v>
      </c>
      <c r="M407" s="200"/>
      <c r="N407" s="200"/>
      <c r="O407" s="200"/>
      <c r="P407" s="130"/>
      <c r="Q407" s="200"/>
      <c r="R407" s="201"/>
      <c r="T407" s="131" t="str">
        <f>_xlfn.XLOOKUP(T375,RenewalPlans!B:B,RenewalPlans!AT:AT,"NA",0,1)</f>
        <v>NA</v>
      </c>
      <c r="U407" s="200"/>
      <c r="V407" s="200"/>
      <c r="W407" s="200"/>
      <c r="X407" s="130"/>
      <c r="Y407" s="200"/>
      <c r="Z407" s="201"/>
    </row>
    <row r="408" spans="1:26" ht="18" customHeight="1" hidden="1">
      <c r="A408" s="140"/>
      <c r="B408" s="140"/>
      <c r="D408" s="120" t="s">
        <v>253</v>
      </c>
      <c r="E408" s="133" t="e">
        <f>_xlfn.XLOOKUP(E375,CurrentPlans!B:B,CurrentPlans!AO:AO,"NA",0,1)</f>
        <v>#N/A</v>
      </c>
      <c r="F408" s="122"/>
      <c r="G408" s="122"/>
      <c r="H408" s="122"/>
      <c r="I408" s="133"/>
      <c r="J408" s="123"/>
      <c r="K408"/>
      <c r="L408" s="136" t="str">
        <f ca="1">_xlfn.XLOOKUP(L375,RenewalPlans!B:B,RenewalPlans!AR:AR,"NA",0,1)</f>
        <v>NA</v>
      </c>
      <c r="M408" s="122"/>
      <c r="N408" s="122"/>
      <c r="O408" s="122"/>
      <c r="P408" s="133"/>
      <c r="Q408" s="122"/>
      <c r="R408" s="123"/>
      <c r="T408" s="136" t="str">
        <f>_xlfn.XLOOKUP(T375,RenewalPlans!B:B,RenewalPlans!AR:AR,"NA",0,1)</f>
        <v>NA</v>
      </c>
      <c r="U408" s="122"/>
      <c r="V408" s="122"/>
      <c r="W408" s="122"/>
      <c r="X408" s="133"/>
      <c r="Y408" s="122"/>
      <c r="Z408" s="123"/>
    </row>
    <row r="409" spans="1:26" ht="18" customHeight="1" hidden="1">
      <c r="A409" s="140"/>
      <c r="B409" s="140"/>
      <c r="D409" s="223" t="s">
        <v>254</v>
      </c>
      <c r="E409" s="205"/>
      <c r="F409" s="205"/>
      <c r="G409" s="205"/>
      <c r="H409" s="205"/>
      <c r="I409" s="205"/>
      <c r="J409" s="206"/>
      <c r="K409"/>
      <c r="L409" s="203"/>
      <c r="M409" s="205"/>
      <c r="N409" s="205"/>
      <c r="O409" s="205"/>
      <c r="P409" s="205"/>
      <c r="Q409" s="205"/>
      <c r="R409" s="206"/>
      <c r="T409" s="203"/>
      <c r="U409" s="205"/>
      <c r="V409" s="205"/>
      <c r="W409" s="205"/>
      <c r="X409" s="205"/>
      <c r="Y409" s="205"/>
      <c r="Z409" s="206"/>
    </row>
    <row r="410" spans="1:26" ht="18" customHeight="1" hidden="1">
      <c r="A410" s="140"/>
      <c r="B410" s="140"/>
      <c r="D410" s="198" t="s">
        <v>255</v>
      </c>
      <c r="E410" s="130" t="e">
        <f>_xlfn.XLOOKUP(E375,CurrentPlans!B:B,CurrentPlans!AR:AR,"NA",0,1)</f>
        <v>#N/A</v>
      </c>
      <c r="F410" s="200"/>
      <c r="G410" s="200"/>
      <c r="H410" s="200"/>
      <c r="I410" s="130"/>
      <c r="J410" s="201"/>
      <c r="K410"/>
      <c r="L410" s="131" t="str">
        <f ca="1">_xlfn.XLOOKUP(L375,RenewalPlans!B:B,RenewalPlans!AU:AU,"NA",0,1)</f>
        <v>NA</v>
      </c>
      <c r="M410" s="200"/>
      <c r="N410" s="200"/>
      <c r="O410" s="200"/>
      <c r="P410" s="130"/>
      <c r="Q410" s="200"/>
      <c r="R410" s="201"/>
      <c r="T410" s="131" t="str">
        <f>_xlfn.XLOOKUP(T375,RenewalPlans!B:B,RenewalPlans!AU:AU,"NA",0,1)</f>
        <v>NA</v>
      </c>
      <c r="U410" s="200"/>
      <c r="V410" s="200"/>
      <c r="W410" s="200"/>
      <c r="X410" s="130"/>
      <c r="Y410" s="200"/>
      <c r="Z410" s="201"/>
    </row>
    <row r="411" spans="1:26" ht="18" customHeight="1" hidden="1" thickBot="1">
      <c r="A411" s="140"/>
      <c r="B411" s="140"/>
      <c r="D411" s="224" t="s">
        <v>256</v>
      </c>
      <c r="E411" s="137" t="e">
        <f>_xlfn.XLOOKUP(E375,CurrentPlans!B:B,CurrentPlans!AS:AS,"NA",0,1)</f>
        <v>#N/A</v>
      </c>
      <c r="F411" s="225"/>
      <c r="G411" s="225"/>
      <c r="H411" s="225"/>
      <c r="I411" s="137"/>
      <c r="J411" s="226"/>
      <c r="K411"/>
      <c r="L411" s="138" t="str">
        <f ca="1">_xlfn.XLOOKUP(L375,RenewalPlans!B:B,RenewalPlans!AV:AV,"NA",0,1)</f>
        <v>NA</v>
      </c>
      <c r="M411" s="225"/>
      <c r="N411" s="225"/>
      <c r="O411" s="225"/>
      <c r="P411" s="137"/>
      <c r="Q411" s="225"/>
      <c r="R411" s="226"/>
      <c r="T411" s="138" t="str">
        <f>_xlfn.XLOOKUP(T375,RenewalPlans!B:B,RenewalPlans!AV:AV,"NA",0,1)</f>
        <v>NA</v>
      </c>
      <c r="U411" s="225"/>
      <c r="V411" s="225"/>
      <c r="W411" s="225"/>
      <c r="X411" s="137"/>
      <c r="Y411" s="225"/>
      <c r="Z411" s="226"/>
    </row>
    <row r="412" spans="1:26" ht="18" customHeight="1">
      <c r="A412" s="140"/>
      <c r="B412" s="140"/>
      <c r="D412" s="227"/>
      <c r="E412" s="176"/>
      <c r="F412" s="178"/>
      <c r="G412" s="179"/>
      <c r="H412" s="178"/>
      <c r="I412" s="176"/>
      <c r="J412" s="228"/>
      <c r="K412"/>
      <c r="L412" s="178"/>
      <c r="M412" s="176"/>
      <c r="N412" s="139"/>
      <c r="O412" s="178"/>
      <c r="P412" s="178"/>
      <c r="Q412" s="178"/>
      <c r="R412" s="228"/>
      <c r="T412" s="178"/>
      <c r="U412" s="176"/>
      <c r="V412" s="139"/>
      <c r="W412" s="178"/>
      <c r="X412" s="178"/>
      <c r="Y412" s="178"/>
      <c r="Z412" s="228"/>
    </row>
    <row r="413" spans="1:26" ht="5.25" customHeight="1" thickBot="1">
      <c r="A413" s="140"/>
      <c r="B413" s="140"/>
      <c r="D413" s="229"/>
      <c r="E413" s="229"/>
      <c r="F413" s="230"/>
      <c r="G413" s="231"/>
      <c r="H413" s="232"/>
      <c r="I413" s="233"/>
      <c r="J413" s="233"/>
      <c r="K413"/>
      <c r="L413" s="233"/>
      <c r="M413" s="233"/>
      <c r="N413" s="233"/>
      <c r="O413" s="233"/>
      <c r="P413" s="233"/>
      <c r="Q413" s="233"/>
      <c r="R413" s="233"/>
      <c r="T413" s="233"/>
      <c r="U413" s="233"/>
      <c r="V413" s="233"/>
      <c r="W413" s="233"/>
      <c r="X413" s="233"/>
      <c r="Y413" s="233"/>
      <c r="Z413" s="233"/>
    </row>
    <row r="414" spans="1:26" ht="50.15" customHeight="1">
      <c r="A414" s="140">
        <v>9</v>
      </c>
      <c r="B414" s="140">
        <f>IF(A414&gt;Class3_CurrentHealthCount,"DELETE",Class3_CurrentHealthStart+A414)</f>
        <v>69</v>
      </c>
      <c r="C414" s="164" t="s">
        <v>282</v>
      </c>
      <c r="D414" s="273" t="e">
        <f ca="1">IF(B414="Delete","",VLOOKUP(F414,BEGIN_CURRENT_HEALTH:END_CURRENT_HEALTH,3,FALSE))</f>
        <v>#N/A</v>
      </c>
      <c r="E414" s="165"/>
      <c r="F414" s="272" cm="1">
        <f t="array" ca="1" aca="1" ref="F414">IF(B414="Delete","",INDIRECT("CurrentPlans!A"&amp;B414,TRUE))</f>
        <v>0</v>
      </c>
      <c r="G414" s="166"/>
      <c r="H414" s="167"/>
      <c r="I414" s="168"/>
      <c r="J414" s="169"/>
      <c r="K414"/>
      <c r="L414" s="274" t="str">
        <f ca="1">_xlfn.IFNA(VLOOKUP(F414,BEGIN_RENEWEDFROM_HEALTH:ROW_RenewHealth_PlanID,3,FALSE),"SELECT PLAN")</f>
        <v>SELECT PLAN</v>
      </c>
      <c r="M414" s="170"/>
      <c r="N414" s="274" t="s">
        <v>237</v>
      </c>
      <c r="O414" s="171"/>
      <c r="P414" s="171"/>
      <c r="Q414" s="171"/>
      <c r="R414" s="169"/>
      <c r="T414" s="274" t="s">
        <v>38</v>
      </c>
      <c r="U414" s="170"/>
      <c r="V414" s="274" t="s">
        <v>237</v>
      </c>
      <c r="W414" s="171"/>
      <c r="X414" s="171"/>
      <c r="Y414" s="171"/>
      <c r="Z414" s="169"/>
    </row>
    <row r="415" spans="1:26" ht="18.75" customHeight="1">
      <c r="A415" s="140"/>
      <c r="B415" s="140"/>
      <c r="D415" s="172" t="s">
        <v>238</v>
      </c>
      <c r="E415" s="407" t="str">
        <f ca="1">_xlfn.IFNA(VLOOKUP(F414,BEGIN_CURRENT_HEALTH:END_CURRENT_HEALTH,CURRENT_COL_EO_count,FALSE),"")</f>
        <v/>
      </c>
      <c r="F415" s="408" t="str">
        <f ca="1">_xlfn.IFNA(VLOOKUP(F414,BEGIN_CURRENT_HEALTH:END_CURRENT_HEALTH,CURRENT_COL_EO,FALSE),"")</f>
        <v/>
      </c>
      <c r="G415" s="468" t="str">
        <f ca="1" t="shared" si="40" ref="G415:G418">IF(F415="","",H415/F415)</f>
        <v/>
      </c>
      <c r="H415" s="408" t="str">
        <f ca="1">_xlfn.IFNA(VLOOKUP(F414,BEGIN_CURRENT_HEALTH:END_CURRENT_HEALTH,CURRENT_COL_EOContrib,FALSE),"")</f>
        <v/>
      </c>
      <c r="I415" s="409" t="str">
        <f ca="1">IFERROR(F415-H415,"")</f>
        <v/>
      </c>
      <c r="J415" s="410" t="str">
        <f ca="1">IF(F415="","",H415*E415)</f>
        <v/>
      </c>
      <c r="K415" s="411"/>
      <c r="L415" s="408" t="str" cm="1">
        <f t="array" ca="1" aca="1" ref="L415">_xlfn.IFNA(VLOOKUP(INDIRECT("L"&amp;ROW()-1)&amp;"_"&amp;$D$12,BEGIN_RENEW_HEALTH:END_RENEW_HEALTH,RENEW_COL_EO,FALSE),"")</f>
        <v/>
      </c>
      <c r="M415" s="412" t="str">
        <f ca="1">IF(E415="","",E415)</f>
        <v/>
      </c>
      <c r="N415" s="413"/>
      <c r="O415" s="414"/>
      <c r="P415" s="415" t="str">
        <f>IFERROR(IF($N414="Keep Contribution Same",H415,IF($N414="Enter Percentages",IF(N415="","",N415*L415),IF($N414="Keep Percentage Same",IF(G415="","",G415*L415),IF($N414="Enter Dollar Amount",IF(O415="","",O415),"")))),"")</f>
        <v/>
      </c>
      <c r="Q415" s="408" t="str">
        <f ca="1">IFERROR(L415-P415,"")</f>
        <v/>
      </c>
      <c r="R415" s="410" t="str">
        <f>IFERROR(IF(P415="","",M415*P415),"")</f>
        <v/>
      </c>
      <c r="S415" s="411"/>
      <c r="T415" s="408" t="str" cm="1">
        <f t="array" ca="1" aca="1" ref="T415">_xlfn.IFNA(VLOOKUP(INDIRECT("T"&amp;ROW()-1)&amp;"_"&amp;$D$12,BEGIN_RENEW_HEALTH:END_RENEW_HEALTH,RENEW_COL_EO,FALSE),"")</f>
        <v/>
      </c>
      <c r="U415" s="412" t="str">
        <f ca="1">IF(E415="","",E415)</f>
        <v/>
      </c>
      <c r="V415" s="413"/>
      <c r="W415" s="414"/>
      <c r="X415" s="415" t="str">
        <f>IFERROR(IF($V414="Keep Contribution Same",H415,IF($V414="Enter Percentages",IF(V415="","",V415*T415),IF($V414="Keep Percentage Same",IF(G415="","",G415*T415),IF($V414="Enter Dollar Amount",IF(W415="","",W415),"")))),"")</f>
        <v/>
      </c>
      <c r="Y415" s="408" t="str">
        <f ca="1">IFERROR(T415-X415,"")</f>
        <v/>
      </c>
      <c r="Z415" s="410" t="str">
        <f>IFERROR(IF(X415="","",U415*X415),"")</f>
        <v/>
      </c>
    </row>
    <row r="416" spans="1:26" ht="18.75" customHeight="1">
      <c r="A416" s="140"/>
      <c r="B416" s="140"/>
      <c r="D416" s="172" t="s">
        <v>239</v>
      </c>
      <c r="E416" s="407" t="str">
        <f ca="1">_xlfn.IFNA(VLOOKUP(F414,BEGIN_CURRENT_HEALTH:END_CURRENT_HEALTH,CURRENT_COL_ES_count,FALSE),"")</f>
        <v/>
      </c>
      <c r="F416" s="408" t="str">
        <f ca="1">_xlfn.IFNA(VLOOKUP(F414,BEGIN_CURRENT_HEALTH:END_CURRENT_HEALTH,CURRENT_COL_ES,FALSE),"")</f>
        <v/>
      </c>
      <c r="G416" s="468" t="str">
        <f t="shared" ca="1" si="40"/>
        <v/>
      </c>
      <c r="H416" s="408" t="str">
        <f ca="1">_xlfn.IFNA(VLOOKUP(F414,BEGIN_CURRENT_HEALTH:END_CURRENT_HEALTH,CURRENT_COL_ESContrib,FALSE),"")</f>
        <v/>
      </c>
      <c r="I416" s="409" t="str">
        <f ca="1" t="shared" si="41" ref="I416:I418">IFERROR(F416-H416,"")</f>
        <v/>
      </c>
      <c r="J416" s="410" t="str">
        <f ca="1">IF(F416="","",H416*E416)</f>
        <v/>
      </c>
      <c r="K416" s="411"/>
      <c r="L416" s="408" t="str" cm="1">
        <f t="array" ca="1" aca="1" ref="L416">_xlfn.IFNA(VLOOKUP(INDIRECT("L"&amp;ROW()-2)&amp;"_"&amp;$D$12,BEGIN_RENEW_HEALTH:END_RENEW_HEALTH,RENEW_COL_ES,FALSE),"")</f>
        <v/>
      </c>
      <c r="M416" s="412" t="str">
        <f ca="1">IF(E416="","",E416)</f>
        <v/>
      </c>
      <c r="N416" s="413"/>
      <c r="O416" s="414"/>
      <c r="P416" s="415" t="str">
        <f>IFERROR(IF($N414="Keep Contribution Same",H416,IF($N414="Enter Percentages",IF(N416="","",N416*L416),IF($N414="Keep Percentage Same",IF(G416="","",G416*L416),IF($N414="Enter Dollar Amount",IF(O416="","",O416),"")))),"")</f>
        <v/>
      </c>
      <c r="Q416" s="408" t="str">
        <f ca="1">IFERROR(L416-P416,"")</f>
        <v/>
      </c>
      <c r="R416" s="410" t="str">
        <f>IFERROR(IF(P416="","",M416*P416),"")</f>
        <v/>
      </c>
      <c r="S416" s="411"/>
      <c r="T416" s="408" t="str" cm="1">
        <f t="array" ca="1" aca="1" ref="T416">_xlfn.IFNA(VLOOKUP(INDIRECT("T"&amp;ROW()-2)&amp;"_"&amp;$D$12,BEGIN_RENEW_HEALTH:END_RENEW_HEALTH,RENEW_COL_ES,FALSE),"")</f>
        <v/>
      </c>
      <c r="U416" s="412" t="str">
        <f ca="1" t="shared" si="42" ref="U416:U418">IF(E416="","",E416)</f>
        <v/>
      </c>
      <c r="V416" s="413"/>
      <c r="W416" s="414"/>
      <c r="X416" s="415" t="str">
        <f>IFERROR(IF($V414="Keep Contribution Same",H416,IF($V414="Enter Percentages",IF(V416="","",V416*T416),IF($V414="Keep Percentage Same",IF(G416="","",G416*T416),IF($V414="Enter Dollar Amount",IF(W416="","",W416),"")))),"")</f>
        <v/>
      </c>
      <c r="Y416" s="408" t="str">
        <f ca="1" t="shared" si="43" ref="Y416:Y418">IFERROR(T416-X416,"")</f>
        <v/>
      </c>
      <c r="Z416" s="410" t="str">
        <f t="shared" si="44" ref="Z416:Z418">IFERROR(IF(X416="","",U416*X416),"")</f>
        <v/>
      </c>
    </row>
    <row r="417" spans="1:26" ht="18.75" customHeight="1">
      <c r="A417" s="140"/>
      <c r="B417" s="140"/>
      <c r="D417" s="172" t="s">
        <v>240</v>
      </c>
      <c r="E417" s="407" t="str">
        <f ca="1">_xlfn.IFNA(VLOOKUP(F414,BEGIN_CURRENT_HEALTH:END_CURRENT_HEALTH,CURRENT_COL_EC_count,FALSE),"")</f>
        <v/>
      </c>
      <c r="F417" s="408" t="str">
        <f ca="1">_xlfn.IFNA(VLOOKUP(F414,BEGIN_CURRENT_HEALTH:END_CURRENT_HEALTH,CURRENT_COL_EC,FALSE),"")</f>
        <v/>
      </c>
      <c r="G417" s="468" t="str">
        <f t="shared" ca="1" si="40"/>
        <v/>
      </c>
      <c r="H417" s="408" t="str">
        <f ca="1">_xlfn.IFNA(VLOOKUP(F414,BEGIN_CURRENT_HEALTH:END_CURRENT_HEALTH,CURRENT_COL_ECContrib,FALSE),"")</f>
        <v/>
      </c>
      <c r="I417" s="409" t="str">
        <f t="shared" ca="1" si="41"/>
        <v/>
      </c>
      <c r="J417" s="410" t="str">
        <f ca="1">IF(F417="","",H417*E417)</f>
        <v/>
      </c>
      <c r="K417" s="411"/>
      <c r="L417" s="408" t="str" cm="1">
        <f t="array" ca="1" aca="1" ref="L417">_xlfn.IFNA(VLOOKUP(INDIRECT("L"&amp;ROW()-3)&amp;"_"&amp;$D$12,BEGIN_RENEW_HEALTH:END_RENEW_HEALTH,RENEW_COL_EC,FALSE),"")</f>
        <v/>
      </c>
      <c r="M417" s="412" t="str">
        <f ca="1">IF(E417="","",E417)</f>
        <v/>
      </c>
      <c r="N417" s="413"/>
      <c r="O417" s="414"/>
      <c r="P417" s="415" t="str">
        <f>IFERROR(IF($N414="Keep Contribution Same",H417,IF($N414="Enter Percentages",IF(N417="","",N417*L417),IF($N414="Keep Percentage Same",IF(G417="","",G417*L417),IF($N414="Enter Dollar Amount",IF(O417="","",O417),"")))),"")</f>
        <v/>
      </c>
      <c r="Q417" s="408" t="str">
        <f ca="1">IFERROR(L417-P417,"")</f>
        <v/>
      </c>
      <c r="R417" s="410" t="str">
        <f>IFERROR(IF(P417="","",M417*P417),"")</f>
        <v/>
      </c>
      <c r="S417" s="411"/>
      <c r="T417" s="408" t="str" cm="1">
        <f t="array" ca="1" aca="1" ref="T417">_xlfn.IFNA(VLOOKUP(INDIRECT("T"&amp;ROW()-3)&amp;"_"&amp;$D$12,BEGIN_RENEW_HEALTH:END_RENEW_HEALTH,RENEW_COL_EC,FALSE),"")</f>
        <v/>
      </c>
      <c r="U417" s="412" t="str">
        <f t="shared" ca="1" si="42"/>
        <v/>
      </c>
      <c r="V417" s="413"/>
      <c r="W417" s="414"/>
      <c r="X417" s="415" t="str">
        <f>IFERROR(IF($V414="Keep Contribution Same",H417,IF($V414="Enter Percentages",IF(V417="","",V417*T417),IF($V414="Keep Percentage Same",IF(G417="","",G417*T417),IF($V414="Enter Dollar Amount",IF(W417="","",W417),"")))),"")</f>
        <v/>
      </c>
      <c r="Y417" s="408" t="str">
        <f t="shared" ca="1" si="43"/>
        <v/>
      </c>
      <c r="Z417" s="410" t="str">
        <f t="shared" si="44"/>
        <v/>
      </c>
    </row>
    <row r="418" spans="1:26" ht="18.75" customHeight="1" thickBot="1">
      <c r="A418" s="140"/>
      <c r="B418" s="140"/>
      <c r="D418" s="174" t="s">
        <v>241</v>
      </c>
      <c r="E418" s="416" t="str">
        <f ca="1">_xlfn.IFNA(VLOOKUP(F414,BEGIN_CURRENT_HEALTH:END_CURRENT_HEALTH,CURRENT_COL_FAM_count,FALSE),"")</f>
        <v/>
      </c>
      <c r="F418" s="417" t="str">
        <f ca="1">_xlfn.IFNA(VLOOKUP(F414,BEGIN_CURRENT_HEALTH:END_CURRENT_HEALTH,CURRENT_COL_FAM,FALSE),"")</f>
        <v/>
      </c>
      <c r="G418" s="469" t="str">
        <f t="shared" ca="1" si="40"/>
        <v/>
      </c>
      <c r="H418" s="417" t="str">
        <f ca="1">_xlfn.IFNA(VLOOKUP(F414,BEGIN_CURRENT_HEALTH:END_CURRENT_HEALTH,CURRENT_COL_FAMContrib,FALSE),"")</f>
        <v/>
      </c>
      <c r="I418" s="418" t="str">
        <f t="shared" ca="1" si="41"/>
        <v/>
      </c>
      <c r="J418" s="419" t="str">
        <f ca="1">IF(F418="","",H418*E418)</f>
        <v/>
      </c>
      <c r="K418" s="411"/>
      <c r="L418" s="417" t="str" cm="1">
        <f t="array" ca="1" aca="1" ref="L418">_xlfn.IFNA(VLOOKUP(INDIRECT("L"&amp;ROW()-4)&amp;"_"&amp;$D$12,BEGIN_RENEW_HEALTH:END_RENEW_HEALTH,RENEW_COL_FAM,FALSE),"")</f>
        <v/>
      </c>
      <c r="M418" s="423" t="str">
        <f ca="1">IF(E418="","",E418)</f>
        <v/>
      </c>
      <c r="N418" s="420"/>
      <c r="O418" s="421"/>
      <c r="P418" s="422" t="str">
        <f>IFERROR(IF($N414="Keep Contribution Same",H418,IF($N414="Enter Percentages",IF(N418="","",N418*L418),IF($N414="Keep Percentage Same",IF(G418="","",G418*L418),IF($N414="Enter Dollar Amount",IF(O418="","",O418),"")))),"")</f>
        <v/>
      </c>
      <c r="Q418" s="417" t="str">
        <f ca="1">IFERROR(L418-P418,"")</f>
        <v/>
      </c>
      <c r="R418" s="419" t="str">
        <f>IFERROR(IF(P418="","",M418*P418),"")</f>
        <v/>
      </c>
      <c r="S418" s="411"/>
      <c r="T418" s="417" t="str" cm="1">
        <f t="array" ca="1" aca="1" ref="T418">_xlfn.IFNA(VLOOKUP(INDIRECT("T"&amp;ROW()-4)&amp;"_"&amp;$D$12,BEGIN_RENEW_HEALTH:END_RENEW_HEALTH,RENEW_COL_FAM,FALSE),"")</f>
        <v/>
      </c>
      <c r="U418" s="423" t="str">
        <f t="shared" ca="1" si="42"/>
        <v/>
      </c>
      <c r="V418" s="420"/>
      <c r="W418" s="421"/>
      <c r="X418" s="422" t="str">
        <f>IFERROR(IF($V414="Keep Contribution Same",H418,IF($V414="Enter Percentages",IF(V418="","",V418*T418),IF($V414="Keep Percentage Same",IF(G418="","",G418*T418),IF($V414="Enter Dollar Amount",IF(W418="","",W418),"")))),"")</f>
        <v/>
      </c>
      <c r="Y418" s="417" t="str">
        <f t="shared" ca="1" si="43"/>
        <v/>
      </c>
      <c r="Z418" s="419" t="str">
        <f t="shared" si="44"/>
        <v/>
      </c>
    </row>
    <row r="419" spans="1:26" ht="18.75" customHeight="1" thickTop="1">
      <c r="A419" s="140"/>
      <c r="B419" s="140"/>
      <c r="D419" s="175" t="s">
        <v>242</v>
      </c>
      <c r="E419" s="424"/>
      <c r="F419" s="447" t="str">
        <f ca="1">IFERROR((F415*E415)+(F416*E416)+(F417*E417)+(F418*E418),"")</f>
        <v/>
      </c>
      <c r="G419" s="426"/>
      <c r="H419" s="427"/>
      <c r="I419" s="428"/>
      <c r="J419" s="429" t="str">
        <f ca="1">IFERROR(IF(J415="","",SUM(J415:J418)),0)</f>
        <v/>
      </c>
      <c r="K419" s="1"/>
      <c r="L419" s="430" t="str">
        <f ca="1">IFERROR((M415*L415)+(M416*L416)+(M417*L417)+(M418*L418),"")</f>
        <v/>
      </c>
      <c r="M419" s="427"/>
      <c r="N419" s="426"/>
      <c r="O419" s="427"/>
      <c r="P419" s="431"/>
      <c r="Q419" s="432"/>
      <c r="R419" s="429" t="str">
        <f>IFERROR(IF(R415="","",SUM(R415:R418)),0)</f>
        <v/>
      </c>
      <c r="T419" s="430" t="str">
        <f ca="1">IFERROR((U415*T415)+(U416*T416)+(U417*T417)+(U418*T418),"")</f>
        <v/>
      </c>
      <c r="U419" s="427"/>
      <c r="V419" s="426"/>
      <c r="W419" s="427"/>
      <c r="X419" s="431"/>
      <c r="Y419" s="432"/>
      <c r="Z419" s="429" t="str">
        <f>IFERROR(IF(Z415="","",SUM(Z415:Z418)),0)</f>
        <v/>
      </c>
    </row>
    <row r="420" spans="1:26" ht="18.75" customHeight="1">
      <c r="A420" s="140"/>
      <c r="B420" s="140"/>
      <c r="D420" s="177" t="s">
        <v>243</v>
      </c>
      <c r="E420" s="433"/>
      <c r="F420" s="448" t="str">
        <f ca="1">IFERROR(F419*12,"")</f>
        <v/>
      </c>
      <c r="G420" s="435"/>
      <c r="H420" s="436"/>
      <c r="I420" s="432"/>
      <c r="J420" s="437" t="str">
        <f ca="1">IF(J419="","",J419*12)</f>
        <v/>
      </c>
      <c r="K420" s="1"/>
      <c r="L420" s="438" t="str">
        <f ca="1">IFERROR(L419*12,"")</f>
        <v/>
      </c>
      <c r="M420" s="436"/>
      <c r="N420" s="435"/>
      <c r="O420" s="436"/>
      <c r="P420" s="432"/>
      <c r="Q420" s="432"/>
      <c r="R420" s="437" t="str">
        <f>IF(R419="","",R419*12)</f>
        <v/>
      </c>
      <c r="T420" s="438" t="str">
        <f ca="1">IFERROR(T419*12,"")</f>
        <v/>
      </c>
      <c r="U420" s="436"/>
      <c r="V420" s="435"/>
      <c r="W420" s="436"/>
      <c r="X420" s="432"/>
      <c r="Y420" s="432"/>
      <c r="Z420" s="437" t="str">
        <f>IF(Z419="","",Z419*12)</f>
        <v/>
      </c>
    </row>
    <row r="421" spans="1:26" ht="18" customHeight="1">
      <c r="A421" s="140"/>
      <c r="B421" s="140"/>
      <c r="D421" s="177" t="s">
        <v>244</v>
      </c>
      <c r="E421" s="433"/>
      <c r="F421" s="436"/>
      <c r="G421" s="435"/>
      <c r="H421" s="436"/>
      <c r="I421" s="432"/>
      <c r="J421" s="437"/>
      <c r="K421" s="1"/>
      <c r="L421" s="434" t="str">
        <f ca="1">IFERROR(L420-F420,"")</f>
        <v/>
      </c>
      <c r="M421" s="436"/>
      <c r="N421" s="435"/>
      <c r="O421" s="436"/>
      <c r="P421" s="432"/>
      <c r="Q421" s="432"/>
      <c r="R421" s="437" t="str">
        <f ca="1">IFERROR(IF(J420="","",R420-J420),0)</f>
        <v/>
      </c>
      <c r="T421" s="434" t="str">
        <f ca="1">IFERROR(T420-F420,"")</f>
        <v/>
      </c>
      <c r="U421" s="436"/>
      <c r="V421" s="435"/>
      <c r="W421" s="436"/>
      <c r="X421" s="432"/>
      <c r="Y421" s="432"/>
      <c r="Z421" s="437" t="str">
        <f>IFERROR(IF(R420="","",Z420-R420),0)</f>
        <v/>
      </c>
    </row>
    <row r="422" spans="1:26" ht="18" customHeight="1" thickBot="1">
      <c r="A422" s="140"/>
      <c r="B422" s="140"/>
      <c r="D422" s="180" t="s">
        <v>245</v>
      </c>
      <c r="E422" s="439"/>
      <c r="F422" s="440"/>
      <c r="G422" s="441"/>
      <c r="H422" s="440"/>
      <c r="I422" s="442"/>
      <c r="J422" s="437"/>
      <c r="K422" s="1"/>
      <c r="L422" s="444" t="str">
        <f ca="1">IFERROR(L420/F420-1,"")</f>
        <v/>
      </c>
      <c r="M422" s="440"/>
      <c r="N422" s="441"/>
      <c r="O422" s="440"/>
      <c r="P422" s="445"/>
      <c r="Q422" s="445"/>
      <c r="R422" s="446" t="str">
        <f ca="1">IFERROR(IF(J420="","",(R420/J420)-1),0)</f>
        <v/>
      </c>
      <c r="T422" s="444" t="str">
        <f ca="1">IFERROR(T420/F420-1,"")</f>
        <v/>
      </c>
      <c r="U422" s="440"/>
      <c r="V422" s="441"/>
      <c r="W422" s="440"/>
      <c r="X422" s="445"/>
      <c r="Y422" s="445"/>
      <c r="Z422" s="446" t="str">
        <f>IFERROR(IF(R420="","",(Z420/R420)-1),0)</f>
        <v/>
      </c>
    </row>
    <row r="423" spans="1:26" ht="18" customHeight="1">
      <c r="A423" s="140"/>
      <c r="B423" s="140"/>
      <c r="D423" s="181" t="s">
        <v>246</v>
      </c>
      <c r="E423" s="182"/>
      <c r="F423" s="182"/>
      <c r="G423" s="182"/>
      <c r="H423" s="182"/>
      <c r="I423" s="182"/>
      <c r="J423" s="183"/>
      <c r="K423"/>
      <c r="L423" s="184"/>
      <c r="M423" s="182"/>
      <c r="N423" s="182"/>
      <c r="O423" s="182"/>
      <c r="P423" s="182"/>
      <c r="Q423" s="182"/>
      <c r="R423" s="183"/>
      <c r="T423" s="184"/>
      <c r="U423" s="182"/>
      <c r="V423" s="182"/>
      <c r="W423" s="182"/>
      <c r="X423" s="182"/>
      <c r="Y423" s="182"/>
      <c r="Z423" s="183"/>
    </row>
    <row r="424" spans="1:26" ht="18" customHeight="1" hidden="1">
      <c r="A424" s="140"/>
      <c r="B424" s="140"/>
      <c r="D424" s="185" t="s">
        <v>247</v>
      </c>
      <c r="E424" s="186"/>
      <c r="F424" s="186"/>
      <c r="G424" s="186"/>
      <c r="H424" s="186"/>
      <c r="I424" s="186"/>
      <c r="J424" s="187"/>
      <c r="K424"/>
      <c r="L424" s="188"/>
      <c r="M424" s="186"/>
      <c r="N424" s="186"/>
      <c r="O424" s="186"/>
      <c r="P424" s="186"/>
      <c r="Q424" s="186"/>
      <c r="R424" s="187"/>
      <c r="T424" s="188"/>
      <c r="U424" s="186"/>
      <c r="V424" s="186"/>
      <c r="W424" s="186"/>
      <c r="X424" s="186"/>
      <c r="Y424" s="186"/>
      <c r="Z424" s="187"/>
    </row>
    <row r="425" spans="1:26" ht="18" customHeight="1" hidden="1">
      <c r="A425" s="140"/>
      <c r="B425" s="140"/>
      <c r="D425" s="189" t="s">
        <v>248</v>
      </c>
      <c r="E425" s="190" t="e">
        <f ca="1">D414&amp;"_"&amp;D12</f>
        <v>#N/A</v>
      </c>
      <c r="F425" s="191"/>
      <c r="G425" s="191"/>
      <c r="H425" s="191"/>
      <c r="I425" s="190"/>
      <c r="J425" s="192"/>
      <c r="K425"/>
      <c r="L425" s="193" t="str">
        <f ca="1">L414&amp;"_"&amp;D12</f>
        <v>SELECT PLAN_PRIMARY</v>
      </c>
      <c r="M425" s="191"/>
      <c r="N425" s="191"/>
      <c r="O425" s="191"/>
      <c r="P425" s="190"/>
      <c r="Q425" s="191"/>
      <c r="R425" s="192"/>
      <c r="T425" s="193" t="str">
        <f>T414&amp;"_"&amp;D12</f>
        <v>SELECT PLAN_PRIMARY</v>
      </c>
      <c r="U425" s="191"/>
      <c r="V425" s="191"/>
      <c r="W425" s="191"/>
      <c r="X425" s="190"/>
      <c r="Y425" s="191"/>
      <c r="Z425" s="192"/>
    </row>
    <row r="426" spans="1:26" ht="18" customHeight="1" hidden="1">
      <c r="A426" s="140"/>
      <c r="B426" s="140"/>
      <c r="D426" s="189" t="s">
        <v>249</v>
      </c>
      <c r="E426" s="191"/>
      <c r="F426" s="191"/>
      <c r="G426" s="191"/>
      <c r="H426" s="191"/>
      <c r="I426" s="191"/>
      <c r="J426" s="192"/>
      <c r="K426"/>
      <c r="L426" s="189"/>
      <c r="M426" s="191"/>
      <c r="N426" s="191"/>
      <c r="O426" s="191"/>
      <c r="P426" s="191"/>
      <c r="Q426" s="191"/>
      <c r="R426" s="192"/>
      <c r="T426" s="189"/>
      <c r="U426" s="191"/>
      <c r="V426" s="191"/>
      <c r="W426" s="191"/>
      <c r="X426" s="191"/>
      <c r="Y426" s="191"/>
      <c r="Z426" s="192"/>
    </row>
    <row r="427" spans="1:26" ht="18" customHeight="1" hidden="1">
      <c r="A427" s="140"/>
      <c r="B427" s="140"/>
      <c r="D427" s="194" t="s">
        <v>250</v>
      </c>
      <c r="E427" s="195"/>
      <c r="F427" s="195"/>
      <c r="G427" s="195"/>
      <c r="H427" s="195"/>
      <c r="I427" s="195"/>
      <c r="J427" s="196"/>
      <c r="K427"/>
      <c r="L427" s="197"/>
      <c r="M427" s="195"/>
      <c r="N427" s="195"/>
      <c r="O427" s="195"/>
      <c r="P427" s="195"/>
      <c r="Q427" s="195"/>
      <c r="R427" s="196"/>
      <c r="T427" s="197"/>
      <c r="U427" s="195"/>
      <c r="V427" s="195"/>
      <c r="W427" s="195"/>
      <c r="X427" s="195"/>
      <c r="Y427" s="195"/>
      <c r="Z427" s="196"/>
    </row>
    <row r="428" spans="1:26" ht="18" customHeight="1" hidden="1">
      <c r="A428" s="140"/>
      <c r="B428" s="140"/>
      <c r="D428" s="198" t="s">
        <v>251</v>
      </c>
      <c r="E428" s="199" t="e">
        <f>_xlfn.XLOOKUP(E425,CurrentPlans!B:B,CurrentPlans!X:X,"NA",0,1)</f>
        <v>#N/A</v>
      </c>
      <c r="F428" s="200"/>
      <c r="G428" s="200"/>
      <c r="H428" s="200"/>
      <c r="I428" s="199"/>
      <c r="J428" s="201"/>
      <c r="K428"/>
      <c r="L428" s="202" t="str">
        <f ca="1">_xlfn.XLOOKUP(L425,RenewalPlans!B:B,RenewalPlans!AA:AA,"NA",0,1)</f>
        <v>NA</v>
      </c>
      <c r="M428" s="200"/>
      <c r="N428" s="200"/>
      <c r="O428" s="200"/>
      <c r="P428" s="199"/>
      <c r="Q428" s="200"/>
      <c r="R428" s="201"/>
      <c r="T428" s="202" t="str">
        <f>_xlfn.XLOOKUP(T425,RenewalPlans!B:B,RenewalPlans!AA:AA,"NA",0,1)</f>
        <v>NA</v>
      </c>
      <c r="U428" s="200"/>
      <c r="V428" s="200"/>
      <c r="W428" s="200"/>
      <c r="X428" s="199"/>
      <c r="Y428" s="200"/>
      <c r="Z428" s="201"/>
    </row>
    <row r="429" spans="1:26" ht="18" customHeight="1" hidden="1">
      <c r="A429" s="140"/>
      <c r="B429" s="140"/>
      <c r="D429" s="198" t="s">
        <v>252</v>
      </c>
      <c r="E429" s="199" t="e">
        <f>_xlfn.XLOOKUP(E425,CurrentPlans!B:B,CurrentPlans!Y:Y,"NA",0,1)</f>
        <v>#N/A</v>
      </c>
      <c r="F429" s="200"/>
      <c r="G429" s="200"/>
      <c r="H429" s="200"/>
      <c r="I429" s="199"/>
      <c r="J429" s="201"/>
      <c r="K429"/>
      <c r="L429" s="202" t="str">
        <f ca="1">_xlfn.XLOOKUP(L425,RenewalPlans!B:B,RenewalPlans!AB:AB,"NA",0,1)</f>
        <v>NA</v>
      </c>
      <c r="M429" s="200"/>
      <c r="N429" s="200"/>
      <c r="O429" s="200"/>
      <c r="P429" s="199"/>
      <c r="Q429" s="200"/>
      <c r="R429" s="201"/>
      <c r="T429" s="202" t="str">
        <f>_xlfn.XLOOKUP(T425,RenewalPlans!B:B,RenewalPlans!AB:AB,"NA",0,1)</f>
        <v>NA</v>
      </c>
      <c r="U429" s="200"/>
      <c r="V429" s="200"/>
      <c r="W429" s="200"/>
      <c r="X429" s="199"/>
      <c r="Y429" s="200"/>
      <c r="Z429" s="201"/>
    </row>
    <row r="430" spans="1:26" ht="18" customHeight="1" hidden="1">
      <c r="A430" s="140"/>
      <c r="B430" s="140"/>
      <c r="D430" s="120" t="s">
        <v>253</v>
      </c>
      <c r="E430" s="121" t="e">
        <f>_xlfn.XLOOKUP(E425,CurrentPlans!B:B,CurrentPlans!W:W,"NA",0,1)</f>
        <v>#N/A</v>
      </c>
      <c r="F430" s="122"/>
      <c r="G430" s="122"/>
      <c r="H430" s="122"/>
      <c r="I430" s="121"/>
      <c r="J430" s="123"/>
      <c r="K430"/>
      <c r="L430" s="124" t="str">
        <f ca="1">_xlfn.XLOOKUP(L425,RenewalPlans!B:B,RenewalPlans!Z:Z,"NA",0,1)</f>
        <v>NA</v>
      </c>
      <c r="M430" s="122"/>
      <c r="N430" s="122"/>
      <c r="O430" s="122"/>
      <c r="P430" s="121"/>
      <c r="Q430" s="122"/>
      <c r="R430" s="123"/>
      <c r="T430" s="124" t="str">
        <f>_xlfn.XLOOKUP(T425,RenewalPlans!B:B,RenewalPlans!Z:Z,"NA",0,1)</f>
        <v>NA</v>
      </c>
      <c r="U430" s="122"/>
      <c r="V430" s="122"/>
      <c r="W430" s="122"/>
      <c r="X430" s="121"/>
      <c r="Y430" s="122"/>
      <c r="Z430" s="123"/>
    </row>
    <row r="431" spans="1:26" ht="18" customHeight="1" hidden="1">
      <c r="A431" s="140"/>
      <c r="B431" s="140"/>
      <c r="D431" s="203" t="s">
        <v>254</v>
      </c>
      <c r="E431" s="204"/>
      <c r="F431" s="205"/>
      <c r="G431" s="205"/>
      <c r="H431" s="205"/>
      <c r="I431" s="204"/>
      <c r="J431" s="206"/>
      <c r="K431"/>
      <c r="L431" s="207"/>
      <c r="M431" s="205"/>
      <c r="N431" s="205"/>
      <c r="O431" s="205"/>
      <c r="P431" s="204"/>
      <c r="Q431" s="205"/>
      <c r="R431" s="206"/>
      <c r="T431" s="207"/>
      <c r="U431" s="205"/>
      <c r="V431" s="205"/>
      <c r="W431" s="205"/>
      <c r="X431" s="204"/>
      <c r="Y431" s="205"/>
      <c r="Z431" s="206"/>
    </row>
    <row r="432" spans="1:26" ht="18" customHeight="1" hidden="1">
      <c r="A432" s="140"/>
      <c r="B432" s="140"/>
      <c r="D432" s="125" t="s">
        <v>255</v>
      </c>
      <c r="E432" s="126" t="e">
        <f>_xlfn.XLOOKUP(E425,CurrentPlans!B:B,CurrentPlans!Z:Z,"NA",0,1)</f>
        <v>#N/A</v>
      </c>
      <c r="F432" s="127"/>
      <c r="G432" s="127"/>
      <c r="H432" s="127"/>
      <c r="I432" s="126"/>
      <c r="J432" s="128"/>
      <c r="K432"/>
      <c r="L432" s="129" t="str">
        <f ca="1">_xlfn.XLOOKUP(L425,RenewalPlans!B:B,RenewalPlans!AC:AC,"NA",0,1)</f>
        <v>NA</v>
      </c>
      <c r="M432" s="127"/>
      <c r="N432" s="127"/>
      <c r="O432" s="127"/>
      <c r="P432" s="126"/>
      <c r="Q432" s="127"/>
      <c r="R432" s="128"/>
      <c r="T432" s="129" t="str">
        <f>_xlfn.XLOOKUP(T425,RenewalPlans!B:B,RenewalPlans!AC:AC,"NA",0,1)</f>
        <v>NA</v>
      </c>
      <c r="U432" s="127"/>
      <c r="V432" s="127"/>
      <c r="W432" s="127"/>
      <c r="X432" s="126"/>
      <c r="Y432" s="127"/>
      <c r="Z432" s="128"/>
    </row>
    <row r="433" spans="1:26" ht="18" customHeight="1" hidden="1">
      <c r="A433" s="140"/>
      <c r="B433" s="140"/>
      <c r="D433" s="198" t="s">
        <v>256</v>
      </c>
      <c r="E433" s="208" t="e">
        <f>_xlfn.XLOOKUP(E425,CurrentPlans!B:B,CurrentPlans!AA:AA,"NA",0,1)</f>
        <v>#N/A</v>
      </c>
      <c r="F433" s="200"/>
      <c r="G433" s="200"/>
      <c r="H433" s="200"/>
      <c r="I433" s="208"/>
      <c r="J433" s="201"/>
      <c r="K433"/>
      <c r="L433" s="209" t="str">
        <f ca="1">_xlfn.XLOOKUP(L425,RenewalPlans!B:B,RenewalPlans!AD:AD,"NA",0,1)</f>
        <v>NA</v>
      </c>
      <c r="M433" s="200"/>
      <c r="N433" s="200"/>
      <c r="O433" s="200"/>
      <c r="P433" s="208"/>
      <c r="Q433" s="200"/>
      <c r="R433" s="201"/>
      <c r="T433" s="209" t="str">
        <f>_xlfn.XLOOKUP(T425,RenewalPlans!B:B,RenewalPlans!AD:AD,"NA",0,1)</f>
        <v>NA</v>
      </c>
      <c r="U433" s="200"/>
      <c r="V433" s="200"/>
      <c r="W433" s="200"/>
      <c r="X433" s="208"/>
      <c r="Y433" s="200"/>
      <c r="Z433" s="201"/>
    </row>
    <row r="434" spans="1:26" ht="18" customHeight="1" hidden="1">
      <c r="A434" s="140"/>
      <c r="B434" s="140"/>
      <c r="D434" s="203" t="s">
        <v>257</v>
      </c>
      <c r="E434" s="204"/>
      <c r="F434" s="205"/>
      <c r="G434" s="205"/>
      <c r="H434" s="205"/>
      <c r="I434" s="204"/>
      <c r="J434" s="206"/>
      <c r="K434"/>
      <c r="L434" s="207"/>
      <c r="M434" s="205"/>
      <c r="N434" s="205"/>
      <c r="O434" s="205"/>
      <c r="P434" s="204"/>
      <c r="Q434" s="205"/>
      <c r="R434" s="206"/>
      <c r="T434" s="207"/>
      <c r="U434" s="205"/>
      <c r="V434" s="205"/>
      <c r="W434" s="205"/>
      <c r="X434" s="204"/>
      <c r="Y434" s="205"/>
      <c r="Z434" s="206"/>
    </row>
    <row r="435" spans="1:26" ht="18" customHeight="1" hidden="1">
      <c r="A435" s="140"/>
      <c r="B435" s="140"/>
      <c r="D435" s="198" t="s">
        <v>258</v>
      </c>
      <c r="E435" s="208" t="e">
        <f>_xlfn.XLOOKUP(E425,CurrentPlans!B:B,CurrentPlans!AB:AB,"NA",0,1)</f>
        <v>#N/A</v>
      </c>
      <c r="F435" s="200"/>
      <c r="G435" s="200"/>
      <c r="H435" s="200"/>
      <c r="I435" s="208"/>
      <c r="J435" s="201"/>
      <c r="K435"/>
      <c r="L435" s="209" t="str">
        <f ca="1">_xlfn.XLOOKUP(L425,RenewalPlans!B:B,RenewalPlans!AE:AE,"NA",0,1)</f>
        <v>NA</v>
      </c>
      <c r="M435" s="200"/>
      <c r="N435" s="200"/>
      <c r="O435" s="200"/>
      <c r="P435" s="208"/>
      <c r="Q435" s="200"/>
      <c r="R435" s="201"/>
      <c r="T435" s="209" t="str">
        <f>_xlfn.XLOOKUP(T425,RenewalPlans!B:B,RenewalPlans!AE:AE,"NA",0,1)</f>
        <v>NA</v>
      </c>
      <c r="U435" s="200"/>
      <c r="V435" s="200"/>
      <c r="W435" s="200"/>
      <c r="X435" s="208"/>
      <c r="Y435" s="200"/>
      <c r="Z435" s="201"/>
    </row>
    <row r="436" spans="1:26" ht="18" customHeight="1" hidden="1">
      <c r="A436" s="140"/>
      <c r="B436" s="140"/>
      <c r="D436" s="198" t="s">
        <v>259</v>
      </c>
      <c r="E436" s="208" t="e">
        <f>_xlfn.XLOOKUP(E425,CurrentPlans!B:B,CurrentPlans!AC:AC,"NA",0,1)</f>
        <v>#N/A</v>
      </c>
      <c r="F436" s="200"/>
      <c r="G436" s="200"/>
      <c r="H436" s="200"/>
      <c r="I436" s="208"/>
      <c r="J436" s="201"/>
      <c r="K436"/>
      <c r="L436" s="209" t="str">
        <f ca="1">_xlfn.XLOOKUP(L425,RenewalPlans!B:B,RenewalPlans!AF:AF,"NA",0,1)</f>
        <v>NA</v>
      </c>
      <c r="M436" s="200"/>
      <c r="N436" s="200"/>
      <c r="O436" s="200"/>
      <c r="P436" s="208"/>
      <c r="Q436" s="200"/>
      <c r="R436" s="201"/>
      <c r="T436" s="209" t="str">
        <f>_xlfn.XLOOKUP(T425,RenewalPlans!B:B,RenewalPlans!AF:AF,"NA",0,1)</f>
        <v>NA</v>
      </c>
      <c r="U436" s="200"/>
      <c r="V436" s="200"/>
      <c r="W436" s="200"/>
      <c r="X436" s="208"/>
      <c r="Y436" s="200"/>
      <c r="Z436" s="201"/>
    </row>
    <row r="437" spans="1:26" ht="18" customHeight="1" hidden="1">
      <c r="A437" s="140"/>
      <c r="B437" s="140"/>
      <c r="D437" s="210"/>
      <c r="E437" s="211"/>
      <c r="F437" s="211"/>
      <c r="G437" s="211"/>
      <c r="H437" s="211"/>
      <c r="I437" s="211"/>
      <c r="J437" s="212"/>
      <c r="K437"/>
      <c r="L437" s="210"/>
      <c r="M437" s="211"/>
      <c r="N437" s="211"/>
      <c r="O437" s="211"/>
      <c r="P437" s="211"/>
      <c r="Q437" s="211"/>
      <c r="R437" s="212"/>
      <c r="T437" s="210"/>
      <c r="U437" s="211"/>
      <c r="V437" s="211"/>
      <c r="W437" s="211"/>
      <c r="X437" s="211"/>
      <c r="Y437" s="211"/>
      <c r="Z437" s="212"/>
    </row>
    <row r="438" spans="1:26" ht="18" customHeight="1" hidden="1">
      <c r="A438" s="140"/>
      <c r="B438" s="140"/>
      <c r="D438" s="185" t="s">
        <v>260</v>
      </c>
      <c r="E438" s="186"/>
      <c r="F438" s="186"/>
      <c r="G438" s="186"/>
      <c r="H438" s="186"/>
      <c r="I438" s="186"/>
      <c r="J438" s="187"/>
      <c r="K438"/>
      <c r="L438" s="188"/>
      <c r="M438" s="186"/>
      <c r="N438" s="186"/>
      <c r="O438" s="186"/>
      <c r="P438" s="186"/>
      <c r="Q438" s="186"/>
      <c r="R438" s="187"/>
      <c r="T438" s="188"/>
      <c r="U438" s="186"/>
      <c r="V438" s="186"/>
      <c r="W438" s="186"/>
      <c r="X438" s="186"/>
      <c r="Y438" s="186"/>
      <c r="Z438" s="187"/>
    </row>
    <row r="439" spans="1:26" ht="18" customHeight="1" hidden="1">
      <c r="A439" s="140"/>
      <c r="B439" s="140"/>
      <c r="D439" s="213" t="s">
        <v>261</v>
      </c>
      <c r="E439" s="130" t="e">
        <f>_xlfn.XLOOKUP(E425,CurrentPlans!B:B,CurrentPlans!AJ:AJ,"NA",0,1)</f>
        <v>#N/A</v>
      </c>
      <c r="F439" s="214"/>
      <c r="G439" s="214"/>
      <c r="H439" s="214"/>
      <c r="I439" s="130"/>
      <c r="J439" s="215"/>
      <c r="K439"/>
      <c r="L439" s="131" t="str">
        <f ca="1">_xlfn.XLOOKUP(L425,RenewalPlans!B:B,RenewalPlans!AM:AM,"NA",0,1)</f>
        <v>NA</v>
      </c>
      <c r="M439" s="214"/>
      <c r="N439" s="214"/>
      <c r="O439" s="214"/>
      <c r="P439" s="130"/>
      <c r="Q439" s="214"/>
      <c r="R439" s="215"/>
      <c r="T439" s="131" t="str">
        <f>_xlfn.XLOOKUP(T425,RenewalPlans!B:B,RenewalPlans!AM:AM,"NA",0,1)</f>
        <v>NA</v>
      </c>
      <c r="U439" s="214"/>
      <c r="V439" s="214"/>
      <c r="W439" s="214"/>
      <c r="X439" s="130"/>
      <c r="Y439" s="214"/>
      <c r="Z439" s="215"/>
    </row>
    <row r="440" spans="1:26" ht="18" customHeight="1" hidden="1">
      <c r="A440" s="140"/>
      <c r="B440" s="140"/>
      <c r="D440" s="198" t="s">
        <v>262</v>
      </c>
      <c r="E440" s="130" t="e">
        <f>_xlfn.XLOOKUP(E425,CurrentPlans!B:B,CurrentPlans!AM:AM,"NA",0,1)</f>
        <v>#N/A</v>
      </c>
      <c r="F440" s="200"/>
      <c r="G440" s="200"/>
      <c r="H440" s="200"/>
      <c r="I440" s="130"/>
      <c r="J440" s="201"/>
      <c r="K440"/>
      <c r="L440" s="131" t="str">
        <f ca="1">_xlfn.XLOOKUP(L425,RenewalPlans!B:B,RenewalPlans!AP:AP,"NA",0,1)</f>
        <v>NA</v>
      </c>
      <c r="M440" s="200"/>
      <c r="N440" s="200"/>
      <c r="O440" s="200"/>
      <c r="P440" s="130"/>
      <c r="Q440" s="200"/>
      <c r="R440" s="201"/>
      <c r="T440" s="131" t="str">
        <f>_xlfn.XLOOKUP(T425,RenewalPlans!B:B,RenewalPlans!AP:AP,"NA",0,1)</f>
        <v>NA</v>
      </c>
      <c r="U440" s="200"/>
      <c r="V440" s="200"/>
      <c r="W440" s="200"/>
      <c r="X440" s="130"/>
      <c r="Y440" s="200"/>
      <c r="Z440" s="201"/>
    </row>
    <row r="441" spans="1:26" ht="18" customHeight="1" hidden="1">
      <c r="A441" s="140"/>
      <c r="B441" s="140"/>
      <c r="D441" s="198" t="s">
        <v>263</v>
      </c>
      <c r="E441" s="130" t="e">
        <f>_xlfn.XLOOKUP(E425,CurrentPlans!B:B,CurrentPlans!AI:AI,"NA",0,1)</f>
        <v>#N/A</v>
      </c>
      <c r="F441" s="200"/>
      <c r="G441" s="200"/>
      <c r="H441" s="200"/>
      <c r="I441" s="130"/>
      <c r="J441" s="201"/>
      <c r="K441"/>
      <c r="L441" s="131" t="str">
        <f ca="1">_xlfn.XLOOKUP(L425,RenewalPlans!B:B,RenewalPlans!AL:AL,"NA",0,1)</f>
        <v>NA</v>
      </c>
      <c r="M441" s="200"/>
      <c r="N441" s="200"/>
      <c r="O441" s="200"/>
      <c r="P441" s="130"/>
      <c r="Q441" s="200"/>
      <c r="R441" s="201"/>
      <c r="T441" s="131" t="str">
        <f>_xlfn.XLOOKUP(T425,RenewalPlans!B:B,RenewalPlans!AL:AL,"NA",0,1)</f>
        <v>NA</v>
      </c>
      <c r="U441" s="200"/>
      <c r="V441" s="200"/>
      <c r="W441" s="200"/>
      <c r="X441" s="130"/>
      <c r="Y441" s="200"/>
      <c r="Z441" s="201"/>
    </row>
    <row r="442" spans="1:26" ht="18" customHeight="1" hidden="1">
      <c r="A442" s="140"/>
      <c r="B442" s="140"/>
      <c r="D442" s="198" t="s">
        <v>264</v>
      </c>
      <c r="E442" s="208" t="e">
        <f>_xlfn.XLOOKUP(E425,CurrentPlans!B:B,CurrentPlans!AN:AN,"NA",0,1)</f>
        <v>#N/A</v>
      </c>
      <c r="F442" s="200"/>
      <c r="G442" s="200"/>
      <c r="H442" s="200"/>
      <c r="I442" s="208"/>
      <c r="J442" s="201"/>
      <c r="K442"/>
      <c r="L442" s="209" t="str">
        <f ca="1">_xlfn.XLOOKUP(L425,RenewalPlans!B:B,RenewalPlans!AQ:AQ,"NA",0,1)</f>
        <v>NA</v>
      </c>
      <c r="M442" s="200"/>
      <c r="N442" s="200"/>
      <c r="O442" s="200"/>
      <c r="P442" s="208"/>
      <c r="Q442" s="200"/>
      <c r="R442" s="201"/>
      <c r="T442" s="209" t="str">
        <f>_xlfn.XLOOKUP(T425,RenewalPlans!B:B,RenewalPlans!AQ:AQ,"NA",0,1)</f>
        <v>NA</v>
      </c>
      <c r="U442" s="200"/>
      <c r="V442" s="200"/>
      <c r="W442" s="200"/>
      <c r="X442" s="208"/>
      <c r="Y442" s="200"/>
      <c r="Z442" s="201"/>
    </row>
    <row r="443" spans="1:26" ht="18" customHeight="1" hidden="1">
      <c r="A443" s="140"/>
      <c r="B443" s="140"/>
      <c r="D443" s="210"/>
      <c r="E443" s="211"/>
      <c r="F443" s="211"/>
      <c r="G443" s="211"/>
      <c r="H443" s="211"/>
      <c r="I443" s="211"/>
      <c r="J443" s="212"/>
      <c r="K443"/>
      <c r="L443" s="210"/>
      <c r="M443" s="211"/>
      <c r="N443" s="211"/>
      <c r="O443" s="211"/>
      <c r="P443" s="211"/>
      <c r="Q443" s="211"/>
      <c r="R443" s="212"/>
      <c r="T443" s="210"/>
      <c r="U443" s="211"/>
      <c r="V443" s="211"/>
      <c r="W443" s="211"/>
      <c r="X443" s="211"/>
      <c r="Y443" s="211"/>
      <c r="Z443" s="212"/>
    </row>
    <row r="444" spans="1:26" ht="18" customHeight="1" hidden="1">
      <c r="A444" s="140"/>
      <c r="B444" s="140"/>
      <c r="D444" s="185" t="s">
        <v>265</v>
      </c>
      <c r="E444" s="186"/>
      <c r="F444" s="186"/>
      <c r="G444" s="186"/>
      <c r="H444" s="186"/>
      <c r="I444" s="186"/>
      <c r="J444" s="187"/>
      <c r="K444"/>
      <c r="L444" s="188"/>
      <c r="M444" s="186"/>
      <c r="N444" s="186"/>
      <c r="O444" s="186"/>
      <c r="P444" s="186"/>
      <c r="Q444" s="186"/>
      <c r="R444" s="187"/>
      <c r="T444" s="188"/>
      <c r="U444" s="186"/>
      <c r="V444" s="186"/>
      <c r="W444" s="186"/>
      <c r="X444" s="186"/>
      <c r="Y444" s="186"/>
      <c r="Z444" s="187"/>
    </row>
    <row r="445" spans="1:26" ht="18" customHeight="1" hidden="1">
      <c r="A445" s="140"/>
      <c r="B445" s="140"/>
      <c r="D445" s="132" t="s">
        <v>266</v>
      </c>
      <c r="E445" s="133" t="e">
        <f>_xlfn.XLOOKUP(E425,CurrentPlans!B:B,CurrentPlans!AE:AE,"NA",0,1)</f>
        <v>#N/A</v>
      </c>
      <c r="F445" s="134"/>
      <c r="G445" s="134"/>
      <c r="H445" s="134"/>
      <c r="I445" s="133"/>
      <c r="J445" s="135"/>
      <c r="K445"/>
      <c r="L445" s="136" t="str">
        <f ca="1">_xlfn.XLOOKUP(L425,RenewalPlans!B:B,RenewalPlans!AH:AH,"NA",0,1)</f>
        <v>NA</v>
      </c>
      <c r="M445" s="134"/>
      <c r="N445" s="134"/>
      <c r="O445" s="134"/>
      <c r="P445" s="133"/>
      <c r="Q445" s="134"/>
      <c r="R445" s="135"/>
      <c r="T445" s="136" t="str">
        <f>_xlfn.XLOOKUP(T425,RenewalPlans!B:B,RenewalPlans!AH:AH,"NA",0,1)</f>
        <v>NA</v>
      </c>
      <c r="U445" s="134"/>
      <c r="V445" s="134"/>
      <c r="W445" s="134"/>
      <c r="X445" s="133"/>
      <c r="Y445" s="134"/>
      <c r="Z445" s="135"/>
    </row>
    <row r="446" spans="1:26" ht="18" customHeight="1" hidden="1">
      <c r="A446" s="140"/>
      <c r="B446" s="140"/>
      <c r="D446" s="120" t="s">
        <v>267</v>
      </c>
      <c r="E446" s="130" t="e">
        <f>_xlfn.XLOOKUP(E425,CurrentPlans!B:B,CurrentPlans!AF:AF,"NA",0,1)</f>
        <v>#N/A</v>
      </c>
      <c r="F446" s="122"/>
      <c r="G446" s="122"/>
      <c r="H446" s="122"/>
      <c r="I446" s="130"/>
      <c r="J446" s="123"/>
      <c r="K446"/>
      <c r="L446" s="131" t="str">
        <f ca="1">_xlfn.XLOOKUP(L425,RenewalPlans!B:B,RenewalPlans!AI:AI,"NA",0,1)</f>
        <v>NA</v>
      </c>
      <c r="M446" s="122"/>
      <c r="N446" s="122"/>
      <c r="O446" s="122"/>
      <c r="P446" s="130"/>
      <c r="Q446" s="122"/>
      <c r="R446" s="123"/>
      <c r="T446" s="131" t="str">
        <f>_xlfn.XLOOKUP(T425,RenewalPlans!B:B,RenewalPlans!AI:AI,"NA",0,1)</f>
        <v>NA</v>
      </c>
      <c r="U446" s="122"/>
      <c r="V446" s="122"/>
      <c r="W446" s="122"/>
      <c r="X446" s="130"/>
      <c r="Y446" s="122"/>
      <c r="Z446" s="123"/>
    </row>
    <row r="447" spans="1:26" ht="18" customHeight="1" hidden="1">
      <c r="A447" s="140"/>
      <c r="B447" s="140"/>
      <c r="D447" s="198" t="s">
        <v>268</v>
      </c>
      <c r="E447" s="130" t="e">
        <f>_xlfn.XLOOKUP(E425,CurrentPlans!B:B,CurrentPlans!AH:AH,"NA",0,1)</f>
        <v>#N/A</v>
      </c>
      <c r="F447" s="200"/>
      <c r="G447" s="200"/>
      <c r="H447" s="200"/>
      <c r="I447" s="130"/>
      <c r="J447" s="201"/>
      <c r="K447"/>
      <c r="L447" s="131" t="str">
        <f ca="1">_xlfn.XLOOKUP(L425,RenewalPlans!B:B,RenewalPlans!AK:AK,"NA",0,1)</f>
        <v>NA</v>
      </c>
      <c r="M447" s="200"/>
      <c r="N447" s="200"/>
      <c r="O447" s="200"/>
      <c r="P447" s="130"/>
      <c r="Q447" s="200"/>
      <c r="R447" s="201"/>
      <c r="T447" s="131" t="str">
        <f>_xlfn.XLOOKUP(T425,RenewalPlans!B:B,RenewalPlans!AK:AK,"NA",0,1)</f>
        <v>NA</v>
      </c>
      <c r="U447" s="200"/>
      <c r="V447" s="200"/>
      <c r="W447" s="200"/>
      <c r="X447" s="130"/>
      <c r="Y447" s="200"/>
      <c r="Z447" s="201"/>
    </row>
    <row r="448" spans="1:26" ht="18" customHeight="1" hidden="1">
      <c r="A448" s="140"/>
      <c r="B448" s="140"/>
      <c r="D448" s="198" t="s">
        <v>269</v>
      </c>
      <c r="E448" s="130" t="e">
        <f>_xlfn.XLOOKUP(E425,CurrentPlans!B:B,CurrentPlans!AG:AG,"NA",0,1)</f>
        <v>#N/A</v>
      </c>
      <c r="F448" s="200"/>
      <c r="G448" s="200"/>
      <c r="H448" s="200"/>
      <c r="I448" s="130"/>
      <c r="J448" s="201"/>
      <c r="K448"/>
      <c r="L448" s="131" t="str">
        <f ca="1">_xlfn.XLOOKUP(L425,RenewalPlans!B:B,RenewalPlans!AJ:AJ,"NA",0,1)</f>
        <v>NA</v>
      </c>
      <c r="M448" s="200"/>
      <c r="N448" s="200"/>
      <c r="O448" s="200"/>
      <c r="P448" s="130"/>
      <c r="Q448" s="200"/>
      <c r="R448" s="201"/>
      <c r="T448" s="131" t="str">
        <f>_xlfn.XLOOKUP(T425,RenewalPlans!B:B,RenewalPlans!AJ:AJ,"NA",0,1)</f>
        <v>NA</v>
      </c>
      <c r="U448" s="200"/>
      <c r="V448" s="200"/>
      <c r="W448" s="200"/>
      <c r="X448" s="130"/>
      <c r="Y448" s="200"/>
      <c r="Z448" s="201"/>
    </row>
    <row r="449" spans="1:26" ht="18" customHeight="1" hidden="1">
      <c r="A449" s="140"/>
      <c r="B449" s="140"/>
      <c r="D449" s="213" t="s">
        <v>270</v>
      </c>
      <c r="E449" s="216" t="e">
        <f>_xlfn.XLOOKUP(E425,CurrentPlans!B:B,CurrentPlans!AU:AU,"NA",0,1)</f>
        <v>#N/A</v>
      </c>
      <c r="F449" s="214"/>
      <c r="G449" s="214"/>
      <c r="H449" s="214"/>
      <c r="I449" s="217"/>
      <c r="J449" s="215"/>
      <c r="K449"/>
      <c r="L449" s="218" t="str">
        <f ca="1">_xlfn.XLOOKUP(L425,RenewalPlans!B:B,RenewalPlans!AX:AX,"NA",0,1)</f>
        <v>NA</v>
      </c>
      <c r="M449" s="214"/>
      <c r="N449" s="214"/>
      <c r="O449" s="214"/>
      <c r="P449" s="217"/>
      <c r="Q449" s="214"/>
      <c r="R449" s="215"/>
      <c r="T449" s="218" t="str">
        <f>_xlfn.XLOOKUP(T425,RenewalPlans!B:B,RenewalPlans!AX:AX,"NA",0,1)</f>
        <v>NA</v>
      </c>
      <c r="U449" s="214"/>
      <c r="V449" s="214"/>
      <c r="W449" s="214"/>
      <c r="X449" s="217"/>
      <c r="Y449" s="214"/>
      <c r="Z449" s="215"/>
    </row>
    <row r="450" spans="1:26" ht="18" customHeight="1" hidden="1">
      <c r="A450" s="140"/>
      <c r="B450" s="140"/>
      <c r="D450" s="213" t="s">
        <v>271</v>
      </c>
      <c r="E450" s="216" t="e">
        <f>_xlfn.XLOOKUP(E425,CurrentPlans!B:B,CurrentPlans!AT:AT,"NA",0,1)</f>
        <v>#N/A</v>
      </c>
      <c r="F450" s="214"/>
      <c r="G450" s="214"/>
      <c r="H450" s="214"/>
      <c r="I450" s="217"/>
      <c r="J450" s="215"/>
      <c r="K450"/>
      <c r="L450" s="218" t="str">
        <f ca="1">_xlfn.XLOOKUP(L425,RenewalPlans!B:B,RenewalPlans!AW:AW,"NA",0,1)</f>
        <v>NA</v>
      </c>
      <c r="M450" s="214"/>
      <c r="N450" s="214"/>
      <c r="O450" s="214"/>
      <c r="P450" s="217"/>
      <c r="Q450" s="214"/>
      <c r="R450" s="215"/>
      <c r="T450" s="218" t="str">
        <f>_xlfn.XLOOKUP(T425,RenewalPlans!B:B,RenewalPlans!AW:AW,"NA",0,1)</f>
        <v>NA</v>
      </c>
      <c r="U450" s="214"/>
      <c r="V450" s="214"/>
      <c r="W450" s="214"/>
      <c r="X450" s="217"/>
      <c r="Y450" s="214"/>
      <c r="Z450" s="215"/>
    </row>
    <row r="451" spans="1:26" ht="18" customHeight="1" hidden="1">
      <c r="A451" s="140"/>
      <c r="B451" s="140"/>
      <c r="D451" s="198" t="s">
        <v>272</v>
      </c>
      <c r="E451" s="130" t="e">
        <f>_xlfn.XLOOKUP(E425,CurrentPlans!B:B,CurrentPlans!AD:AD,"NA",0,1)</f>
        <v>#N/A</v>
      </c>
      <c r="F451" s="200"/>
      <c r="G451" s="200"/>
      <c r="H451" s="200"/>
      <c r="I451" s="130"/>
      <c r="J451" s="201"/>
      <c r="K451"/>
      <c r="L451" s="131" t="str">
        <f ca="1">_xlfn.XLOOKUP(L425,RenewalPlans!B:B,RenewalPlans!AG:AG,"NA",0,1)</f>
        <v>NA</v>
      </c>
      <c r="M451" s="200"/>
      <c r="N451" s="200"/>
      <c r="O451" s="200"/>
      <c r="P451" s="130"/>
      <c r="Q451" s="200"/>
      <c r="R451" s="201"/>
      <c r="T451" s="131" t="str">
        <f>_xlfn.XLOOKUP(T425,RenewalPlans!B:B,RenewalPlans!AG:AG,"NA",0,1)</f>
        <v>NA</v>
      </c>
      <c r="U451" s="200"/>
      <c r="V451" s="200"/>
      <c r="W451" s="200"/>
      <c r="X451" s="130"/>
      <c r="Y451" s="200"/>
      <c r="Z451" s="201"/>
    </row>
    <row r="452" spans="1:26" ht="18" customHeight="1" hidden="1">
      <c r="A452" s="140"/>
      <c r="B452" s="140"/>
      <c r="D452" s="198" t="s">
        <v>273</v>
      </c>
      <c r="E452" s="200"/>
      <c r="F452" s="200"/>
      <c r="G452" s="200"/>
      <c r="H452" s="200"/>
      <c r="I452" s="200"/>
      <c r="J452" s="201"/>
      <c r="K452"/>
      <c r="L452" s="198"/>
      <c r="M452" s="200"/>
      <c r="N452" s="200"/>
      <c r="O452" s="200"/>
      <c r="P452" s="200"/>
      <c r="Q452" s="200"/>
      <c r="R452" s="201"/>
      <c r="T452" s="198"/>
      <c r="U452" s="200"/>
      <c r="V452" s="200"/>
      <c r="W452" s="200"/>
      <c r="X452" s="200"/>
      <c r="Y452" s="200"/>
      <c r="Z452" s="201"/>
    </row>
    <row r="453" spans="1:26" ht="18" customHeight="1" hidden="1">
      <c r="A453" s="140"/>
      <c r="B453" s="140"/>
      <c r="D453" s="210"/>
      <c r="E453" s="211"/>
      <c r="F453" s="211"/>
      <c r="G453" s="211"/>
      <c r="H453" s="211"/>
      <c r="I453" s="211"/>
      <c r="J453" s="212"/>
      <c r="K453"/>
      <c r="L453" s="210"/>
      <c r="M453" s="211"/>
      <c r="N453" s="211"/>
      <c r="O453" s="211"/>
      <c r="P453" s="211"/>
      <c r="Q453" s="211"/>
      <c r="R453" s="212"/>
      <c r="T453" s="210"/>
      <c r="U453" s="211"/>
      <c r="V453" s="211"/>
      <c r="W453" s="211"/>
      <c r="X453" s="211"/>
      <c r="Y453" s="211"/>
      <c r="Z453" s="212"/>
    </row>
    <row r="454" spans="1:26" ht="18" customHeight="1" hidden="1">
      <c r="A454" s="140"/>
      <c r="B454" s="140"/>
      <c r="D454" s="219" t="s">
        <v>274</v>
      </c>
      <c r="E454" s="220"/>
      <c r="F454" s="220"/>
      <c r="G454" s="220"/>
      <c r="H454" s="220"/>
      <c r="I454" s="220"/>
      <c r="J454" s="221"/>
      <c r="K454"/>
      <c r="L454" s="222"/>
      <c r="M454" s="220"/>
      <c r="N454" s="220"/>
      <c r="O454" s="220"/>
      <c r="P454" s="220"/>
      <c r="Q454" s="220"/>
      <c r="R454" s="221"/>
      <c r="T454" s="222"/>
      <c r="U454" s="220"/>
      <c r="V454" s="220"/>
      <c r="W454" s="220"/>
      <c r="X454" s="220"/>
      <c r="Y454" s="220"/>
      <c r="Z454" s="221"/>
    </row>
    <row r="455" spans="1:26" ht="18" customHeight="1" hidden="1">
      <c r="A455" s="140"/>
      <c r="B455" s="140"/>
      <c r="D455" s="223" t="s">
        <v>250</v>
      </c>
      <c r="E455" s="205"/>
      <c r="F455" s="205"/>
      <c r="G455" s="205"/>
      <c r="H455" s="205"/>
      <c r="I455" s="205"/>
      <c r="J455" s="206"/>
      <c r="K455"/>
      <c r="L455" s="203"/>
      <c r="M455" s="205"/>
      <c r="N455" s="205"/>
      <c r="O455" s="205"/>
      <c r="P455" s="205"/>
      <c r="Q455" s="205"/>
      <c r="R455" s="206"/>
      <c r="T455" s="203"/>
      <c r="U455" s="205"/>
      <c r="V455" s="205"/>
      <c r="W455" s="205"/>
      <c r="X455" s="205"/>
      <c r="Y455" s="205"/>
      <c r="Z455" s="206"/>
    </row>
    <row r="456" spans="1:26" ht="18" customHeight="1" hidden="1">
      <c r="A456" s="140"/>
      <c r="B456" s="140"/>
      <c r="D456" s="198" t="s">
        <v>251</v>
      </c>
      <c r="E456" s="130" t="e">
        <f>_xlfn.XLOOKUP(E425,CurrentPlans!B:B,CurrentPlans!AP:AP,"NA",0,1)</f>
        <v>#N/A</v>
      </c>
      <c r="F456" s="200"/>
      <c r="G456" s="200"/>
      <c r="H456" s="200"/>
      <c r="I456" s="130"/>
      <c r="J456" s="201"/>
      <c r="K456"/>
      <c r="L456" s="131" t="str">
        <f ca="1">_xlfn.XLOOKUP(L425,RenewalPlans!B:B,RenewalPlans!AS:AS,"NA",0,1)</f>
        <v>NA</v>
      </c>
      <c r="M456" s="200"/>
      <c r="N456" s="200"/>
      <c r="O456" s="200"/>
      <c r="P456" s="130"/>
      <c r="Q456" s="200"/>
      <c r="R456" s="201"/>
      <c r="T456" s="131" t="str">
        <f>_xlfn.XLOOKUP(T425,RenewalPlans!B:B,RenewalPlans!AS:AS,"NA",0,1)</f>
        <v>NA</v>
      </c>
      <c r="U456" s="200"/>
      <c r="V456" s="200"/>
      <c r="W456" s="200"/>
      <c r="X456" s="130"/>
      <c r="Y456" s="200"/>
      <c r="Z456" s="201"/>
    </row>
    <row r="457" spans="1:26" ht="18" customHeight="1" hidden="1">
      <c r="A457" s="140"/>
      <c r="B457" s="140"/>
      <c r="D457" s="198" t="s">
        <v>252</v>
      </c>
      <c r="E457" s="130" t="e">
        <f>_xlfn.XLOOKUP(E425,CurrentPlans!B:B,CurrentPlans!AQ:AQ,"NA",0,1)</f>
        <v>#N/A</v>
      </c>
      <c r="F457" s="200"/>
      <c r="G457" s="200"/>
      <c r="H457" s="200"/>
      <c r="I457" s="130"/>
      <c r="J457" s="201"/>
      <c r="K457"/>
      <c r="L457" s="131" t="str">
        <f ca="1">_xlfn.XLOOKUP(L425,RenewalPlans!B:B,RenewalPlans!AT:AT,"NA",0,1)</f>
        <v>NA</v>
      </c>
      <c r="M457" s="200"/>
      <c r="N457" s="200"/>
      <c r="O457" s="200"/>
      <c r="P457" s="130"/>
      <c r="Q457" s="200"/>
      <c r="R457" s="201"/>
      <c r="T457" s="131" t="str">
        <f>_xlfn.XLOOKUP(T425,RenewalPlans!B:B,RenewalPlans!AT:AT,"NA",0,1)</f>
        <v>NA</v>
      </c>
      <c r="U457" s="200"/>
      <c r="V457" s="200"/>
      <c r="W457" s="200"/>
      <c r="X457" s="130"/>
      <c r="Y457" s="200"/>
      <c r="Z457" s="201"/>
    </row>
    <row r="458" spans="1:26" ht="18" customHeight="1" hidden="1">
      <c r="A458" s="140"/>
      <c r="B458" s="140"/>
      <c r="D458" s="120" t="s">
        <v>253</v>
      </c>
      <c r="E458" s="133" t="e">
        <f>_xlfn.XLOOKUP(E425,CurrentPlans!B:B,CurrentPlans!AO:AO,"NA",0,1)</f>
        <v>#N/A</v>
      </c>
      <c r="F458" s="122"/>
      <c r="G458" s="122"/>
      <c r="H458" s="122"/>
      <c r="I458" s="133"/>
      <c r="J458" s="123"/>
      <c r="K458"/>
      <c r="L458" s="136" t="str">
        <f ca="1">_xlfn.XLOOKUP(L425,RenewalPlans!B:B,RenewalPlans!AR:AR,"NA",0,1)</f>
        <v>NA</v>
      </c>
      <c r="M458" s="122"/>
      <c r="N458" s="122"/>
      <c r="O458" s="122"/>
      <c r="P458" s="133"/>
      <c r="Q458" s="122"/>
      <c r="R458" s="123"/>
      <c r="T458" s="136" t="str">
        <f>_xlfn.XLOOKUP(T425,RenewalPlans!B:B,RenewalPlans!AR:AR,"NA",0,1)</f>
        <v>NA</v>
      </c>
      <c r="U458" s="122"/>
      <c r="V458" s="122"/>
      <c r="W458" s="122"/>
      <c r="X458" s="133"/>
      <c r="Y458" s="122"/>
      <c r="Z458" s="123"/>
    </row>
    <row r="459" spans="1:26" ht="18" customHeight="1" hidden="1">
      <c r="A459" s="140"/>
      <c r="B459" s="140"/>
      <c r="D459" s="223" t="s">
        <v>254</v>
      </c>
      <c r="E459" s="205"/>
      <c r="F459" s="205"/>
      <c r="G459" s="205"/>
      <c r="H459" s="205"/>
      <c r="I459" s="205"/>
      <c r="J459" s="206"/>
      <c r="K459"/>
      <c r="L459" s="203"/>
      <c r="M459" s="205"/>
      <c r="N459" s="205"/>
      <c r="O459" s="205"/>
      <c r="P459" s="205"/>
      <c r="Q459" s="205"/>
      <c r="R459" s="206"/>
      <c r="T459" s="203"/>
      <c r="U459" s="205"/>
      <c r="V459" s="205"/>
      <c r="W459" s="205"/>
      <c r="X459" s="205"/>
      <c r="Y459" s="205"/>
      <c r="Z459" s="206"/>
    </row>
    <row r="460" spans="1:26" ht="18" customHeight="1" hidden="1">
      <c r="A460" s="140"/>
      <c r="B460" s="140"/>
      <c r="D460" s="198" t="s">
        <v>255</v>
      </c>
      <c r="E460" s="130" t="e">
        <f>_xlfn.XLOOKUP(E425,CurrentPlans!B:B,CurrentPlans!AR:AR,"NA",0,1)</f>
        <v>#N/A</v>
      </c>
      <c r="F460" s="200"/>
      <c r="G460" s="200"/>
      <c r="H460" s="200"/>
      <c r="I460" s="130"/>
      <c r="J460" s="201"/>
      <c r="K460"/>
      <c r="L460" s="131" t="str">
        <f ca="1">_xlfn.XLOOKUP(L425,RenewalPlans!B:B,RenewalPlans!AU:AU,"NA",0,1)</f>
        <v>NA</v>
      </c>
      <c r="M460" s="200"/>
      <c r="N460" s="200"/>
      <c r="O460" s="200"/>
      <c r="P460" s="130"/>
      <c r="Q460" s="200"/>
      <c r="R460" s="201"/>
      <c r="T460" s="131" t="str">
        <f>_xlfn.XLOOKUP(T425,RenewalPlans!B:B,RenewalPlans!AU:AU,"NA",0,1)</f>
        <v>NA</v>
      </c>
      <c r="U460" s="200"/>
      <c r="V460" s="200"/>
      <c r="W460" s="200"/>
      <c r="X460" s="130"/>
      <c r="Y460" s="200"/>
      <c r="Z460" s="201"/>
    </row>
    <row r="461" spans="1:26" ht="18" customHeight="1" hidden="1" thickBot="1">
      <c r="A461" s="140"/>
      <c r="B461" s="140"/>
      <c r="D461" s="224" t="s">
        <v>256</v>
      </c>
      <c r="E461" s="137" t="e">
        <f>_xlfn.XLOOKUP(E425,CurrentPlans!B:B,CurrentPlans!AS:AS,"NA",0,1)</f>
        <v>#N/A</v>
      </c>
      <c r="F461" s="225"/>
      <c r="G461" s="225"/>
      <c r="H461" s="225"/>
      <c r="I461" s="137"/>
      <c r="J461" s="226"/>
      <c r="K461"/>
      <c r="L461" s="138" t="str">
        <f ca="1">_xlfn.XLOOKUP(L425,RenewalPlans!B:B,RenewalPlans!AV:AV,"NA",0,1)</f>
        <v>NA</v>
      </c>
      <c r="M461" s="225"/>
      <c r="N461" s="225"/>
      <c r="O461" s="225"/>
      <c r="P461" s="137"/>
      <c r="Q461" s="225"/>
      <c r="R461" s="226"/>
      <c r="T461" s="138" t="str">
        <f>_xlfn.XLOOKUP(T425,RenewalPlans!B:B,RenewalPlans!AV:AV,"NA",0,1)</f>
        <v>NA</v>
      </c>
      <c r="U461" s="225"/>
      <c r="V461" s="225"/>
      <c r="W461" s="225"/>
      <c r="X461" s="137"/>
      <c r="Y461" s="225"/>
      <c r="Z461" s="226"/>
    </row>
    <row r="462" spans="1:26" ht="18" customHeight="1">
      <c r="A462" s="140"/>
      <c r="B462" s="140"/>
      <c r="D462" s="227"/>
      <c r="E462" s="176"/>
      <c r="F462" s="178"/>
      <c r="G462" s="179"/>
      <c r="H462" s="178"/>
      <c r="I462" s="176"/>
      <c r="J462" s="228"/>
      <c r="K462"/>
      <c r="L462" s="178"/>
      <c r="M462" s="176"/>
      <c r="N462" s="139"/>
      <c r="O462" s="178"/>
      <c r="P462" s="178"/>
      <c r="Q462" s="178"/>
      <c r="R462" s="228"/>
      <c r="T462" s="178"/>
      <c r="U462" s="176"/>
      <c r="V462" s="139"/>
      <c r="W462" s="178"/>
      <c r="X462" s="178"/>
      <c r="Y462" s="178"/>
      <c r="Z462" s="228"/>
    </row>
    <row r="463" spans="1:26" ht="5.25" customHeight="1" thickBot="1">
      <c r="A463" s="140"/>
      <c r="B463" s="140"/>
      <c r="D463" s="229"/>
      <c r="E463" s="229"/>
      <c r="F463" s="230"/>
      <c r="G463" s="231"/>
      <c r="H463" s="232"/>
      <c r="I463" s="233"/>
      <c r="J463" s="233"/>
      <c r="K463"/>
      <c r="L463" s="233"/>
      <c r="M463" s="233"/>
      <c r="N463" s="233"/>
      <c r="O463" s="233"/>
      <c r="P463" s="233"/>
      <c r="Q463" s="233"/>
      <c r="R463" s="233"/>
      <c r="T463" s="233"/>
      <c r="U463" s="233"/>
      <c r="V463" s="233"/>
      <c r="W463" s="233"/>
      <c r="X463" s="233"/>
      <c r="Y463" s="233"/>
      <c r="Z463" s="233"/>
    </row>
    <row r="464" spans="1:26" ht="50.15" customHeight="1">
      <c r="A464" s="140">
        <v>10</v>
      </c>
      <c r="B464" s="140">
        <f>IF(A464&gt;Class3_CurrentHealthCount,"DELETE",Class3_CurrentHealthStart+A464)</f>
        <v>70</v>
      </c>
      <c r="C464" s="164" t="s">
        <v>283</v>
      </c>
      <c r="D464" s="273" t="e">
        <f ca="1">IF(B464="Delete","",VLOOKUP(F464,BEGIN_CURRENT_HEALTH:END_CURRENT_HEALTH,3,FALSE))</f>
        <v>#N/A</v>
      </c>
      <c r="E464" s="165"/>
      <c r="F464" s="272" cm="1">
        <f t="array" ca="1" aca="1" ref="F464">IF(B464="Delete","",INDIRECT("CurrentPlans!A"&amp;B464,TRUE))</f>
        <v>0</v>
      </c>
      <c r="G464" s="166"/>
      <c r="H464" s="167"/>
      <c r="I464" s="168"/>
      <c r="J464" s="169"/>
      <c r="K464"/>
      <c r="L464" s="274" t="str">
        <f ca="1">_xlfn.IFNA(VLOOKUP(F464,BEGIN_RENEWEDFROM_HEALTH:ROW_RenewHealth_PlanID,3,FALSE),"SELECT PLAN")</f>
        <v>SELECT PLAN</v>
      </c>
      <c r="M464" s="170"/>
      <c r="N464" s="274" t="s">
        <v>237</v>
      </c>
      <c r="O464" s="171"/>
      <c r="P464" s="171"/>
      <c r="Q464" s="171"/>
      <c r="R464" s="169"/>
      <c r="T464" s="274" t="s">
        <v>38</v>
      </c>
      <c r="U464" s="170"/>
      <c r="V464" s="274" t="s">
        <v>237</v>
      </c>
      <c r="W464" s="171"/>
      <c r="X464" s="171"/>
      <c r="Y464" s="171"/>
      <c r="Z464" s="169"/>
    </row>
    <row r="465" spans="1:26" ht="18.75" customHeight="1">
      <c r="A465" s="140"/>
      <c r="B465" s="140"/>
      <c r="D465" s="172" t="s">
        <v>238</v>
      </c>
      <c r="E465" s="407" t="str">
        <f ca="1">_xlfn.IFNA(VLOOKUP(F464,BEGIN_CURRENT_HEALTH:END_CURRENT_HEALTH,CURRENT_COL_EO_count,FALSE),"")</f>
        <v/>
      </c>
      <c r="F465" s="408" t="str">
        <f ca="1">_xlfn.IFNA(VLOOKUP(F464,BEGIN_CURRENT_HEALTH:END_CURRENT_HEALTH,CURRENT_COL_EO,FALSE),"")</f>
        <v/>
      </c>
      <c r="G465" s="468" t="str">
        <f ca="1" t="shared" si="45" ref="G465:G468">IF(F465="","",H465/F465)</f>
        <v/>
      </c>
      <c r="H465" s="408" t="str">
        <f ca="1">_xlfn.IFNA(VLOOKUP(F464,BEGIN_CURRENT_HEALTH:END_CURRENT_HEALTH,CURRENT_COL_EOContrib,FALSE),"")</f>
        <v/>
      </c>
      <c r="I465" s="409" t="str">
        <f ca="1">IFERROR(F465-H465,"")</f>
        <v/>
      </c>
      <c r="J465" s="410" t="str">
        <f ca="1">IF(F465="","",H465*E465)</f>
        <v/>
      </c>
      <c r="K465" s="411"/>
      <c r="L465" s="408" t="str" cm="1">
        <f t="array" ca="1" aca="1" ref="L465">_xlfn.IFNA(VLOOKUP(INDIRECT("L"&amp;ROW()-1)&amp;"_"&amp;$D$12,BEGIN_RENEW_HEALTH:END_RENEW_HEALTH,RENEW_COL_EO,FALSE),"")</f>
        <v/>
      </c>
      <c r="M465" s="412" t="str">
        <f ca="1">IF(E465="","",E465)</f>
        <v/>
      </c>
      <c r="N465" s="413"/>
      <c r="O465" s="414"/>
      <c r="P465" s="415" t="str">
        <f>IFERROR(IF($N464="Keep Contribution Same",H465,IF($N464="Enter Percentages",IF(N465="","",N465*L465),IF($N464="Keep Percentage Same",IF(G465="","",G465*L465),IF($N464="Enter Dollar Amount",IF(O465="","",O465),"")))),"")</f>
        <v/>
      </c>
      <c r="Q465" s="408" t="str">
        <f ca="1">IFERROR(L465-P465,"")</f>
        <v/>
      </c>
      <c r="R465" s="410" t="str">
        <f>IFERROR(IF(P465="","",M465*P465),"")</f>
        <v/>
      </c>
      <c r="S465" s="411"/>
      <c r="T465" s="408" t="str" cm="1">
        <f t="array" ca="1" aca="1" ref="T465">_xlfn.IFNA(VLOOKUP(INDIRECT("T"&amp;ROW()-1)&amp;"_"&amp;$D$12,BEGIN_RENEW_HEALTH:END_RENEW_HEALTH,RENEW_COL_EO,FALSE),"")</f>
        <v/>
      </c>
      <c r="U465" s="412" t="str">
        <f ca="1">IF(E465="","",E465)</f>
        <v/>
      </c>
      <c r="V465" s="413"/>
      <c r="W465" s="414"/>
      <c r="X465" s="415" t="str">
        <f>IFERROR(IF($V464="Keep Contribution Same",H465,IF($V464="Enter Percentages",IF(V465="","",V465*T465),IF($V464="Keep Percentage Same",IF(G465="","",G465*T465),IF($V464="Enter Dollar Amount",IF(W465="","",W465),"")))),"")</f>
        <v/>
      </c>
      <c r="Y465" s="408" t="str">
        <f ca="1">IFERROR(T465-X465,"")</f>
        <v/>
      </c>
      <c r="Z465" s="410" t="str">
        <f>IFERROR(IF(X465="","",U465*X465),"")</f>
        <v/>
      </c>
    </row>
    <row r="466" spans="1:26" ht="18.75" customHeight="1">
      <c r="A466" s="140"/>
      <c r="B466" s="140"/>
      <c r="D466" s="172" t="s">
        <v>239</v>
      </c>
      <c r="E466" s="407" t="str">
        <f ca="1">_xlfn.IFNA(VLOOKUP(F464,BEGIN_CURRENT_HEALTH:END_CURRENT_HEALTH,CURRENT_COL_ES_count,FALSE),"")</f>
        <v/>
      </c>
      <c r="F466" s="408" t="str">
        <f ca="1">_xlfn.IFNA(VLOOKUP(F464,BEGIN_CURRENT_HEALTH:END_CURRENT_HEALTH,CURRENT_COL_ES,FALSE),"")</f>
        <v/>
      </c>
      <c r="G466" s="468" t="str">
        <f t="shared" ca="1" si="45"/>
        <v/>
      </c>
      <c r="H466" s="408" t="str">
        <f ca="1">_xlfn.IFNA(VLOOKUP(F464,BEGIN_CURRENT_HEALTH:END_CURRENT_HEALTH,CURRENT_COL_ESContrib,FALSE),"")</f>
        <v/>
      </c>
      <c r="I466" s="409" t="str">
        <f ca="1" t="shared" si="46" ref="I466:I468">IFERROR(F466-H466,"")</f>
        <v/>
      </c>
      <c r="J466" s="410" t="str">
        <f ca="1">IF(F466="","",H466*E466)</f>
        <v/>
      </c>
      <c r="K466" s="411"/>
      <c r="L466" s="408" t="str" cm="1">
        <f t="array" ca="1" aca="1" ref="L466">_xlfn.IFNA(VLOOKUP(INDIRECT("L"&amp;ROW()-2)&amp;"_"&amp;$D$12,BEGIN_RENEW_HEALTH:END_RENEW_HEALTH,RENEW_COL_ES,FALSE),"")</f>
        <v/>
      </c>
      <c r="M466" s="412" t="str">
        <f ca="1">IF(E466="","",E466)</f>
        <v/>
      </c>
      <c r="N466" s="413"/>
      <c r="O466" s="414"/>
      <c r="P466" s="415" t="str">
        <f>IFERROR(IF($N464="Keep Contribution Same",H466,IF($N464="Enter Percentages",IF(N466="","",N466*L466),IF($N464="Keep Percentage Same",IF(G466="","",G466*L466),IF($N464="Enter Dollar Amount",IF(O466="","",O466),"")))),"")</f>
        <v/>
      </c>
      <c r="Q466" s="408" t="str">
        <f ca="1">IFERROR(L466-P466,"")</f>
        <v/>
      </c>
      <c r="R466" s="410" t="str">
        <f>IFERROR(IF(P466="","",M466*P466),"")</f>
        <v/>
      </c>
      <c r="S466" s="411"/>
      <c r="T466" s="408" t="str" cm="1">
        <f t="array" ca="1" aca="1" ref="T466">_xlfn.IFNA(VLOOKUP(INDIRECT("T"&amp;ROW()-2)&amp;"_"&amp;$D$12,BEGIN_RENEW_HEALTH:END_RENEW_HEALTH,RENEW_COL_ES,FALSE),"")</f>
        <v/>
      </c>
      <c r="U466" s="412" t="str">
        <f ca="1" t="shared" si="47" ref="U466:U468">IF(E466="","",E466)</f>
        <v/>
      </c>
      <c r="V466" s="413"/>
      <c r="W466" s="414"/>
      <c r="X466" s="415" t="str">
        <f>IFERROR(IF($V464="Keep Contribution Same",H466,IF($V464="Enter Percentages",IF(V466="","",V466*T466),IF($V464="Keep Percentage Same",IF(G466="","",G466*T466),IF($V464="Enter Dollar Amount",IF(W466="","",W466),"")))),"")</f>
        <v/>
      </c>
      <c r="Y466" s="408" t="str">
        <f ca="1" t="shared" si="48" ref="Y466:Y468">IFERROR(T466-X466,"")</f>
        <v/>
      </c>
      <c r="Z466" s="410" t="str">
        <f t="shared" si="49" ref="Z466:Z468">IFERROR(IF(X466="","",U466*X466),"")</f>
        <v/>
      </c>
    </row>
    <row r="467" spans="1:26" ht="18.75" customHeight="1">
      <c r="A467" s="140"/>
      <c r="B467" s="140"/>
      <c r="D467" s="172" t="s">
        <v>240</v>
      </c>
      <c r="E467" s="407" t="str">
        <f ca="1">_xlfn.IFNA(VLOOKUP(F464,BEGIN_CURRENT_HEALTH:END_CURRENT_HEALTH,CURRENT_COL_EC_count,FALSE),"")</f>
        <v/>
      </c>
      <c r="F467" s="408" t="str">
        <f ca="1">_xlfn.IFNA(VLOOKUP(F464,BEGIN_CURRENT_HEALTH:END_CURRENT_HEALTH,CURRENT_COL_EC,FALSE),"")</f>
        <v/>
      </c>
      <c r="G467" s="468" t="str">
        <f t="shared" ca="1" si="45"/>
        <v/>
      </c>
      <c r="H467" s="408" t="str">
        <f ca="1">_xlfn.IFNA(VLOOKUP(F464,BEGIN_CURRENT_HEALTH:END_CURRENT_HEALTH,CURRENT_COL_ECContrib,FALSE),"")</f>
        <v/>
      </c>
      <c r="I467" s="409" t="str">
        <f t="shared" ca="1" si="46"/>
        <v/>
      </c>
      <c r="J467" s="410" t="str">
        <f ca="1">IF(F467="","",H467*E467)</f>
        <v/>
      </c>
      <c r="K467" s="411"/>
      <c r="L467" s="408" t="str" cm="1">
        <f t="array" ca="1" aca="1" ref="L467">_xlfn.IFNA(VLOOKUP(INDIRECT("L"&amp;ROW()-3)&amp;"_"&amp;$D$12,BEGIN_RENEW_HEALTH:END_RENEW_HEALTH,RENEW_COL_EC,FALSE),"")</f>
        <v/>
      </c>
      <c r="M467" s="412" t="str">
        <f ca="1">IF(E467="","",E467)</f>
        <v/>
      </c>
      <c r="N467" s="413"/>
      <c r="O467" s="414"/>
      <c r="P467" s="415" t="str">
        <f>IFERROR(IF($N464="Keep Contribution Same",H467,IF($N464="Enter Percentages",IF(N467="","",N467*L467),IF($N464="Keep Percentage Same",IF(G467="","",G467*L467),IF($N464="Enter Dollar Amount",IF(O467="","",O467),"")))),"")</f>
        <v/>
      </c>
      <c r="Q467" s="408" t="str">
        <f ca="1">IFERROR(L467-P467,"")</f>
        <v/>
      </c>
      <c r="R467" s="410" t="str">
        <f>IFERROR(IF(P467="","",M467*P467),"")</f>
        <v/>
      </c>
      <c r="S467" s="411"/>
      <c r="T467" s="408" t="str" cm="1">
        <f t="array" ca="1" aca="1" ref="T467">_xlfn.IFNA(VLOOKUP(INDIRECT("T"&amp;ROW()-3)&amp;"_"&amp;$D$12,BEGIN_RENEW_HEALTH:END_RENEW_HEALTH,RENEW_COL_EC,FALSE),"")</f>
        <v/>
      </c>
      <c r="U467" s="412" t="str">
        <f t="shared" ca="1" si="47"/>
        <v/>
      </c>
      <c r="V467" s="413"/>
      <c r="W467" s="414"/>
      <c r="X467" s="415" t="str">
        <f>IFERROR(IF($V464="Keep Contribution Same",H467,IF($V464="Enter Percentages",IF(V467="","",V467*T467),IF($V464="Keep Percentage Same",IF(G467="","",G467*T467),IF($V464="Enter Dollar Amount",IF(W467="","",W467),"")))),"")</f>
        <v/>
      </c>
      <c r="Y467" s="408" t="str">
        <f t="shared" ca="1" si="48"/>
        <v/>
      </c>
      <c r="Z467" s="410" t="str">
        <f t="shared" si="49"/>
        <v/>
      </c>
    </row>
    <row r="468" spans="1:26" ht="18.75" customHeight="1" thickBot="1">
      <c r="A468" s="140"/>
      <c r="B468" s="140"/>
      <c r="D468" s="174" t="s">
        <v>241</v>
      </c>
      <c r="E468" s="416" t="str">
        <f ca="1">_xlfn.IFNA(VLOOKUP(F464,BEGIN_CURRENT_HEALTH:END_CURRENT_HEALTH,CURRENT_COL_FAM_count,FALSE),"")</f>
        <v/>
      </c>
      <c r="F468" s="417" t="str">
        <f ca="1">_xlfn.IFNA(VLOOKUP(F464,BEGIN_CURRENT_HEALTH:END_CURRENT_HEALTH,CURRENT_COL_FAM,FALSE),"")</f>
        <v/>
      </c>
      <c r="G468" s="469" t="str">
        <f t="shared" ca="1" si="45"/>
        <v/>
      </c>
      <c r="H468" s="417" t="str">
        <f ca="1">_xlfn.IFNA(VLOOKUP(F464,BEGIN_CURRENT_HEALTH:END_CURRENT_HEALTH,CURRENT_COL_FAMContrib,FALSE),"")</f>
        <v/>
      </c>
      <c r="I468" s="418" t="str">
        <f t="shared" ca="1" si="46"/>
        <v/>
      </c>
      <c r="J468" s="419" t="str">
        <f ca="1">IF(F468="","",H468*E468)</f>
        <v/>
      </c>
      <c r="K468" s="411"/>
      <c r="L468" s="417" t="str" cm="1">
        <f t="array" ca="1" aca="1" ref="L468">_xlfn.IFNA(VLOOKUP(INDIRECT("L"&amp;ROW()-4)&amp;"_"&amp;$D$12,BEGIN_RENEW_HEALTH:END_RENEW_HEALTH,RENEW_COL_FAM,FALSE),"")</f>
        <v/>
      </c>
      <c r="M468" s="423" t="str">
        <f ca="1">IF(E468="","",E468)</f>
        <v/>
      </c>
      <c r="N468" s="420"/>
      <c r="O468" s="421"/>
      <c r="P468" s="422" t="str">
        <f>IFERROR(IF($N464="Keep Contribution Same",H468,IF($N464="Enter Percentages",IF(N468="","",N468*L468),IF($N464="Keep Percentage Same",IF(G468="","",G468*L468),IF($N464="Enter Dollar Amount",IF(O468="","",O468),"")))),"")</f>
        <v/>
      </c>
      <c r="Q468" s="417" t="str">
        <f ca="1">IFERROR(L468-P468,"")</f>
        <v/>
      </c>
      <c r="R468" s="419" t="str">
        <f>IFERROR(IF(P468="","",M468*P468),"")</f>
        <v/>
      </c>
      <c r="S468" s="411"/>
      <c r="T468" s="417" t="str" cm="1">
        <f t="array" ca="1" aca="1" ref="T468">_xlfn.IFNA(VLOOKUP(INDIRECT("T"&amp;ROW()-4)&amp;"_"&amp;$D$12,BEGIN_RENEW_HEALTH:END_RENEW_HEALTH,RENEW_COL_FAM,FALSE),"")</f>
        <v/>
      </c>
      <c r="U468" s="423" t="str">
        <f t="shared" ca="1" si="47"/>
        <v/>
      </c>
      <c r="V468" s="420"/>
      <c r="W468" s="421"/>
      <c r="X468" s="422" t="str">
        <f>IFERROR(IF($V464="Keep Contribution Same",H468,IF($V464="Enter Percentages",IF(V468="","",V468*T468),IF($V464="Keep Percentage Same",IF(G468="","",G468*T468),IF($V464="Enter Dollar Amount",IF(W468="","",W468),"")))),"")</f>
        <v/>
      </c>
      <c r="Y468" s="417" t="str">
        <f t="shared" ca="1" si="48"/>
        <v/>
      </c>
      <c r="Z468" s="419" t="str">
        <f t="shared" si="49"/>
        <v/>
      </c>
    </row>
    <row r="469" spans="1:26" ht="19.5" customHeight="1" thickTop="1">
      <c r="A469" s="140"/>
      <c r="B469" s="140"/>
      <c r="D469" s="175" t="s">
        <v>242</v>
      </c>
      <c r="E469" s="424"/>
      <c r="F469" s="447" t="str">
        <f ca="1">IFERROR((F465*E465)+(F466*E466)+(F467*E467)+(F468*E468),"")</f>
        <v/>
      </c>
      <c r="G469" s="426"/>
      <c r="H469" s="427"/>
      <c r="I469" s="428"/>
      <c r="J469" s="429" t="str">
        <f ca="1">IFERROR(IF(J465="","",SUM(J465:J468)),0)</f>
        <v/>
      </c>
      <c r="K469" s="1"/>
      <c r="L469" s="430" t="str">
        <f ca="1">IFERROR((M465*L465)+(M466*L466)+(M467*L467)+(M468*L468),"")</f>
        <v/>
      </c>
      <c r="M469" s="427"/>
      <c r="N469" s="426"/>
      <c r="O469" s="427"/>
      <c r="P469" s="431"/>
      <c r="Q469" s="432"/>
      <c r="R469" s="429" t="str">
        <f>IFERROR(IF(R465="","",SUM(R465:R468)),0)</f>
        <v/>
      </c>
      <c r="T469" s="430" t="str">
        <f ca="1">IFERROR((U465*T465)+(U466*T466)+(U467*T467)+(U468*T468),"")</f>
        <v/>
      </c>
      <c r="U469" s="427"/>
      <c r="V469" s="426"/>
      <c r="W469" s="427"/>
      <c r="X469" s="431"/>
      <c r="Y469" s="432"/>
      <c r="Z469" s="429" t="str">
        <f>IFERROR(IF(Z465="","",SUM(Z465:Z468)),0)</f>
        <v/>
      </c>
    </row>
    <row r="470" spans="1:26" ht="19.5" customHeight="1">
      <c r="A470" s="140"/>
      <c r="B470" s="140"/>
      <c r="D470" s="177" t="s">
        <v>243</v>
      </c>
      <c r="E470" s="433"/>
      <c r="F470" s="448" t="str">
        <f ca="1">IFERROR(F469*12,"")</f>
        <v/>
      </c>
      <c r="G470" s="435"/>
      <c r="H470" s="436"/>
      <c r="I470" s="432"/>
      <c r="J470" s="437" t="str">
        <f ca="1">IF(J469="","",J469*12)</f>
        <v/>
      </c>
      <c r="K470" s="1"/>
      <c r="L470" s="438" t="str">
        <f ca="1">IFERROR(L469*12,"")</f>
        <v/>
      </c>
      <c r="M470" s="436"/>
      <c r="N470" s="435"/>
      <c r="O470" s="436"/>
      <c r="P470" s="432"/>
      <c r="Q470" s="432"/>
      <c r="R470" s="437" t="str">
        <f>IF(R469="","",R469*12)</f>
        <v/>
      </c>
      <c r="T470" s="438" t="str">
        <f ca="1">IFERROR(T469*12,"")</f>
        <v/>
      </c>
      <c r="U470" s="436"/>
      <c r="V470" s="435"/>
      <c r="W470" s="436"/>
      <c r="X470" s="432"/>
      <c r="Y470" s="432"/>
      <c r="Z470" s="437" t="str">
        <f>IF(Z469="","",Z469*12)</f>
        <v/>
      </c>
    </row>
    <row r="471" spans="1:26" ht="18" customHeight="1">
      <c r="A471" s="140"/>
      <c r="B471" s="140"/>
      <c r="D471" s="177" t="s">
        <v>244</v>
      </c>
      <c r="E471" s="433"/>
      <c r="F471" s="436"/>
      <c r="G471" s="435"/>
      <c r="H471" s="436"/>
      <c r="I471" s="432"/>
      <c r="J471" s="437"/>
      <c r="K471" s="1"/>
      <c r="L471" s="434" t="str">
        <f ca="1">IFERROR(L470-F470,"")</f>
        <v/>
      </c>
      <c r="M471" s="436"/>
      <c r="N471" s="435"/>
      <c r="O471" s="436"/>
      <c r="P471" s="432"/>
      <c r="Q471" s="432"/>
      <c r="R471" s="437" t="str">
        <f ca="1">IFERROR(IF(J470="","",R470-J470),0)</f>
        <v/>
      </c>
      <c r="T471" s="434" t="str">
        <f ca="1">IFERROR(T470-F470,"")</f>
        <v/>
      </c>
      <c r="U471" s="436"/>
      <c r="V471" s="435"/>
      <c r="W471" s="436"/>
      <c r="X471" s="432"/>
      <c r="Y471" s="432"/>
      <c r="Z471" s="437" t="str">
        <f>IFERROR(IF(R470="","",Z470-R470),0)</f>
        <v/>
      </c>
    </row>
    <row r="472" spans="1:26" ht="18" customHeight="1" thickBot="1">
      <c r="A472" s="140"/>
      <c r="B472" s="140"/>
      <c r="D472" s="180" t="s">
        <v>245</v>
      </c>
      <c r="E472" s="439"/>
      <c r="F472" s="440"/>
      <c r="G472" s="441"/>
      <c r="H472" s="440"/>
      <c r="I472" s="442"/>
      <c r="J472" s="437"/>
      <c r="K472" s="1"/>
      <c r="L472" s="444" t="str">
        <f ca="1">IFERROR(L470/F470-1,"")</f>
        <v/>
      </c>
      <c r="M472" s="440"/>
      <c r="N472" s="441"/>
      <c r="O472" s="440"/>
      <c r="P472" s="445"/>
      <c r="Q472" s="445"/>
      <c r="R472" s="446" t="str">
        <f ca="1">IFERROR(IF(J470="","",(R470/J470)-1),0)</f>
        <v/>
      </c>
      <c r="T472" s="444" t="str">
        <f ca="1">IFERROR(T470/F470-1,"")</f>
        <v/>
      </c>
      <c r="U472" s="440"/>
      <c r="V472" s="441"/>
      <c r="W472" s="440"/>
      <c r="X472" s="445"/>
      <c r="Y472" s="445"/>
      <c r="Z472" s="446" t="str">
        <f>IFERROR(IF(R470="","",(Z470/R470)-1),0)</f>
        <v/>
      </c>
    </row>
    <row r="473" spans="1:26" ht="18" customHeight="1">
      <c r="A473" s="140"/>
      <c r="B473" s="140"/>
      <c r="D473" s="181" t="s">
        <v>246</v>
      </c>
      <c r="E473" s="182"/>
      <c r="F473" s="182"/>
      <c r="G473" s="182"/>
      <c r="H473" s="182"/>
      <c r="I473" s="182"/>
      <c r="J473" s="183"/>
      <c r="K473"/>
      <c r="L473" s="184"/>
      <c r="M473" s="182"/>
      <c r="N473" s="182"/>
      <c r="O473" s="182"/>
      <c r="P473" s="182"/>
      <c r="Q473" s="182"/>
      <c r="R473" s="183"/>
      <c r="T473" s="184"/>
      <c r="U473" s="182"/>
      <c r="V473" s="182"/>
      <c r="W473" s="182"/>
      <c r="X473" s="182"/>
      <c r="Y473" s="182"/>
      <c r="Z473" s="183"/>
    </row>
    <row r="474" spans="1:26" ht="18" customHeight="1" hidden="1">
      <c r="A474" s="140"/>
      <c r="B474" s="140"/>
      <c r="D474" s="185" t="s">
        <v>247</v>
      </c>
      <c r="E474" s="186"/>
      <c r="F474" s="186"/>
      <c r="G474" s="186"/>
      <c r="H474" s="186"/>
      <c r="I474" s="186"/>
      <c r="J474" s="187"/>
      <c r="K474"/>
      <c r="L474" s="188"/>
      <c r="M474" s="186"/>
      <c r="N474" s="186"/>
      <c r="O474" s="186"/>
      <c r="P474" s="186"/>
      <c r="Q474" s="186"/>
      <c r="R474" s="187"/>
      <c r="T474" s="188"/>
      <c r="U474" s="186"/>
      <c r="V474" s="186"/>
      <c r="W474" s="186"/>
      <c r="X474" s="186"/>
      <c r="Y474" s="186"/>
      <c r="Z474" s="187"/>
    </row>
    <row r="475" spans="1:26" ht="18" customHeight="1" hidden="1">
      <c r="A475" s="140"/>
      <c r="B475" s="140"/>
      <c r="D475" s="189" t="s">
        <v>248</v>
      </c>
      <c r="E475" s="190" t="e">
        <f ca="1">D464&amp;"_"&amp;D12</f>
        <v>#N/A</v>
      </c>
      <c r="F475" s="191"/>
      <c r="G475" s="191"/>
      <c r="H475" s="191"/>
      <c r="I475" s="190"/>
      <c r="J475" s="192"/>
      <c r="K475"/>
      <c r="L475" s="193" t="str">
        <f ca="1">L464&amp;"_"&amp;D12</f>
        <v>SELECT PLAN_PRIMARY</v>
      </c>
      <c r="M475" s="191"/>
      <c r="N475" s="191"/>
      <c r="O475" s="191"/>
      <c r="P475" s="190"/>
      <c r="Q475" s="191"/>
      <c r="R475" s="192"/>
      <c r="T475" s="193" t="str">
        <f>T464&amp;"_"&amp;D12</f>
        <v>SELECT PLAN_PRIMARY</v>
      </c>
      <c r="U475" s="191"/>
      <c r="V475" s="191"/>
      <c r="W475" s="191"/>
      <c r="X475" s="190"/>
      <c r="Y475" s="191"/>
      <c r="Z475" s="192"/>
    </row>
    <row r="476" spans="1:26" ht="18" customHeight="1" hidden="1">
      <c r="A476" s="140"/>
      <c r="B476" s="140"/>
      <c r="D476" s="189" t="s">
        <v>249</v>
      </c>
      <c r="E476" s="191"/>
      <c r="F476" s="191"/>
      <c r="G476" s="191"/>
      <c r="H476" s="191"/>
      <c r="I476" s="191"/>
      <c r="J476" s="192"/>
      <c r="K476"/>
      <c r="L476" s="189"/>
      <c r="M476" s="191"/>
      <c r="N476" s="191"/>
      <c r="O476" s="191"/>
      <c r="P476" s="191"/>
      <c r="Q476" s="191"/>
      <c r="R476" s="192"/>
      <c r="T476" s="189"/>
      <c r="U476" s="191"/>
      <c r="V476" s="191"/>
      <c r="W476" s="191"/>
      <c r="X476" s="191"/>
      <c r="Y476" s="191"/>
      <c r="Z476" s="192"/>
    </row>
    <row r="477" spans="1:26" ht="18" customHeight="1" hidden="1">
      <c r="A477" s="140"/>
      <c r="B477" s="140"/>
      <c r="D477" s="194" t="s">
        <v>250</v>
      </c>
      <c r="E477" s="195"/>
      <c r="F477" s="195"/>
      <c r="G477" s="195"/>
      <c r="H477" s="195"/>
      <c r="I477" s="195"/>
      <c r="J477" s="196"/>
      <c r="K477"/>
      <c r="L477" s="197"/>
      <c r="M477" s="195"/>
      <c r="N477" s="195"/>
      <c r="O477" s="195"/>
      <c r="P477" s="195"/>
      <c r="Q477" s="195"/>
      <c r="R477" s="196"/>
      <c r="T477" s="197"/>
      <c r="U477" s="195"/>
      <c r="V477" s="195"/>
      <c r="W477" s="195"/>
      <c r="X477" s="195"/>
      <c r="Y477" s="195"/>
      <c r="Z477" s="196"/>
    </row>
    <row r="478" spans="1:26" ht="18" customHeight="1" hidden="1">
      <c r="A478" s="140"/>
      <c r="B478" s="140"/>
      <c r="D478" s="198" t="s">
        <v>251</v>
      </c>
      <c r="E478" s="199" t="e">
        <f>_xlfn.XLOOKUP(E475,CurrentPlans!B:B,CurrentPlans!X:X,"NA",0,1)</f>
        <v>#N/A</v>
      </c>
      <c r="F478" s="200"/>
      <c r="G478" s="200"/>
      <c r="H478" s="200"/>
      <c r="I478" s="199"/>
      <c r="J478" s="201"/>
      <c r="K478"/>
      <c r="L478" s="202" t="str">
        <f ca="1">_xlfn.XLOOKUP(L475,RenewalPlans!B:B,RenewalPlans!AA:AA,"NA",0,1)</f>
        <v>NA</v>
      </c>
      <c r="M478" s="200"/>
      <c r="N478" s="200"/>
      <c r="O478" s="200"/>
      <c r="P478" s="199"/>
      <c r="Q478" s="200"/>
      <c r="R478" s="201"/>
      <c r="T478" s="202" t="str">
        <f>_xlfn.XLOOKUP(T475,RenewalPlans!B:B,RenewalPlans!AA:AA,"NA",0,1)</f>
        <v>NA</v>
      </c>
      <c r="U478" s="200"/>
      <c r="V478" s="200"/>
      <c r="W478" s="200"/>
      <c r="X478" s="199"/>
      <c r="Y478" s="200"/>
      <c r="Z478" s="201"/>
    </row>
    <row r="479" spans="1:26" ht="18" customHeight="1" hidden="1">
      <c r="A479" s="140"/>
      <c r="B479" s="140"/>
      <c r="D479" s="198" t="s">
        <v>252</v>
      </c>
      <c r="E479" s="199" t="e">
        <f>_xlfn.XLOOKUP(E475,CurrentPlans!B:B,CurrentPlans!Y:Y,"NA",0,1)</f>
        <v>#N/A</v>
      </c>
      <c r="F479" s="200"/>
      <c r="G479" s="200"/>
      <c r="H479" s="200"/>
      <c r="I479" s="199"/>
      <c r="J479" s="201"/>
      <c r="K479"/>
      <c r="L479" s="202" t="str">
        <f ca="1">_xlfn.XLOOKUP(L475,RenewalPlans!B:B,RenewalPlans!AB:AB,"NA",0,1)</f>
        <v>NA</v>
      </c>
      <c r="M479" s="200"/>
      <c r="N479" s="200"/>
      <c r="O479" s="200"/>
      <c r="P479" s="199"/>
      <c r="Q479" s="200"/>
      <c r="R479" s="201"/>
      <c r="T479" s="202" t="str">
        <f>_xlfn.XLOOKUP(T475,RenewalPlans!B:B,RenewalPlans!AB:AB,"NA",0,1)</f>
        <v>NA</v>
      </c>
      <c r="U479" s="200"/>
      <c r="V479" s="200"/>
      <c r="W479" s="200"/>
      <c r="X479" s="199"/>
      <c r="Y479" s="200"/>
      <c r="Z479" s="201"/>
    </row>
    <row r="480" spans="1:26" ht="18" customHeight="1" hidden="1">
      <c r="A480" s="140"/>
      <c r="B480" s="140"/>
      <c r="D480" s="120" t="s">
        <v>253</v>
      </c>
      <c r="E480" s="121" t="e">
        <f>_xlfn.XLOOKUP(E475,CurrentPlans!B:B,CurrentPlans!W:W,"NA",0,1)</f>
        <v>#N/A</v>
      </c>
      <c r="F480" s="122"/>
      <c r="G480" s="122"/>
      <c r="H480" s="122"/>
      <c r="I480" s="121"/>
      <c r="J480" s="123"/>
      <c r="K480"/>
      <c r="L480" s="124" t="str">
        <f ca="1">_xlfn.XLOOKUP(L475,RenewalPlans!B:B,RenewalPlans!Z:Z,"NA",0,1)</f>
        <v>NA</v>
      </c>
      <c r="M480" s="122"/>
      <c r="N480" s="122"/>
      <c r="O480" s="122"/>
      <c r="P480" s="121"/>
      <c r="Q480" s="122"/>
      <c r="R480" s="123"/>
      <c r="T480" s="124" t="str">
        <f>_xlfn.XLOOKUP(T475,RenewalPlans!B:B,RenewalPlans!Z:Z,"NA",0,1)</f>
        <v>NA</v>
      </c>
      <c r="U480" s="122"/>
      <c r="V480" s="122"/>
      <c r="W480" s="122"/>
      <c r="X480" s="121"/>
      <c r="Y480" s="122"/>
      <c r="Z480" s="123"/>
    </row>
    <row r="481" spans="1:26" ht="18" customHeight="1" hidden="1">
      <c r="A481" s="140"/>
      <c r="B481" s="140"/>
      <c r="D481" s="203" t="s">
        <v>254</v>
      </c>
      <c r="E481" s="204"/>
      <c r="F481" s="205"/>
      <c r="G481" s="205"/>
      <c r="H481" s="205"/>
      <c r="I481" s="204"/>
      <c r="J481" s="206"/>
      <c r="K481"/>
      <c r="L481" s="207"/>
      <c r="M481" s="205"/>
      <c r="N481" s="205"/>
      <c r="O481" s="205"/>
      <c r="P481" s="204"/>
      <c r="Q481" s="205"/>
      <c r="R481" s="206"/>
      <c r="T481" s="207"/>
      <c r="U481" s="205"/>
      <c r="V481" s="205"/>
      <c r="W481" s="205"/>
      <c r="X481" s="204"/>
      <c r="Y481" s="205"/>
      <c r="Z481" s="206"/>
    </row>
    <row r="482" spans="1:26" ht="18" customHeight="1" hidden="1">
      <c r="A482" s="140"/>
      <c r="B482" s="140"/>
      <c r="D482" s="125" t="s">
        <v>255</v>
      </c>
      <c r="E482" s="126" t="e">
        <f>_xlfn.XLOOKUP(E475,CurrentPlans!B:B,CurrentPlans!Z:Z,"NA",0,1)</f>
        <v>#N/A</v>
      </c>
      <c r="F482" s="127"/>
      <c r="G482" s="127"/>
      <c r="H482" s="127"/>
      <c r="I482" s="126"/>
      <c r="J482" s="128"/>
      <c r="K482"/>
      <c r="L482" s="129" t="str">
        <f ca="1">_xlfn.XLOOKUP(L475,RenewalPlans!B:B,RenewalPlans!AC:AC,"NA",0,1)</f>
        <v>NA</v>
      </c>
      <c r="M482" s="127"/>
      <c r="N482" s="127"/>
      <c r="O482" s="127"/>
      <c r="P482" s="126"/>
      <c r="Q482" s="127"/>
      <c r="R482" s="128"/>
      <c r="T482" s="129" t="str">
        <f>_xlfn.XLOOKUP(T475,RenewalPlans!B:B,RenewalPlans!AC:AC,"NA",0,1)</f>
        <v>NA</v>
      </c>
      <c r="U482" s="127"/>
      <c r="V482" s="127"/>
      <c r="W482" s="127"/>
      <c r="X482" s="126"/>
      <c r="Y482" s="127"/>
      <c r="Z482" s="128"/>
    </row>
    <row r="483" spans="1:26" ht="18" customHeight="1" hidden="1">
      <c r="A483" s="140"/>
      <c r="B483" s="140"/>
      <c r="D483" s="198" t="s">
        <v>256</v>
      </c>
      <c r="E483" s="208" t="e">
        <f>_xlfn.XLOOKUP(E475,CurrentPlans!B:B,CurrentPlans!AA:AA,"NA",0,1)</f>
        <v>#N/A</v>
      </c>
      <c r="F483" s="200"/>
      <c r="G483" s="200"/>
      <c r="H483" s="200"/>
      <c r="I483" s="208"/>
      <c r="J483" s="201"/>
      <c r="K483"/>
      <c r="L483" s="209" t="str">
        <f ca="1">_xlfn.XLOOKUP(L475,RenewalPlans!B:B,RenewalPlans!AD:AD,"NA",0,1)</f>
        <v>NA</v>
      </c>
      <c r="M483" s="200"/>
      <c r="N483" s="200"/>
      <c r="O483" s="200"/>
      <c r="P483" s="208"/>
      <c r="Q483" s="200"/>
      <c r="R483" s="201"/>
      <c r="T483" s="209" t="str">
        <f>_xlfn.XLOOKUP(T475,RenewalPlans!B:B,RenewalPlans!AD:AD,"NA",0,1)</f>
        <v>NA</v>
      </c>
      <c r="U483" s="200"/>
      <c r="V483" s="200"/>
      <c r="W483" s="200"/>
      <c r="X483" s="208"/>
      <c r="Y483" s="200"/>
      <c r="Z483" s="201"/>
    </row>
    <row r="484" spans="1:26" ht="18" customHeight="1" hidden="1">
      <c r="A484" s="140"/>
      <c r="B484" s="140"/>
      <c r="D484" s="203" t="s">
        <v>257</v>
      </c>
      <c r="E484" s="204"/>
      <c r="F484" s="205"/>
      <c r="G484" s="205"/>
      <c r="H484" s="205"/>
      <c r="I484" s="204"/>
      <c r="J484" s="206"/>
      <c r="K484"/>
      <c r="L484" s="207"/>
      <c r="M484" s="205"/>
      <c r="N484" s="205"/>
      <c r="O484" s="205"/>
      <c r="P484" s="204"/>
      <c r="Q484" s="205"/>
      <c r="R484" s="206"/>
      <c r="T484" s="207"/>
      <c r="U484" s="205"/>
      <c r="V484" s="205"/>
      <c r="W484" s="205"/>
      <c r="X484" s="204"/>
      <c r="Y484" s="205"/>
      <c r="Z484" s="206"/>
    </row>
    <row r="485" spans="1:26" ht="18" customHeight="1" hidden="1">
      <c r="A485" s="140"/>
      <c r="B485" s="140"/>
      <c r="D485" s="198" t="s">
        <v>258</v>
      </c>
      <c r="E485" s="208" t="e">
        <f>_xlfn.XLOOKUP(E475,CurrentPlans!B:B,CurrentPlans!AB:AB,"NA",0,1)</f>
        <v>#N/A</v>
      </c>
      <c r="F485" s="200"/>
      <c r="G485" s="200"/>
      <c r="H485" s="200"/>
      <c r="I485" s="208"/>
      <c r="J485" s="201"/>
      <c r="K485"/>
      <c r="L485" s="209" t="str">
        <f ca="1">_xlfn.XLOOKUP(L475,RenewalPlans!B:B,RenewalPlans!AE:AE,"NA",0,1)</f>
        <v>NA</v>
      </c>
      <c r="M485" s="200"/>
      <c r="N485" s="200"/>
      <c r="O485" s="200"/>
      <c r="P485" s="208"/>
      <c r="Q485" s="200"/>
      <c r="R485" s="201"/>
      <c r="T485" s="209" t="str">
        <f>_xlfn.XLOOKUP(T475,RenewalPlans!B:B,RenewalPlans!AE:AE,"NA",0,1)</f>
        <v>NA</v>
      </c>
      <c r="U485" s="200"/>
      <c r="V485" s="200"/>
      <c r="W485" s="200"/>
      <c r="X485" s="208"/>
      <c r="Y485" s="200"/>
      <c r="Z485" s="201"/>
    </row>
    <row r="486" spans="1:26" ht="18" customHeight="1" hidden="1">
      <c r="A486" s="140"/>
      <c r="B486" s="140"/>
      <c r="D486" s="198" t="s">
        <v>259</v>
      </c>
      <c r="E486" s="208" t="e">
        <f>_xlfn.XLOOKUP(E475,CurrentPlans!B:B,CurrentPlans!AC:AC,"NA",0,1)</f>
        <v>#N/A</v>
      </c>
      <c r="F486" s="200"/>
      <c r="G486" s="200"/>
      <c r="H486" s="200"/>
      <c r="I486" s="208"/>
      <c r="J486" s="201"/>
      <c r="K486"/>
      <c r="L486" s="209" t="str">
        <f ca="1">_xlfn.XLOOKUP(L475,RenewalPlans!B:B,RenewalPlans!AF:AF,"NA",0,1)</f>
        <v>NA</v>
      </c>
      <c r="M486" s="200"/>
      <c r="N486" s="200"/>
      <c r="O486" s="200"/>
      <c r="P486" s="208"/>
      <c r="Q486" s="200"/>
      <c r="R486" s="201"/>
      <c r="T486" s="209" t="str">
        <f>_xlfn.XLOOKUP(T475,RenewalPlans!B:B,RenewalPlans!AF:AF,"NA",0,1)</f>
        <v>NA</v>
      </c>
      <c r="U486" s="200"/>
      <c r="V486" s="200"/>
      <c r="W486" s="200"/>
      <c r="X486" s="208"/>
      <c r="Y486" s="200"/>
      <c r="Z486" s="201"/>
    </row>
    <row r="487" spans="1:26" ht="18" customHeight="1" hidden="1">
      <c r="A487" s="140"/>
      <c r="B487" s="140"/>
      <c r="D487" s="210"/>
      <c r="E487" s="211"/>
      <c r="F487" s="211"/>
      <c r="G487" s="211"/>
      <c r="H487" s="211"/>
      <c r="I487" s="211"/>
      <c r="J487" s="212"/>
      <c r="K487"/>
      <c r="L487" s="210"/>
      <c r="M487" s="211"/>
      <c r="N487" s="211"/>
      <c r="O487" s="211"/>
      <c r="P487" s="211"/>
      <c r="Q487" s="211"/>
      <c r="R487" s="212"/>
      <c r="T487" s="210"/>
      <c r="U487" s="211"/>
      <c r="V487" s="211"/>
      <c r="W487" s="211"/>
      <c r="X487" s="211"/>
      <c r="Y487" s="211"/>
      <c r="Z487" s="212"/>
    </row>
    <row r="488" spans="1:26" ht="18" customHeight="1" hidden="1">
      <c r="A488" s="140"/>
      <c r="B488" s="140"/>
      <c r="D488" s="185" t="s">
        <v>260</v>
      </c>
      <c r="E488" s="186"/>
      <c r="F488" s="186"/>
      <c r="G488" s="186"/>
      <c r="H488" s="186"/>
      <c r="I488" s="186"/>
      <c r="J488" s="187"/>
      <c r="K488"/>
      <c r="L488" s="188"/>
      <c r="M488" s="186"/>
      <c r="N488" s="186"/>
      <c r="O488" s="186"/>
      <c r="P488" s="186"/>
      <c r="Q488" s="186"/>
      <c r="R488" s="187"/>
      <c r="T488" s="188"/>
      <c r="U488" s="186"/>
      <c r="V488" s="186"/>
      <c r="W488" s="186"/>
      <c r="X488" s="186"/>
      <c r="Y488" s="186"/>
      <c r="Z488" s="187"/>
    </row>
    <row r="489" spans="1:26" ht="18" customHeight="1" hidden="1">
      <c r="A489" s="140"/>
      <c r="B489" s="140"/>
      <c r="D489" s="213" t="s">
        <v>261</v>
      </c>
      <c r="E489" s="130" t="e">
        <f>_xlfn.XLOOKUP(E475,CurrentPlans!B:B,CurrentPlans!AJ:AJ,"NA",0,1)</f>
        <v>#N/A</v>
      </c>
      <c r="F489" s="214"/>
      <c r="G489" s="214"/>
      <c r="H489" s="214"/>
      <c r="I489" s="130"/>
      <c r="J489" s="215"/>
      <c r="K489"/>
      <c r="L489" s="131" t="str">
        <f ca="1">_xlfn.XLOOKUP(L475,RenewalPlans!B:B,RenewalPlans!AM:AM,"NA",0,1)</f>
        <v>NA</v>
      </c>
      <c r="M489" s="214"/>
      <c r="N489" s="214"/>
      <c r="O489" s="214"/>
      <c r="P489" s="130"/>
      <c r="Q489" s="214"/>
      <c r="R489" s="215"/>
      <c r="T489" s="131" t="str">
        <f>_xlfn.XLOOKUP(T475,RenewalPlans!B:B,RenewalPlans!AM:AM,"NA",0,1)</f>
        <v>NA</v>
      </c>
      <c r="U489" s="214"/>
      <c r="V489" s="214"/>
      <c r="W489" s="214"/>
      <c r="X489" s="130"/>
      <c r="Y489" s="214"/>
      <c r="Z489" s="215"/>
    </row>
    <row r="490" spans="1:26" ht="18" customHeight="1" hidden="1">
      <c r="A490" s="140"/>
      <c r="B490" s="140"/>
      <c r="D490" s="198" t="s">
        <v>262</v>
      </c>
      <c r="E490" s="130" t="e">
        <f>_xlfn.XLOOKUP(E475,CurrentPlans!B:B,CurrentPlans!AM:AM,"NA",0,1)</f>
        <v>#N/A</v>
      </c>
      <c r="F490" s="200"/>
      <c r="G490" s="200"/>
      <c r="H490" s="200"/>
      <c r="I490" s="130"/>
      <c r="J490" s="201"/>
      <c r="K490"/>
      <c r="L490" s="131" t="str">
        <f ca="1">_xlfn.XLOOKUP(L475,RenewalPlans!B:B,RenewalPlans!AP:AP,"NA",0,1)</f>
        <v>NA</v>
      </c>
      <c r="M490" s="200"/>
      <c r="N490" s="200"/>
      <c r="O490" s="200"/>
      <c r="P490" s="130"/>
      <c r="Q490" s="200"/>
      <c r="R490" s="201"/>
      <c r="T490" s="131" t="str">
        <f>_xlfn.XLOOKUP(T475,RenewalPlans!B:B,RenewalPlans!AP:AP,"NA",0,1)</f>
        <v>NA</v>
      </c>
      <c r="U490" s="200"/>
      <c r="V490" s="200"/>
      <c r="W490" s="200"/>
      <c r="X490" s="130"/>
      <c r="Y490" s="200"/>
      <c r="Z490" s="201"/>
    </row>
    <row r="491" spans="1:26" ht="18" customHeight="1" hidden="1">
      <c r="A491" s="140"/>
      <c r="B491" s="140"/>
      <c r="D491" s="198" t="s">
        <v>263</v>
      </c>
      <c r="E491" s="130" t="e">
        <f>_xlfn.XLOOKUP(E475,CurrentPlans!B:B,CurrentPlans!AI:AI,"NA",0,1)</f>
        <v>#N/A</v>
      </c>
      <c r="F491" s="200"/>
      <c r="G491" s="200"/>
      <c r="H491" s="200"/>
      <c r="I491" s="130"/>
      <c r="J491" s="201"/>
      <c r="K491"/>
      <c r="L491" s="131" t="str">
        <f ca="1">_xlfn.XLOOKUP(L475,RenewalPlans!B:B,RenewalPlans!AL:AL,"NA",0,1)</f>
        <v>NA</v>
      </c>
      <c r="M491" s="200"/>
      <c r="N491" s="200"/>
      <c r="O491" s="200"/>
      <c r="P491" s="130"/>
      <c r="Q491" s="200"/>
      <c r="R491" s="201"/>
      <c r="T491" s="131" t="str">
        <f>_xlfn.XLOOKUP(T475,RenewalPlans!B:B,RenewalPlans!AL:AL,"NA",0,1)</f>
        <v>NA</v>
      </c>
      <c r="U491" s="200"/>
      <c r="V491" s="200"/>
      <c r="W491" s="200"/>
      <c r="X491" s="130"/>
      <c r="Y491" s="200"/>
      <c r="Z491" s="201"/>
    </row>
    <row r="492" spans="1:26" ht="18" customHeight="1" hidden="1">
      <c r="A492" s="140"/>
      <c r="B492" s="140"/>
      <c r="D492" s="198" t="s">
        <v>264</v>
      </c>
      <c r="E492" s="208" t="e">
        <f>_xlfn.XLOOKUP(E475,CurrentPlans!B:B,CurrentPlans!AN:AN,"NA",0,1)</f>
        <v>#N/A</v>
      </c>
      <c r="F492" s="200"/>
      <c r="G492" s="200"/>
      <c r="H492" s="200"/>
      <c r="I492" s="208"/>
      <c r="J492" s="201"/>
      <c r="K492"/>
      <c r="L492" s="209" t="str">
        <f ca="1">_xlfn.XLOOKUP(L475,RenewalPlans!B:B,RenewalPlans!AQ:AQ,"NA",0,1)</f>
        <v>NA</v>
      </c>
      <c r="M492" s="200"/>
      <c r="N492" s="200"/>
      <c r="O492" s="200"/>
      <c r="P492" s="208"/>
      <c r="Q492" s="200"/>
      <c r="R492" s="201"/>
      <c r="T492" s="209" t="str">
        <f>_xlfn.XLOOKUP(T475,RenewalPlans!B:B,RenewalPlans!AQ:AQ,"NA",0,1)</f>
        <v>NA</v>
      </c>
      <c r="U492" s="200"/>
      <c r="V492" s="200"/>
      <c r="W492" s="200"/>
      <c r="X492" s="208"/>
      <c r="Y492" s="200"/>
      <c r="Z492" s="201"/>
    </row>
    <row r="493" spans="1:26" ht="18" customHeight="1" hidden="1">
      <c r="A493" s="140"/>
      <c r="B493" s="140"/>
      <c r="D493" s="210"/>
      <c r="E493" s="211"/>
      <c r="F493" s="211"/>
      <c r="G493" s="211"/>
      <c r="H493" s="211"/>
      <c r="I493" s="211"/>
      <c r="J493" s="212"/>
      <c r="K493"/>
      <c r="L493" s="210"/>
      <c r="M493" s="211"/>
      <c r="N493" s="211"/>
      <c r="O493" s="211"/>
      <c r="P493" s="211"/>
      <c r="Q493" s="211"/>
      <c r="R493" s="212"/>
      <c r="T493" s="210"/>
      <c r="U493" s="211"/>
      <c r="V493" s="211"/>
      <c r="W493" s="211"/>
      <c r="X493" s="211"/>
      <c r="Y493" s="211"/>
      <c r="Z493" s="212"/>
    </row>
    <row r="494" spans="1:26" ht="18" customHeight="1" hidden="1">
      <c r="A494" s="140"/>
      <c r="B494" s="140"/>
      <c r="D494" s="185" t="s">
        <v>265</v>
      </c>
      <c r="E494" s="186"/>
      <c r="F494" s="186"/>
      <c r="G494" s="186"/>
      <c r="H494" s="186"/>
      <c r="I494" s="186"/>
      <c r="J494" s="187"/>
      <c r="K494"/>
      <c r="L494" s="188"/>
      <c r="M494" s="186"/>
      <c r="N494" s="186"/>
      <c r="O494" s="186"/>
      <c r="P494" s="186"/>
      <c r="Q494" s="186"/>
      <c r="R494" s="187"/>
      <c r="T494" s="188"/>
      <c r="U494" s="186"/>
      <c r="V494" s="186"/>
      <c r="W494" s="186"/>
      <c r="X494" s="186"/>
      <c r="Y494" s="186"/>
      <c r="Z494" s="187"/>
    </row>
    <row r="495" spans="1:26" ht="18" customHeight="1" hidden="1">
      <c r="A495" s="140"/>
      <c r="B495" s="140"/>
      <c r="D495" s="132" t="s">
        <v>266</v>
      </c>
      <c r="E495" s="133" t="e">
        <f>_xlfn.XLOOKUP(E475,CurrentPlans!B:B,CurrentPlans!AE:AE,"NA",0,1)</f>
        <v>#N/A</v>
      </c>
      <c r="F495" s="134"/>
      <c r="G495" s="134"/>
      <c r="H495" s="134"/>
      <c r="I495" s="133"/>
      <c r="J495" s="135"/>
      <c r="K495"/>
      <c r="L495" s="136" t="str">
        <f ca="1">_xlfn.XLOOKUP(L475,RenewalPlans!B:B,RenewalPlans!AH:AH,"NA",0,1)</f>
        <v>NA</v>
      </c>
      <c r="M495" s="134"/>
      <c r="N495" s="134"/>
      <c r="O495" s="134"/>
      <c r="P495" s="133"/>
      <c r="Q495" s="134"/>
      <c r="R495" s="135"/>
      <c r="T495" s="136" t="str">
        <f>_xlfn.XLOOKUP(T475,RenewalPlans!B:B,RenewalPlans!AH:AH,"NA",0,1)</f>
        <v>NA</v>
      </c>
      <c r="U495" s="134"/>
      <c r="V495" s="134"/>
      <c r="W495" s="134"/>
      <c r="X495" s="133"/>
      <c r="Y495" s="134"/>
      <c r="Z495" s="135"/>
    </row>
    <row r="496" spans="1:26" ht="18" customHeight="1" hidden="1">
      <c r="A496" s="140"/>
      <c r="B496" s="140"/>
      <c r="D496" s="120" t="s">
        <v>267</v>
      </c>
      <c r="E496" s="130" t="e">
        <f>_xlfn.XLOOKUP(E475,CurrentPlans!B:B,CurrentPlans!AF:AF,"NA",0,1)</f>
        <v>#N/A</v>
      </c>
      <c r="F496" s="122"/>
      <c r="G496" s="122"/>
      <c r="H496" s="122"/>
      <c r="I496" s="130"/>
      <c r="J496" s="123"/>
      <c r="K496"/>
      <c r="L496" s="131" t="str">
        <f ca="1">_xlfn.XLOOKUP(L475,RenewalPlans!B:B,RenewalPlans!AI:AI,"NA",0,1)</f>
        <v>NA</v>
      </c>
      <c r="M496" s="122"/>
      <c r="N496" s="122"/>
      <c r="O496" s="122"/>
      <c r="P496" s="130"/>
      <c r="Q496" s="122"/>
      <c r="R496" s="123"/>
      <c r="T496" s="131" t="str">
        <f>_xlfn.XLOOKUP(T475,RenewalPlans!B:B,RenewalPlans!AI:AI,"NA",0,1)</f>
        <v>NA</v>
      </c>
      <c r="U496" s="122"/>
      <c r="V496" s="122"/>
      <c r="W496" s="122"/>
      <c r="X496" s="130"/>
      <c r="Y496" s="122"/>
      <c r="Z496" s="123"/>
    </row>
    <row r="497" spans="1:26" ht="18" customHeight="1" hidden="1">
      <c r="A497" s="140"/>
      <c r="B497" s="140"/>
      <c r="D497" s="198" t="s">
        <v>268</v>
      </c>
      <c r="E497" s="130" t="e">
        <f>_xlfn.XLOOKUP(E475,CurrentPlans!B:B,CurrentPlans!AH:AH,"NA",0,1)</f>
        <v>#N/A</v>
      </c>
      <c r="F497" s="200"/>
      <c r="G497" s="200"/>
      <c r="H497" s="200"/>
      <c r="I497" s="130"/>
      <c r="J497" s="201"/>
      <c r="K497"/>
      <c r="L497" s="131" t="str">
        <f ca="1">_xlfn.XLOOKUP(L475,RenewalPlans!B:B,RenewalPlans!AK:AK,"NA",0,1)</f>
        <v>NA</v>
      </c>
      <c r="M497" s="200"/>
      <c r="N497" s="200"/>
      <c r="O497" s="200"/>
      <c r="P497" s="130"/>
      <c r="Q497" s="200"/>
      <c r="R497" s="201"/>
      <c r="T497" s="131" t="str">
        <f>_xlfn.XLOOKUP(T475,RenewalPlans!B:B,RenewalPlans!AK:AK,"NA",0,1)</f>
        <v>NA</v>
      </c>
      <c r="U497" s="200"/>
      <c r="V497" s="200"/>
      <c r="W497" s="200"/>
      <c r="X497" s="130"/>
      <c r="Y497" s="200"/>
      <c r="Z497" s="201"/>
    </row>
    <row r="498" spans="1:26" ht="18" customHeight="1" hidden="1">
      <c r="A498" s="140"/>
      <c r="B498" s="140"/>
      <c r="D498" s="198" t="s">
        <v>269</v>
      </c>
      <c r="E498" s="130" t="e">
        <f>_xlfn.XLOOKUP(E475,CurrentPlans!B:B,CurrentPlans!AG:AG,"NA",0,1)</f>
        <v>#N/A</v>
      </c>
      <c r="F498" s="200"/>
      <c r="G498" s="200"/>
      <c r="H498" s="200"/>
      <c r="I498" s="130"/>
      <c r="J498" s="201"/>
      <c r="K498"/>
      <c r="L498" s="131" t="str">
        <f ca="1">_xlfn.XLOOKUP(L475,RenewalPlans!B:B,RenewalPlans!AJ:AJ,"NA",0,1)</f>
        <v>NA</v>
      </c>
      <c r="M498" s="200"/>
      <c r="N498" s="200"/>
      <c r="O498" s="200"/>
      <c r="P498" s="130"/>
      <c r="Q498" s="200"/>
      <c r="R498" s="201"/>
      <c r="T498" s="131" t="str">
        <f>_xlfn.XLOOKUP(T475,RenewalPlans!B:B,RenewalPlans!AJ:AJ,"NA",0,1)</f>
        <v>NA</v>
      </c>
      <c r="U498" s="200"/>
      <c r="V498" s="200"/>
      <c r="W498" s="200"/>
      <c r="X498" s="130"/>
      <c r="Y498" s="200"/>
      <c r="Z498" s="201"/>
    </row>
    <row r="499" spans="1:26" ht="18" customHeight="1" hidden="1">
      <c r="A499" s="140"/>
      <c r="B499" s="140"/>
      <c r="D499" s="213" t="s">
        <v>270</v>
      </c>
      <c r="E499" s="216" t="e">
        <f>_xlfn.XLOOKUP(E475,CurrentPlans!B:B,CurrentPlans!AU:AU,"NA",0,1)</f>
        <v>#N/A</v>
      </c>
      <c r="F499" s="214"/>
      <c r="G499" s="214"/>
      <c r="H499" s="214"/>
      <c r="I499" s="217"/>
      <c r="J499" s="215"/>
      <c r="K499"/>
      <c r="L499" s="218" t="str">
        <f ca="1">_xlfn.XLOOKUP(L475,RenewalPlans!B:B,RenewalPlans!AX:AX,"NA",0,1)</f>
        <v>NA</v>
      </c>
      <c r="M499" s="214"/>
      <c r="N499" s="214"/>
      <c r="O499" s="214"/>
      <c r="P499" s="217"/>
      <c r="Q499" s="214"/>
      <c r="R499" s="215"/>
      <c r="T499" s="218" t="str">
        <f>_xlfn.XLOOKUP(T475,RenewalPlans!B:B,RenewalPlans!AX:AX,"NA",0,1)</f>
        <v>NA</v>
      </c>
      <c r="U499" s="214"/>
      <c r="V499" s="214"/>
      <c r="W499" s="214"/>
      <c r="X499" s="217"/>
      <c r="Y499" s="214"/>
      <c r="Z499" s="215"/>
    </row>
    <row r="500" spans="1:26" ht="18" customHeight="1" hidden="1">
      <c r="A500" s="140"/>
      <c r="B500" s="140"/>
      <c r="D500" s="213" t="s">
        <v>271</v>
      </c>
      <c r="E500" s="216" t="e">
        <f>_xlfn.XLOOKUP(E475,CurrentPlans!B:B,CurrentPlans!AT:AT,"NA",0,1)</f>
        <v>#N/A</v>
      </c>
      <c r="F500" s="214"/>
      <c r="G500" s="214"/>
      <c r="H500" s="214"/>
      <c r="I500" s="217"/>
      <c r="J500" s="215"/>
      <c r="K500"/>
      <c r="L500" s="218" t="str">
        <f ca="1">_xlfn.XLOOKUP(L475,RenewalPlans!B:B,RenewalPlans!AW:AW,"NA",0,1)</f>
        <v>NA</v>
      </c>
      <c r="M500" s="214"/>
      <c r="N500" s="214"/>
      <c r="O500" s="214"/>
      <c r="P500" s="217"/>
      <c r="Q500" s="214"/>
      <c r="R500" s="215"/>
      <c r="T500" s="218" t="str">
        <f>_xlfn.XLOOKUP(T475,RenewalPlans!B:B,RenewalPlans!AW:AW,"NA",0,1)</f>
        <v>NA</v>
      </c>
      <c r="U500" s="214"/>
      <c r="V500" s="214"/>
      <c r="W500" s="214"/>
      <c r="X500" s="217"/>
      <c r="Y500" s="214"/>
      <c r="Z500" s="215"/>
    </row>
    <row r="501" spans="1:26" ht="18" customHeight="1" hidden="1">
      <c r="A501" s="140"/>
      <c r="B501" s="140"/>
      <c r="D501" s="198" t="s">
        <v>272</v>
      </c>
      <c r="E501" s="130" t="e">
        <f>_xlfn.XLOOKUP(E475,CurrentPlans!B:B,CurrentPlans!AD:AD,"NA",0,1)</f>
        <v>#N/A</v>
      </c>
      <c r="F501" s="200"/>
      <c r="G501" s="200"/>
      <c r="H501" s="200"/>
      <c r="I501" s="130"/>
      <c r="J501" s="201"/>
      <c r="K501"/>
      <c r="L501" s="131" t="str">
        <f ca="1">_xlfn.XLOOKUP(L475,RenewalPlans!B:B,RenewalPlans!AG:AG,"NA",0,1)</f>
        <v>NA</v>
      </c>
      <c r="M501" s="200"/>
      <c r="N501" s="200"/>
      <c r="O501" s="200"/>
      <c r="P501" s="130"/>
      <c r="Q501" s="200"/>
      <c r="R501" s="201"/>
      <c r="T501" s="131" t="str">
        <f>_xlfn.XLOOKUP(T475,RenewalPlans!B:B,RenewalPlans!AG:AG,"NA",0,1)</f>
        <v>NA</v>
      </c>
      <c r="U501" s="200"/>
      <c r="V501" s="200"/>
      <c r="W501" s="200"/>
      <c r="X501" s="130"/>
      <c r="Y501" s="200"/>
      <c r="Z501" s="201"/>
    </row>
    <row r="502" spans="1:26" ht="18" customHeight="1" hidden="1">
      <c r="A502" s="140"/>
      <c r="B502" s="140"/>
      <c r="D502" s="198" t="s">
        <v>273</v>
      </c>
      <c r="E502" s="200"/>
      <c r="F502" s="200"/>
      <c r="G502" s="200"/>
      <c r="H502" s="200"/>
      <c r="I502" s="200"/>
      <c r="J502" s="201"/>
      <c r="K502"/>
      <c r="L502" s="198"/>
      <c r="M502" s="200"/>
      <c r="N502" s="200"/>
      <c r="O502" s="200"/>
      <c r="P502" s="200"/>
      <c r="Q502" s="200"/>
      <c r="R502" s="201"/>
      <c r="T502" s="198"/>
      <c r="U502" s="200"/>
      <c r="V502" s="200"/>
      <c r="W502" s="200"/>
      <c r="X502" s="200"/>
      <c r="Y502" s="200"/>
      <c r="Z502" s="201"/>
    </row>
    <row r="503" spans="1:26" ht="18" customHeight="1" hidden="1">
      <c r="A503" s="140"/>
      <c r="B503" s="140"/>
      <c r="D503" s="210"/>
      <c r="E503" s="211"/>
      <c r="F503" s="211"/>
      <c r="G503" s="211"/>
      <c r="H503" s="211"/>
      <c r="I503" s="211"/>
      <c r="J503" s="212"/>
      <c r="K503"/>
      <c r="L503" s="210"/>
      <c r="M503" s="211"/>
      <c r="N503" s="211"/>
      <c r="O503" s="211"/>
      <c r="P503" s="211"/>
      <c r="Q503" s="211"/>
      <c r="R503" s="212"/>
      <c r="T503" s="210"/>
      <c r="U503" s="211"/>
      <c r="V503" s="211"/>
      <c r="W503" s="211"/>
      <c r="X503" s="211"/>
      <c r="Y503" s="211"/>
      <c r="Z503" s="212"/>
    </row>
    <row r="504" spans="1:26" ht="18" customHeight="1" hidden="1">
      <c r="A504" s="140"/>
      <c r="B504" s="140"/>
      <c r="D504" s="219" t="s">
        <v>274</v>
      </c>
      <c r="E504" s="220"/>
      <c r="F504" s="220"/>
      <c r="G504" s="220"/>
      <c r="H504" s="220"/>
      <c r="I504" s="220"/>
      <c r="J504" s="221"/>
      <c r="K504"/>
      <c r="L504" s="222"/>
      <c r="M504" s="220"/>
      <c r="N504" s="220"/>
      <c r="O504" s="220"/>
      <c r="P504" s="220"/>
      <c r="Q504" s="220"/>
      <c r="R504" s="221"/>
      <c r="T504" s="222"/>
      <c r="U504" s="220"/>
      <c r="V504" s="220"/>
      <c r="W504" s="220"/>
      <c r="X504" s="220"/>
      <c r="Y504" s="220"/>
      <c r="Z504" s="221"/>
    </row>
    <row r="505" spans="1:26" ht="18" customHeight="1" hidden="1">
      <c r="A505" s="140"/>
      <c r="B505" s="140"/>
      <c r="D505" s="223" t="s">
        <v>250</v>
      </c>
      <c r="E505" s="205"/>
      <c r="F505" s="205"/>
      <c r="G505" s="205"/>
      <c r="H505" s="205"/>
      <c r="I505" s="205"/>
      <c r="J505" s="206"/>
      <c r="K505"/>
      <c r="L505" s="203"/>
      <c r="M505" s="205"/>
      <c r="N505" s="205"/>
      <c r="O505" s="205"/>
      <c r="P505" s="205"/>
      <c r="Q505" s="205"/>
      <c r="R505" s="206"/>
      <c r="T505" s="203"/>
      <c r="U505" s="205"/>
      <c r="V505" s="205"/>
      <c r="W505" s="205"/>
      <c r="X505" s="205"/>
      <c r="Y505" s="205"/>
      <c r="Z505" s="206"/>
    </row>
    <row r="506" spans="1:26" ht="18" customHeight="1" hidden="1">
      <c r="A506" s="140"/>
      <c r="B506" s="140"/>
      <c r="D506" s="198" t="s">
        <v>251</v>
      </c>
      <c r="E506" s="130" t="e">
        <f>_xlfn.XLOOKUP(E475,CurrentPlans!B:B,CurrentPlans!AP:AP,"NA",0,1)</f>
        <v>#N/A</v>
      </c>
      <c r="F506" s="200"/>
      <c r="G506" s="200"/>
      <c r="H506" s="200"/>
      <c r="I506" s="130"/>
      <c r="J506" s="201"/>
      <c r="K506"/>
      <c r="L506" s="131" t="str">
        <f ca="1">_xlfn.XLOOKUP(L475,RenewalPlans!B:B,RenewalPlans!AS:AS,"NA",0,1)</f>
        <v>NA</v>
      </c>
      <c r="M506" s="200"/>
      <c r="N506" s="200"/>
      <c r="O506" s="200"/>
      <c r="P506" s="130"/>
      <c r="Q506" s="200"/>
      <c r="R506" s="201"/>
      <c r="T506" s="131" t="str">
        <f>_xlfn.XLOOKUP(T475,RenewalPlans!B:B,RenewalPlans!AS:AS,"NA",0,1)</f>
        <v>NA</v>
      </c>
      <c r="U506" s="200"/>
      <c r="V506" s="200"/>
      <c r="W506" s="200"/>
      <c r="X506" s="130"/>
      <c r="Y506" s="200"/>
      <c r="Z506" s="201"/>
    </row>
    <row r="507" spans="1:26" ht="18" customHeight="1" hidden="1">
      <c r="A507" s="140"/>
      <c r="B507" s="140"/>
      <c r="D507" s="198" t="s">
        <v>252</v>
      </c>
      <c r="E507" s="130" t="e">
        <f>_xlfn.XLOOKUP(E475,CurrentPlans!B:B,CurrentPlans!AQ:AQ,"NA",0,1)</f>
        <v>#N/A</v>
      </c>
      <c r="F507" s="200"/>
      <c r="G507" s="200"/>
      <c r="H507" s="200"/>
      <c r="I507" s="130"/>
      <c r="J507" s="201"/>
      <c r="K507"/>
      <c r="L507" s="131" t="str">
        <f ca="1">_xlfn.XLOOKUP(L475,RenewalPlans!B:B,RenewalPlans!AT:AT,"NA",0,1)</f>
        <v>NA</v>
      </c>
      <c r="M507" s="200"/>
      <c r="N507" s="200"/>
      <c r="O507" s="200"/>
      <c r="P507" s="130"/>
      <c r="Q507" s="200"/>
      <c r="R507" s="201"/>
      <c r="T507" s="131" t="str">
        <f>_xlfn.XLOOKUP(T475,RenewalPlans!B:B,RenewalPlans!AT:AT,"NA",0,1)</f>
        <v>NA</v>
      </c>
      <c r="U507" s="200"/>
      <c r="V507" s="200"/>
      <c r="W507" s="200"/>
      <c r="X507" s="130"/>
      <c r="Y507" s="200"/>
      <c r="Z507" s="201"/>
    </row>
    <row r="508" spans="1:26" ht="18" customHeight="1" hidden="1">
      <c r="A508" s="140"/>
      <c r="B508" s="140"/>
      <c r="D508" s="120" t="s">
        <v>253</v>
      </c>
      <c r="E508" s="133" t="e">
        <f>_xlfn.XLOOKUP(E475,CurrentPlans!B:B,CurrentPlans!AO:AO,"NA",0,1)</f>
        <v>#N/A</v>
      </c>
      <c r="F508" s="122"/>
      <c r="G508" s="122"/>
      <c r="H508" s="122"/>
      <c r="I508" s="133"/>
      <c r="J508" s="123"/>
      <c r="K508"/>
      <c r="L508" s="136" t="str">
        <f ca="1">_xlfn.XLOOKUP(L475,RenewalPlans!B:B,RenewalPlans!AR:AR,"NA",0,1)</f>
        <v>NA</v>
      </c>
      <c r="M508" s="122"/>
      <c r="N508" s="122"/>
      <c r="O508" s="122"/>
      <c r="P508" s="133"/>
      <c r="Q508" s="122"/>
      <c r="R508" s="123"/>
      <c r="T508" s="136" t="str">
        <f>_xlfn.XLOOKUP(T475,RenewalPlans!B:B,RenewalPlans!AR:AR,"NA",0,1)</f>
        <v>NA</v>
      </c>
      <c r="U508" s="122"/>
      <c r="V508" s="122"/>
      <c r="W508" s="122"/>
      <c r="X508" s="133"/>
      <c r="Y508" s="122"/>
      <c r="Z508" s="123"/>
    </row>
    <row r="509" spans="1:26" ht="18" customHeight="1" hidden="1">
      <c r="A509" s="140"/>
      <c r="B509" s="140"/>
      <c r="D509" s="223" t="s">
        <v>254</v>
      </c>
      <c r="E509" s="205"/>
      <c r="F509" s="205"/>
      <c r="G509" s="205"/>
      <c r="H509" s="205"/>
      <c r="I509" s="205"/>
      <c r="J509" s="206"/>
      <c r="K509"/>
      <c r="L509" s="203"/>
      <c r="M509" s="205"/>
      <c r="N509" s="205"/>
      <c r="O509" s="205"/>
      <c r="P509" s="205"/>
      <c r="Q509" s="205"/>
      <c r="R509" s="206"/>
      <c r="T509" s="203"/>
      <c r="U509" s="205"/>
      <c r="V509" s="205"/>
      <c r="W509" s="205"/>
      <c r="X509" s="205"/>
      <c r="Y509" s="205"/>
      <c r="Z509" s="206"/>
    </row>
    <row r="510" spans="1:26" ht="18" customHeight="1" hidden="1">
      <c r="A510" s="140"/>
      <c r="B510" s="140"/>
      <c r="D510" s="198" t="s">
        <v>255</v>
      </c>
      <c r="E510" s="130" t="e">
        <f>_xlfn.XLOOKUP(E475,CurrentPlans!B:B,CurrentPlans!AR:AR,"NA",0,1)</f>
        <v>#N/A</v>
      </c>
      <c r="F510" s="200"/>
      <c r="G510" s="200"/>
      <c r="H510" s="200"/>
      <c r="I510" s="130"/>
      <c r="J510" s="201"/>
      <c r="K510"/>
      <c r="L510" s="131" t="str">
        <f ca="1">_xlfn.XLOOKUP(L475,RenewalPlans!B:B,RenewalPlans!AU:AU,"NA",0,1)</f>
        <v>NA</v>
      </c>
      <c r="M510" s="200"/>
      <c r="N510" s="200"/>
      <c r="O510" s="200"/>
      <c r="P510" s="130"/>
      <c r="Q510" s="200"/>
      <c r="R510" s="201"/>
      <c r="T510" s="131" t="str">
        <f>_xlfn.XLOOKUP(T475,RenewalPlans!B:B,RenewalPlans!AU:AU,"NA",0,1)</f>
        <v>NA</v>
      </c>
      <c r="U510" s="200"/>
      <c r="V510" s="200"/>
      <c r="W510" s="200"/>
      <c r="X510" s="130"/>
      <c r="Y510" s="200"/>
      <c r="Z510" s="201"/>
    </row>
    <row r="511" spans="1:26" ht="18" customHeight="1" hidden="1" thickBot="1">
      <c r="A511" s="140"/>
      <c r="B511" s="140"/>
      <c r="D511" s="224" t="s">
        <v>256</v>
      </c>
      <c r="E511" s="137" t="e">
        <f>_xlfn.XLOOKUP(E475,CurrentPlans!B:B,CurrentPlans!AS:AS,"NA",0,1)</f>
        <v>#N/A</v>
      </c>
      <c r="F511" s="225"/>
      <c r="G511" s="225"/>
      <c r="H511" s="225"/>
      <c r="I511" s="137"/>
      <c r="J511" s="226"/>
      <c r="K511"/>
      <c r="L511" s="138" t="str">
        <f ca="1">_xlfn.XLOOKUP(L475,RenewalPlans!B:B,RenewalPlans!AV:AV,"NA",0,1)</f>
        <v>NA</v>
      </c>
      <c r="M511" s="225"/>
      <c r="N511" s="225"/>
      <c r="O511" s="225"/>
      <c r="P511" s="137"/>
      <c r="Q511" s="225"/>
      <c r="R511" s="226"/>
      <c r="T511" s="138" t="str">
        <f>_xlfn.XLOOKUP(T475,RenewalPlans!B:B,RenewalPlans!AV:AV,"NA",0,1)</f>
        <v>NA</v>
      </c>
      <c r="U511" s="225"/>
      <c r="V511" s="225"/>
      <c r="W511" s="225"/>
      <c r="X511" s="137"/>
      <c r="Y511" s="225"/>
      <c r="Z511" s="226"/>
    </row>
    <row r="512" spans="1:26" ht="18" customHeight="1">
      <c r="A512" s="140"/>
      <c r="B512" s="140"/>
      <c r="D512" s="227"/>
      <c r="E512" s="176"/>
      <c r="F512" s="178"/>
      <c r="G512" s="179"/>
      <c r="H512" s="178"/>
      <c r="I512" s="176"/>
      <c r="J512" s="228"/>
      <c r="K512"/>
      <c r="L512" s="178"/>
      <c r="M512" s="176"/>
      <c r="N512" s="139"/>
      <c r="O512" s="178"/>
      <c r="P512" s="178"/>
      <c r="Q512" s="178"/>
      <c r="R512" s="228"/>
      <c r="T512" s="178"/>
      <c r="U512" s="176"/>
      <c r="V512" s="139"/>
      <c r="W512" s="178"/>
      <c r="X512" s="178"/>
      <c r="Y512" s="178"/>
      <c r="Z512" s="228"/>
    </row>
    <row r="513" spans="1:26" ht="5.25" customHeight="1" thickBot="1">
      <c r="A513" s="140"/>
      <c r="B513" s="140"/>
      <c r="D513" s="229"/>
      <c r="E513" s="229"/>
      <c r="F513" s="230"/>
      <c r="G513" s="231"/>
      <c r="H513" s="232"/>
      <c r="I513" s="233"/>
      <c r="J513" s="233"/>
      <c r="K513"/>
      <c r="L513" s="233"/>
      <c r="M513" s="233"/>
      <c r="N513" s="233"/>
      <c r="O513" s="233"/>
      <c r="P513" s="233"/>
      <c r="Q513" s="233"/>
      <c r="R513" s="233"/>
      <c r="T513" s="233"/>
      <c r="U513" s="233"/>
      <c r="V513" s="233"/>
      <c r="W513" s="233"/>
      <c r="X513" s="233"/>
      <c r="Y513" s="233"/>
      <c r="Z513" s="233"/>
    </row>
    <row r="514" spans="1:26" ht="50.15" customHeight="1">
      <c r="A514" s="140"/>
      <c r="B514" s="140"/>
      <c r="C514" s="164" t="s">
        <v>284</v>
      </c>
      <c r="D514" s="275" t="s">
        <v>285</v>
      </c>
      <c r="E514" s="165"/>
      <c r="F514" s="321"/>
      <c r="G514" s="166"/>
      <c r="H514" s="167"/>
      <c r="I514" s="168"/>
      <c r="J514" s="169"/>
      <c r="K514"/>
      <c r="L514" s="274" t="s">
        <v>38</v>
      </c>
      <c r="M514" s="170"/>
      <c r="N514" s="274" t="s">
        <v>328</v>
      </c>
      <c r="O514" s="171"/>
      <c r="P514" s="171"/>
      <c r="Q514" s="171"/>
      <c r="R514" s="169"/>
      <c r="T514" s="274" t="s">
        <v>38</v>
      </c>
      <c r="U514" s="170"/>
      <c r="V514" s="274" t="s">
        <v>328</v>
      </c>
      <c r="W514" s="171"/>
      <c r="X514" s="171"/>
      <c r="Y514" s="171"/>
      <c r="Z514" s="169"/>
    </row>
    <row r="515" spans="1:26" ht="18.75" customHeight="1">
      <c r="A515" s="140"/>
      <c r="B515" s="140"/>
      <c r="D515" s="172" t="s">
        <v>238</v>
      </c>
      <c r="E515" s="407"/>
      <c r="F515" s="449"/>
      <c r="G515" s="470"/>
      <c r="H515" s="449"/>
      <c r="I515" s="450"/>
      <c r="J515" s="410"/>
      <c r="K515" s="411"/>
      <c r="L515" s="408" t="str" cm="1">
        <f t="array" ca="1" aca="1" ref="L515">_xlfn.IFNA(VLOOKUP(INDIRECT("L"&amp;ROW()-1)&amp;"_"&amp;$D$12,BEGIN_RENEW_HEALTH:END_RENEW_HEALTH,RENEW_COL_EO,FALSE),"")</f>
        <v/>
      </c>
      <c r="M515" s="412" t="str">
        <f>IF(E515="","",E515)</f>
        <v/>
      </c>
      <c r="N515" s="413"/>
      <c r="O515" s="414"/>
      <c r="P515" s="415" t="str">
        <f>IFERROR(IF($N514="Keep Contribution Same",H515,IF($N514="Enter Percentages",IF(N515="","",N515*L515),IF($N514="Keep Percentage Same",IF(G515="","",G515*L515),IF($N514="Enter Dollar Amount",IF(O515="","",O515),"")))),"")</f>
        <v/>
      </c>
      <c r="Q515" s="408" t="str">
        <f ca="1">IFERROR(L515-P515,"")</f>
        <v/>
      </c>
      <c r="R515" s="410" t="str">
        <f>IFERROR(IF(P515="","",M515*P515),"")</f>
        <v/>
      </c>
      <c r="S515" s="411"/>
      <c r="T515" s="408" t="str" cm="1">
        <f t="array" ca="1" aca="1" ref="T515">_xlfn.IFNA(VLOOKUP(INDIRECT("T"&amp;ROW()-1)&amp;"_"&amp;$D$12,BEGIN_RENEW_HEALTH:END_RENEW_HEALTH,RENEW_COL_EO,FALSE),"")</f>
        <v/>
      </c>
      <c r="U515" s="412" t="str">
        <f>IF(E515="","",E515)</f>
        <v/>
      </c>
      <c r="V515" s="413"/>
      <c r="W515" s="414"/>
      <c r="X515" s="415" t="str">
        <f>IFERROR(IF($V514="Keep Contribution Same",H515,IF($V514="Enter Percentages",IF(V515="","",V515*T515),IF($V514="Keep Percentage Same",IF(G515="","",G515*T515),IF($V514="Enter Dollar Amount",IF(W515="","",W515),"")))),"")</f>
        <v/>
      </c>
      <c r="Y515" s="408" t="str">
        <f ca="1">IFERROR(T515-X515,"")</f>
        <v/>
      </c>
      <c r="Z515" s="410" t="str">
        <f>IFERROR(IF(X515="","",U515*X515),"")</f>
        <v/>
      </c>
    </row>
    <row r="516" spans="1:26" ht="18.75" customHeight="1">
      <c r="A516" s="140"/>
      <c r="B516" s="140"/>
      <c r="D516" s="172" t="s">
        <v>239</v>
      </c>
      <c r="E516" s="407"/>
      <c r="F516" s="449"/>
      <c r="G516" s="470"/>
      <c r="H516" s="449"/>
      <c r="I516" s="450"/>
      <c r="J516" s="410"/>
      <c r="K516" s="411"/>
      <c r="L516" s="408" t="str" cm="1">
        <f t="array" ca="1" aca="1" ref="L516">_xlfn.IFNA(VLOOKUP(INDIRECT("L"&amp;ROW()-2)&amp;"_"&amp;$D$12,BEGIN_RENEW_HEALTH:END_RENEW_HEALTH,RENEW_COL_ES,FALSE),"")</f>
        <v/>
      </c>
      <c r="M516" s="412" t="str">
        <f>IF(E516="","",E516)</f>
        <v/>
      </c>
      <c r="N516" s="413"/>
      <c r="O516" s="414"/>
      <c r="P516" s="415" t="str">
        <f>IFERROR(IF($N514="Keep Contribution Same",H516,IF($N514="Enter Percentages",IF(N516="","",N516*L516),IF($N514="Keep Percentage Same",IF(G516="","",G516*L516),IF($N514="Enter Dollar Amount",IF(O516="","",O516),"")))),"")</f>
        <v/>
      </c>
      <c r="Q516" s="408" t="str">
        <f ca="1" t="shared" si="50" ref="Q516:Q518">IFERROR(L516-P516,"")</f>
        <v/>
      </c>
      <c r="R516" s="410" t="str">
        <f>IFERROR(IF(P516="","",M516*P516),"")</f>
        <v/>
      </c>
      <c r="S516" s="411"/>
      <c r="T516" s="408" t="str" cm="1">
        <f t="array" ca="1" aca="1" ref="T516">_xlfn.IFNA(VLOOKUP(INDIRECT("T"&amp;ROW()-2)&amp;"_"&amp;$D$12,BEGIN_RENEW_HEALTH:END_RENEW_HEALTH,RENEW_COL_ES,FALSE),"")</f>
        <v/>
      </c>
      <c r="U516" s="412" t="str">
        <f t="shared" si="51" ref="U516:U518">IF(E516="","",E516)</f>
        <v/>
      </c>
      <c r="V516" s="413"/>
      <c r="W516" s="414"/>
      <c r="X516" s="415" t="str">
        <f>IFERROR(IF($V514="Keep Contribution Same",H516,IF($V514="Enter Percentages",IF(V516="","",V516*T516),IF($V514="Keep Percentage Same",IF(G516="","",G516*T516),IF($V514="Enter Dollar Amount",IF(W516="","",W516),"")))),"")</f>
        <v/>
      </c>
      <c r="Y516" s="408" t="str">
        <f ca="1" t="shared" si="52" ref="Y516:Y518">IFERROR(T516-X516,"")</f>
        <v/>
      </c>
      <c r="Z516" s="410" t="str">
        <f t="shared" si="53" ref="Z516:Z518">IFERROR(IF(X516="","",U516*X516),"")</f>
        <v/>
      </c>
    </row>
    <row r="517" spans="1:26" ht="18.75" customHeight="1">
      <c r="A517" s="140"/>
      <c r="B517" s="140"/>
      <c r="D517" s="172" t="s">
        <v>240</v>
      </c>
      <c r="E517" s="407"/>
      <c r="F517" s="449"/>
      <c r="G517" s="470"/>
      <c r="H517" s="449"/>
      <c r="I517" s="450"/>
      <c r="J517" s="410"/>
      <c r="K517" s="411"/>
      <c r="L517" s="408" t="str" cm="1">
        <f t="array" ca="1" aca="1" ref="L517">_xlfn.IFNA(VLOOKUP(INDIRECT("L"&amp;ROW()-3)&amp;"_"&amp;$D$12,BEGIN_RENEW_HEALTH:END_RENEW_HEALTH,RENEW_COL_EC,FALSE),"")</f>
        <v/>
      </c>
      <c r="M517" s="412" t="str">
        <f>IF(E517="","",E517)</f>
        <v/>
      </c>
      <c r="N517" s="413"/>
      <c r="O517" s="414"/>
      <c r="P517" s="415" t="str">
        <f>IFERROR(IF($N514="Keep Contribution Same",H517,IF($N514="Enter Percentages",IF(N517="","",N517*L517),IF($N514="Keep Percentage Same",IF(G517="","",G517*L517),IF($N514="Enter Dollar Amount",IF(O517="","",O517),"")))),"")</f>
        <v/>
      </c>
      <c r="Q517" s="408" t="str">
        <f t="shared" ca="1" si="50"/>
        <v/>
      </c>
      <c r="R517" s="410" t="str">
        <f>IFERROR(IF(P517="","",M517*P517),"")</f>
        <v/>
      </c>
      <c r="S517" s="411"/>
      <c r="T517" s="408" t="str" cm="1">
        <f t="array" ca="1" aca="1" ref="T517">_xlfn.IFNA(VLOOKUP(INDIRECT("T"&amp;ROW()-3)&amp;"_"&amp;$D$12,BEGIN_RENEW_HEALTH:END_RENEW_HEALTH,RENEW_COL_EC,FALSE),"")</f>
        <v/>
      </c>
      <c r="U517" s="412" t="str">
        <f t="shared" si="51"/>
        <v/>
      </c>
      <c r="V517" s="413"/>
      <c r="W517" s="414"/>
      <c r="X517" s="415" t="str">
        <f>IFERROR(IF($V514="Keep Contribution Same",H517,IF($V514="Enter Percentages",IF(V517="","",V517*T517),IF($V514="Keep Percentage Same",IF(G517="","",G517*T517),IF($V514="Enter Dollar Amount",IF(W517="","",W517),"")))),"")</f>
        <v/>
      </c>
      <c r="Y517" s="408" t="str">
        <f t="shared" ca="1" si="52"/>
        <v/>
      </c>
      <c r="Z517" s="410" t="str">
        <f t="shared" si="53"/>
        <v/>
      </c>
    </row>
    <row r="518" spans="1:26" ht="18.75" customHeight="1" thickBot="1">
      <c r="A518" s="140"/>
      <c r="B518" s="140"/>
      <c r="D518" s="174" t="s">
        <v>241</v>
      </c>
      <c r="E518" s="416"/>
      <c r="F518" s="451"/>
      <c r="G518" s="471"/>
      <c r="H518" s="451"/>
      <c r="I518" s="452"/>
      <c r="J518" s="419"/>
      <c r="K518" s="411"/>
      <c r="L518" s="417" t="str" cm="1">
        <f t="array" ca="1" aca="1" ref="L518">_xlfn.IFNA(VLOOKUP(INDIRECT("L"&amp;ROW()-4)&amp;"_"&amp;$D$12,BEGIN_RENEW_HEALTH:END_RENEW_HEALTH,RENEW_COL_FAM,FALSE),"")</f>
        <v/>
      </c>
      <c r="M518" s="423" t="str">
        <f>IF(E518="","",E518)</f>
        <v/>
      </c>
      <c r="N518" s="420"/>
      <c r="O518" s="421"/>
      <c r="P518" s="422" t="str">
        <f>IFERROR(IF($N514="Keep Contribution Same",H518,IF($N514="Enter Percentages",IF(N518="","",N518*L518),IF($N514="Keep Percentage Same",IF(G518="","",G518*L518),IF($N514="Enter Dollar Amount",IF(O518="","",O518),"")))),"")</f>
        <v/>
      </c>
      <c r="Q518" s="417" t="str">
        <f t="shared" ca="1" si="50"/>
        <v/>
      </c>
      <c r="R518" s="419" t="str">
        <f>IFERROR(IF(P518="","",M518*P518),"")</f>
        <v/>
      </c>
      <c r="S518" s="411"/>
      <c r="T518" s="417" t="str" cm="1">
        <f t="array" ca="1" aca="1" ref="T518">_xlfn.IFNA(VLOOKUP(INDIRECT("T"&amp;ROW()-4)&amp;"_"&amp;$D$12,BEGIN_RENEW_HEALTH:END_RENEW_HEALTH,RENEW_COL_FAM,FALSE),"")</f>
        <v/>
      </c>
      <c r="U518" s="423" t="str">
        <f t="shared" si="51"/>
        <v/>
      </c>
      <c r="V518" s="420"/>
      <c r="W518" s="421"/>
      <c r="X518" s="422" t="str">
        <f>IFERROR(IF($V514="Keep Contribution Same",H518,IF($V514="Enter Percentages",IF(V518="","",V518*T518),IF($V514="Keep Percentage Same",IF(G518="","",G518*T518),IF($V514="Enter Dollar Amount",IF(W518="","",W518),"")))),"")</f>
        <v/>
      </c>
      <c r="Y518" s="417" t="str">
        <f t="shared" ca="1" si="52"/>
        <v/>
      </c>
      <c r="Z518" s="419" t="str">
        <f t="shared" si="53"/>
        <v/>
      </c>
    </row>
    <row r="519" spans="1:26" ht="18.75" customHeight="1" thickTop="1">
      <c r="A519" s="140"/>
      <c r="B519" s="140"/>
      <c r="D519" s="175" t="s">
        <v>329</v>
      </c>
      <c r="E519" s="424"/>
      <c r="F519" s="447">
        <f>IFERROR((F515*E515)+(F516*E516)+(F517*E517)+(F518*E518),"")</f>
        <v>0</v>
      </c>
      <c r="G519" s="426"/>
      <c r="H519" s="427"/>
      <c r="I519" s="428"/>
      <c r="J519" s="429" t="str">
        <f>IFERROR(IF(J515="","",SUM(J515:J518)),0)</f>
        <v/>
      </c>
      <c r="K519" s="1"/>
      <c r="L519" s="430" t="str">
        <f ca="1">IFERROR((M515*L515)+(M516*L516)+(M517*L517)+(M518*L518),"")</f>
        <v/>
      </c>
      <c r="M519" s="427"/>
      <c r="N519" s="426"/>
      <c r="O519" s="427"/>
      <c r="P519" s="431"/>
      <c r="Q519" s="432"/>
      <c r="R519" s="429" t="str">
        <f>IFERROR(IF(R515="","",SUM(R515:R518)),0)</f>
        <v/>
      </c>
      <c r="T519" s="430" t="str">
        <f ca="1">IFERROR((U515*T515)+(U516*T516)+(U517*T517)+(U518*T518),"")</f>
        <v/>
      </c>
      <c r="U519" s="427"/>
      <c r="V519" s="426"/>
      <c r="W519" s="427"/>
      <c r="X519" s="431"/>
      <c r="Y519" s="432"/>
      <c r="Z519" s="429" t="str">
        <f>IFERROR(IF(Z515="","",SUM(Z515:Z518)),0)</f>
        <v/>
      </c>
    </row>
    <row r="520" spans="1:26" ht="18.75" customHeight="1">
      <c r="A520" s="140"/>
      <c r="B520" s="140"/>
      <c r="D520" s="177" t="s">
        <v>243</v>
      </c>
      <c r="E520" s="433"/>
      <c r="F520" s="448">
        <f>IFERROR(F519*12,"")</f>
        <v>0</v>
      </c>
      <c r="G520" s="435"/>
      <c r="H520" s="436"/>
      <c r="I520" s="432"/>
      <c r="J520" s="437" t="str">
        <f>IF(J519="","",J519*12)</f>
        <v/>
      </c>
      <c r="K520" s="1"/>
      <c r="L520" s="438" t="str">
        <f ca="1">IFERROR(L519*12,"")</f>
        <v/>
      </c>
      <c r="M520" s="436"/>
      <c r="N520" s="435"/>
      <c r="O520" s="436"/>
      <c r="P520" s="432"/>
      <c r="Q520" s="432"/>
      <c r="R520" s="437" t="str">
        <f>IF(R519="","",R519*12)</f>
        <v/>
      </c>
      <c r="T520" s="438" t="str">
        <f ca="1">IFERROR(T519*12,"")</f>
        <v/>
      </c>
      <c r="U520" s="436"/>
      <c r="V520" s="435"/>
      <c r="W520" s="436"/>
      <c r="X520" s="432"/>
      <c r="Y520" s="432"/>
      <c r="Z520" s="437" t="str">
        <f>IF(Z519="","",Z519*12)</f>
        <v/>
      </c>
    </row>
    <row r="521" spans="1:26" ht="18" customHeight="1">
      <c r="A521" s="140"/>
      <c r="B521" s="140"/>
      <c r="D521" s="177" t="s">
        <v>244</v>
      </c>
      <c r="E521" s="433"/>
      <c r="F521" s="436"/>
      <c r="G521" s="435"/>
      <c r="H521" s="436"/>
      <c r="I521" s="432"/>
      <c r="J521" s="437" t="str">
        <f>IFERROR(IF(J520="","",R520-J520),0)</f>
        <v/>
      </c>
      <c r="K521" s="1"/>
      <c r="L521" s="434" t="str">
        <f ca="1">IFERROR(L520-F520,"")</f>
        <v/>
      </c>
      <c r="M521" s="436"/>
      <c r="N521" s="435"/>
      <c r="O521" s="436"/>
      <c r="P521" s="432"/>
      <c r="Q521" s="432"/>
      <c r="R521" s="437" t="str">
        <f>IFERROR(IF(J520="","",R520-J520),0)</f>
        <v/>
      </c>
      <c r="T521" s="434" t="str">
        <f ca="1">IFERROR(T520-F520,"")</f>
        <v/>
      </c>
      <c r="U521" s="436"/>
      <c r="V521" s="435"/>
      <c r="W521" s="436"/>
      <c r="X521" s="432"/>
      <c r="Y521" s="432"/>
      <c r="Z521" s="437" t="str">
        <f>IFERROR(IF(R520="","",Z520-R520),0)</f>
        <v/>
      </c>
    </row>
    <row r="522" spans="1:26" ht="18" customHeight="1" thickBot="1">
      <c r="A522" s="140"/>
      <c r="B522" s="140"/>
      <c r="D522" s="180" t="s">
        <v>245</v>
      </c>
      <c r="E522" s="439"/>
      <c r="F522" s="440"/>
      <c r="G522" s="441"/>
      <c r="H522" s="440"/>
      <c r="I522" s="442"/>
      <c r="J522" s="437" t="str">
        <f>IFERROR(IF(J520="","",(R520/J520)-1),0)</f>
        <v/>
      </c>
      <c r="K522" s="1"/>
      <c r="L522" s="444" t="str">
        <f ca="1">IFERROR(L520/F520-1,"")</f>
        <v/>
      </c>
      <c r="M522" s="440"/>
      <c r="N522" s="441"/>
      <c r="O522" s="440"/>
      <c r="P522" s="445"/>
      <c r="Q522" s="445"/>
      <c r="R522" s="446" t="str">
        <f>IFERROR(IF(J520="","",(R520/J520)-1),0)</f>
        <v/>
      </c>
      <c r="T522" s="444" t="str">
        <f ca="1">IFERROR(T520/F520-1,"")</f>
        <v/>
      </c>
      <c r="U522" s="440"/>
      <c r="V522" s="441"/>
      <c r="W522" s="440"/>
      <c r="X522" s="445"/>
      <c r="Y522" s="445"/>
      <c r="Z522" s="446" t="str">
        <f>IFERROR(IF(R520="","",(Z520/R520)-1),0)</f>
        <v/>
      </c>
    </row>
    <row r="523" spans="1:26" ht="18" customHeight="1">
      <c r="A523" s="140"/>
      <c r="B523" s="140"/>
      <c r="D523" s="181" t="s">
        <v>246</v>
      </c>
      <c r="E523" s="182"/>
      <c r="F523" s="182"/>
      <c r="G523" s="182"/>
      <c r="H523" s="182"/>
      <c r="I523" s="182"/>
      <c r="J523" s="183"/>
      <c r="K523"/>
      <c r="L523" s="184"/>
      <c r="M523" s="182"/>
      <c r="N523" s="182"/>
      <c r="O523" s="182"/>
      <c r="P523" s="182"/>
      <c r="Q523" s="182"/>
      <c r="R523" s="183"/>
      <c r="T523" s="184"/>
      <c r="U523" s="182"/>
      <c r="V523" s="182"/>
      <c r="W523" s="182"/>
      <c r="X523" s="182"/>
      <c r="Y523" s="182"/>
      <c r="Z523" s="183"/>
    </row>
    <row r="524" spans="1:26" ht="18" customHeight="1" hidden="1">
      <c r="A524" s="140"/>
      <c r="B524" s="140"/>
      <c r="D524" s="185" t="s">
        <v>247</v>
      </c>
      <c r="E524" s="186"/>
      <c r="F524" s="186"/>
      <c r="G524" s="186"/>
      <c r="H524" s="186"/>
      <c r="I524" s="186"/>
      <c r="J524" s="187"/>
      <c r="K524"/>
      <c r="L524" s="188"/>
      <c r="M524" s="186"/>
      <c r="N524" s="186"/>
      <c r="O524" s="186"/>
      <c r="P524" s="186"/>
      <c r="Q524" s="186"/>
      <c r="R524" s="187"/>
      <c r="T524" s="188"/>
      <c r="U524" s="186"/>
      <c r="V524" s="186"/>
      <c r="W524" s="186"/>
      <c r="X524" s="186"/>
      <c r="Y524" s="186"/>
      <c r="Z524" s="187"/>
    </row>
    <row r="525" spans="1:26" ht="18" customHeight="1" hidden="1">
      <c r="A525" s="140"/>
      <c r="B525" s="140"/>
      <c r="D525" s="189" t="s">
        <v>248</v>
      </c>
      <c r="E525" s="190" t="str">
        <f>D514&amp;"_"&amp;D12</f>
        <v>NEW PLAN_PRIMARY</v>
      </c>
      <c r="F525" s="191"/>
      <c r="G525" s="191"/>
      <c r="H525" s="191"/>
      <c r="I525" s="190"/>
      <c r="J525" s="192"/>
      <c r="K525"/>
      <c r="L525" s="193" t="str">
        <f>L514&amp;"_"&amp;D12</f>
        <v>SELECT PLAN_PRIMARY</v>
      </c>
      <c r="M525" s="191"/>
      <c r="N525" s="191"/>
      <c r="O525" s="191"/>
      <c r="P525" s="190"/>
      <c r="Q525" s="191"/>
      <c r="R525" s="192"/>
      <c r="T525" s="193" t="str">
        <f>T514&amp;"_"&amp;D12</f>
        <v>SELECT PLAN_PRIMARY</v>
      </c>
      <c r="U525" s="191"/>
      <c r="V525" s="191"/>
      <c r="W525" s="191"/>
      <c r="X525" s="190"/>
      <c r="Y525" s="191"/>
      <c r="Z525" s="192"/>
    </row>
    <row r="526" spans="1:26" ht="18" customHeight="1" hidden="1">
      <c r="A526" s="140"/>
      <c r="B526" s="140"/>
      <c r="D526" s="189" t="s">
        <v>249</v>
      </c>
      <c r="E526" s="191"/>
      <c r="F526" s="191"/>
      <c r="G526" s="191"/>
      <c r="H526" s="191"/>
      <c r="I526" s="191"/>
      <c r="J526" s="192"/>
      <c r="K526"/>
      <c r="L526" s="189"/>
      <c r="M526" s="191"/>
      <c r="N526" s="191"/>
      <c r="O526" s="191"/>
      <c r="P526" s="191"/>
      <c r="Q526" s="191"/>
      <c r="R526" s="192"/>
      <c r="T526" s="189"/>
      <c r="U526" s="191"/>
      <c r="V526" s="191"/>
      <c r="W526" s="191"/>
      <c r="X526" s="191"/>
      <c r="Y526" s="191"/>
      <c r="Z526" s="192"/>
    </row>
    <row r="527" spans="1:26" ht="18" customHeight="1" hidden="1">
      <c r="A527" s="140"/>
      <c r="B527" s="140"/>
      <c r="D527" s="194" t="s">
        <v>250</v>
      </c>
      <c r="E527" s="195"/>
      <c r="F527" s="195"/>
      <c r="G527" s="195"/>
      <c r="H527" s="195"/>
      <c r="I527" s="195"/>
      <c r="J527" s="196"/>
      <c r="K527"/>
      <c r="L527" s="197"/>
      <c r="M527" s="195"/>
      <c r="N527" s="195"/>
      <c r="O527" s="195"/>
      <c r="P527" s="195"/>
      <c r="Q527" s="195"/>
      <c r="R527" s="196"/>
      <c r="T527" s="197"/>
      <c r="U527" s="195"/>
      <c r="V527" s="195"/>
      <c r="W527" s="195"/>
      <c r="X527" s="195"/>
      <c r="Y527" s="195"/>
      <c r="Z527" s="196"/>
    </row>
    <row r="528" spans="1:26" ht="18" customHeight="1" hidden="1">
      <c r="A528" s="140"/>
      <c r="B528" s="140"/>
      <c r="D528" s="198" t="s">
        <v>251</v>
      </c>
      <c r="E528" s="199" t="str">
        <f>_xlfn.XLOOKUP(E525,CurrentPlans!B:B,CurrentPlans!X:X,"NA",0,1)</f>
        <v>NA</v>
      </c>
      <c r="F528" s="200"/>
      <c r="G528" s="200"/>
      <c r="H528" s="200"/>
      <c r="I528" s="199"/>
      <c r="J528" s="201"/>
      <c r="K528"/>
      <c r="L528" s="202" t="str">
        <f>_xlfn.XLOOKUP(L525,RenewalPlans!B:B,RenewalPlans!AA:AA,"NA",0,1)</f>
        <v>NA</v>
      </c>
      <c r="M528" s="200"/>
      <c r="N528" s="200"/>
      <c r="O528" s="200"/>
      <c r="P528" s="199"/>
      <c r="Q528" s="200"/>
      <c r="R528" s="201"/>
      <c r="T528" s="202" t="str">
        <f>_xlfn.XLOOKUP(T525,RenewalPlans!B:B,RenewalPlans!AA:AA,"NA",0,1)</f>
        <v>NA</v>
      </c>
      <c r="U528" s="200"/>
      <c r="V528" s="200"/>
      <c r="W528" s="200"/>
      <c r="X528" s="199"/>
      <c r="Y528" s="200"/>
      <c r="Z528" s="201"/>
    </row>
    <row r="529" spans="1:26" ht="18" customHeight="1" hidden="1">
      <c r="A529" s="140"/>
      <c r="B529" s="140"/>
      <c r="D529" s="198" t="s">
        <v>252</v>
      </c>
      <c r="E529" s="199" t="str">
        <f>_xlfn.XLOOKUP(E525,CurrentPlans!B:B,CurrentPlans!Y:Y,"NA",0,1)</f>
        <v>NA</v>
      </c>
      <c r="F529" s="200"/>
      <c r="G529" s="200"/>
      <c r="H529" s="200"/>
      <c r="I529" s="199"/>
      <c r="J529" s="201"/>
      <c r="K529"/>
      <c r="L529" s="202" t="str">
        <f>_xlfn.XLOOKUP(L525,RenewalPlans!B:B,RenewalPlans!AB:AB,"NA",0,1)</f>
        <v>NA</v>
      </c>
      <c r="M529" s="200"/>
      <c r="N529" s="200"/>
      <c r="O529" s="200"/>
      <c r="P529" s="199"/>
      <c r="Q529" s="200"/>
      <c r="R529" s="201"/>
      <c r="T529" s="202" t="str">
        <f>_xlfn.XLOOKUP(T525,RenewalPlans!B:B,RenewalPlans!AB:AB,"NA",0,1)</f>
        <v>NA</v>
      </c>
      <c r="U529" s="200"/>
      <c r="V529" s="200"/>
      <c r="W529" s="200"/>
      <c r="X529" s="199"/>
      <c r="Y529" s="200"/>
      <c r="Z529" s="201"/>
    </row>
    <row r="530" spans="1:26" ht="18" customHeight="1" hidden="1">
      <c r="A530" s="140"/>
      <c r="B530" s="140"/>
      <c r="D530" s="120" t="s">
        <v>253</v>
      </c>
      <c r="E530" s="121" t="str">
        <f>_xlfn.XLOOKUP(E525,CurrentPlans!B:B,CurrentPlans!W:W,"NA",0,1)</f>
        <v>NA</v>
      </c>
      <c r="F530" s="122"/>
      <c r="G530" s="122"/>
      <c r="H530" s="122"/>
      <c r="I530" s="121"/>
      <c r="J530" s="123"/>
      <c r="K530"/>
      <c r="L530" s="124" t="str">
        <f>_xlfn.XLOOKUP(L525,RenewalPlans!B:B,RenewalPlans!Z:Z,"NA",0,1)</f>
        <v>NA</v>
      </c>
      <c r="M530" s="122"/>
      <c r="N530" s="122"/>
      <c r="O530" s="122"/>
      <c r="P530" s="121"/>
      <c r="Q530" s="122"/>
      <c r="R530" s="123"/>
      <c r="T530" s="124" t="str">
        <f>_xlfn.XLOOKUP(T525,RenewalPlans!B:B,RenewalPlans!Z:Z,"NA",0,1)</f>
        <v>NA</v>
      </c>
      <c r="U530" s="122"/>
      <c r="V530" s="122"/>
      <c r="W530" s="122"/>
      <c r="X530" s="121"/>
      <c r="Y530" s="122"/>
      <c r="Z530" s="123"/>
    </row>
    <row r="531" spans="1:26" ht="18" customHeight="1" hidden="1">
      <c r="A531" s="140"/>
      <c r="B531" s="140"/>
      <c r="D531" s="203" t="s">
        <v>254</v>
      </c>
      <c r="E531" s="204"/>
      <c r="F531" s="205"/>
      <c r="G531" s="205"/>
      <c r="H531" s="205"/>
      <c r="I531" s="204"/>
      <c r="J531" s="206"/>
      <c r="K531"/>
      <c r="L531" s="207"/>
      <c r="M531" s="205"/>
      <c r="N531" s="205"/>
      <c r="O531" s="205"/>
      <c r="P531" s="204"/>
      <c r="Q531" s="205"/>
      <c r="R531" s="206"/>
      <c r="T531" s="207"/>
      <c r="U531" s="205"/>
      <c r="V531" s="205"/>
      <c r="W531" s="205"/>
      <c r="X531" s="204"/>
      <c r="Y531" s="205"/>
      <c r="Z531" s="206"/>
    </row>
    <row r="532" spans="1:26" ht="18" customHeight="1" hidden="1">
      <c r="A532" s="140"/>
      <c r="B532" s="140"/>
      <c r="D532" s="125" t="s">
        <v>255</v>
      </c>
      <c r="E532" s="126" t="str">
        <f>_xlfn.XLOOKUP(E525,CurrentPlans!B:B,CurrentPlans!Z:Z,"NA",0,1)</f>
        <v>NA</v>
      </c>
      <c r="F532" s="127"/>
      <c r="G532" s="127"/>
      <c r="H532" s="127"/>
      <c r="I532" s="126"/>
      <c r="J532" s="128"/>
      <c r="K532"/>
      <c r="L532" s="129" t="str">
        <f>_xlfn.XLOOKUP(L525,RenewalPlans!B:B,RenewalPlans!AC:AC,"NA",0,1)</f>
        <v>NA</v>
      </c>
      <c r="M532" s="127"/>
      <c r="N532" s="127"/>
      <c r="O532" s="127"/>
      <c r="P532" s="126"/>
      <c r="Q532" s="127"/>
      <c r="R532" s="128"/>
      <c r="T532" s="129" t="str">
        <f>_xlfn.XLOOKUP(T525,RenewalPlans!B:B,RenewalPlans!AC:AC,"NA",0,1)</f>
        <v>NA</v>
      </c>
      <c r="U532" s="127"/>
      <c r="V532" s="127"/>
      <c r="W532" s="127"/>
      <c r="X532" s="126"/>
      <c r="Y532" s="127"/>
      <c r="Z532" s="128"/>
    </row>
    <row r="533" spans="1:26" ht="18" customHeight="1" hidden="1">
      <c r="A533" s="140"/>
      <c r="B533" s="140"/>
      <c r="D533" s="198" t="s">
        <v>256</v>
      </c>
      <c r="E533" s="208" t="str">
        <f>_xlfn.XLOOKUP(E525,CurrentPlans!B:B,CurrentPlans!AA:AA,"NA",0,1)</f>
        <v>NA</v>
      </c>
      <c r="F533" s="200"/>
      <c r="G533" s="200"/>
      <c r="H533" s="200"/>
      <c r="I533" s="208"/>
      <c r="J533" s="201"/>
      <c r="K533"/>
      <c r="L533" s="209" t="str">
        <f>_xlfn.XLOOKUP(L525,RenewalPlans!B:B,RenewalPlans!AD:AD,"NA",0,1)</f>
        <v>NA</v>
      </c>
      <c r="M533" s="200"/>
      <c r="N533" s="200"/>
      <c r="O533" s="200"/>
      <c r="P533" s="208"/>
      <c r="Q533" s="200"/>
      <c r="R533" s="201"/>
      <c r="T533" s="209" t="str">
        <f>_xlfn.XLOOKUP(T525,RenewalPlans!B:B,RenewalPlans!AD:AD,"NA",0,1)</f>
        <v>NA</v>
      </c>
      <c r="U533" s="200"/>
      <c r="V533" s="200"/>
      <c r="W533" s="200"/>
      <c r="X533" s="208"/>
      <c r="Y533" s="200"/>
      <c r="Z533" s="201"/>
    </row>
    <row r="534" spans="1:26" ht="18" customHeight="1" hidden="1">
      <c r="A534" s="140"/>
      <c r="B534" s="140"/>
      <c r="D534" s="203" t="s">
        <v>257</v>
      </c>
      <c r="E534" s="204"/>
      <c r="F534" s="205"/>
      <c r="G534" s="205"/>
      <c r="H534" s="205"/>
      <c r="I534" s="204"/>
      <c r="J534" s="206"/>
      <c r="K534"/>
      <c r="L534" s="207"/>
      <c r="M534" s="205"/>
      <c r="N534" s="205"/>
      <c r="O534" s="205"/>
      <c r="P534" s="204"/>
      <c r="Q534" s="205"/>
      <c r="R534" s="206"/>
      <c r="T534" s="207"/>
      <c r="U534" s="205"/>
      <c r="V534" s="205"/>
      <c r="W534" s="205"/>
      <c r="X534" s="204"/>
      <c r="Y534" s="205"/>
      <c r="Z534" s="206"/>
    </row>
    <row r="535" spans="1:26" ht="18" customHeight="1" hidden="1">
      <c r="A535" s="140"/>
      <c r="B535" s="140"/>
      <c r="D535" s="198" t="s">
        <v>258</v>
      </c>
      <c r="E535" s="208" t="str">
        <f>_xlfn.XLOOKUP(E525,CurrentPlans!B:B,CurrentPlans!AB:AB,"NA",0,1)</f>
        <v>NA</v>
      </c>
      <c r="F535" s="200"/>
      <c r="G535" s="200"/>
      <c r="H535" s="200"/>
      <c r="I535" s="208"/>
      <c r="J535" s="201"/>
      <c r="K535"/>
      <c r="L535" s="209" t="str">
        <f>_xlfn.XLOOKUP(L525,RenewalPlans!B:B,RenewalPlans!AE:AE,"NA",0,1)</f>
        <v>NA</v>
      </c>
      <c r="M535" s="200"/>
      <c r="N535" s="200"/>
      <c r="O535" s="200"/>
      <c r="P535" s="208"/>
      <c r="Q535" s="200"/>
      <c r="R535" s="201"/>
      <c r="T535" s="209" t="str">
        <f>_xlfn.XLOOKUP(T525,RenewalPlans!B:B,RenewalPlans!AE:AE,"NA",0,1)</f>
        <v>NA</v>
      </c>
      <c r="U535" s="200"/>
      <c r="V535" s="200"/>
      <c r="W535" s="200"/>
      <c r="X535" s="208"/>
      <c r="Y535" s="200"/>
      <c r="Z535" s="201"/>
    </row>
    <row r="536" spans="1:26" ht="18" customHeight="1" hidden="1">
      <c r="A536" s="140"/>
      <c r="B536" s="140"/>
      <c r="D536" s="198" t="s">
        <v>259</v>
      </c>
      <c r="E536" s="208" t="str">
        <f>_xlfn.XLOOKUP(E525,CurrentPlans!B:B,CurrentPlans!AC:AC,"NA",0,1)</f>
        <v>NA</v>
      </c>
      <c r="F536" s="200"/>
      <c r="G536" s="200"/>
      <c r="H536" s="200"/>
      <c r="I536" s="208"/>
      <c r="J536" s="201"/>
      <c r="K536"/>
      <c r="L536" s="209" t="str">
        <f>_xlfn.XLOOKUP(L525,RenewalPlans!B:B,RenewalPlans!AF:AF,"NA",0,1)</f>
        <v>NA</v>
      </c>
      <c r="M536" s="200"/>
      <c r="N536" s="200"/>
      <c r="O536" s="200"/>
      <c r="P536" s="208"/>
      <c r="Q536" s="200"/>
      <c r="R536" s="201"/>
      <c r="T536" s="209" t="str">
        <f>_xlfn.XLOOKUP(T525,RenewalPlans!B:B,RenewalPlans!AF:AF,"NA",0,1)</f>
        <v>NA</v>
      </c>
      <c r="U536" s="200"/>
      <c r="V536" s="200"/>
      <c r="W536" s="200"/>
      <c r="X536" s="208"/>
      <c r="Y536" s="200"/>
      <c r="Z536" s="201"/>
    </row>
    <row r="537" spans="1:26" ht="18" customHeight="1" hidden="1">
      <c r="A537" s="140"/>
      <c r="B537" s="140"/>
      <c r="D537" s="210"/>
      <c r="E537" s="211"/>
      <c r="F537" s="211"/>
      <c r="G537" s="211"/>
      <c r="H537" s="211"/>
      <c r="I537" s="211"/>
      <c r="J537" s="212"/>
      <c r="K537"/>
      <c r="L537" s="210"/>
      <c r="M537" s="211"/>
      <c r="N537" s="211"/>
      <c r="O537" s="211"/>
      <c r="P537" s="211"/>
      <c r="Q537" s="211"/>
      <c r="R537" s="212"/>
      <c r="T537" s="210"/>
      <c r="U537" s="211"/>
      <c r="V537" s="211"/>
      <c r="W537" s="211"/>
      <c r="X537" s="211"/>
      <c r="Y537" s="211"/>
      <c r="Z537" s="212"/>
    </row>
    <row r="538" spans="1:26" ht="18" customHeight="1" hidden="1">
      <c r="A538" s="140"/>
      <c r="B538" s="140"/>
      <c r="D538" s="185" t="s">
        <v>260</v>
      </c>
      <c r="E538" s="186"/>
      <c r="F538" s="186"/>
      <c r="G538" s="186"/>
      <c r="H538" s="186"/>
      <c r="I538" s="186"/>
      <c r="J538" s="187"/>
      <c r="K538"/>
      <c r="L538" s="188"/>
      <c r="M538" s="186"/>
      <c r="N538" s="186"/>
      <c r="O538" s="186"/>
      <c r="P538" s="186"/>
      <c r="Q538" s="186"/>
      <c r="R538" s="187"/>
      <c r="T538" s="188"/>
      <c r="U538" s="186"/>
      <c r="V538" s="186"/>
      <c r="W538" s="186"/>
      <c r="X538" s="186"/>
      <c r="Y538" s="186"/>
      <c r="Z538" s="187"/>
    </row>
    <row r="539" spans="1:26" ht="18" customHeight="1" hidden="1">
      <c r="A539" s="140"/>
      <c r="B539" s="140"/>
      <c r="D539" s="213" t="s">
        <v>261</v>
      </c>
      <c r="E539" s="130" t="str">
        <f>_xlfn.XLOOKUP(E525,CurrentPlans!B:B,CurrentPlans!AJ:AJ,"NA",0,1)</f>
        <v>NA</v>
      </c>
      <c r="F539" s="214"/>
      <c r="G539" s="214"/>
      <c r="H539" s="214"/>
      <c r="I539" s="130"/>
      <c r="J539" s="215"/>
      <c r="K539"/>
      <c r="L539" s="131" t="str">
        <f>_xlfn.XLOOKUP(L525,RenewalPlans!B:B,RenewalPlans!AM:AM,"NA",0,1)</f>
        <v>NA</v>
      </c>
      <c r="M539" s="214"/>
      <c r="N539" s="214"/>
      <c r="O539" s="214"/>
      <c r="P539" s="130"/>
      <c r="Q539" s="214"/>
      <c r="R539" s="215"/>
      <c r="T539" s="131" t="str">
        <f>_xlfn.XLOOKUP(T525,RenewalPlans!B:B,RenewalPlans!AM:AM,"NA",0,1)</f>
        <v>NA</v>
      </c>
      <c r="U539" s="214"/>
      <c r="V539" s="214"/>
      <c r="W539" s="214"/>
      <c r="X539" s="130"/>
      <c r="Y539" s="214"/>
      <c r="Z539" s="215"/>
    </row>
    <row r="540" spans="1:26" ht="18" customHeight="1" hidden="1">
      <c r="A540" s="140"/>
      <c r="B540" s="140"/>
      <c r="D540" s="198" t="s">
        <v>262</v>
      </c>
      <c r="E540" s="130" t="str">
        <f>_xlfn.XLOOKUP(E525,CurrentPlans!B:B,CurrentPlans!AM:AM,"NA",0,1)</f>
        <v>NA</v>
      </c>
      <c r="F540" s="200"/>
      <c r="G540" s="200"/>
      <c r="H540" s="200"/>
      <c r="I540" s="130"/>
      <c r="J540" s="201"/>
      <c r="K540"/>
      <c r="L540" s="131" t="str">
        <f>_xlfn.XLOOKUP(L525,RenewalPlans!B:B,RenewalPlans!AP:AP,"NA",0,1)</f>
        <v>NA</v>
      </c>
      <c r="M540" s="200"/>
      <c r="N540" s="200"/>
      <c r="O540" s="200"/>
      <c r="P540" s="130"/>
      <c r="Q540" s="200"/>
      <c r="R540" s="201"/>
      <c r="T540" s="131" t="str">
        <f>_xlfn.XLOOKUP(T525,RenewalPlans!B:B,RenewalPlans!AP:AP,"NA",0,1)</f>
        <v>NA</v>
      </c>
      <c r="U540" s="200"/>
      <c r="V540" s="200"/>
      <c r="W540" s="200"/>
      <c r="X540" s="130"/>
      <c r="Y540" s="200"/>
      <c r="Z540" s="201"/>
    </row>
    <row r="541" spans="1:26" ht="18" customHeight="1" hidden="1">
      <c r="A541" s="140"/>
      <c r="B541" s="140"/>
      <c r="D541" s="198" t="s">
        <v>263</v>
      </c>
      <c r="E541" s="130" t="str">
        <f>_xlfn.XLOOKUP(E525,CurrentPlans!B:B,CurrentPlans!AI:AI,"NA",0,1)</f>
        <v>NA</v>
      </c>
      <c r="F541" s="200"/>
      <c r="G541" s="200"/>
      <c r="H541" s="200"/>
      <c r="I541" s="130"/>
      <c r="J541" s="201"/>
      <c r="K541"/>
      <c r="L541" s="131" t="str">
        <f>_xlfn.XLOOKUP(L525,RenewalPlans!B:B,RenewalPlans!AL:AL,"NA",0,1)</f>
        <v>NA</v>
      </c>
      <c r="M541" s="200"/>
      <c r="N541" s="200"/>
      <c r="O541" s="200"/>
      <c r="P541" s="130"/>
      <c r="Q541" s="200"/>
      <c r="R541" s="201"/>
      <c r="T541" s="131" t="str">
        <f>_xlfn.XLOOKUP(T525,RenewalPlans!B:B,RenewalPlans!AL:AL,"NA",0,1)</f>
        <v>NA</v>
      </c>
      <c r="U541" s="200"/>
      <c r="V541" s="200"/>
      <c r="W541" s="200"/>
      <c r="X541" s="130"/>
      <c r="Y541" s="200"/>
      <c r="Z541" s="201"/>
    </row>
    <row r="542" spans="1:26" ht="18" customHeight="1" hidden="1">
      <c r="A542" s="140"/>
      <c r="B542" s="140"/>
      <c r="D542" s="198" t="s">
        <v>264</v>
      </c>
      <c r="E542" s="208" t="str">
        <f>_xlfn.XLOOKUP(E525,CurrentPlans!B:B,CurrentPlans!AN:AN,"NA",0,1)</f>
        <v>NA</v>
      </c>
      <c r="F542" s="200"/>
      <c r="G542" s="200"/>
      <c r="H542" s="200"/>
      <c r="I542" s="208"/>
      <c r="J542" s="201"/>
      <c r="K542"/>
      <c r="L542" s="209" t="str">
        <f>_xlfn.XLOOKUP(L525,RenewalPlans!B:B,RenewalPlans!AQ:AQ,"NA",0,1)</f>
        <v>NA</v>
      </c>
      <c r="M542" s="200"/>
      <c r="N542" s="200"/>
      <c r="O542" s="200"/>
      <c r="P542" s="208"/>
      <c r="Q542" s="200"/>
      <c r="R542" s="201"/>
      <c r="T542" s="209" t="str">
        <f>_xlfn.XLOOKUP(T525,RenewalPlans!B:B,RenewalPlans!AQ:AQ,"NA",0,1)</f>
        <v>NA</v>
      </c>
      <c r="U542" s="200"/>
      <c r="V542" s="200"/>
      <c r="W542" s="200"/>
      <c r="X542" s="208"/>
      <c r="Y542" s="200"/>
      <c r="Z542" s="201"/>
    </row>
    <row r="543" spans="1:26" ht="18" customHeight="1" hidden="1">
      <c r="A543" s="140"/>
      <c r="B543" s="140"/>
      <c r="D543" s="210"/>
      <c r="E543" s="211"/>
      <c r="F543" s="211"/>
      <c r="G543" s="211"/>
      <c r="H543" s="211"/>
      <c r="I543" s="211"/>
      <c r="J543" s="212"/>
      <c r="K543"/>
      <c r="L543" s="210"/>
      <c r="M543" s="211"/>
      <c r="N543" s="211"/>
      <c r="O543" s="211"/>
      <c r="P543" s="211"/>
      <c r="Q543" s="211"/>
      <c r="R543" s="212"/>
      <c r="T543" s="210"/>
      <c r="U543" s="211"/>
      <c r="V543" s="211"/>
      <c r="W543" s="211"/>
      <c r="X543" s="211"/>
      <c r="Y543" s="211"/>
      <c r="Z543" s="212"/>
    </row>
    <row r="544" spans="1:26" ht="18" customHeight="1" hidden="1">
      <c r="A544" s="140"/>
      <c r="B544" s="140"/>
      <c r="D544" s="185" t="s">
        <v>265</v>
      </c>
      <c r="E544" s="186"/>
      <c r="F544" s="186"/>
      <c r="G544" s="186"/>
      <c r="H544" s="186"/>
      <c r="I544" s="186"/>
      <c r="J544" s="187"/>
      <c r="K544"/>
      <c r="L544" s="188"/>
      <c r="M544" s="186"/>
      <c r="N544" s="186"/>
      <c r="O544" s="186"/>
      <c r="P544" s="186"/>
      <c r="Q544" s="186"/>
      <c r="R544" s="187"/>
      <c r="T544" s="188"/>
      <c r="U544" s="186"/>
      <c r="V544" s="186"/>
      <c r="W544" s="186"/>
      <c r="X544" s="186"/>
      <c r="Y544" s="186"/>
      <c r="Z544" s="187"/>
    </row>
    <row r="545" spans="1:26" ht="18" customHeight="1" hidden="1">
      <c r="A545" s="140"/>
      <c r="B545" s="140"/>
      <c r="D545" s="132" t="s">
        <v>266</v>
      </c>
      <c r="E545" s="133" t="str">
        <f>_xlfn.XLOOKUP(E525,CurrentPlans!B:B,CurrentPlans!AE:AE,"NA",0,1)</f>
        <v>NA</v>
      </c>
      <c r="F545" s="134"/>
      <c r="G545" s="134"/>
      <c r="H545" s="134"/>
      <c r="I545" s="133"/>
      <c r="J545" s="135"/>
      <c r="K545"/>
      <c r="L545" s="136" t="str">
        <f>_xlfn.XLOOKUP(L525,RenewalPlans!B:B,RenewalPlans!AH:AH,"NA",0,1)</f>
        <v>NA</v>
      </c>
      <c r="M545" s="134"/>
      <c r="N545" s="134"/>
      <c r="O545" s="134"/>
      <c r="P545" s="133"/>
      <c r="Q545" s="134"/>
      <c r="R545" s="135"/>
      <c r="T545" s="136" t="str">
        <f>_xlfn.XLOOKUP(T525,RenewalPlans!B:B,RenewalPlans!AH:AH,"NA",0,1)</f>
        <v>NA</v>
      </c>
      <c r="U545" s="134"/>
      <c r="V545" s="134"/>
      <c r="W545" s="134"/>
      <c r="X545" s="133"/>
      <c r="Y545" s="134"/>
      <c r="Z545" s="135"/>
    </row>
    <row r="546" spans="1:26" ht="18" customHeight="1" hidden="1">
      <c r="A546" s="140"/>
      <c r="B546" s="140"/>
      <c r="D546" s="120" t="s">
        <v>267</v>
      </c>
      <c r="E546" s="130" t="str">
        <f>_xlfn.XLOOKUP(E525,CurrentPlans!B:B,CurrentPlans!AF:AF,"NA",0,1)</f>
        <v>NA</v>
      </c>
      <c r="F546" s="122"/>
      <c r="G546" s="122"/>
      <c r="H546" s="122"/>
      <c r="I546" s="130"/>
      <c r="J546" s="123"/>
      <c r="K546"/>
      <c r="L546" s="131" t="str">
        <f>_xlfn.XLOOKUP(L525,RenewalPlans!B:B,RenewalPlans!AI:AI,"NA",0,1)</f>
        <v>NA</v>
      </c>
      <c r="M546" s="122"/>
      <c r="N546" s="122"/>
      <c r="O546" s="122"/>
      <c r="P546" s="130"/>
      <c r="Q546" s="122"/>
      <c r="R546" s="123"/>
      <c r="T546" s="131" t="str">
        <f>_xlfn.XLOOKUP(T525,RenewalPlans!B:B,RenewalPlans!AI:AI,"NA",0,1)</f>
        <v>NA</v>
      </c>
      <c r="U546" s="122"/>
      <c r="V546" s="122"/>
      <c r="W546" s="122"/>
      <c r="X546" s="130"/>
      <c r="Y546" s="122"/>
      <c r="Z546" s="123"/>
    </row>
    <row r="547" spans="1:26" ht="18" customHeight="1" hidden="1">
      <c r="A547" s="140"/>
      <c r="B547" s="140"/>
      <c r="D547" s="198" t="s">
        <v>268</v>
      </c>
      <c r="E547" s="130" t="str">
        <f>_xlfn.XLOOKUP(E525,CurrentPlans!B:B,CurrentPlans!AH:AH,"NA",0,1)</f>
        <v>NA</v>
      </c>
      <c r="F547" s="200"/>
      <c r="G547" s="200"/>
      <c r="H547" s="200"/>
      <c r="I547" s="130"/>
      <c r="J547" s="201"/>
      <c r="K547"/>
      <c r="L547" s="131" t="str">
        <f>_xlfn.XLOOKUP(L525,RenewalPlans!B:B,RenewalPlans!AK:AK,"NA",0,1)</f>
        <v>NA</v>
      </c>
      <c r="M547" s="200"/>
      <c r="N547" s="200"/>
      <c r="O547" s="200"/>
      <c r="P547" s="130"/>
      <c r="Q547" s="200"/>
      <c r="R547" s="201"/>
      <c r="T547" s="131" t="str">
        <f>_xlfn.XLOOKUP(T525,RenewalPlans!B:B,RenewalPlans!AK:AK,"NA",0,1)</f>
        <v>NA</v>
      </c>
      <c r="U547" s="200"/>
      <c r="V547" s="200"/>
      <c r="W547" s="200"/>
      <c r="X547" s="130"/>
      <c r="Y547" s="200"/>
      <c r="Z547" s="201"/>
    </row>
    <row r="548" spans="1:26" ht="18" customHeight="1" hidden="1">
      <c r="A548" s="140"/>
      <c r="B548" s="140"/>
      <c r="D548" s="198" t="s">
        <v>269</v>
      </c>
      <c r="E548" s="130" t="str">
        <f>_xlfn.XLOOKUP(E525,CurrentPlans!B:B,CurrentPlans!AG:AG,"NA",0,1)</f>
        <v>NA</v>
      </c>
      <c r="F548" s="200"/>
      <c r="G548" s="200"/>
      <c r="H548" s="200"/>
      <c r="I548" s="130"/>
      <c r="J548" s="201"/>
      <c r="K548"/>
      <c r="L548" s="131" t="str">
        <f>_xlfn.XLOOKUP(L525,RenewalPlans!B:B,RenewalPlans!AJ:AJ,"NA",0,1)</f>
        <v>NA</v>
      </c>
      <c r="M548" s="200"/>
      <c r="N548" s="200"/>
      <c r="O548" s="200"/>
      <c r="P548" s="130"/>
      <c r="Q548" s="200"/>
      <c r="R548" s="201"/>
      <c r="T548" s="131" t="str">
        <f>_xlfn.XLOOKUP(T525,RenewalPlans!B:B,RenewalPlans!AJ:AJ,"NA",0,1)</f>
        <v>NA</v>
      </c>
      <c r="U548" s="200"/>
      <c r="V548" s="200"/>
      <c r="W548" s="200"/>
      <c r="X548" s="130"/>
      <c r="Y548" s="200"/>
      <c r="Z548" s="201"/>
    </row>
    <row r="549" spans="1:26" ht="18" customHeight="1" hidden="1">
      <c r="A549" s="140"/>
      <c r="B549" s="140"/>
      <c r="D549" s="213" t="s">
        <v>270</v>
      </c>
      <c r="E549" s="216" t="str">
        <f>_xlfn.XLOOKUP(E525,CurrentPlans!B:B,CurrentPlans!AU:AU,"NA",0,1)</f>
        <v>NA</v>
      </c>
      <c r="F549" s="214"/>
      <c r="G549" s="214"/>
      <c r="H549" s="214"/>
      <c r="I549" s="217"/>
      <c r="J549" s="215"/>
      <c r="K549"/>
      <c r="L549" s="218" t="str">
        <f>_xlfn.XLOOKUP(L525,RenewalPlans!B:B,RenewalPlans!AX:AX,"NA",0,1)</f>
        <v>NA</v>
      </c>
      <c r="M549" s="214"/>
      <c r="N549" s="214"/>
      <c r="O549" s="214"/>
      <c r="P549" s="217"/>
      <c r="Q549" s="214"/>
      <c r="R549" s="215"/>
      <c r="T549" s="218" t="str">
        <f>_xlfn.XLOOKUP(T525,RenewalPlans!B:B,RenewalPlans!AX:AX,"NA",0,1)</f>
        <v>NA</v>
      </c>
      <c r="U549" s="214"/>
      <c r="V549" s="214"/>
      <c r="W549" s="214"/>
      <c r="X549" s="217"/>
      <c r="Y549" s="214"/>
      <c r="Z549" s="215"/>
    </row>
    <row r="550" spans="1:26" ht="18" customHeight="1" hidden="1">
      <c r="A550" s="140"/>
      <c r="B550" s="140"/>
      <c r="D550" s="213" t="s">
        <v>271</v>
      </c>
      <c r="E550" s="216" t="str">
        <f>_xlfn.XLOOKUP(E525,CurrentPlans!B:B,CurrentPlans!AT:AT,"NA",0,1)</f>
        <v>NA</v>
      </c>
      <c r="F550" s="214"/>
      <c r="G550" s="214"/>
      <c r="H550" s="214"/>
      <c r="I550" s="217"/>
      <c r="J550" s="215"/>
      <c r="K550"/>
      <c r="L550" s="218" t="str">
        <f>_xlfn.XLOOKUP(L525,RenewalPlans!B:B,RenewalPlans!AW:AW,"NA",0,1)</f>
        <v>NA</v>
      </c>
      <c r="M550" s="214"/>
      <c r="N550" s="214"/>
      <c r="O550" s="214"/>
      <c r="P550" s="217"/>
      <c r="Q550" s="214"/>
      <c r="R550" s="215"/>
      <c r="T550" s="218" t="str">
        <f>_xlfn.XLOOKUP(T525,RenewalPlans!B:B,RenewalPlans!AW:AW,"NA",0,1)</f>
        <v>NA</v>
      </c>
      <c r="U550" s="214"/>
      <c r="V550" s="214"/>
      <c r="W550" s="214"/>
      <c r="X550" s="217"/>
      <c r="Y550" s="214"/>
      <c r="Z550" s="215"/>
    </row>
    <row r="551" spans="1:26" ht="18" customHeight="1" hidden="1">
      <c r="A551" s="140"/>
      <c r="B551" s="140"/>
      <c r="D551" s="198" t="s">
        <v>272</v>
      </c>
      <c r="E551" s="130" t="str">
        <f>_xlfn.XLOOKUP(E525,CurrentPlans!B:B,CurrentPlans!AD:AD,"NA",0,1)</f>
        <v>NA</v>
      </c>
      <c r="F551" s="200"/>
      <c r="G551" s="200"/>
      <c r="H551" s="200"/>
      <c r="I551" s="130"/>
      <c r="J551" s="201"/>
      <c r="K551"/>
      <c r="L551" s="131" t="str">
        <f>_xlfn.XLOOKUP(L525,RenewalPlans!B:B,RenewalPlans!AG:AG,"NA",0,1)</f>
        <v>NA</v>
      </c>
      <c r="M551" s="200"/>
      <c r="N551" s="200"/>
      <c r="O551" s="200"/>
      <c r="P551" s="130"/>
      <c r="Q551" s="200"/>
      <c r="R551" s="201"/>
      <c r="T551" s="131" t="str">
        <f>_xlfn.XLOOKUP(T525,RenewalPlans!B:B,RenewalPlans!AG:AG,"NA",0,1)</f>
        <v>NA</v>
      </c>
      <c r="U551" s="200"/>
      <c r="V551" s="200"/>
      <c r="W551" s="200"/>
      <c r="X551" s="130"/>
      <c r="Y551" s="200"/>
      <c r="Z551" s="201"/>
    </row>
    <row r="552" spans="1:26" ht="18" customHeight="1" hidden="1">
      <c r="A552" s="140"/>
      <c r="B552" s="140"/>
      <c r="D552" s="198" t="s">
        <v>273</v>
      </c>
      <c r="E552" s="200"/>
      <c r="F552" s="200"/>
      <c r="G552" s="200"/>
      <c r="H552" s="200"/>
      <c r="I552" s="200"/>
      <c r="J552" s="201"/>
      <c r="K552"/>
      <c r="L552" s="198"/>
      <c r="M552" s="200"/>
      <c r="N552" s="200"/>
      <c r="O552" s="200"/>
      <c r="P552" s="200"/>
      <c r="Q552" s="200"/>
      <c r="R552" s="201"/>
      <c r="T552" s="198"/>
      <c r="U552" s="200"/>
      <c r="V552" s="200"/>
      <c r="W552" s="200"/>
      <c r="X552" s="200"/>
      <c r="Y552" s="200"/>
      <c r="Z552" s="201"/>
    </row>
    <row r="553" spans="1:26" ht="18" customHeight="1" hidden="1">
      <c r="A553" s="140"/>
      <c r="B553" s="140"/>
      <c r="D553" s="210"/>
      <c r="E553" s="211"/>
      <c r="F553" s="211"/>
      <c r="G553" s="211"/>
      <c r="H553" s="211"/>
      <c r="I553" s="211"/>
      <c r="J553" s="212"/>
      <c r="K553"/>
      <c r="L553" s="210"/>
      <c r="M553" s="211"/>
      <c r="N553" s="211"/>
      <c r="O553" s="211"/>
      <c r="P553" s="211"/>
      <c r="Q553" s="211"/>
      <c r="R553" s="212"/>
      <c r="T553" s="210"/>
      <c r="U553" s="211"/>
      <c r="V553" s="211"/>
      <c r="W553" s="211"/>
      <c r="X553" s="211"/>
      <c r="Y553" s="211"/>
      <c r="Z553" s="212"/>
    </row>
    <row r="554" spans="1:26" ht="18" customHeight="1" hidden="1">
      <c r="A554" s="140"/>
      <c r="B554" s="140"/>
      <c r="D554" s="219" t="s">
        <v>274</v>
      </c>
      <c r="E554" s="220"/>
      <c r="F554" s="220"/>
      <c r="G554" s="220"/>
      <c r="H554" s="220"/>
      <c r="I554" s="220"/>
      <c r="J554" s="221"/>
      <c r="K554"/>
      <c r="L554" s="222"/>
      <c r="M554" s="220"/>
      <c r="N554" s="220"/>
      <c r="O554" s="220"/>
      <c r="P554" s="220"/>
      <c r="Q554" s="220"/>
      <c r="R554" s="221"/>
      <c r="T554" s="222"/>
      <c r="U554" s="220"/>
      <c r="V554" s="220"/>
      <c r="W554" s="220"/>
      <c r="X554" s="220"/>
      <c r="Y554" s="220"/>
      <c r="Z554" s="221"/>
    </row>
    <row r="555" spans="1:26" ht="18" customHeight="1" hidden="1">
      <c r="A555" s="140"/>
      <c r="B555" s="140"/>
      <c r="D555" s="223" t="s">
        <v>250</v>
      </c>
      <c r="E555" s="205"/>
      <c r="F555" s="205"/>
      <c r="G555" s="205"/>
      <c r="H555" s="205"/>
      <c r="I555" s="205"/>
      <c r="J555" s="206"/>
      <c r="K555"/>
      <c r="L555" s="203"/>
      <c r="M555" s="205"/>
      <c r="N555" s="205"/>
      <c r="O555" s="205"/>
      <c r="P555" s="205"/>
      <c r="Q555" s="205"/>
      <c r="R555" s="206"/>
      <c r="T555" s="203"/>
      <c r="U555" s="205"/>
      <c r="V555" s="205"/>
      <c r="W555" s="205"/>
      <c r="X555" s="205"/>
      <c r="Y555" s="205"/>
      <c r="Z555" s="206"/>
    </row>
    <row r="556" spans="1:26" ht="18" customHeight="1" hidden="1">
      <c r="A556" s="140"/>
      <c r="B556" s="140"/>
      <c r="D556" s="198" t="s">
        <v>251</v>
      </c>
      <c r="E556" s="130" t="str">
        <f>_xlfn.XLOOKUP(E525,CurrentPlans!B:B,CurrentPlans!AP:AP,"NA",0,1)</f>
        <v>NA</v>
      </c>
      <c r="F556" s="200"/>
      <c r="G556" s="200"/>
      <c r="H556" s="200"/>
      <c r="I556" s="130"/>
      <c r="J556" s="201"/>
      <c r="K556"/>
      <c r="L556" s="131" t="str">
        <f>_xlfn.XLOOKUP(L525,RenewalPlans!B:B,RenewalPlans!AS:AS,"NA",0,1)</f>
        <v>NA</v>
      </c>
      <c r="M556" s="200"/>
      <c r="N556" s="200"/>
      <c r="O556" s="200"/>
      <c r="P556" s="130"/>
      <c r="Q556" s="200"/>
      <c r="R556" s="201"/>
      <c r="T556" s="131" t="str">
        <f>_xlfn.XLOOKUP(T525,RenewalPlans!B:B,RenewalPlans!AS:AS,"NA",0,1)</f>
        <v>NA</v>
      </c>
      <c r="U556" s="200"/>
      <c r="V556" s="200"/>
      <c r="W556" s="200"/>
      <c r="X556" s="130"/>
      <c r="Y556" s="200"/>
      <c r="Z556" s="201"/>
    </row>
    <row r="557" spans="1:26" ht="18" customHeight="1" hidden="1">
      <c r="A557" s="140"/>
      <c r="B557" s="140"/>
      <c r="D557" s="198" t="s">
        <v>252</v>
      </c>
      <c r="E557" s="130" t="str">
        <f>_xlfn.XLOOKUP(E525,CurrentPlans!B:B,CurrentPlans!AQ:AQ,"NA",0,1)</f>
        <v>NA</v>
      </c>
      <c r="F557" s="200"/>
      <c r="G557" s="200"/>
      <c r="H557" s="200"/>
      <c r="I557" s="130"/>
      <c r="J557" s="201"/>
      <c r="K557"/>
      <c r="L557" s="131" t="str">
        <f>_xlfn.XLOOKUP(L525,RenewalPlans!B:B,RenewalPlans!AT:AT,"NA",0,1)</f>
        <v>NA</v>
      </c>
      <c r="M557" s="200"/>
      <c r="N557" s="200"/>
      <c r="O557" s="200"/>
      <c r="P557" s="130"/>
      <c r="Q557" s="200"/>
      <c r="R557" s="201"/>
      <c r="T557" s="131" t="str">
        <f>_xlfn.XLOOKUP(T525,RenewalPlans!B:B,RenewalPlans!AT:AT,"NA",0,1)</f>
        <v>NA</v>
      </c>
      <c r="U557" s="200"/>
      <c r="V557" s="200"/>
      <c r="W557" s="200"/>
      <c r="X557" s="130"/>
      <c r="Y557" s="200"/>
      <c r="Z557" s="201"/>
    </row>
    <row r="558" spans="1:26" ht="18" customHeight="1" hidden="1">
      <c r="A558" s="140"/>
      <c r="B558" s="140"/>
      <c r="D558" s="120" t="s">
        <v>253</v>
      </c>
      <c r="E558" s="133" t="str">
        <f>_xlfn.XLOOKUP(E525,CurrentPlans!B:B,CurrentPlans!AO:AO,"NA",0,1)</f>
        <v>NA</v>
      </c>
      <c r="F558" s="122"/>
      <c r="G558" s="122"/>
      <c r="H558" s="122"/>
      <c r="I558" s="133"/>
      <c r="J558" s="123"/>
      <c r="K558"/>
      <c r="L558" s="136" t="str">
        <f>_xlfn.XLOOKUP(L525,RenewalPlans!B:B,RenewalPlans!AR:AR,"NA",0,1)</f>
        <v>NA</v>
      </c>
      <c r="M558" s="122"/>
      <c r="N558" s="122"/>
      <c r="O558" s="122"/>
      <c r="P558" s="133"/>
      <c r="Q558" s="122"/>
      <c r="R558" s="123"/>
      <c r="T558" s="136" t="str">
        <f>_xlfn.XLOOKUP(T525,RenewalPlans!B:B,RenewalPlans!AR:AR,"NA",0,1)</f>
        <v>NA</v>
      </c>
      <c r="U558" s="122"/>
      <c r="V558" s="122"/>
      <c r="W558" s="122"/>
      <c r="X558" s="133"/>
      <c r="Y558" s="122"/>
      <c r="Z558" s="123"/>
    </row>
    <row r="559" spans="1:26" ht="18" customHeight="1" hidden="1">
      <c r="A559" s="140"/>
      <c r="B559" s="140"/>
      <c r="D559" s="223" t="s">
        <v>254</v>
      </c>
      <c r="E559" s="205"/>
      <c r="F559" s="205"/>
      <c r="G559" s="205"/>
      <c r="H559" s="205"/>
      <c r="I559" s="205"/>
      <c r="J559" s="206"/>
      <c r="K559"/>
      <c r="L559" s="203"/>
      <c r="M559" s="205"/>
      <c r="N559" s="205"/>
      <c r="O559" s="205"/>
      <c r="P559" s="205"/>
      <c r="Q559" s="205"/>
      <c r="R559" s="206"/>
      <c r="T559" s="203"/>
      <c r="U559" s="205"/>
      <c r="V559" s="205"/>
      <c r="W559" s="205"/>
      <c r="X559" s="205"/>
      <c r="Y559" s="205"/>
      <c r="Z559" s="206"/>
    </row>
    <row r="560" spans="1:26" ht="18" customHeight="1" hidden="1">
      <c r="A560" s="140"/>
      <c r="B560" s="140"/>
      <c r="D560" s="198" t="s">
        <v>255</v>
      </c>
      <c r="E560" s="130" t="str">
        <f>_xlfn.XLOOKUP(E525,CurrentPlans!B:B,CurrentPlans!AR:AR,"NA",0,1)</f>
        <v>NA</v>
      </c>
      <c r="F560" s="200"/>
      <c r="G560" s="200"/>
      <c r="H560" s="200"/>
      <c r="I560" s="130"/>
      <c r="J560" s="201"/>
      <c r="K560"/>
      <c r="L560" s="131" t="str">
        <f>_xlfn.XLOOKUP(L525,RenewalPlans!B:B,RenewalPlans!AU:AU,"NA",0,1)</f>
        <v>NA</v>
      </c>
      <c r="M560" s="200"/>
      <c r="N560" s="200"/>
      <c r="O560" s="200"/>
      <c r="P560" s="130"/>
      <c r="Q560" s="200"/>
      <c r="R560" s="201"/>
      <c r="T560" s="131" t="str">
        <f>_xlfn.XLOOKUP(T525,RenewalPlans!B:B,RenewalPlans!AU:AU,"NA",0,1)</f>
        <v>NA</v>
      </c>
      <c r="U560" s="200"/>
      <c r="V560" s="200"/>
      <c r="W560" s="200"/>
      <c r="X560" s="130"/>
      <c r="Y560" s="200"/>
      <c r="Z560" s="201"/>
    </row>
    <row r="561" spans="1:26" ht="18" customHeight="1" hidden="1" thickBot="1">
      <c r="A561" s="140"/>
      <c r="B561" s="140"/>
      <c r="D561" s="224" t="s">
        <v>256</v>
      </c>
      <c r="E561" s="137" t="str">
        <f>_xlfn.XLOOKUP(E525,CurrentPlans!B:B,CurrentPlans!AS:AS,"NA",0,1)</f>
        <v>NA</v>
      </c>
      <c r="F561" s="225"/>
      <c r="G561" s="225"/>
      <c r="H561" s="225"/>
      <c r="I561" s="137"/>
      <c r="J561" s="226"/>
      <c r="K561"/>
      <c r="L561" s="138" t="str">
        <f>_xlfn.XLOOKUP(L525,RenewalPlans!B:B,RenewalPlans!AV:AV,"NA",0,1)</f>
        <v>NA</v>
      </c>
      <c r="M561" s="225"/>
      <c r="N561" s="225"/>
      <c r="O561" s="225"/>
      <c r="P561" s="137"/>
      <c r="Q561" s="225"/>
      <c r="R561" s="226"/>
      <c r="T561" s="138" t="str">
        <f>_xlfn.XLOOKUP(T525,RenewalPlans!B:B,RenewalPlans!AV:AV,"NA",0,1)</f>
        <v>NA</v>
      </c>
      <c r="U561" s="225"/>
      <c r="V561" s="225"/>
      <c r="W561" s="225"/>
      <c r="X561" s="137"/>
      <c r="Y561" s="225"/>
      <c r="Z561" s="226"/>
    </row>
    <row r="562" spans="1:26" ht="18" customHeight="1">
      <c r="A562" s="140"/>
      <c r="B562" s="140"/>
      <c r="D562" s="227"/>
      <c r="E562" s="176"/>
      <c r="F562" s="178"/>
      <c r="G562" s="179"/>
      <c r="H562" s="178"/>
      <c r="I562" s="176"/>
      <c r="J562" s="228"/>
      <c r="K562"/>
      <c r="L562" s="178"/>
      <c r="M562" s="176"/>
      <c r="N562" s="139"/>
      <c r="O562" s="178"/>
      <c r="P562" s="178"/>
      <c r="Q562" s="178"/>
      <c r="R562" s="228"/>
      <c r="T562" s="178"/>
      <c r="U562" s="176"/>
      <c r="V562" s="139"/>
      <c r="W562" s="178"/>
      <c r="X562" s="178"/>
      <c r="Y562" s="178"/>
      <c r="Z562" s="228"/>
    </row>
    <row r="563" spans="1:26" ht="5.25" customHeight="1" thickBot="1">
      <c r="A563" s="140"/>
      <c r="B563" s="140"/>
      <c r="D563" s="229"/>
      <c r="E563" s="229"/>
      <c r="F563" s="230"/>
      <c r="G563" s="231"/>
      <c r="H563" s="232"/>
      <c r="I563" s="233"/>
      <c r="J563" s="233"/>
      <c r="K563"/>
      <c r="L563" s="233"/>
      <c r="M563" s="233"/>
      <c r="N563" s="233"/>
      <c r="O563" s="233"/>
      <c r="P563" s="233"/>
      <c r="Q563" s="233"/>
      <c r="R563" s="233"/>
      <c r="T563" s="233"/>
      <c r="U563" s="233"/>
      <c r="V563" s="233"/>
      <c r="W563" s="233"/>
      <c r="X563" s="233"/>
      <c r="Y563" s="233"/>
      <c r="Z563" s="233"/>
    </row>
    <row r="564" spans="1:26" ht="50.15" customHeight="1">
      <c r="A564" s="140"/>
      <c r="B564" s="140"/>
      <c r="C564" s="164" t="s">
        <v>286</v>
      </c>
      <c r="D564" s="275" t="s">
        <v>285</v>
      </c>
      <c r="E564" s="165"/>
      <c r="F564" s="272"/>
      <c r="G564" s="166"/>
      <c r="H564" s="167"/>
      <c r="I564" s="168"/>
      <c r="J564" s="169"/>
      <c r="K564"/>
      <c r="L564" s="274" t="s">
        <v>38</v>
      </c>
      <c r="M564" s="170"/>
      <c r="N564" s="274" t="s">
        <v>328</v>
      </c>
      <c r="O564" s="171"/>
      <c r="P564" s="171"/>
      <c r="Q564" s="171"/>
      <c r="R564" s="169"/>
      <c r="T564" s="274" t="s">
        <v>38</v>
      </c>
      <c r="U564" s="170"/>
      <c r="V564" s="274" t="s">
        <v>328</v>
      </c>
      <c r="W564" s="171"/>
      <c r="X564" s="171"/>
      <c r="Y564" s="171"/>
      <c r="Z564" s="169"/>
    </row>
    <row r="565" spans="1:26" ht="18.75" customHeight="1">
      <c r="A565" s="140"/>
      <c r="B565" s="140"/>
      <c r="D565" s="172" t="s">
        <v>238</v>
      </c>
      <c r="E565" s="407"/>
      <c r="F565" s="449"/>
      <c r="G565" s="470"/>
      <c r="H565" s="449"/>
      <c r="I565" s="450"/>
      <c r="J565" s="410"/>
      <c r="K565" s="411"/>
      <c r="L565" s="408" t="str" cm="1">
        <f t="array" ca="1" aca="1" ref="L565">_xlfn.IFNA(VLOOKUP(INDIRECT("L"&amp;ROW()-1)&amp;"_"&amp;$D$12,BEGIN_RENEW_HEALTH:END_RENEW_HEALTH,RENEW_COL_EO,FALSE),"")</f>
        <v/>
      </c>
      <c r="M565" s="412" t="str">
        <f>IF(E565="","",E565)</f>
        <v/>
      </c>
      <c r="N565" s="413"/>
      <c r="O565" s="414"/>
      <c r="P565" s="415" t="str">
        <f>IFERROR(IF($N564="Keep Contribution Same",H565,IF($N564="Enter Percentages",IF(N565="","",N565*L565),IF($N564="Keep Percentage Same",IF(G565="","",G565*L565),IF($N564="Enter Dollar Amount",IF(O565="","",O565),"")))),"")</f>
        <v/>
      </c>
      <c r="Q565" s="408" t="str">
        <f ca="1">IFERROR(L565-P565,"")</f>
        <v/>
      </c>
      <c r="R565" s="410" t="str">
        <f>IFERROR(IF(P565="","",M565*P565),"")</f>
        <v/>
      </c>
      <c r="S565" s="411"/>
      <c r="T565" s="408" t="str" cm="1">
        <f t="array" ca="1" aca="1" ref="T565">_xlfn.IFNA(VLOOKUP(INDIRECT("T"&amp;ROW()-1)&amp;"_"&amp;$D$12,BEGIN_RENEW_HEALTH:END_RENEW_HEALTH,RENEW_COL_EO,FALSE),"")</f>
        <v/>
      </c>
      <c r="U565" s="412" t="str">
        <f>IF(E565="","",E565)</f>
        <v/>
      </c>
      <c r="V565" s="413"/>
      <c r="W565" s="414"/>
      <c r="X565" s="415" t="str">
        <f>IFERROR(IF($V564="Keep Contribution Same",H565,IF($V564="Enter Percentages",IF(V565="","",V565*T565),IF($V564="Keep Percentage Same",IF(G565="","",G565*T565),IF($V564="Enter Dollar Amount",IF(W565="","",W565),"")))),"")</f>
        <v/>
      </c>
      <c r="Y565" s="408" t="str">
        <f ca="1">IFERROR(T565-X565,"")</f>
        <v/>
      </c>
      <c r="Z565" s="410" t="str">
        <f>IFERROR(IF(X565="","",U565*X565),"")</f>
        <v/>
      </c>
    </row>
    <row r="566" spans="1:26" ht="18.75" customHeight="1">
      <c r="A566" s="140"/>
      <c r="B566" s="140"/>
      <c r="D566" s="172" t="s">
        <v>239</v>
      </c>
      <c r="E566" s="407"/>
      <c r="F566" s="449"/>
      <c r="G566" s="470"/>
      <c r="H566" s="449"/>
      <c r="I566" s="450"/>
      <c r="J566" s="410"/>
      <c r="K566" s="411"/>
      <c r="L566" s="408" t="str" cm="1">
        <f t="array" ca="1" aca="1" ref="L566">_xlfn.IFNA(VLOOKUP(INDIRECT("L"&amp;ROW()-2)&amp;"_"&amp;$D$12,BEGIN_RENEW_HEALTH:END_RENEW_HEALTH,RENEW_COL_ES,FALSE),"")</f>
        <v/>
      </c>
      <c r="M566" s="412" t="str">
        <f>IF(E566="","",E566)</f>
        <v/>
      </c>
      <c r="N566" s="413"/>
      <c r="O566" s="414"/>
      <c r="P566" s="415" t="str">
        <f>IFERROR(IF($N564="Keep Contribution Same",H566,IF($N564="Enter Percentages",IF(N566="","",N566*L566),IF($N564="Keep Percentage Same",IF(G566="","",G566*L566),IF($N564="Enter Dollar Amount",IF(O566="","",O566),"")))),"")</f>
        <v/>
      </c>
      <c r="Q566" s="408" t="str">
        <f ca="1" t="shared" si="54" ref="Q566:Q568">IFERROR(L566-P566,"")</f>
        <v/>
      </c>
      <c r="R566" s="410" t="str">
        <f>IFERROR(IF(P566="","",M566*P566),"")</f>
        <v/>
      </c>
      <c r="S566" s="411"/>
      <c r="T566" s="408" t="str" cm="1">
        <f t="array" ca="1" aca="1" ref="T566">_xlfn.IFNA(VLOOKUP(INDIRECT("T"&amp;ROW()-2)&amp;"_"&amp;$D$12,BEGIN_RENEW_HEALTH:END_RENEW_HEALTH,RENEW_COL_ES,FALSE),"")</f>
        <v/>
      </c>
      <c r="U566" s="412" t="str">
        <f t="shared" si="55" ref="U566:U568">IF(E566="","",E566)</f>
        <v/>
      </c>
      <c r="V566" s="413"/>
      <c r="W566" s="414"/>
      <c r="X566" s="415" t="str">
        <f>IFERROR(IF($V564="Keep Contribution Same",H566,IF($V564="Enter Percentages",IF(V566="","",V566*T566),IF($V564="Keep Percentage Same",IF(G566="","",G566*T566),IF($V564="Enter Dollar Amount",IF(W566="","",W566),"")))),"")</f>
        <v/>
      </c>
      <c r="Y566" s="408" t="str">
        <f ca="1" t="shared" si="56" ref="Y566:Y568">IFERROR(T566-X566,"")</f>
        <v/>
      </c>
      <c r="Z566" s="410" t="str">
        <f t="shared" si="57" ref="Z566:Z568">IFERROR(IF(X566="","",U566*X566),"")</f>
        <v/>
      </c>
    </row>
    <row r="567" spans="1:26" ht="18.75" customHeight="1">
      <c r="A567" s="140"/>
      <c r="B567" s="140"/>
      <c r="D567" s="172" t="s">
        <v>240</v>
      </c>
      <c r="E567" s="407"/>
      <c r="F567" s="449"/>
      <c r="G567" s="470"/>
      <c r="H567" s="449"/>
      <c r="I567" s="450"/>
      <c r="J567" s="410"/>
      <c r="K567" s="411"/>
      <c r="L567" s="408" t="str" cm="1">
        <f t="array" ca="1" aca="1" ref="L567">_xlfn.IFNA(VLOOKUP(INDIRECT("L"&amp;ROW()-3)&amp;"_"&amp;$D$12,BEGIN_RENEW_HEALTH:END_RENEW_HEALTH,RENEW_COL_EC,FALSE),"")</f>
        <v/>
      </c>
      <c r="M567" s="412" t="str">
        <f>IF(E567="","",E567)</f>
        <v/>
      </c>
      <c r="N567" s="413"/>
      <c r="O567" s="414"/>
      <c r="P567" s="415" t="str">
        <f>IFERROR(IF($N564="Keep Contribution Same",H567,IF($N564="Enter Percentages",IF(N567="","",N567*L567),IF($N564="Keep Percentage Same",IF(G567="","",G567*L567),IF($N564="Enter Dollar Amount",IF(O567="","",O567),"")))),"")</f>
        <v/>
      </c>
      <c r="Q567" s="408" t="str">
        <f t="shared" ca="1" si="54"/>
        <v/>
      </c>
      <c r="R567" s="410" t="str">
        <f>IFERROR(IF(P567="","",M567*P567),"")</f>
        <v/>
      </c>
      <c r="S567" s="411"/>
      <c r="T567" s="408" t="str" cm="1">
        <f t="array" ca="1" aca="1" ref="T567">_xlfn.IFNA(VLOOKUP(INDIRECT("T"&amp;ROW()-3)&amp;"_"&amp;$D$12,BEGIN_RENEW_HEALTH:END_RENEW_HEALTH,RENEW_COL_EC,FALSE),"")</f>
        <v/>
      </c>
      <c r="U567" s="412" t="str">
        <f t="shared" si="55"/>
        <v/>
      </c>
      <c r="V567" s="413"/>
      <c r="W567" s="414"/>
      <c r="X567" s="415" t="str">
        <f>IFERROR(IF($V564="Keep Contribution Same",H567,IF($V564="Enter Percentages",IF(V567="","",V567*T567),IF($V564="Keep Percentage Same",IF(G567="","",G567*T567),IF($V564="Enter Dollar Amount",IF(W567="","",W567),"")))),"")</f>
        <v/>
      </c>
      <c r="Y567" s="408" t="str">
        <f t="shared" ca="1" si="56"/>
        <v/>
      </c>
      <c r="Z567" s="410" t="str">
        <f t="shared" si="57"/>
        <v/>
      </c>
    </row>
    <row r="568" spans="1:26" ht="18.75" customHeight="1" thickBot="1">
      <c r="A568" s="140"/>
      <c r="B568" s="140"/>
      <c r="D568" s="174" t="s">
        <v>241</v>
      </c>
      <c r="E568" s="416"/>
      <c r="F568" s="451"/>
      <c r="G568" s="471"/>
      <c r="H568" s="451"/>
      <c r="I568" s="452"/>
      <c r="J568" s="419"/>
      <c r="K568" s="411"/>
      <c r="L568" s="417" t="str" cm="1">
        <f t="array" ca="1" aca="1" ref="L568">_xlfn.IFNA(VLOOKUP(INDIRECT("L"&amp;ROW()-4)&amp;"_"&amp;$D$12,BEGIN_RENEW_HEALTH:END_RENEW_HEALTH,RENEW_COL_FAM,FALSE),"")</f>
        <v/>
      </c>
      <c r="M568" s="423" t="str">
        <f>IF(E568="","",E568)</f>
        <v/>
      </c>
      <c r="N568" s="420"/>
      <c r="O568" s="421"/>
      <c r="P568" s="422" t="str">
        <f>IFERROR(IF($N564="Keep Contribution Same",H568,IF($N564="Enter Percentages",IF(N568="","",N568*L568),IF($N564="Keep Percentage Same",IF(G568="","",G568*L568),IF($N564="Enter Dollar Amount",IF(O568="","",O568),"")))),"")</f>
        <v/>
      </c>
      <c r="Q568" s="417" t="str">
        <f t="shared" ca="1" si="54"/>
        <v/>
      </c>
      <c r="R568" s="419" t="str">
        <f>IFERROR(IF(P568="","",M568*P568),"")</f>
        <v/>
      </c>
      <c r="S568" s="411"/>
      <c r="T568" s="417" t="str" cm="1">
        <f t="array" ca="1" aca="1" ref="T568">_xlfn.IFNA(VLOOKUP(INDIRECT("T"&amp;ROW()-4)&amp;"_"&amp;$D$12,BEGIN_RENEW_HEALTH:END_RENEW_HEALTH,RENEW_COL_FAM,FALSE),"")</f>
        <v/>
      </c>
      <c r="U568" s="423" t="str">
        <f t="shared" si="55"/>
        <v/>
      </c>
      <c r="V568" s="420"/>
      <c r="W568" s="421"/>
      <c r="X568" s="422" t="str">
        <f>IFERROR(IF($V564="Keep Contribution Same",H568,IF($V564="Enter Percentages",IF(V568="","",V568*T568),IF($V564="Keep Percentage Same",IF(G568="","",G568*T568),IF($V564="Enter Dollar Amount",IF(W568="","",W568),"")))),"")</f>
        <v/>
      </c>
      <c r="Y568" s="417" t="str">
        <f t="shared" ca="1" si="56"/>
        <v/>
      </c>
      <c r="Z568" s="419" t="str">
        <f t="shared" si="57"/>
        <v/>
      </c>
    </row>
    <row r="569" spans="1:26" ht="18.75" customHeight="1" thickTop="1">
      <c r="A569" s="140"/>
      <c r="B569" s="140"/>
      <c r="D569" s="175" t="s">
        <v>329</v>
      </c>
      <c r="E569" s="424"/>
      <c r="F569" s="447">
        <f>IFERROR((F565*E565)+(F566*E566)+(F567*E567)+(F568*E568),"")</f>
        <v>0</v>
      </c>
      <c r="G569" s="426"/>
      <c r="H569" s="427"/>
      <c r="I569" s="428"/>
      <c r="J569" s="429" t="str">
        <f>IFERROR(IF(J565="","",SUM(J565:J568)),0)</f>
        <v/>
      </c>
      <c r="K569" s="1"/>
      <c r="L569" s="430" t="str">
        <f ca="1">IFERROR((M565*L565)+(M566*L566)+(M567*L567)+(M568*L568),"")</f>
        <v/>
      </c>
      <c r="M569" s="427"/>
      <c r="N569" s="426"/>
      <c r="O569" s="427"/>
      <c r="P569" s="431"/>
      <c r="Q569" s="432"/>
      <c r="R569" s="429" t="str">
        <f>IFERROR(IF(R565="","",SUM(R565:R568)),0)</f>
        <v/>
      </c>
      <c r="T569" s="430" t="str">
        <f ca="1">IFERROR((U565*T565)+(U566*T566)+(U567*T567)+(U568*T568),"")</f>
        <v/>
      </c>
      <c r="U569" s="427"/>
      <c r="V569" s="426"/>
      <c r="W569" s="427"/>
      <c r="X569" s="431"/>
      <c r="Y569" s="432"/>
      <c r="Z569" s="429" t="str">
        <f>IFERROR(IF(Z565="","",SUM(Z565:Z568)),0)</f>
        <v/>
      </c>
    </row>
    <row r="570" spans="1:26" ht="18.75" customHeight="1">
      <c r="A570" s="140"/>
      <c r="B570" s="140"/>
      <c r="D570" s="177" t="s">
        <v>243</v>
      </c>
      <c r="E570" s="433"/>
      <c r="F570" s="448">
        <f>IFERROR(F569*12,"")</f>
        <v>0</v>
      </c>
      <c r="G570" s="435"/>
      <c r="H570" s="436"/>
      <c r="I570" s="432"/>
      <c r="J570" s="437" t="str">
        <f>IF(J569="","",J569*12)</f>
        <v/>
      </c>
      <c r="K570" s="1"/>
      <c r="L570" s="438" t="str">
        <f ca="1">IFERROR(L569*12,"")</f>
        <v/>
      </c>
      <c r="M570" s="436"/>
      <c r="N570" s="435"/>
      <c r="O570" s="436"/>
      <c r="P570" s="432"/>
      <c r="Q570" s="432"/>
      <c r="R570" s="437" t="str">
        <f>IF(R569="","",R569*12)</f>
        <v/>
      </c>
      <c r="T570" s="438" t="str">
        <f ca="1">IFERROR(T569*12,"")</f>
        <v/>
      </c>
      <c r="U570" s="436"/>
      <c r="V570" s="435"/>
      <c r="W570" s="436"/>
      <c r="X570" s="432"/>
      <c r="Y570" s="432"/>
      <c r="Z570" s="437" t="str">
        <f>IF(Z569="","",Z569*12)</f>
        <v/>
      </c>
    </row>
    <row r="571" spans="1:26" ht="18" customHeight="1">
      <c r="A571" s="140"/>
      <c r="B571" s="140"/>
      <c r="D571" s="177" t="s">
        <v>244</v>
      </c>
      <c r="E571" s="433"/>
      <c r="F571" s="436"/>
      <c r="G571" s="435"/>
      <c r="H571" s="436"/>
      <c r="I571" s="432"/>
      <c r="J571" s="437" t="str">
        <f>IFERROR(IF(J570="","",R570-J570),0)</f>
        <v/>
      </c>
      <c r="K571" s="1"/>
      <c r="L571" s="434" t="str">
        <f ca="1">IFERROR(L570-F570,"")</f>
        <v/>
      </c>
      <c r="M571" s="436"/>
      <c r="N571" s="435"/>
      <c r="O571" s="436"/>
      <c r="P571" s="432"/>
      <c r="Q571" s="432"/>
      <c r="R571" s="437" t="str">
        <f>IFERROR(IF(J570="","",R570-J570),0)</f>
        <v/>
      </c>
      <c r="T571" s="434" t="str">
        <f ca="1">IFERROR(T570-F570,"")</f>
        <v/>
      </c>
      <c r="U571" s="436"/>
      <c r="V571" s="435"/>
      <c r="W571" s="436"/>
      <c r="X571" s="432"/>
      <c r="Y571" s="432"/>
      <c r="Z571" s="437" t="str">
        <f>IFERROR(IF(R570="","",Z570-R570),0)</f>
        <v/>
      </c>
    </row>
    <row r="572" spans="1:26" ht="18" customHeight="1" thickBot="1">
      <c r="A572" s="140"/>
      <c r="B572" s="140"/>
      <c r="D572" s="180" t="s">
        <v>245</v>
      </c>
      <c r="E572" s="439"/>
      <c r="F572" s="440"/>
      <c r="G572" s="441"/>
      <c r="H572" s="440"/>
      <c r="I572" s="442"/>
      <c r="J572" s="437" t="str">
        <f>IFERROR(IF(J570="","",(R570/J570)-1),0)</f>
        <v/>
      </c>
      <c r="K572" s="1"/>
      <c r="L572" s="444" t="str">
        <f ca="1">IFERROR(L570/F570-1,"")</f>
        <v/>
      </c>
      <c r="M572" s="440"/>
      <c r="N572" s="441"/>
      <c r="O572" s="440"/>
      <c r="P572" s="445"/>
      <c r="Q572" s="445"/>
      <c r="R572" s="446" t="str">
        <f>IFERROR(IF(J570="","",(R570/J570)-1),0)</f>
        <v/>
      </c>
      <c r="T572" s="444" t="str">
        <f ca="1">IFERROR(T570/F570-1,"")</f>
        <v/>
      </c>
      <c r="U572" s="440"/>
      <c r="V572" s="441"/>
      <c r="W572" s="440"/>
      <c r="X572" s="445"/>
      <c r="Y572" s="445"/>
      <c r="Z572" s="446" t="str">
        <f>IFERROR(IF(R570="","",(Z570/R570)-1),0)</f>
        <v/>
      </c>
    </row>
    <row r="573" spans="1:26" ht="18" customHeight="1">
      <c r="A573" s="140"/>
      <c r="B573" s="140"/>
      <c r="D573" s="181" t="s">
        <v>246</v>
      </c>
      <c r="E573" s="182"/>
      <c r="F573" s="182"/>
      <c r="G573" s="182"/>
      <c r="H573" s="182"/>
      <c r="I573" s="182"/>
      <c r="J573" s="183"/>
      <c r="K573"/>
      <c r="L573" s="184"/>
      <c r="M573" s="182"/>
      <c r="N573" s="182"/>
      <c r="O573" s="182"/>
      <c r="P573" s="182"/>
      <c r="Q573" s="182"/>
      <c r="R573" s="183"/>
      <c r="T573" s="184"/>
      <c r="U573" s="182"/>
      <c r="V573" s="182"/>
      <c r="W573" s="182"/>
      <c r="X573" s="182"/>
      <c r="Y573" s="182"/>
      <c r="Z573" s="183"/>
    </row>
    <row r="574" spans="1:26" ht="18" customHeight="1" hidden="1">
      <c r="A574" s="140"/>
      <c r="B574" s="140"/>
      <c r="D574" s="185" t="s">
        <v>247</v>
      </c>
      <c r="E574" s="186"/>
      <c r="F574" s="186"/>
      <c r="G574" s="186"/>
      <c r="H574" s="186"/>
      <c r="I574" s="186"/>
      <c r="J574" s="187"/>
      <c r="K574"/>
      <c r="L574" s="188"/>
      <c r="M574" s="186"/>
      <c r="N574" s="186"/>
      <c r="O574" s="186"/>
      <c r="P574" s="186"/>
      <c r="Q574" s="186"/>
      <c r="R574" s="187"/>
      <c r="T574" s="188"/>
      <c r="U574" s="186"/>
      <c r="V574" s="186"/>
      <c r="W574" s="186"/>
      <c r="X574" s="186"/>
      <c r="Y574" s="186"/>
      <c r="Z574" s="187"/>
    </row>
    <row r="575" spans="1:26" ht="18" customHeight="1" hidden="1">
      <c r="A575" s="140"/>
      <c r="B575" s="140"/>
      <c r="D575" s="189" t="s">
        <v>248</v>
      </c>
      <c r="E575" s="190" t="str">
        <f>D564&amp;"_"&amp;D12</f>
        <v>NEW PLAN_PRIMARY</v>
      </c>
      <c r="F575" s="191"/>
      <c r="G575" s="191"/>
      <c r="H575" s="191"/>
      <c r="I575" s="190"/>
      <c r="J575" s="192"/>
      <c r="K575"/>
      <c r="L575" s="193" t="str">
        <f>L564&amp;"_"&amp;D12</f>
        <v>SELECT PLAN_PRIMARY</v>
      </c>
      <c r="M575" s="191"/>
      <c r="N575" s="191"/>
      <c r="O575" s="191"/>
      <c r="P575" s="190"/>
      <c r="Q575" s="191"/>
      <c r="R575" s="192"/>
      <c r="T575" s="193" t="str">
        <f>T564&amp;"_"&amp;D12</f>
        <v>SELECT PLAN_PRIMARY</v>
      </c>
      <c r="U575" s="191"/>
      <c r="V575" s="191"/>
      <c r="W575" s="191"/>
      <c r="X575" s="190"/>
      <c r="Y575" s="191"/>
      <c r="Z575" s="192"/>
    </row>
    <row r="576" spans="1:26" ht="18" customHeight="1" hidden="1">
      <c r="A576" s="140"/>
      <c r="B576" s="140"/>
      <c r="D576" s="189" t="s">
        <v>249</v>
      </c>
      <c r="E576" s="191"/>
      <c r="F576" s="191"/>
      <c r="G576" s="191"/>
      <c r="H576" s="191"/>
      <c r="I576" s="191"/>
      <c r="J576" s="192"/>
      <c r="K576"/>
      <c r="L576" s="189"/>
      <c r="M576" s="191"/>
      <c r="N576" s="191"/>
      <c r="O576" s="191"/>
      <c r="P576" s="191"/>
      <c r="Q576" s="191"/>
      <c r="R576" s="192"/>
      <c r="T576" s="189"/>
      <c r="U576" s="191"/>
      <c r="V576" s="191"/>
      <c r="W576" s="191"/>
      <c r="X576" s="191"/>
      <c r="Y576" s="191"/>
      <c r="Z576" s="192"/>
    </row>
    <row r="577" spans="1:26" ht="18" customHeight="1" hidden="1">
      <c r="A577" s="140"/>
      <c r="B577" s="140"/>
      <c r="D577" s="194" t="s">
        <v>250</v>
      </c>
      <c r="E577" s="195"/>
      <c r="F577" s="195"/>
      <c r="G577" s="195"/>
      <c r="H577" s="195"/>
      <c r="I577" s="195"/>
      <c r="J577" s="196"/>
      <c r="K577"/>
      <c r="L577" s="197"/>
      <c r="M577" s="195"/>
      <c r="N577" s="195"/>
      <c r="O577" s="195"/>
      <c r="P577" s="195"/>
      <c r="Q577" s="195"/>
      <c r="R577" s="196"/>
      <c r="T577" s="197"/>
      <c r="U577" s="195"/>
      <c r="V577" s="195"/>
      <c r="W577" s="195"/>
      <c r="X577" s="195"/>
      <c r="Y577" s="195"/>
      <c r="Z577" s="196"/>
    </row>
    <row r="578" spans="1:26" ht="18" customHeight="1" hidden="1">
      <c r="A578" s="140"/>
      <c r="B578" s="140"/>
      <c r="D578" s="198" t="s">
        <v>251</v>
      </c>
      <c r="E578" s="199" t="str">
        <f>_xlfn.XLOOKUP(E575,CurrentPlans!B:B,CurrentPlans!X:X,"NA",0,1)</f>
        <v>NA</v>
      </c>
      <c r="F578" s="200"/>
      <c r="G578" s="200"/>
      <c r="H578" s="200"/>
      <c r="I578" s="199"/>
      <c r="J578" s="201"/>
      <c r="K578"/>
      <c r="L578" s="202" t="str">
        <f>_xlfn.XLOOKUP(L575,RenewalPlans!B:B,RenewalPlans!AA:AA,"NA",0,1)</f>
        <v>NA</v>
      </c>
      <c r="M578" s="200"/>
      <c r="N578" s="200"/>
      <c r="O578" s="200"/>
      <c r="P578" s="199"/>
      <c r="Q578" s="200"/>
      <c r="R578" s="201"/>
      <c r="T578" s="202" t="str">
        <f>_xlfn.XLOOKUP(T575,RenewalPlans!B:B,RenewalPlans!AA:AA,"NA",0,1)</f>
        <v>NA</v>
      </c>
      <c r="U578" s="200"/>
      <c r="V578" s="200"/>
      <c r="W578" s="200"/>
      <c r="X578" s="199"/>
      <c r="Y578" s="200"/>
      <c r="Z578" s="201"/>
    </row>
    <row r="579" spans="1:26" ht="18" customHeight="1" hidden="1">
      <c r="A579" s="140"/>
      <c r="B579" s="140"/>
      <c r="D579" s="198" t="s">
        <v>252</v>
      </c>
      <c r="E579" s="199" t="str">
        <f>_xlfn.XLOOKUP(E575,CurrentPlans!B:B,CurrentPlans!Y:Y,"NA",0,1)</f>
        <v>NA</v>
      </c>
      <c r="F579" s="200"/>
      <c r="G579" s="200"/>
      <c r="H579" s="200"/>
      <c r="I579" s="199"/>
      <c r="J579" s="201"/>
      <c r="K579"/>
      <c r="L579" s="202" t="str">
        <f>_xlfn.XLOOKUP(L575,RenewalPlans!B:B,RenewalPlans!AB:AB,"NA",0,1)</f>
        <v>NA</v>
      </c>
      <c r="M579" s="200"/>
      <c r="N579" s="200"/>
      <c r="O579" s="200"/>
      <c r="P579" s="199"/>
      <c r="Q579" s="200"/>
      <c r="R579" s="201"/>
      <c r="T579" s="202" t="str">
        <f>_xlfn.XLOOKUP(T575,RenewalPlans!B:B,RenewalPlans!AB:AB,"NA",0,1)</f>
        <v>NA</v>
      </c>
      <c r="U579" s="200"/>
      <c r="V579" s="200"/>
      <c r="W579" s="200"/>
      <c r="X579" s="199"/>
      <c r="Y579" s="200"/>
      <c r="Z579" s="201"/>
    </row>
    <row r="580" spans="1:26" ht="18" customHeight="1" hidden="1">
      <c r="A580" s="140"/>
      <c r="B580" s="140"/>
      <c r="D580" s="120" t="s">
        <v>253</v>
      </c>
      <c r="E580" s="121" t="str">
        <f>_xlfn.XLOOKUP(E575,CurrentPlans!B:B,CurrentPlans!W:W,"NA",0,1)</f>
        <v>NA</v>
      </c>
      <c r="F580" s="122"/>
      <c r="G580" s="122"/>
      <c r="H580" s="122"/>
      <c r="I580" s="121"/>
      <c r="J580" s="123"/>
      <c r="K580"/>
      <c r="L580" s="124" t="str">
        <f>_xlfn.XLOOKUP(L575,RenewalPlans!B:B,RenewalPlans!Z:Z,"NA",0,1)</f>
        <v>NA</v>
      </c>
      <c r="M580" s="122"/>
      <c r="N580" s="122"/>
      <c r="O580" s="122"/>
      <c r="P580" s="121"/>
      <c r="Q580" s="122"/>
      <c r="R580" s="123"/>
      <c r="T580" s="124" t="str">
        <f>_xlfn.XLOOKUP(T575,RenewalPlans!B:B,RenewalPlans!Z:Z,"NA",0,1)</f>
        <v>NA</v>
      </c>
      <c r="U580" s="122"/>
      <c r="V580" s="122"/>
      <c r="W580" s="122"/>
      <c r="X580" s="121"/>
      <c r="Y580" s="122"/>
      <c r="Z580" s="123"/>
    </row>
    <row r="581" spans="1:26" ht="18" customHeight="1" hidden="1">
      <c r="A581" s="140"/>
      <c r="B581" s="140"/>
      <c r="D581" s="203" t="s">
        <v>254</v>
      </c>
      <c r="E581" s="204"/>
      <c r="F581" s="205"/>
      <c r="G581" s="205"/>
      <c r="H581" s="205"/>
      <c r="I581" s="204"/>
      <c r="J581" s="206"/>
      <c r="K581"/>
      <c r="L581" s="207"/>
      <c r="M581" s="205"/>
      <c r="N581" s="205"/>
      <c r="O581" s="205"/>
      <c r="P581" s="204"/>
      <c r="Q581" s="205"/>
      <c r="R581" s="206"/>
      <c r="T581" s="207"/>
      <c r="U581" s="205"/>
      <c r="V581" s="205"/>
      <c r="W581" s="205"/>
      <c r="X581" s="204"/>
      <c r="Y581" s="205"/>
      <c r="Z581" s="206"/>
    </row>
    <row r="582" spans="1:26" ht="18" customHeight="1" hidden="1">
      <c r="A582" s="140"/>
      <c r="B582" s="140"/>
      <c r="D582" s="125" t="s">
        <v>255</v>
      </c>
      <c r="E582" s="126" t="str">
        <f>_xlfn.XLOOKUP(E575,CurrentPlans!B:B,CurrentPlans!Z:Z,"NA",0,1)</f>
        <v>NA</v>
      </c>
      <c r="F582" s="127"/>
      <c r="G582" s="127"/>
      <c r="H582" s="127"/>
      <c r="I582" s="126"/>
      <c r="J582" s="128"/>
      <c r="K582"/>
      <c r="L582" s="129" t="str">
        <f>_xlfn.XLOOKUP(L575,RenewalPlans!B:B,RenewalPlans!AC:AC,"NA",0,1)</f>
        <v>NA</v>
      </c>
      <c r="M582" s="127"/>
      <c r="N582" s="127"/>
      <c r="O582" s="127"/>
      <c r="P582" s="126"/>
      <c r="Q582" s="127"/>
      <c r="R582" s="128"/>
      <c r="T582" s="129" t="str">
        <f>_xlfn.XLOOKUP(T575,RenewalPlans!B:B,RenewalPlans!AC:AC,"NA",0,1)</f>
        <v>NA</v>
      </c>
      <c r="U582" s="127"/>
      <c r="V582" s="127"/>
      <c r="W582" s="127"/>
      <c r="X582" s="126"/>
      <c r="Y582" s="127"/>
      <c r="Z582" s="128"/>
    </row>
    <row r="583" spans="1:26" ht="18" customHeight="1" hidden="1">
      <c r="A583" s="140"/>
      <c r="B583" s="140"/>
      <c r="D583" s="198" t="s">
        <v>256</v>
      </c>
      <c r="E583" s="208" t="str">
        <f>_xlfn.XLOOKUP(E575,CurrentPlans!B:B,CurrentPlans!AA:AA,"NA",0,1)</f>
        <v>NA</v>
      </c>
      <c r="F583" s="200"/>
      <c r="G583" s="200"/>
      <c r="H583" s="200"/>
      <c r="I583" s="208"/>
      <c r="J583" s="201"/>
      <c r="K583"/>
      <c r="L583" s="209" t="str">
        <f>_xlfn.XLOOKUP(L575,RenewalPlans!B:B,RenewalPlans!AD:AD,"NA",0,1)</f>
        <v>NA</v>
      </c>
      <c r="M583" s="200"/>
      <c r="N583" s="200"/>
      <c r="O583" s="200"/>
      <c r="P583" s="208"/>
      <c r="Q583" s="200"/>
      <c r="R583" s="201"/>
      <c r="T583" s="209" t="str">
        <f>_xlfn.XLOOKUP(T575,RenewalPlans!B:B,RenewalPlans!AD:AD,"NA",0,1)</f>
        <v>NA</v>
      </c>
      <c r="U583" s="200"/>
      <c r="V583" s="200"/>
      <c r="W583" s="200"/>
      <c r="X583" s="208"/>
      <c r="Y583" s="200"/>
      <c r="Z583" s="201"/>
    </row>
    <row r="584" spans="1:26" ht="18" customHeight="1" hidden="1">
      <c r="A584" s="140"/>
      <c r="B584" s="140"/>
      <c r="D584" s="203" t="s">
        <v>257</v>
      </c>
      <c r="E584" s="204"/>
      <c r="F584" s="205"/>
      <c r="G584" s="205"/>
      <c r="H584" s="205"/>
      <c r="I584" s="204"/>
      <c r="J584" s="206"/>
      <c r="K584"/>
      <c r="L584" s="207"/>
      <c r="M584" s="205"/>
      <c r="N584" s="205"/>
      <c r="O584" s="205"/>
      <c r="P584" s="204"/>
      <c r="Q584" s="205"/>
      <c r="R584" s="206"/>
      <c r="T584" s="207"/>
      <c r="U584" s="205"/>
      <c r="V584" s="205"/>
      <c r="W584" s="205"/>
      <c r="X584" s="204"/>
      <c r="Y584" s="205"/>
      <c r="Z584" s="206"/>
    </row>
    <row r="585" spans="1:26" ht="18" customHeight="1" hidden="1">
      <c r="A585" s="140"/>
      <c r="B585" s="140"/>
      <c r="D585" s="198" t="s">
        <v>258</v>
      </c>
      <c r="E585" s="208" t="str">
        <f>_xlfn.XLOOKUP(E575,CurrentPlans!B:B,CurrentPlans!AB:AB,"NA",0,1)</f>
        <v>NA</v>
      </c>
      <c r="F585" s="200"/>
      <c r="G585" s="200"/>
      <c r="H585" s="200"/>
      <c r="I585" s="208"/>
      <c r="J585" s="201"/>
      <c r="K585"/>
      <c r="L585" s="209" t="str">
        <f>_xlfn.XLOOKUP(L575,RenewalPlans!B:B,RenewalPlans!AE:AE,"NA",0,1)</f>
        <v>NA</v>
      </c>
      <c r="M585" s="200"/>
      <c r="N585" s="200"/>
      <c r="O585" s="200"/>
      <c r="P585" s="208"/>
      <c r="Q585" s="200"/>
      <c r="R585" s="201"/>
      <c r="T585" s="209" t="str">
        <f>_xlfn.XLOOKUP(T575,RenewalPlans!B:B,RenewalPlans!AE:AE,"NA",0,1)</f>
        <v>NA</v>
      </c>
      <c r="U585" s="200"/>
      <c r="V585" s="200"/>
      <c r="W585" s="200"/>
      <c r="X585" s="208"/>
      <c r="Y585" s="200"/>
      <c r="Z585" s="201"/>
    </row>
    <row r="586" spans="1:26" ht="18" customHeight="1" hidden="1">
      <c r="A586" s="140"/>
      <c r="B586" s="140"/>
      <c r="D586" s="198" t="s">
        <v>259</v>
      </c>
      <c r="E586" s="208" t="str">
        <f>_xlfn.XLOOKUP(E575,CurrentPlans!B:B,CurrentPlans!AC:AC,"NA",0,1)</f>
        <v>NA</v>
      </c>
      <c r="F586" s="200"/>
      <c r="G586" s="200"/>
      <c r="H586" s="200"/>
      <c r="I586" s="208"/>
      <c r="J586" s="201"/>
      <c r="K586"/>
      <c r="L586" s="209" t="str">
        <f>_xlfn.XLOOKUP(L575,RenewalPlans!B:B,RenewalPlans!AF:AF,"NA",0,1)</f>
        <v>NA</v>
      </c>
      <c r="M586" s="200"/>
      <c r="N586" s="200"/>
      <c r="O586" s="200"/>
      <c r="P586" s="208"/>
      <c r="Q586" s="200"/>
      <c r="R586" s="201"/>
      <c r="T586" s="209" t="str">
        <f>_xlfn.XLOOKUP(T575,RenewalPlans!B:B,RenewalPlans!AF:AF,"NA",0,1)</f>
        <v>NA</v>
      </c>
      <c r="U586" s="200"/>
      <c r="V586" s="200"/>
      <c r="W586" s="200"/>
      <c r="X586" s="208"/>
      <c r="Y586" s="200"/>
      <c r="Z586" s="201"/>
    </row>
    <row r="587" spans="1:26" ht="18" customHeight="1" hidden="1">
      <c r="A587" s="140"/>
      <c r="B587" s="140"/>
      <c r="D587" s="210"/>
      <c r="E587" s="211"/>
      <c r="F587" s="211"/>
      <c r="G587" s="211"/>
      <c r="H587" s="211"/>
      <c r="I587" s="211"/>
      <c r="J587" s="212"/>
      <c r="K587"/>
      <c r="L587" s="210"/>
      <c r="M587" s="211"/>
      <c r="N587" s="211"/>
      <c r="O587" s="211"/>
      <c r="P587" s="211"/>
      <c r="Q587" s="211"/>
      <c r="R587" s="212"/>
      <c r="T587" s="210"/>
      <c r="U587" s="211"/>
      <c r="V587" s="211"/>
      <c r="W587" s="211"/>
      <c r="X587" s="211"/>
      <c r="Y587" s="211"/>
      <c r="Z587" s="212"/>
    </row>
    <row r="588" spans="1:26" ht="18" customHeight="1" hidden="1">
      <c r="A588" s="140"/>
      <c r="B588" s="140"/>
      <c r="D588" s="185" t="s">
        <v>260</v>
      </c>
      <c r="E588" s="186"/>
      <c r="F588" s="186"/>
      <c r="G588" s="186"/>
      <c r="H588" s="186"/>
      <c r="I588" s="186"/>
      <c r="J588" s="187"/>
      <c r="K588"/>
      <c r="L588" s="188"/>
      <c r="M588" s="186"/>
      <c r="N588" s="186"/>
      <c r="O588" s="186"/>
      <c r="P588" s="186"/>
      <c r="Q588" s="186"/>
      <c r="R588" s="187"/>
      <c r="T588" s="188"/>
      <c r="U588" s="186"/>
      <c r="V588" s="186"/>
      <c r="W588" s="186"/>
      <c r="X588" s="186"/>
      <c r="Y588" s="186"/>
      <c r="Z588" s="187"/>
    </row>
    <row r="589" spans="1:26" ht="18" customHeight="1" hidden="1">
      <c r="A589" s="140"/>
      <c r="B589" s="140"/>
      <c r="D589" s="213" t="s">
        <v>261</v>
      </c>
      <c r="E589" s="130" t="str">
        <f>_xlfn.XLOOKUP(E575,CurrentPlans!B:B,CurrentPlans!AJ:AJ,"NA",0,1)</f>
        <v>NA</v>
      </c>
      <c r="F589" s="214"/>
      <c r="G589" s="214"/>
      <c r="H589" s="214"/>
      <c r="I589" s="130"/>
      <c r="J589" s="215"/>
      <c r="K589"/>
      <c r="L589" s="131" t="str">
        <f>_xlfn.XLOOKUP(L575,RenewalPlans!B:B,RenewalPlans!AM:AM,"NA",0,1)</f>
        <v>NA</v>
      </c>
      <c r="M589" s="214"/>
      <c r="N589" s="214"/>
      <c r="O589" s="214"/>
      <c r="P589" s="130"/>
      <c r="Q589" s="214"/>
      <c r="R589" s="215"/>
      <c r="T589" s="131" t="str">
        <f>_xlfn.XLOOKUP(T575,RenewalPlans!B:B,RenewalPlans!AM:AM,"NA",0,1)</f>
        <v>NA</v>
      </c>
      <c r="U589" s="214"/>
      <c r="V589" s="214"/>
      <c r="W589" s="214"/>
      <c r="X589" s="130"/>
      <c r="Y589" s="214"/>
      <c r="Z589" s="215"/>
    </row>
    <row r="590" spans="1:26" ht="18" customHeight="1" hidden="1">
      <c r="A590" s="140"/>
      <c r="B590" s="140"/>
      <c r="D590" s="198" t="s">
        <v>262</v>
      </c>
      <c r="E590" s="130" t="str">
        <f>_xlfn.XLOOKUP(E575,CurrentPlans!B:B,CurrentPlans!AM:AM,"NA",0,1)</f>
        <v>NA</v>
      </c>
      <c r="F590" s="200"/>
      <c r="G590" s="200"/>
      <c r="H590" s="200"/>
      <c r="I590" s="130"/>
      <c r="J590" s="201"/>
      <c r="K590"/>
      <c r="L590" s="131" t="str">
        <f>_xlfn.XLOOKUP(L575,RenewalPlans!B:B,RenewalPlans!AP:AP,"NA",0,1)</f>
        <v>NA</v>
      </c>
      <c r="M590" s="200"/>
      <c r="N590" s="200"/>
      <c r="O590" s="200"/>
      <c r="P590" s="130"/>
      <c r="Q590" s="200"/>
      <c r="R590" s="201"/>
      <c r="T590" s="131" t="str">
        <f>_xlfn.XLOOKUP(T575,RenewalPlans!B:B,RenewalPlans!AP:AP,"NA",0,1)</f>
        <v>NA</v>
      </c>
      <c r="U590" s="200"/>
      <c r="V590" s="200"/>
      <c r="W590" s="200"/>
      <c r="X590" s="130"/>
      <c r="Y590" s="200"/>
      <c r="Z590" s="201"/>
    </row>
    <row r="591" spans="1:26" ht="18" customHeight="1" hidden="1">
      <c r="A591" s="140"/>
      <c r="B591" s="140"/>
      <c r="D591" s="198" t="s">
        <v>263</v>
      </c>
      <c r="E591" s="130" t="str">
        <f>_xlfn.XLOOKUP(E575,CurrentPlans!B:B,CurrentPlans!AI:AI,"NA",0,1)</f>
        <v>NA</v>
      </c>
      <c r="F591" s="200"/>
      <c r="G591" s="200"/>
      <c r="H591" s="200"/>
      <c r="I591" s="130"/>
      <c r="J591" s="201"/>
      <c r="K591"/>
      <c r="L591" s="131" t="str">
        <f>_xlfn.XLOOKUP(L575,RenewalPlans!B:B,RenewalPlans!AL:AL,"NA",0,1)</f>
        <v>NA</v>
      </c>
      <c r="M591" s="200"/>
      <c r="N591" s="200"/>
      <c r="O591" s="200"/>
      <c r="P591" s="130"/>
      <c r="Q591" s="200"/>
      <c r="R591" s="201"/>
      <c r="T591" s="131" t="str">
        <f>_xlfn.XLOOKUP(T575,RenewalPlans!B:B,RenewalPlans!AL:AL,"NA",0,1)</f>
        <v>NA</v>
      </c>
      <c r="U591" s="200"/>
      <c r="V591" s="200"/>
      <c r="W591" s="200"/>
      <c r="X591" s="130"/>
      <c r="Y591" s="200"/>
      <c r="Z591" s="201"/>
    </row>
    <row r="592" spans="1:26" ht="18" customHeight="1" hidden="1">
      <c r="A592" s="140"/>
      <c r="B592" s="140"/>
      <c r="D592" s="198" t="s">
        <v>264</v>
      </c>
      <c r="E592" s="208" t="str">
        <f>_xlfn.XLOOKUP(E575,CurrentPlans!B:B,CurrentPlans!AN:AN,"NA",0,1)</f>
        <v>NA</v>
      </c>
      <c r="F592" s="200"/>
      <c r="G592" s="200"/>
      <c r="H592" s="200"/>
      <c r="I592" s="208"/>
      <c r="J592" s="201"/>
      <c r="K592"/>
      <c r="L592" s="209" t="str">
        <f>_xlfn.XLOOKUP(L575,RenewalPlans!B:B,RenewalPlans!AQ:AQ,"NA",0,1)</f>
        <v>NA</v>
      </c>
      <c r="M592" s="200"/>
      <c r="N592" s="200"/>
      <c r="O592" s="200"/>
      <c r="P592" s="208"/>
      <c r="Q592" s="200"/>
      <c r="R592" s="201"/>
      <c r="T592" s="209" t="str">
        <f>_xlfn.XLOOKUP(T575,RenewalPlans!B:B,RenewalPlans!AQ:AQ,"NA",0,1)</f>
        <v>NA</v>
      </c>
      <c r="U592" s="200"/>
      <c r="V592" s="200"/>
      <c r="W592" s="200"/>
      <c r="X592" s="208"/>
      <c r="Y592" s="200"/>
      <c r="Z592" s="201"/>
    </row>
    <row r="593" spans="1:26" ht="18" customHeight="1" hidden="1">
      <c r="A593" s="140"/>
      <c r="B593" s="140"/>
      <c r="D593" s="210"/>
      <c r="E593" s="211"/>
      <c r="F593" s="211"/>
      <c r="G593" s="211"/>
      <c r="H593" s="211"/>
      <c r="I593" s="211"/>
      <c r="J593" s="212"/>
      <c r="K593"/>
      <c r="L593" s="210"/>
      <c r="M593" s="211"/>
      <c r="N593" s="211"/>
      <c r="O593" s="211"/>
      <c r="P593" s="211"/>
      <c r="Q593" s="211"/>
      <c r="R593" s="212"/>
      <c r="T593" s="210"/>
      <c r="U593" s="211"/>
      <c r="V593" s="211"/>
      <c r="W593" s="211"/>
      <c r="X593" s="211"/>
      <c r="Y593" s="211"/>
      <c r="Z593" s="212"/>
    </row>
    <row r="594" spans="1:26" ht="18" customHeight="1" hidden="1">
      <c r="A594" s="140"/>
      <c r="B594" s="140"/>
      <c r="D594" s="185" t="s">
        <v>265</v>
      </c>
      <c r="E594" s="186"/>
      <c r="F594" s="186"/>
      <c r="G594" s="186"/>
      <c r="H594" s="186"/>
      <c r="I594" s="186"/>
      <c r="J594" s="187"/>
      <c r="K594"/>
      <c r="L594" s="188"/>
      <c r="M594" s="186"/>
      <c r="N594" s="186"/>
      <c r="O594" s="186"/>
      <c r="P594" s="186"/>
      <c r="Q594" s="186"/>
      <c r="R594" s="187"/>
      <c r="T594" s="188"/>
      <c r="U594" s="186"/>
      <c r="V594" s="186"/>
      <c r="W594" s="186"/>
      <c r="X594" s="186"/>
      <c r="Y594" s="186"/>
      <c r="Z594" s="187"/>
    </row>
    <row r="595" spans="1:26" ht="18" customHeight="1" hidden="1">
      <c r="A595" s="140"/>
      <c r="B595" s="140"/>
      <c r="D595" s="132" t="s">
        <v>266</v>
      </c>
      <c r="E595" s="133" t="str">
        <f>_xlfn.XLOOKUP(E575,CurrentPlans!B:B,CurrentPlans!AE:AE,"NA",0,1)</f>
        <v>NA</v>
      </c>
      <c r="F595" s="134"/>
      <c r="G595" s="134"/>
      <c r="H595" s="134"/>
      <c r="I595" s="133"/>
      <c r="J595" s="135"/>
      <c r="K595"/>
      <c r="L595" s="136" t="str">
        <f>_xlfn.XLOOKUP(L575,RenewalPlans!B:B,RenewalPlans!AH:AH,"NA",0,1)</f>
        <v>NA</v>
      </c>
      <c r="M595" s="134"/>
      <c r="N595" s="134"/>
      <c r="O595" s="134"/>
      <c r="P595" s="133"/>
      <c r="Q595" s="134"/>
      <c r="R595" s="135"/>
      <c r="T595" s="136" t="str">
        <f>_xlfn.XLOOKUP(T575,RenewalPlans!B:B,RenewalPlans!AH:AH,"NA",0,1)</f>
        <v>NA</v>
      </c>
      <c r="U595" s="134"/>
      <c r="V595" s="134"/>
      <c r="W595" s="134"/>
      <c r="X595" s="133"/>
      <c r="Y595" s="134"/>
      <c r="Z595" s="135"/>
    </row>
    <row r="596" spans="1:26" ht="18" customHeight="1" hidden="1">
      <c r="A596" s="140"/>
      <c r="B596" s="140"/>
      <c r="D596" s="120" t="s">
        <v>267</v>
      </c>
      <c r="E596" s="130" t="str">
        <f>_xlfn.XLOOKUP(E575,CurrentPlans!B:B,CurrentPlans!AF:AF,"NA",0,1)</f>
        <v>NA</v>
      </c>
      <c r="F596" s="122"/>
      <c r="G596" s="122"/>
      <c r="H596" s="122"/>
      <c r="I596" s="130"/>
      <c r="J596" s="123"/>
      <c r="K596"/>
      <c r="L596" s="131" t="str">
        <f>_xlfn.XLOOKUP(L575,RenewalPlans!B:B,RenewalPlans!AI:AI,"NA",0,1)</f>
        <v>NA</v>
      </c>
      <c r="M596" s="122"/>
      <c r="N596" s="122"/>
      <c r="O596" s="122"/>
      <c r="P596" s="130"/>
      <c r="Q596" s="122"/>
      <c r="R596" s="123"/>
      <c r="T596" s="131" t="str">
        <f>_xlfn.XLOOKUP(T575,RenewalPlans!B:B,RenewalPlans!AI:AI,"NA",0,1)</f>
        <v>NA</v>
      </c>
      <c r="U596" s="122"/>
      <c r="V596" s="122"/>
      <c r="W596" s="122"/>
      <c r="X596" s="130"/>
      <c r="Y596" s="122"/>
      <c r="Z596" s="123"/>
    </row>
    <row r="597" spans="1:26" ht="18" customHeight="1" hidden="1">
      <c r="A597" s="140"/>
      <c r="B597" s="140"/>
      <c r="D597" s="198" t="s">
        <v>268</v>
      </c>
      <c r="E597" s="130" t="str">
        <f>_xlfn.XLOOKUP(E575,CurrentPlans!B:B,CurrentPlans!AH:AH,"NA",0,1)</f>
        <v>NA</v>
      </c>
      <c r="F597" s="200"/>
      <c r="G597" s="200"/>
      <c r="H597" s="200"/>
      <c r="I597" s="130"/>
      <c r="J597" s="201"/>
      <c r="K597"/>
      <c r="L597" s="131" t="str">
        <f>_xlfn.XLOOKUP(L575,RenewalPlans!B:B,RenewalPlans!AK:AK,"NA",0,1)</f>
        <v>NA</v>
      </c>
      <c r="M597" s="200"/>
      <c r="N597" s="200"/>
      <c r="O597" s="200"/>
      <c r="P597" s="130"/>
      <c r="Q597" s="200"/>
      <c r="R597" s="201"/>
      <c r="T597" s="131" t="str">
        <f>_xlfn.XLOOKUP(T575,RenewalPlans!B:B,RenewalPlans!AK:AK,"NA",0,1)</f>
        <v>NA</v>
      </c>
      <c r="U597" s="200"/>
      <c r="V597" s="200"/>
      <c r="W597" s="200"/>
      <c r="X597" s="130"/>
      <c r="Y597" s="200"/>
      <c r="Z597" s="201"/>
    </row>
    <row r="598" spans="1:26" ht="18" customHeight="1" hidden="1">
      <c r="A598" s="140"/>
      <c r="B598" s="140"/>
      <c r="D598" s="198" t="s">
        <v>269</v>
      </c>
      <c r="E598" s="130" t="str">
        <f>_xlfn.XLOOKUP(E575,CurrentPlans!B:B,CurrentPlans!AG:AG,"NA",0,1)</f>
        <v>NA</v>
      </c>
      <c r="F598" s="200"/>
      <c r="G598" s="200"/>
      <c r="H598" s="200"/>
      <c r="I598" s="130"/>
      <c r="J598" s="201"/>
      <c r="K598"/>
      <c r="L598" s="131" t="str">
        <f>_xlfn.XLOOKUP(L575,RenewalPlans!B:B,RenewalPlans!AJ:AJ,"NA",0,1)</f>
        <v>NA</v>
      </c>
      <c r="M598" s="200"/>
      <c r="N598" s="200"/>
      <c r="O598" s="200"/>
      <c r="P598" s="130"/>
      <c r="Q598" s="200"/>
      <c r="R598" s="201"/>
      <c r="T598" s="131" t="str">
        <f>_xlfn.XLOOKUP(T575,RenewalPlans!B:B,RenewalPlans!AJ:AJ,"NA",0,1)</f>
        <v>NA</v>
      </c>
      <c r="U598" s="200"/>
      <c r="V598" s="200"/>
      <c r="W598" s="200"/>
      <c r="X598" s="130"/>
      <c r="Y598" s="200"/>
      <c r="Z598" s="201"/>
    </row>
    <row r="599" spans="1:26" ht="18" customHeight="1" hidden="1">
      <c r="A599" s="140"/>
      <c r="B599" s="140"/>
      <c r="D599" s="213" t="s">
        <v>270</v>
      </c>
      <c r="E599" s="216" t="str">
        <f>_xlfn.XLOOKUP(E575,CurrentPlans!B:B,CurrentPlans!AU:AU,"NA",0,1)</f>
        <v>NA</v>
      </c>
      <c r="F599" s="214"/>
      <c r="G599" s="214"/>
      <c r="H599" s="214"/>
      <c r="I599" s="217"/>
      <c r="J599" s="215"/>
      <c r="K599"/>
      <c r="L599" s="218" t="str">
        <f>_xlfn.XLOOKUP(L575,RenewalPlans!B:B,RenewalPlans!AX:AX,"NA",0,1)</f>
        <v>NA</v>
      </c>
      <c r="M599" s="214"/>
      <c r="N599" s="214"/>
      <c r="O599" s="214"/>
      <c r="P599" s="217"/>
      <c r="Q599" s="214"/>
      <c r="R599" s="215"/>
      <c r="T599" s="218" t="str">
        <f>_xlfn.XLOOKUP(T575,RenewalPlans!B:B,RenewalPlans!AX:AX,"NA",0,1)</f>
        <v>NA</v>
      </c>
      <c r="U599" s="214"/>
      <c r="V599" s="214"/>
      <c r="W599" s="214"/>
      <c r="X599" s="217"/>
      <c r="Y599" s="214"/>
      <c r="Z599" s="215"/>
    </row>
    <row r="600" spans="1:26" ht="18" customHeight="1" hidden="1">
      <c r="A600" s="140"/>
      <c r="B600" s="140"/>
      <c r="D600" s="213" t="s">
        <v>271</v>
      </c>
      <c r="E600" s="216" t="str">
        <f>_xlfn.XLOOKUP(E575,CurrentPlans!B:B,CurrentPlans!AT:AT,"NA",0,1)</f>
        <v>NA</v>
      </c>
      <c r="F600" s="214"/>
      <c r="G600" s="214"/>
      <c r="H600" s="214"/>
      <c r="I600" s="217"/>
      <c r="J600" s="215"/>
      <c r="K600"/>
      <c r="L600" s="218" t="str">
        <f>_xlfn.XLOOKUP(L575,RenewalPlans!B:B,RenewalPlans!AW:AW,"NA",0,1)</f>
        <v>NA</v>
      </c>
      <c r="M600" s="214"/>
      <c r="N600" s="214"/>
      <c r="O600" s="214"/>
      <c r="P600" s="217"/>
      <c r="Q600" s="214"/>
      <c r="R600" s="215"/>
      <c r="T600" s="218" t="str">
        <f>_xlfn.XLOOKUP(T575,RenewalPlans!B:B,RenewalPlans!AW:AW,"NA",0,1)</f>
        <v>NA</v>
      </c>
      <c r="U600" s="214"/>
      <c r="V600" s="214"/>
      <c r="W600" s="214"/>
      <c r="X600" s="217"/>
      <c r="Y600" s="214"/>
      <c r="Z600" s="215"/>
    </row>
    <row r="601" spans="1:26" ht="18" customHeight="1" hidden="1">
      <c r="A601" s="140"/>
      <c r="B601" s="140"/>
      <c r="D601" s="198" t="s">
        <v>272</v>
      </c>
      <c r="E601" s="130" t="str">
        <f>_xlfn.XLOOKUP(E575,CurrentPlans!B:B,CurrentPlans!AD:AD,"NA",0,1)</f>
        <v>NA</v>
      </c>
      <c r="F601" s="200"/>
      <c r="G601" s="200"/>
      <c r="H601" s="200"/>
      <c r="I601" s="130"/>
      <c r="J601" s="201"/>
      <c r="K601"/>
      <c r="L601" s="131" t="str">
        <f>_xlfn.XLOOKUP(L575,RenewalPlans!B:B,RenewalPlans!AG:AG,"NA",0,1)</f>
        <v>NA</v>
      </c>
      <c r="M601" s="200"/>
      <c r="N601" s="200"/>
      <c r="O601" s="200"/>
      <c r="P601" s="130"/>
      <c r="Q601" s="200"/>
      <c r="R601" s="201"/>
      <c r="T601" s="131" t="str">
        <f>_xlfn.XLOOKUP(T575,RenewalPlans!B:B,RenewalPlans!AG:AG,"NA",0,1)</f>
        <v>NA</v>
      </c>
      <c r="U601" s="200"/>
      <c r="V601" s="200"/>
      <c r="W601" s="200"/>
      <c r="X601" s="130"/>
      <c r="Y601" s="200"/>
      <c r="Z601" s="201"/>
    </row>
    <row r="602" spans="1:26" ht="18" customHeight="1" hidden="1">
      <c r="A602" s="140"/>
      <c r="B602" s="140"/>
      <c r="D602" s="198" t="s">
        <v>273</v>
      </c>
      <c r="E602" s="200"/>
      <c r="F602" s="200"/>
      <c r="G602" s="200"/>
      <c r="H602" s="200"/>
      <c r="I602" s="200"/>
      <c r="J602" s="201"/>
      <c r="K602"/>
      <c r="L602" s="198"/>
      <c r="M602" s="200"/>
      <c r="N602" s="200"/>
      <c r="O602" s="200"/>
      <c r="P602" s="200"/>
      <c r="Q602" s="200"/>
      <c r="R602" s="201"/>
      <c r="T602" s="198"/>
      <c r="U602" s="200"/>
      <c r="V602" s="200"/>
      <c r="W602" s="200"/>
      <c r="X602" s="200"/>
      <c r="Y602" s="200"/>
      <c r="Z602" s="201"/>
    </row>
    <row r="603" spans="1:26" ht="18" customHeight="1" hidden="1">
      <c r="A603" s="140"/>
      <c r="B603" s="140"/>
      <c r="D603" s="210"/>
      <c r="E603" s="211"/>
      <c r="F603" s="211"/>
      <c r="G603" s="211"/>
      <c r="H603" s="211"/>
      <c r="I603" s="211"/>
      <c r="J603" s="212"/>
      <c r="K603"/>
      <c r="L603" s="210"/>
      <c r="M603" s="211"/>
      <c r="N603" s="211"/>
      <c r="O603" s="211"/>
      <c r="P603" s="211"/>
      <c r="Q603" s="211"/>
      <c r="R603" s="212"/>
      <c r="T603" s="210"/>
      <c r="U603" s="211"/>
      <c r="V603" s="211"/>
      <c r="W603" s="211"/>
      <c r="X603" s="211"/>
      <c r="Y603" s="211"/>
      <c r="Z603" s="212"/>
    </row>
    <row r="604" spans="1:26" ht="18" customHeight="1" hidden="1">
      <c r="A604" s="140"/>
      <c r="B604" s="140"/>
      <c r="D604" s="219" t="s">
        <v>274</v>
      </c>
      <c r="E604" s="220"/>
      <c r="F604" s="220"/>
      <c r="G604" s="220"/>
      <c r="H604" s="220"/>
      <c r="I604" s="220"/>
      <c r="J604" s="221"/>
      <c r="K604"/>
      <c r="L604" s="222"/>
      <c r="M604" s="220"/>
      <c r="N604" s="220"/>
      <c r="O604" s="220"/>
      <c r="P604" s="220"/>
      <c r="Q604" s="220"/>
      <c r="R604" s="221"/>
      <c r="T604" s="222"/>
      <c r="U604" s="220"/>
      <c r="V604" s="220"/>
      <c r="W604" s="220"/>
      <c r="X604" s="220"/>
      <c r="Y604" s="220"/>
      <c r="Z604" s="221"/>
    </row>
    <row r="605" spans="1:26" ht="18" customHeight="1" hidden="1">
      <c r="A605" s="140"/>
      <c r="B605" s="140"/>
      <c r="D605" s="223" t="s">
        <v>250</v>
      </c>
      <c r="E605" s="205"/>
      <c r="F605" s="205"/>
      <c r="G605" s="205"/>
      <c r="H605" s="205"/>
      <c r="I605" s="205"/>
      <c r="J605" s="206"/>
      <c r="K605"/>
      <c r="L605" s="203"/>
      <c r="M605" s="205"/>
      <c r="N605" s="205"/>
      <c r="O605" s="205"/>
      <c r="P605" s="205"/>
      <c r="Q605" s="205"/>
      <c r="R605" s="206"/>
      <c r="T605" s="203"/>
      <c r="U605" s="205"/>
      <c r="V605" s="205"/>
      <c r="W605" s="205"/>
      <c r="X605" s="205"/>
      <c r="Y605" s="205"/>
      <c r="Z605" s="206"/>
    </row>
    <row r="606" spans="1:26" ht="18" customHeight="1" hidden="1">
      <c r="A606" s="140"/>
      <c r="B606" s="140"/>
      <c r="D606" s="198" t="s">
        <v>251</v>
      </c>
      <c r="E606" s="130" t="str">
        <f>_xlfn.XLOOKUP(E575,CurrentPlans!B:B,CurrentPlans!AP:AP,"NA",0,1)</f>
        <v>NA</v>
      </c>
      <c r="F606" s="200"/>
      <c r="G606" s="200"/>
      <c r="H606" s="200"/>
      <c r="I606" s="130"/>
      <c r="J606" s="201"/>
      <c r="K606"/>
      <c r="L606" s="131" t="str">
        <f>_xlfn.XLOOKUP(L575,RenewalPlans!B:B,RenewalPlans!AS:AS,"NA",0,1)</f>
        <v>NA</v>
      </c>
      <c r="M606" s="200"/>
      <c r="N606" s="200"/>
      <c r="O606" s="200"/>
      <c r="P606" s="130"/>
      <c r="Q606" s="200"/>
      <c r="R606" s="201"/>
      <c r="T606" s="131" t="str">
        <f>_xlfn.XLOOKUP(T575,RenewalPlans!B:B,RenewalPlans!AS:AS,"NA",0,1)</f>
        <v>NA</v>
      </c>
      <c r="U606" s="200"/>
      <c r="V606" s="200"/>
      <c r="W606" s="200"/>
      <c r="X606" s="130"/>
      <c r="Y606" s="200"/>
      <c r="Z606" s="201"/>
    </row>
    <row r="607" spans="1:26" ht="18" customHeight="1" hidden="1">
      <c r="A607" s="140"/>
      <c r="B607" s="140"/>
      <c r="D607" s="198" t="s">
        <v>252</v>
      </c>
      <c r="E607" s="130" t="str">
        <f>_xlfn.XLOOKUP(E575,CurrentPlans!B:B,CurrentPlans!AQ:AQ,"NA",0,1)</f>
        <v>NA</v>
      </c>
      <c r="F607" s="200"/>
      <c r="G607" s="200"/>
      <c r="H607" s="200"/>
      <c r="I607" s="130"/>
      <c r="J607" s="201"/>
      <c r="K607"/>
      <c r="L607" s="131" t="str">
        <f>_xlfn.XLOOKUP(L575,RenewalPlans!B:B,RenewalPlans!AT:AT,"NA",0,1)</f>
        <v>NA</v>
      </c>
      <c r="M607" s="200"/>
      <c r="N607" s="200"/>
      <c r="O607" s="200"/>
      <c r="P607" s="130"/>
      <c r="Q607" s="200"/>
      <c r="R607" s="201"/>
      <c r="T607" s="131" t="str">
        <f>_xlfn.XLOOKUP(T575,RenewalPlans!B:B,RenewalPlans!AT:AT,"NA",0,1)</f>
        <v>NA</v>
      </c>
      <c r="U607" s="200"/>
      <c r="V607" s="200"/>
      <c r="W607" s="200"/>
      <c r="X607" s="130"/>
      <c r="Y607" s="200"/>
      <c r="Z607" s="201"/>
    </row>
    <row r="608" spans="1:26" ht="18" customHeight="1" hidden="1">
      <c r="A608" s="140"/>
      <c r="B608" s="140"/>
      <c r="D608" s="120" t="s">
        <v>253</v>
      </c>
      <c r="E608" s="133" t="str">
        <f>_xlfn.XLOOKUP(E575,CurrentPlans!B:B,CurrentPlans!AO:AO,"NA",0,1)</f>
        <v>NA</v>
      </c>
      <c r="F608" s="122"/>
      <c r="G608" s="122"/>
      <c r="H608" s="122"/>
      <c r="I608" s="133"/>
      <c r="J608" s="123"/>
      <c r="K608"/>
      <c r="L608" s="136" t="str">
        <f>_xlfn.XLOOKUP(L575,RenewalPlans!B:B,RenewalPlans!AR:AR,"NA",0,1)</f>
        <v>NA</v>
      </c>
      <c r="M608" s="122"/>
      <c r="N608" s="122"/>
      <c r="O608" s="122"/>
      <c r="P608" s="133"/>
      <c r="Q608" s="122"/>
      <c r="R608" s="123"/>
      <c r="T608" s="136" t="str">
        <f>_xlfn.XLOOKUP(T575,RenewalPlans!B:B,RenewalPlans!AR:AR,"NA",0,1)</f>
        <v>NA</v>
      </c>
      <c r="U608" s="122"/>
      <c r="V608" s="122"/>
      <c r="W608" s="122"/>
      <c r="X608" s="133"/>
      <c r="Y608" s="122"/>
      <c r="Z608" s="123"/>
    </row>
    <row r="609" spans="1:26" ht="18" customHeight="1" hidden="1">
      <c r="A609" s="140"/>
      <c r="B609" s="140"/>
      <c r="D609" s="223" t="s">
        <v>254</v>
      </c>
      <c r="E609" s="205"/>
      <c r="F609" s="205"/>
      <c r="G609" s="205"/>
      <c r="H609" s="205"/>
      <c r="I609" s="205"/>
      <c r="J609" s="206"/>
      <c r="K609"/>
      <c r="L609" s="203"/>
      <c r="M609" s="205"/>
      <c r="N609" s="205"/>
      <c r="O609" s="205"/>
      <c r="P609" s="205"/>
      <c r="Q609" s="205"/>
      <c r="R609" s="206"/>
      <c r="T609" s="203"/>
      <c r="U609" s="205"/>
      <c r="V609" s="205"/>
      <c r="W609" s="205"/>
      <c r="X609" s="205"/>
      <c r="Y609" s="205"/>
      <c r="Z609" s="206"/>
    </row>
    <row r="610" spans="1:26" ht="18" customHeight="1" hidden="1">
      <c r="A610" s="140"/>
      <c r="B610" s="140"/>
      <c r="D610" s="198" t="s">
        <v>255</v>
      </c>
      <c r="E610" s="130" t="str">
        <f>_xlfn.XLOOKUP(E575,CurrentPlans!B:B,CurrentPlans!AR:AR,"NA",0,1)</f>
        <v>NA</v>
      </c>
      <c r="F610" s="200"/>
      <c r="G610" s="200"/>
      <c r="H610" s="200"/>
      <c r="I610" s="130"/>
      <c r="J610" s="201"/>
      <c r="K610"/>
      <c r="L610" s="131" t="str">
        <f>_xlfn.XLOOKUP(L575,RenewalPlans!B:B,RenewalPlans!AU:AU,"NA",0,1)</f>
        <v>NA</v>
      </c>
      <c r="M610" s="200"/>
      <c r="N610" s="200"/>
      <c r="O610" s="200"/>
      <c r="P610" s="130"/>
      <c r="Q610" s="200"/>
      <c r="R610" s="201"/>
      <c r="T610" s="131" t="str">
        <f>_xlfn.XLOOKUP(T575,RenewalPlans!B:B,RenewalPlans!AU:AU,"NA",0,1)</f>
        <v>NA</v>
      </c>
      <c r="U610" s="200"/>
      <c r="V610" s="200"/>
      <c r="W610" s="200"/>
      <c r="X610" s="130"/>
      <c r="Y610" s="200"/>
      <c r="Z610" s="201"/>
    </row>
    <row r="611" spans="1:26" ht="18" customHeight="1" hidden="1" thickBot="1">
      <c r="A611" s="140"/>
      <c r="B611" s="140"/>
      <c r="D611" s="224" t="s">
        <v>256</v>
      </c>
      <c r="E611" s="137" t="str">
        <f>_xlfn.XLOOKUP(E575,CurrentPlans!B:B,CurrentPlans!AS:AS,"NA",0,1)</f>
        <v>NA</v>
      </c>
      <c r="F611" s="225"/>
      <c r="G611" s="225"/>
      <c r="H611" s="225"/>
      <c r="I611" s="137"/>
      <c r="J611" s="226"/>
      <c r="K611"/>
      <c r="L611" s="138" t="str">
        <f>_xlfn.XLOOKUP(L575,RenewalPlans!B:B,RenewalPlans!AV:AV,"NA",0,1)</f>
        <v>NA</v>
      </c>
      <c r="M611" s="225"/>
      <c r="N611" s="225"/>
      <c r="O611" s="225"/>
      <c r="P611" s="137"/>
      <c r="Q611" s="225"/>
      <c r="R611" s="226"/>
      <c r="T611" s="138" t="str">
        <f>_xlfn.XLOOKUP(T575,RenewalPlans!B:B,RenewalPlans!AV:AV,"NA",0,1)</f>
        <v>NA</v>
      </c>
      <c r="U611" s="225"/>
      <c r="V611" s="225"/>
      <c r="W611" s="225"/>
      <c r="X611" s="137"/>
      <c r="Y611" s="225"/>
      <c r="Z611" s="226"/>
    </row>
    <row r="612" spans="1:26" ht="18" customHeight="1">
      <c r="A612" s="140"/>
      <c r="B612" s="140"/>
      <c r="D612" s="227"/>
      <c r="E612" s="176"/>
      <c r="F612" s="178"/>
      <c r="G612" s="179"/>
      <c r="H612" s="178"/>
      <c r="I612" s="176"/>
      <c r="J612" s="228"/>
      <c r="K612"/>
      <c r="L612" s="178"/>
      <c r="M612" s="176"/>
      <c r="N612" s="139"/>
      <c r="O612" s="178"/>
      <c r="P612" s="178"/>
      <c r="Q612" s="178"/>
      <c r="R612" s="228"/>
      <c r="T612" s="178"/>
      <c r="U612" s="176"/>
      <c r="V612" s="139"/>
      <c r="W612" s="178"/>
      <c r="X612" s="178"/>
      <c r="Y612" s="178"/>
      <c r="Z612" s="228"/>
    </row>
    <row r="613" spans="1:26" ht="5.25" customHeight="1" thickBot="1">
      <c r="A613" s="140"/>
      <c r="B613" s="140"/>
      <c r="D613" s="229"/>
      <c r="E613" s="229"/>
      <c r="F613" s="230"/>
      <c r="G613" s="231"/>
      <c r="H613" s="232"/>
      <c r="I613" s="233"/>
      <c r="J613" s="233"/>
      <c r="K613"/>
      <c r="L613" s="233"/>
      <c r="M613" s="233"/>
      <c r="N613" s="233"/>
      <c r="O613" s="233"/>
      <c r="P613" s="233"/>
      <c r="Q613" s="233"/>
      <c r="R613" s="233"/>
      <c r="T613" s="233"/>
      <c r="U613" s="233"/>
      <c r="V613" s="233"/>
      <c r="W613" s="233"/>
      <c r="X613" s="233"/>
      <c r="Y613" s="233"/>
      <c r="Z613" s="233"/>
    </row>
    <row r="614" spans="1:26" ht="50.15" customHeight="1">
      <c r="A614" s="140"/>
      <c r="B614" s="140"/>
      <c r="C614" s="164" t="s">
        <v>287</v>
      </c>
      <c r="D614" s="275" t="s">
        <v>285</v>
      </c>
      <c r="E614" s="165"/>
      <c r="F614" s="272"/>
      <c r="G614" s="166"/>
      <c r="H614" s="167"/>
      <c r="I614" s="168"/>
      <c r="J614" s="169"/>
      <c r="K614"/>
      <c r="L614" s="274" t="s">
        <v>38</v>
      </c>
      <c r="M614" s="170"/>
      <c r="N614" s="274" t="s">
        <v>328</v>
      </c>
      <c r="O614" s="171"/>
      <c r="P614" s="171"/>
      <c r="Q614" s="171"/>
      <c r="R614" s="169"/>
      <c r="T614" s="274" t="s">
        <v>38</v>
      </c>
      <c r="U614" s="170"/>
      <c r="V614" s="274" t="s">
        <v>328</v>
      </c>
      <c r="W614" s="171"/>
      <c r="X614" s="171"/>
      <c r="Y614" s="171"/>
      <c r="Z614" s="169"/>
    </row>
    <row r="615" spans="1:26" ht="18.75" customHeight="1">
      <c r="A615" s="140"/>
      <c r="B615" s="140"/>
      <c r="D615" s="172" t="s">
        <v>238</v>
      </c>
      <c r="E615" s="407"/>
      <c r="F615" s="449"/>
      <c r="G615" s="470"/>
      <c r="H615" s="449"/>
      <c r="I615" s="450"/>
      <c r="J615" s="410"/>
      <c r="K615" s="411"/>
      <c r="L615" s="408" t="str" cm="1">
        <f t="array" ca="1" aca="1" ref="L615">_xlfn.IFNA(VLOOKUP(INDIRECT("L"&amp;ROW()-1)&amp;"_"&amp;$D$12,BEGIN_RENEW_HEALTH:END_RENEW_HEALTH,RENEW_COL_EO,FALSE),"")</f>
        <v/>
      </c>
      <c r="M615" s="412" t="str">
        <f>IF(E615="","",E615)</f>
        <v/>
      </c>
      <c r="N615" s="413"/>
      <c r="O615" s="414"/>
      <c r="P615" s="415" t="str">
        <f>IFERROR(IF($N614="Keep Contribution Same",H615,IF($N614="Enter Percentages",IF(N615="","",N615*L615),IF($N614="Keep Percentage Same",IF(G615="","",G615*L615),IF($N614="Enter Dollar Amount",IF(O615="","",O615),"")))),"")</f>
        <v/>
      </c>
      <c r="Q615" s="408" t="str">
        <f ca="1">IFERROR(L615-P615,"")</f>
        <v/>
      </c>
      <c r="R615" s="410" t="str">
        <f>IFERROR(IF(P615="","",M615*P615),"")</f>
        <v/>
      </c>
      <c r="S615" s="411"/>
      <c r="T615" s="408" t="str" cm="1">
        <f t="array" ca="1" aca="1" ref="T615">_xlfn.IFNA(VLOOKUP(INDIRECT("T"&amp;ROW()-1)&amp;"_"&amp;$D$12,BEGIN_RENEW_HEALTH:END_RENEW_HEALTH,RENEW_COL_EO,FALSE),"")</f>
        <v/>
      </c>
      <c r="U615" s="412" t="str">
        <f>IF(E615="","",E615)</f>
        <v/>
      </c>
      <c r="V615" s="413"/>
      <c r="W615" s="414"/>
      <c r="X615" s="415" t="str">
        <f>IFERROR(IF($V614="Keep Contribution Same",H615,IF($V614="Enter Percentages",IF(V615="","",V615*T615),IF($V614="Keep Percentage Same",IF(G615="","",G615*T615),IF($V614="Enter Dollar Amount",IF(W615="","",W615),"")))),"")</f>
        <v/>
      </c>
      <c r="Y615" s="408" t="str">
        <f ca="1">IFERROR(T615-X615,"")</f>
        <v/>
      </c>
      <c r="Z615" s="410" t="str">
        <f>IFERROR(IF(X615="","",U615*X615),"")</f>
        <v/>
      </c>
    </row>
    <row r="616" spans="1:26" ht="18.75" customHeight="1">
      <c r="A616" s="140"/>
      <c r="B616" s="140"/>
      <c r="D616" s="172" t="s">
        <v>239</v>
      </c>
      <c r="E616" s="407"/>
      <c r="F616" s="449"/>
      <c r="G616" s="470"/>
      <c r="H616" s="449"/>
      <c r="I616" s="450"/>
      <c r="J616" s="410"/>
      <c r="K616" s="411"/>
      <c r="L616" s="408" t="str" cm="1">
        <f t="array" ca="1" aca="1" ref="L616">_xlfn.IFNA(VLOOKUP(INDIRECT("L"&amp;ROW()-2)&amp;"_"&amp;$D$12,BEGIN_RENEW_HEALTH:END_RENEW_HEALTH,RENEW_COL_ES,FALSE),"")</f>
        <v/>
      </c>
      <c r="M616" s="412" t="str">
        <f>IF(E616="","",E616)</f>
        <v/>
      </c>
      <c r="N616" s="413"/>
      <c r="O616" s="414"/>
      <c r="P616" s="415" t="str">
        <f>IFERROR(IF($N614="Keep Contribution Same",H616,IF($N614="Enter Percentages",IF(N616="","",N616*L616),IF($N614="Keep Percentage Same",IF(G616="","",G616*L616),IF($N614="Enter Dollar Amount",IF(O616="","",O616),"")))),"")</f>
        <v/>
      </c>
      <c r="Q616" s="408" t="str">
        <f ca="1" t="shared" si="58" ref="Q616:Q618">IFERROR(L616-P616,"")</f>
        <v/>
      </c>
      <c r="R616" s="410" t="str">
        <f>IFERROR(IF(P616="","",M616*P616),"")</f>
        <v/>
      </c>
      <c r="S616" s="411"/>
      <c r="T616" s="408" t="str" cm="1">
        <f t="array" ca="1" aca="1" ref="T616">_xlfn.IFNA(VLOOKUP(INDIRECT("T"&amp;ROW()-2)&amp;"_"&amp;$D$12,BEGIN_RENEW_HEALTH:END_RENEW_HEALTH,RENEW_COL_ES,FALSE),"")</f>
        <v/>
      </c>
      <c r="U616" s="412" t="str">
        <f t="shared" si="59" ref="U616:U618">IF(E616="","",E616)</f>
        <v/>
      </c>
      <c r="V616" s="413"/>
      <c r="W616" s="414"/>
      <c r="X616" s="415" t="str">
        <f>IFERROR(IF($V614="Keep Contribution Same",H616,IF($V614="Enter Percentages",IF(V616="","",V616*T616),IF($V614="Keep Percentage Same",IF(G616="","",G616*T616),IF($V614="Enter Dollar Amount",IF(W616="","",W616),"")))),"")</f>
        <v/>
      </c>
      <c r="Y616" s="408" t="str">
        <f ca="1" t="shared" si="60" ref="Y616:Y618">IFERROR(T616-X616,"")</f>
        <v/>
      </c>
      <c r="Z616" s="410" t="str">
        <f t="shared" si="61" ref="Z616:Z618">IFERROR(IF(X616="","",U616*X616),"")</f>
        <v/>
      </c>
    </row>
    <row r="617" spans="1:26" ht="18.75" customHeight="1">
      <c r="A617" s="140"/>
      <c r="B617" s="140"/>
      <c r="D617" s="172" t="s">
        <v>240</v>
      </c>
      <c r="E617" s="407"/>
      <c r="F617" s="449"/>
      <c r="G617" s="470"/>
      <c r="H617" s="449"/>
      <c r="I617" s="450"/>
      <c r="J617" s="410"/>
      <c r="K617" s="411"/>
      <c r="L617" s="408" t="str" cm="1">
        <f t="array" ca="1" aca="1" ref="L617">_xlfn.IFNA(VLOOKUP(INDIRECT("L"&amp;ROW()-3)&amp;"_"&amp;$D$12,BEGIN_RENEW_HEALTH:END_RENEW_HEALTH,RENEW_COL_EC,FALSE),"")</f>
        <v/>
      </c>
      <c r="M617" s="412" t="str">
        <f>IF(E617="","",E617)</f>
        <v/>
      </c>
      <c r="N617" s="413"/>
      <c r="O617" s="414"/>
      <c r="P617" s="415" t="str">
        <f>IFERROR(IF($N614="Keep Contribution Same",H617,IF($N614="Enter Percentages",IF(N617="","",N617*L617),IF($N614="Keep Percentage Same",IF(G617="","",G617*L617),IF($N614="Enter Dollar Amount",IF(O617="","",O617),"")))),"")</f>
        <v/>
      </c>
      <c r="Q617" s="408" t="str">
        <f t="shared" ca="1" si="58"/>
        <v/>
      </c>
      <c r="R617" s="410" t="str">
        <f>IFERROR(IF(P617="","",M617*P617),"")</f>
        <v/>
      </c>
      <c r="S617" s="411"/>
      <c r="T617" s="408" t="str" cm="1">
        <f t="array" ca="1" aca="1" ref="T617">_xlfn.IFNA(VLOOKUP(INDIRECT("T"&amp;ROW()-3)&amp;"_"&amp;$D$12,BEGIN_RENEW_HEALTH:END_RENEW_HEALTH,RENEW_COL_EC,FALSE),"")</f>
        <v/>
      </c>
      <c r="U617" s="412" t="str">
        <f t="shared" si="59"/>
        <v/>
      </c>
      <c r="V617" s="413"/>
      <c r="W617" s="414"/>
      <c r="X617" s="415" t="str">
        <f>IFERROR(IF($V614="Keep Contribution Same",H617,IF($V614="Enter Percentages",IF(V617="","",V617*T617),IF($V614="Keep Percentage Same",IF(G617="","",G617*T617),IF($V614="Enter Dollar Amount",IF(W617="","",W617),"")))),"")</f>
        <v/>
      </c>
      <c r="Y617" s="408" t="str">
        <f t="shared" ca="1" si="60"/>
        <v/>
      </c>
      <c r="Z617" s="410" t="str">
        <f t="shared" si="61"/>
        <v/>
      </c>
    </row>
    <row r="618" spans="1:26" ht="18.75" customHeight="1" thickBot="1">
      <c r="A618" s="140"/>
      <c r="B618" s="140"/>
      <c r="D618" s="174" t="s">
        <v>241</v>
      </c>
      <c r="E618" s="416"/>
      <c r="F618" s="451"/>
      <c r="G618" s="471"/>
      <c r="H618" s="451"/>
      <c r="I618" s="452"/>
      <c r="J618" s="419"/>
      <c r="K618" s="411"/>
      <c r="L618" s="417" t="str" cm="1">
        <f t="array" ca="1" aca="1" ref="L618">_xlfn.IFNA(VLOOKUP(INDIRECT("L"&amp;ROW()-4)&amp;"_"&amp;$D$12,BEGIN_RENEW_HEALTH:END_RENEW_HEALTH,RENEW_COL_FAM,FALSE),"")</f>
        <v/>
      </c>
      <c r="M618" s="423" t="str">
        <f>IF(E618="","",E618)</f>
        <v/>
      </c>
      <c r="N618" s="420"/>
      <c r="O618" s="421"/>
      <c r="P618" s="422" t="str">
        <f>IFERROR(IF($N614="Keep Contribution Same",H618,IF($N614="Enter Percentages",IF(N618="","",N618*L618),IF($N614="Keep Percentage Same",IF(G618="","",G618*L618),IF($N614="Enter Dollar Amount",IF(O618="","",O618),"")))),"")</f>
        <v/>
      </c>
      <c r="Q618" s="417" t="str">
        <f t="shared" ca="1" si="58"/>
        <v/>
      </c>
      <c r="R618" s="419" t="str">
        <f>IFERROR(IF(P618="","",M618*P618),"")</f>
        <v/>
      </c>
      <c r="S618" s="411"/>
      <c r="T618" s="417" t="str" cm="1">
        <f t="array" ca="1" aca="1" ref="T618">_xlfn.IFNA(VLOOKUP(INDIRECT("T"&amp;ROW()-4)&amp;"_"&amp;$D$12,BEGIN_RENEW_HEALTH:END_RENEW_HEALTH,RENEW_COL_FAM,FALSE),"")</f>
        <v/>
      </c>
      <c r="U618" s="423" t="str">
        <f t="shared" si="59"/>
        <v/>
      </c>
      <c r="V618" s="420"/>
      <c r="W618" s="421"/>
      <c r="X618" s="422" t="str">
        <f>IFERROR(IF($V614="Keep Contribution Same",H618,IF($V614="Enter Percentages",IF(V618="","",V618*T618),IF($V614="Keep Percentage Same",IF(G618="","",G618*T618),IF($V614="Enter Dollar Amount",IF(W618="","",W618),"")))),"")</f>
        <v/>
      </c>
      <c r="Y618" s="417" t="str">
        <f t="shared" ca="1" si="60"/>
        <v/>
      </c>
      <c r="Z618" s="419" t="str">
        <f t="shared" si="61"/>
        <v/>
      </c>
    </row>
    <row r="619" spans="1:26" ht="18.75" customHeight="1" thickTop="1">
      <c r="A619" s="140"/>
      <c r="B619" s="140"/>
      <c r="D619" s="175" t="s">
        <v>329</v>
      </c>
      <c r="E619" s="459"/>
      <c r="F619" s="447">
        <f>IFERROR((F615*E615)+(F616*E616)+(F617*E617)+(F618*E618),"")</f>
        <v>0</v>
      </c>
      <c r="G619" s="426"/>
      <c r="H619" s="427"/>
      <c r="I619" s="428"/>
      <c r="J619" s="429" t="str">
        <f>IFERROR(IF(J615="","",SUM(J615:J618)),0)</f>
        <v/>
      </c>
      <c r="K619" s="1"/>
      <c r="L619" s="430" t="str">
        <f ca="1">IFERROR((M615*L615)+(M616*L616)+(M617*L617)+(M618*L618),"")</f>
        <v/>
      </c>
      <c r="M619" s="427"/>
      <c r="N619" s="426"/>
      <c r="O619" s="427"/>
      <c r="P619" s="431"/>
      <c r="Q619" s="432"/>
      <c r="R619" s="429" t="str">
        <f>IFERROR(IF(R615="","",SUM(R615:R618)),0)</f>
        <v/>
      </c>
      <c r="T619" s="430" t="str">
        <f ca="1">IFERROR((U615*T615)+(U616*T616)+(U617*T617)+(U618*T618),"")</f>
        <v/>
      </c>
      <c r="U619" s="427"/>
      <c r="V619" s="426"/>
      <c r="W619" s="427"/>
      <c r="X619" s="431"/>
      <c r="Y619" s="432"/>
      <c r="Z619" s="429" t="str">
        <f>IFERROR(IF(Z615="","",SUM(Z615:Z618)),0)</f>
        <v/>
      </c>
    </row>
    <row r="620" spans="1:26" ht="18.75" customHeight="1">
      <c r="A620" s="140"/>
      <c r="B620" s="140"/>
      <c r="D620" s="177" t="s">
        <v>243</v>
      </c>
      <c r="E620" s="460"/>
      <c r="F620" s="448">
        <f>IFERROR(F619*12,"")</f>
        <v>0</v>
      </c>
      <c r="G620" s="435"/>
      <c r="H620" s="436"/>
      <c r="I620" s="432"/>
      <c r="J620" s="437" t="str">
        <f>IF(J619="","",J619*12)</f>
        <v/>
      </c>
      <c r="K620" s="1"/>
      <c r="L620" s="438" t="str">
        <f ca="1">IFERROR(L619*12,"")</f>
        <v/>
      </c>
      <c r="M620" s="436"/>
      <c r="N620" s="435"/>
      <c r="O620" s="436"/>
      <c r="P620" s="432"/>
      <c r="Q620" s="432"/>
      <c r="R620" s="437" t="str">
        <f>IF(R619="","",R619*12)</f>
        <v/>
      </c>
      <c r="T620" s="438" t="str">
        <f ca="1">IFERROR(T619*12,"")</f>
        <v/>
      </c>
      <c r="U620" s="436"/>
      <c r="V620" s="435"/>
      <c r="W620" s="436"/>
      <c r="X620" s="432"/>
      <c r="Y620" s="432"/>
      <c r="Z620" s="437" t="str">
        <f>IF(Z619="","",Z619*12)</f>
        <v/>
      </c>
    </row>
    <row r="621" spans="1:26" ht="18.75" customHeight="1">
      <c r="A621" s="140"/>
      <c r="B621" s="140"/>
      <c r="D621" s="177" t="s">
        <v>244</v>
      </c>
      <c r="E621" s="433"/>
      <c r="F621" s="436"/>
      <c r="G621" s="435"/>
      <c r="H621" s="436"/>
      <c r="I621" s="432"/>
      <c r="J621" s="437" t="str">
        <f>IFERROR(IF(J620="","",R620-J620),0)</f>
        <v/>
      </c>
      <c r="K621" s="1"/>
      <c r="L621" s="434" t="str">
        <f ca="1">IFERROR(L620-F620,"")</f>
        <v/>
      </c>
      <c r="M621" s="436"/>
      <c r="N621" s="435"/>
      <c r="O621" s="436"/>
      <c r="P621" s="432"/>
      <c r="Q621" s="432"/>
      <c r="R621" s="437" t="str">
        <f>IFERROR(IF(J620="","",R620-J620),0)</f>
        <v/>
      </c>
      <c r="T621" s="434" t="str">
        <f ca="1">IFERROR(T620-F620,"")</f>
        <v/>
      </c>
      <c r="U621" s="436"/>
      <c r="V621" s="435"/>
      <c r="W621" s="436"/>
      <c r="X621" s="432"/>
      <c r="Y621" s="432"/>
      <c r="Z621" s="437" t="str">
        <f>IFERROR(IF(R620="","",Z620-R620),0)</f>
        <v/>
      </c>
    </row>
    <row r="622" spans="1:26" ht="18" customHeight="1" thickBot="1">
      <c r="A622" s="140"/>
      <c r="B622" s="140"/>
      <c r="D622" s="180" t="s">
        <v>245</v>
      </c>
      <c r="E622" s="439"/>
      <c r="F622" s="440"/>
      <c r="G622" s="441"/>
      <c r="H622" s="440"/>
      <c r="I622" s="442"/>
      <c r="J622" s="437" t="str">
        <f>IFERROR(IF(J620="","",(R620/J620)-1),0)</f>
        <v/>
      </c>
      <c r="K622" s="1"/>
      <c r="L622" s="444" t="str">
        <f ca="1">IFERROR(L620/F620-1,"")</f>
        <v/>
      </c>
      <c r="M622" s="440"/>
      <c r="N622" s="441"/>
      <c r="O622" s="440"/>
      <c r="P622" s="445"/>
      <c r="Q622" s="445"/>
      <c r="R622" s="446" t="str">
        <f>IFERROR(IF(J620="","",(R620/J620)-1),0)</f>
        <v/>
      </c>
      <c r="T622" s="444" t="str">
        <f ca="1">IFERROR(T620/F620-1,"")</f>
        <v/>
      </c>
      <c r="U622" s="440"/>
      <c r="V622" s="441"/>
      <c r="W622" s="440"/>
      <c r="X622" s="445"/>
      <c r="Y622" s="445"/>
      <c r="Z622" s="446" t="str">
        <f>IFERROR(IF(R620="","",(Z620/R620)-1),0)</f>
        <v/>
      </c>
    </row>
    <row r="623" spans="1:26" ht="18" customHeight="1">
      <c r="A623" s="140"/>
      <c r="B623" s="140"/>
      <c r="D623" s="181" t="s">
        <v>246</v>
      </c>
      <c r="E623" s="182"/>
      <c r="F623" s="182"/>
      <c r="G623" s="182"/>
      <c r="H623" s="182"/>
      <c r="I623" s="182"/>
      <c r="J623" s="183"/>
      <c r="K623"/>
      <c r="L623" s="184"/>
      <c r="M623" s="182"/>
      <c r="N623" s="182"/>
      <c r="O623" s="182"/>
      <c r="P623" s="182"/>
      <c r="Q623" s="182"/>
      <c r="R623" s="183"/>
      <c r="T623" s="184"/>
      <c r="U623" s="182"/>
      <c r="V623" s="182"/>
      <c r="W623" s="182"/>
      <c r="X623" s="182"/>
      <c r="Y623" s="182"/>
      <c r="Z623" s="183"/>
    </row>
    <row r="624" spans="1:26" ht="18" customHeight="1" hidden="1">
      <c r="A624" s="140"/>
      <c r="B624" s="140"/>
      <c r="D624" s="185" t="s">
        <v>247</v>
      </c>
      <c r="E624" s="186"/>
      <c r="F624" s="186"/>
      <c r="G624" s="186"/>
      <c r="H624" s="186"/>
      <c r="I624" s="186"/>
      <c r="J624" s="187"/>
      <c r="K624"/>
      <c r="L624" s="188"/>
      <c r="M624" s="186"/>
      <c r="N624" s="186"/>
      <c r="O624" s="186"/>
      <c r="P624" s="186"/>
      <c r="Q624" s="186"/>
      <c r="R624" s="187"/>
      <c r="T624" s="188"/>
      <c r="U624" s="186"/>
      <c r="V624" s="186"/>
      <c r="W624" s="186"/>
      <c r="X624" s="186"/>
      <c r="Y624" s="186"/>
      <c r="Z624" s="187"/>
    </row>
    <row r="625" spans="1:26" ht="18" customHeight="1" hidden="1">
      <c r="A625" s="140"/>
      <c r="B625" s="140"/>
      <c r="D625" s="189" t="s">
        <v>248</v>
      </c>
      <c r="E625" s="190" t="str">
        <f>D614&amp;"_"&amp;D12</f>
        <v>NEW PLAN_PRIMARY</v>
      </c>
      <c r="F625" s="191"/>
      <c r="G625" s="191"/>
      <c r="H625" s="191"/>
      <c r="I625" s="190"/>
      <c r="J625" s="192"/>
      <c r="K625"/>
      <c r="L625" s="193" t="str">
        <f>L614&amp;"_"&amp;D12</f>
        <v>SELECT PLAN_PRIMARY</v>
      </c>
      <c r="M625" s="191"/>
      <c r="N625" s="191"/>
      <c r="O625" s="191"/>
      <c r="P625" s="190"/>
      <c r="Q625" s="191"/>
      <c r="R625" s="192"/>
      <c r="T625" s="193" t="str">
        <f>T614&amp;"_"&amp;D12</f>
        <v>SELECT PLAN_PRIMARY</v>
      </c>
      <c r="U625" s="191"/>
      <c r="V625" s="191"/>
      <c r="W625" s="191"/>
      <c r="X625" s="190"/>
      <c r="Y625" s="191"/>
      <c r="Z625" s="192"/>
    </row>
    <row r="626" spans="1:26" ht="18" customHeight="1" hidden="1">
      <c r="A626" s="140"/>
      <c r="B626" s="140"/>
      <c r="D626" s="189" t="s">
        <v>249</v>
      </c>
      <c r="E626" s="191"/>
      <c r="F626" s="191"/>
      <c r="G626" s="191"/>
      <c r="H626" s="191"/>
      <c r="I626" s="191"/>
      <c r="J626" s="192"/>
      <c r="K626"/>
      <c r="L626" s="189"/>
      <c r="M626" s="191"/>
      <c r="N626" s="191"/>
      <c r="O626" s="191"/>
      <c r="P626" s="191"/>
      <c r="Q626" s="191"/>
      <c r="R626" s="192"/>
      <c r="T626" s="189"/>
      <c r="U626" s="191"/>
      <c r="V626" s="191"/>
      <c r="W626" s="191"/>
      <c r="X626" s="191"/>
      <c r="Y626" s="191"/>
      <c r="Z626" s="192"/>
    </row>
    <row r="627" spans="1:26" ht="32.25" customHeight="1" hidden="1">
      <c r="A627" s="140"/>
      <c r="B627" s="140"/>
      <c r="D627" s="194" t="s">
        <v>250</v>
      </c>
      <c r="E627" s="195"/>
      <c r="F627" s="195"/>
      <c r="G627" s="195"/>
      <c r="H627" s="195"/>
      <c r="I627" s="195"/>
      <c r="J627" s="196"/>
      <c r="K627"/>
      <c r="L627" s="197"/>
      <c r="M627" s="195"/>
      <c r="N627" s="195"/>
      <c r="O627" s="195"/>
      <c r="P627" s="195"/>
      <c r="Q627" s="195"/>
      <c r="R627" s="196"/>
      <c r="T627" s="197"/>
      <c r="U627" s="195"/>
      <c r="V627" s="195"/>
      <c r="W627" s="195"/>
      <c r="X627" s="195"/>
      <c r="Y627" s="195"/>
      <c r="Z627" s="196"/>
    </row>
    <row r="628" spans="1:26" ht="18" customHeight="1" hidden="1">
      <c r="A628" s="140"/>
      <c r="B628" s="140"/>
      <c r="D628" s="198" t="s">
        <v>251</v>
      </c>
      <c r="E628" s="199" t="str">
        <f>_xlfn.XLOOKUP(E625,CurrentPlans!B:B,CurrentPlans!X:X,"NA",0,1)</f>
        <v>NA</v>
      </c>
      <c r="F628" s="200"/>
      <c r="G628" s="200"/>
      <c r="H628" s="200"/>
      <c r="I628" s="199"/>
      <c r="J628" s="201"/>
      <c r="K628"/>
      <c r="L628" s="202" t="str">
        <f>_xlfn.XLOOKUP(L625,RenewalPlans!B:B,RenewalPlans!AA:AA,"NA",0,1)</f>
        <v>NA</v>
      </c>
      <c r="M628" s="200"/>
      <c r="N628" s="200"/>
      <c r="O628" s="200"/>
      <c r="P628" s="199"/>
      <c r="Q628" s="200"/>
      <c r="R628" s="201"/>
      <c r="T628" s="202" t="str">
        <f>_xlfn.XLOOKUP(T625,RenewalPlans!B:B,RenewalPlans!AA:AA,"NA",0,1)</f>
        <v>NA</v>
      </c>
      <c r="U628" s="200"/>
      <c r="V628" s="200"/>
      <c r="W628" s="200"/>
      <c r="X628" s="199"/>
      <c r="Y628" s="200"/>
      <c r="Z628" s="201"/>
    </row>
    <row r="629" spans="1:26" ht="18" customHeight="1" hidden="1">
      <c r="A629" s="140"/>
      <c r="B629" s="140"/>
      <c r="D629" s="198" t="s">
        <v>252</v>
      </c>
      <c r="E629" s="199" t="str">
        <f>_xlfn.XLOOKUP(E625,CurrentPlans!B:B,CurrentPlans!Y:Y,"NA",0,1)</f>
        <v>NA</v>
      </c>
      <c r="F629" s="200"/>
      <c r="G629" s="200"/>
      <c r="H629" s="200"/>
      <c r="I629" s="199"/>
      <c r="J629" s="201"/>
      <c r="K629"/>
      <c r="L629" s="202" t="str">
        <f>_xlfn.XLOOKUP(L625,RenewalPlans!B:B,RenewalPlans!AB:AB,"NA",0,1)</f>
        <v>NA</v>
      </c>
      <c r="M629" s="200"/>
      <c r="N629" s="200"/>
      <c r="O629" s="200"/>
      <c r="P629" s="199"/>
      <c r="Q629" s="200"/>
      <c r="R629" s="201"/>
      <c r="T629" s="202" t="str">
        <f>_xlfn.XLOOKUP(T625,RenewalPlans!B:B,RenewalPlans!AB:AB,"NA",0,1)</f>
        <v>NA</v>
      </c>
      <c r="U629" s="200"/>
      <c r="V629" s="200"/>
      <c r="W629" s="200"/>
      <c r="X629" s="199"/>
      <c r="Y629" s="200"/>
      <c r="Z629" s="201"/>
    </row>
    <row r="630" spans="1:26" ht="18" customHeight="1" hidden="1">
      <c r="A630" s="140"/>
      <c r="B630" s="140"/>
      <c r="D630" s="120" t="s">
        <v>253</v>
      </c>
      <c r="E630" s="121" t="str">
        <f>_xlfn.XLOOKUP(E625,CurrentPlans!B:B,CurrentPlans!W:W,"NA",0,1)</f>
        <v>NA</v>
      </c>
      <c r="F630" s="122"/>
      <c r="G630" s="122"/>
      <c r="H630" s="122"/>
      <c r="I630" s="121"/>
      <c r="J630" s="123"/>
      <c r="K630"/>
      <c r="L630" s="124" t="str">
        <f>_xlfn.XLOOKUP(L625,RenewalPlans!B:B,RenewalPlans!Z:Z,"NA",0,1)</f>
        <v>NA</v>
      </c>
      <c r="M630" s="122"/>
      <c r="N630" s="122"/>
      <c r="O630" s="122"/>
      <c r="P630" s="121"/>
      <c r="Q630" s="122"/>
      <c r="R630" s="123"/>
      <c r="T630" s="124" t="str">
        <f>_xlfn.XLOOKUP(T625,RenewalPlans!B:B,RenewalPlans!Z:Z,"NA",0,1)</f>
        <v>NA</v>
      </c>
      <c r="U630" s="122"/>
      <c r="V630" s="122"/>
      <c r="W630" s="122"/>
      <c r="X630" s="121"/>
      <c r="Y630" s="122"/>
      <c r="Z630" s="123"/>
    </row>
    <row r="631" spans="1:26" ht="18" customHeight="1" hidden="1">
      <c r="A631" s="140"/>
      <c r="B631" s="140"/>
      <c r="D631" s="203" t="s">
        <v>254</v>
      </c>
      <c r="E631" s="204"/>
      <c r="F631" s="205"/>
      <c r="G631" s="205"/>
      <c r="H631" s="205"/>
      <c r="I631" s="204"/>
      <c r="J631" s="206"/>
      <c r="K631"/>
      <c r="L631" s="207"/>
      <c r="M631" s="205"/>
      <c r="N631" s="205"/>
      <c r="O631" s="205"/>
      <c r="P631" s="204"/>
      <c r="Q631" s="205"/>
      <c r="R631" s="206"/>
      <c r="T631" s="207"/>
      <c r="U631" s="205"/>
      <c r="V631" s="205"/>
      <c r="W631" s="205"/>
      <c r="X631" s="204"/>
      <c r="Y631" s="205"/>
      <c r="Z631" s="206"/>
    </row>
    <row r="632" spans="1:26" ht="18" customHeight="1" hidden="1">
      <c r="A632" s="140"/>
      <c r="B632" s="140"/>
      <c r="D632" s="125" t="s">
        <v>255</v>
      </c>
      <c r="E632" s="126" t="str">
        <f>_xlfn.XLOOKUP(E625,CurrentPlans!B:B,CurrentPlans!Z:Z,"NA",0,1)</f>
        <v>NA</v>
      </c>
      <c r="F632" s="127"/>
      <c r="G632" s="127"/>
      <c r="H632" s="127"/>
      <c r="I632" s="126"/>
      <c r="J632" s="128"/>
      <c r="K632"/>
      <c r="L632" s="129" t="str">
        <f>_xlfn.XLOOKUP(L625,RenewalPlans!B:B,RenewalPlans!AC:AC,"NA",0,1)</f>
        <v>NA</v>
      </c>
      <c r="M632" s="127"/>
      <c r="N632" s="127"/>
      <c r="O632" s="127"/>
      <c r="P632" s="126"/>
      <c r="Q632" s="127"/>
      <c r="R632" s="128"/>
      <c r="T632" s="129" t="str">
        <f>_xlfn.XLOOKUP(T625,RenewalPlans!B:B,RenewalPlans!AC:AC,"NA",0,1)</f>
        <v>NA</v>
      </c>
      <c r="U632" s="127"/>
      <c r="V632" s="127"/>
      <c r="W632" s="127"/>
      <c r="X632" s="126"/>
      <c r="Y632" s="127"/>
      <c r="Z632" s="128"/>
    </row>
    <row r="633" spans="1:26" ht="18" customHeight="1" hidden="1">
      <c r="A633" s="140"/>
      <c r="B633" s="140"/>
      <c r="D633" s="198" t="s">
        <v>256</v>
      </c>
      <c r="E633" s="208" t="str">
        <f>_xlfn.XLOOKUP(E625,CurrentPlans!B:B,CurrentPlans!AA:AA,"NA",0,1)</f>
        <v>NA</v>
      </c>
      <c r="F633" s="200"/>
      <c r="G633" s="200"/>
      <c r="H633" s="200"/>
      <c r="I633" s="208"/>
      <c r="J633" s="201"/>
      <c r="K633"/>
      <c r="L633" s="209" t="str">
        <f>_xlfn.XLOOKUP(L625,RenewalPlans!B:B,RenewalPlans!AD:AD,"NA",0,1)</f>
        <v>NA</v>
      </c>
      <c r="M633" s="200"/>
      <c r="N633" s="200"/>
      <c r="O633" s="200"/>
      <c r="P633" s="208"/>
      <c r="Q633" s="200"/>
      <c r="R633" s="201"/>
      <c r="T633" s="209" t="str">
        <f>_xlfn.XLOOKUP(T625,RenewalPlans!B:B,RenewalPlans!AD:AD,"NA",0,1)</f>
        <v>NA</v>
      </c>
      <c r="U633" s="200"/>
      <c r="V633" s="200"/>
      <c r="W633" s="200"/>
      <c r="X633" s="208"/>
      <c r="Y633" s="200"/>
      <c r="Z633" s="201"/>
    </row>
    <row r="634" spans="1:26" ht="18" customHeight="1" hidden="1">
      <c r="A634" s="140"/>
      <c r="B634" s="140"/>
      <c r="D634" s="203" t="s">
        <v>257</v>
      </c>
      <c r="E634" s="204"/>
      <c r="F634" s="205"/>
      <c r="G634" s="205"/>
      <c r="H634" s="205"/>
      <c r="I634" s="204"/>
      <c r="J634" s="206"/>
      <c r="K634"/>
      <c r="L634" s="207"/>
      <c r="M634" s="205"/>
      <c r="N634" s="205"/>
      <c r="O634" s="205"/>
      <c r="P634" s="204"/>
      <c r="Q634" s="205"/>
      <c r="R634" s="206"/>
      <c r="T634" s="207"/>
      <c r="U634" s="205"/>
      <c r="V634" s="205"/>
      <c r="W634" s="205"/>
      <c r="X634" s="204"/>
      <c r="Y634" s="205"/>
      <c r="Z634" s="206"/>
    </row>
    <row r="635" spans="1:26" ht="18" customHeight="1" hidden="1">
      <c r="A635" s="140"/>
      <c r="B635" s="140"/>
      <c r="D635" s="198" t="s">
        <v>258</v>
      </c>
      <c r="E635" s="208" t="str">
        <f>_xlfn.XLOOKUP(E625,CurrentPlans!B:B,CurrentPlans!AB:AB,"NA",0,1)</f>
        <v>NA</v>
      </c>
      <c r="F635" s="200"/>
      <c r="G635" s="200"/>
      <c r="H635" s="200"/>
      <c r="I635" s="208"/>
      <c r="J635" s="201"/>
      <c r="K635"/>
      <c r="L635" s="209" t="str">
        <f>_xlfn.XLOOKUP(L625,RenewalPlans!B:B,RenewalPlans!AE:AE,"NA",0,1)</f>
        <v>NA</v>
      </c>
      <c r="M635" s="200"/>
      <c r="N635" s="200"/>
      <c r="O635" s="200"/>
      <c r="P635" s="208"/>
      <c r="Q635" s="200"/>
      <c r="R635" s="201"/>
      <c r="T635" s="209" t="str">
        <f>_xlfn.XLOOKUP(T625,RenewalPlans!B:B,RenewalPlans!AE:AE,"NA",0,1)</f>
        <v>NA</v>
      </c>
      <c r="U635" s="200"/>
      <c r="V635" s="200"/>
      <c r="W635" s="200"/>
      <c r="X635" s="208"/>
      <c r="Y635" s="200"/>
      <c r="Z635" s="201"/>
    </row>
    <row r="636" spans="1:26" ht="18" customHeight="1" hidden="1">
      <c r="A636" s="140"/>
      <c r="B636" s="140"/>
      <c r="D636" s="198" t="s">
        <v>259</v>
      </c>
      <c r="E636" s="208" t="str">
        <f>_xlfn.XLOOKUP(E625,CurrentPlans!B:B,CurrentPlans!AC:AC,"NA",0,1)</f>
        <v>NA</v>
      </c>
      <c r="F636" s="200"/>
      <c r="G636" s="200"/>
      <c r="H636" s="200"/>
      <c r="I636" s="208"/>
      <c r="J636" s="201"/>
      <c r="K636"/>
      <c r="L636" s="209" t="str">
        <f>_xlfn.XLOOKUP(L625,RenewalPlans!B:B,RenewalPlans!AF:AF,"NA",0,1)</f>
        <v>NA</v>
      </c>
      <c r="M636" s="200"/>
      <c r="N636" s="200"/>
      <c r="O636" s="200"/>
      <c r="P636" s="208"/>
      <c r="Q636" s="200"/>
      <c r="R636" s="201"/>
      <c r="T636" s="209" t="str">
        <f>_xlfn.XLOOKUP(T625,RenewalPlans!B:B,RenewalPlans!AF:AF,"NA",0,1)</f>
        <v>NA</v>
      </c>
      <c r="U636" s="200"/>
      <c r="V636" s="200"/>
      <c r="W636" s="200"/>
      <c r="X636" s="208"/>
      <c r="Y636" s="200"/>
      <c r="Z636" s="201"/>
    </row>
    <row r="637" spans="1:26" ht="18" customHeight="1" hidden="1">
      <c r="A637" s="140"/>
      <c r="B637" s="140"/>
      <c r="D637" s="210"/>
      <c r="E637" s="211"/>
      <c r="F637" s="211"/>
      <c r="G637" s="211"/>
      <c r="H637" s="211"/>
      <c r="I637" s="211"/>
      <c r="J637" s="212"/>
      <c r="K637"/>
      <c r="L637" s="210"/>
      <c r="M637" s="211"/>
      <c r="N637" s="211"/>
      <c r="O637" s="211"/>
      <c r="P637" s="211"/>
      <c r="Q637" s="211"/>
      <c r="R637" s="212"/>
      <c r="T637" s="210"/>
      <c r="U637" s="211"/>
      <c r="V637" s="211"/>
      <c r="W637" s="211"/>
      <c r="X637" s="211"/>
      <c r="Y637" s="211"/>
      <c r="Z637" s="212"/>
    </row>
    <row r="638" spans="1:26" ht="18" customHeight="1" hidden="1">
      <c r="A638" s="140"/>
      <c r="B638" s="140"/>
      <c r="D638" s="185" t="s">
        <v>260</v>
      </c>
      <c r="E638" s="186"/>
      <c r="F638" s="186"/>
      <c r="G638" s="186"/>
      <c r="H638" s="186"/>
      <c r="I638" s="186"/>
      <c r="J638" s="187"/>
      <c r="K638"/>
      <c r="L638" s="188"/>
      <c r="M638" s="186"/>
      <c r="N638" s="186"/>
      <c r="O638" s="186"/>
      <c r="P638" s="186"/>
      <c r="Q638" s="186"/>
      <c r="R638" s="187"/>
      <c r="T638" s="188"/>
      <c r="U638" s="186"/>
      <c r="V638" s="186"/>
      <c r="W638" s="186"/>
      <c r="X638" s="186"/>
      <c r="Y638" s="186"/>
      <c r="Z638" s="187"/>
    </row>
    <row r="639" spans="1:26" ht="18" customHeight="1" hidden="1">
      <c r="A639" s="140"/>
      <c r="B639" s="140"/>
      <c r="D639" s="213" t="s">
        <v>261</v>
      </c>
      <c r="E639" s="130" t="str">
        <f>_xlfn.XLOOKUP(E625,CurrentPlans!B:B,CurrentPlans!AJ:AJ,"NA",0,1)</f>
        <v>NA</v>
      </c>
      <c r="F639" s="214"/>
      <c r="G639" s="214"/>
      <c r="H639" s="214"/>
      <c r="I639" s="130"/>
      <c r="J639" s="215"/>
      <c r="K639"/>
      <c r="L639" s="131" t="str">
        <f>_xlfn.XLOOKUP(L625,RenewalPlans!B:B,RenewalPlans!AM:AM,"NA",0,1)</f>
        <v>NA</v>
      </c>
      <c r="M639" s="214"/>
      <c r="N639" s="214"/>
      <c r="O639" s="214"/>
      <c r="P639" s="130"/>
      <c r="Q639" s="214"/>
      <c r="R639" s="215"/>
      <c r="T639" s="131" t="str">
        <f>_xlfn.XLOOKUP(T625,RenewalPlans!B:B,RenewalPlans!AM:AM,"NA",0,1)</f>
        <v>NA</v>
      </c>
      <c r="U639" s="214"/>
      <c r="V639" s="214"/>
      <c r="W639" s="214"/>
      <c r="X639" s="130"/>
      <c r="Y639" s="214"/>
      <c r="Z639" s="215"/>
    </row>
    <row r="640" spans="1:26" ht="18" customHeight="1" hidden="1">
      <c r="A640" s="140"/>
      <c r="B640" s="140"/>
      <c r="D640" s="198" t="s">
        <v>262</v>
      </c>
      <c r="E640" s="130" t="str">
        <f>_xlfn.XLOOKUP(E625,CurrentPlans!B:B,CurrentPlans!AM:AM,"NA",0,1)</f>
        <v>NA</v>
      </c>
      <c r="F640" s="200"/>
      <c r="G640" s="200"/>
      <c r="H640" s="200"/>
      <c r="I640" s="130"/>
      <c r="J640" s="201"/>
      <c r="K640"/>
      <c r="L640" s="131" t="str">
        <f>_xlfn.XLOOKUP(L625,RenewalPlans!B:B,RenewalPlans!AP:AP,"NA",0,1)</f>
        <v>NA</v>
      </c>
      <c r="M640" s="200"/>
      <c r="N640" s="200"/>
      <c r="O640" s="200"/>
      <c r="P640" s="130"/>
      <c r="Q640" s="200"/>
      <c r="R640" s="201"/>
      <c r="T640" s="131" t="str">
        <f>_xlfn.XLOOKUP(T625,RenewalPlans!B:B,RenewalPlans!AP:AP,"NA",0,1)</f>
        <v>NA</v>
      </c>
      <c r="U640" s="200"/>
      <c r="V640" s="200"/>
      <c r="W640" s="200"/>
      <c r="X640" s="130"/>
      <c r="Y640" s="200"/>
      <c r="Z640" s="201"/>
    </row>
    <row r="641" spans="1:26" ht="18" customHeight="1" hidden="1">
      <c r="A641" s="140"/>
      <c r="B641" s="140"/>
      <c r="D641" s="198" t="s">
        <v>263</v>
      </c>
      <c r="E641" s="130" t="str">
        <f>_xlfn.XLOOKUP(E625,CurrentPlans!B:B,CurrentPlans!AI:AI,"NA",0,1)</f>
        <v>NA</v>
      </c>
      <c r="F641" s="200"/>
      <c r="G641" s="200"/>
      <c r="H641" s="200"/>
      <c r="I641" s="130"/>
      <c r="J641" s="201"/>
      <c r="K641"/>
      <c r="L641" s="131" t="str">
        <f>_xlfn.XLOOKUP(L625,RenewalPlans!B:B,RenewalPlans!AL:AL,"NA",0,1)</f>
        <v>NA</v>
      </c>
      <c r="M641" s="200"/>
      <c r="N641" s="200"/>
      <c r="O641" s="200"/>
      <c r="P641" s="130"/>
      <c r="Q641" s="200"/>
      <c r="R641" s="201"/>
      <c r="T641" s="131" t="str">
        <f>_xlfn.XLOOKUP(T625,RenewalPlans!B:B,RenewalPlans!AL:AL,"NA",0,1)</f>
        <v>NA</v>
      </c>
      <c r="U641" s="200"/>
      <c r="V641" s="200"/>
      <c r="W641" s="200"/>
      <c r="X641" s="130"/>
      <c r="Y641" s="200"/>
      <c r="Z641" s="201"/>
    </row>
    <row r="642" spans="1:26" ht="18" customHeight="1" hidden="1">
      <c r="A642" s="140"/>
      <c r="B642" s="140"/>
      <c r="D642" s="198" t="s">
        <v>264</v>
      </c>
      <c r="E642" s="208" t="str">
        <f>_xlfn.XLOOKUP(E625,CurrentPlans!B:B,CurrentPlans!AN:AN,"NA",0,1)</f>
        <v>NA</v>
      </c>
      <c r="F642" s="200"/>
      <c r="G642" s="200"/>
      <c r="H642" s="200"/>
      <c r="I642" s="208"/>
      <c r="J642" s="201"/>
      <c r="K642"/>
      <c r="L642" s="209" t="str">
        <f>_xlfn.XLOOKUP(L625,RenewalPlans!B:B,RenewalPlans!AQ:AQ,"NA",0,1)</f>
        <v>NA</v>
      </c>
      <c r="M642" s="200"/>
      <c r="N642" s="200"/>
      <c r="O642" s="200"/>
      <c r="P642" s="208"/>
      <c r="Q642" s="200"/>
      <c r="R642" s="201"/>
      <c r="T642" s="209" t="str">
        <f>_xlfn.XLOOKUP(T625,RenewalPlans!B:B,RenewalPlans!AQ:AQ,"NA",0,1)</f>
        <v>NA</v>
      </c>
      <c r="U642" s="200"/>
      <c r="V642" s="200"/>
      <c r="W642" s="200"/>
      <c r="X642" s="208"/>
      <c r="Y642" s="200"/>
      <c r="Z642" s="201"/>
    </row>
    <row r="643" spans="1:26" ht="18" customHeight="1" hidden="1">
      <c r="A643" s="140"/>
      <c r="B643" s="140"/>
      <c r="D643" s="210"/>
      <c r="E643" s="211"/>
      <c r="F643" s="211"/>
      <c r="G643" s="211"/>
      <c r="H643" s="211"/>
      <c r="I643" s="211"/>
      <c r="J643" s="212"/>
      <c r="K643"/>
      <c r="L643" s="210"/>
      <c r="M643" s="211"/>
      <c r="N643" s="211"/>
      <c r="O643" s="211"/>
      <c r="P643" s="211"/>
      <c r="Q643" s="211"/>
      <c r="R643" s="212"/>
      <c r="T643" s="210"/>
      <c r="U643" s="211"/>
      <c r="V643" s="211"/>
      <c r="W643" s="211"/>
      <c r="X643" s="211"/>
      <c r="Y643" s="211"/>
      <c r="Z643" s="212"/>
    </row>
    <row r="644" spans="1:26" ht="18" customHeight="1" hidden="1">
      <c r="A644" s="140"/>
      <c r="B644" s="140"/>
      <c r="D644" s="185" t="s">
        <v>265</v>
      </c>
      <c r="E644" s="186"/>
      <c r="F644" s="186"/>
      <c r="G644" s="186"/>
      <c r="H644" s="186"/>
      <c r="I644" s="186"/>
      <c r="J644" s="187"/>
      <c r="K644"/>
      <c r="L644" s="188"/>
      <c r="M644" s="186"/>
      <c r="N644" s="186"/>
      <c r="O644" s="186"/>
      <c r="P644" s="186"/>
      <c r="Q644" s="186"/>
      <c r="R644" s="187"/>
      <c r="T644" s="188"/>
      <c r="U644" s="186"/>
      <c r="V644" s="186"/>
      <c r="W644" s="186"/>
      <c r="X644" s="186"/>
      <c r="Y644" s="186"/>
      <c r="Z644" s="187"/>
    </row>
    <row r="645" spans="1:26" ht="18" customHeight="1" hidden="1">
      <c r="A645" s="140"/>
      <c r="B645" s="140"/>
      <c r="D645" s="132" t="s">
        <v>266</v>
      </c>
      <c r="E645" s="133" t="str">
        <f>_xlfn.XLOOKUP(E625,CurrentPlans!B:B,CurrentPlans!AE:AE,"NA",0,1)</f>
        <v>NA</v>
      </c>
      <c r="F645" s="134"/>
      <c r="G645" s="134"/>
      <c r="H645" s="134"/>
      <c r="I645" s="133"/>
      <c r="J645" s="135"/>
      <c r="K645"/>
      <c r="L645" s="136" t="str">
        <f>_xlfn.XLOOKUP(L625,RenewalPlans!B:B,RenewalPlans!AH:AH,"NA",0,1)</f>
        <v>NA</v>
      </c>
      <c r="M645" s="134"/>
      <c r="N645" s="134"/>
      <c r="O645" s="134"/>
      <c r="P645" s="133"/>
      <c r="Q645" s="134"/>
      <c r="R645" s="135"/>
      <c r="T645" s="136" t="str">
        <f>_xlfn.XLOOKUP(T625,RenewalPlans!B:B,RenewalPlans!AH:AH,"NA",0,1)</f>
        <v>NA</v>
      </c>
      <c r="U645" s="134"/>
      <c r="V645" s="134"/>
      <c r="W645" s="134"/>
      <c r="X645" s="133"/>
      <c r="Y645" s="134"/>
      <c r="Z645" s="135"/>
    </row>
    <row r="646" spans="1:26" ht="18" customHeight="1" hidden="1">
      <c r="A646" s="140"/>
      <c r="B646" s="140"/>
      <c r="D646" s="120" t="s">
        <v>267</v>
      </c>
      <c r="E646" s="130" t="str">
        <f>_xlfn.XLOOKUP(E625,CurrentPlans!B:B,CurrentPlans!AF:AF,"NA",0,1)</f>
        <v>NA</v>
      </c>
      <c r="F646" s="122"/>
      <c r="G646" s="122"/>
      <c r="H646" s="122"/>
      <c r="I646" s="130"/>
      <c r="J646" s="123"/>
      <c r="K646"/>
      <c r="L646" s="131" t="str">
        <f>_xlfn.XLOOKUP(L625,RenewalPlans!B:B,RenewalPlans!AI:AI,"NA",0,1)</f>
        <v>NA</v>
      </c>
      <c r="M646" s="122"/>
      <c r="N646" s="122"/>
      <c r="O646" s="122"/>
      <c r="P646" s="130"/>
      <c r="Q646" s="122"/>
      <c r="R646" s="123"/>
      <c r="T646" s="131" t="str">
        <f>_xlfn.XLOOKUP(T625,RenewalPlans!B:B,RenewalPlans!AI:AI,"NA",0,1)</f>
        <v>NA</v>
      </c>
      <c r="U646" s="122"/>
      <c r="V646" s="122"/>
      <c r="W646" s="122"/>
      <c r="X646" s="130"/>
      <c r="Y646" s="122"/>
      <c r="Z646" s="123"/>
    </row>
    <row r="647" spans="1:26" ht="18" customHeight="1" hidden="1">
      <c r="A647" s="140"/>
      <c r="B647" s="140"/>
      <c r="D647" s="198" t="s">
        <v>268</v>
      </c>
      <c r="E647" s="130" t="str">
        <f>_xlfn.XLOOKUP(E625,CurrentPlans!B:B,CurrentPlans!AH:AH,"NA",0,1)</f>
        <v>NA</v>
      </c>
      <c r="F647" s="200"/>
      <c r="G647" s="200"/>
      <c r="H647" s="200"/>
      <c r="I647" s="130"/>
      <c r="J647" s="201"/>
      <c r="K647"/>
      <c r="L647" s="131" t="str">
        <f>_xlfn.XLOOKUP(L625,RenewalPlans!B:B,RenewalPlans!AK:AK,"NA",0,1)</f>
        <v>NA</v>
      </c>
      <c r="M647" s="200"/>
      <c r="N647" s="200"/>
      <c r="O647" s="200"/>
      <c r="P647" s="130"/>
      <c r="Q647" s="200"/>
      <c r="R647" s="201"/>
      <c r="T647" s="131" t="str">
        <f>_xlfn.XLOOKUP(T625,RenewalPlans!B:B,RenewalPlans!AK:AK,"NA",0,1)</f>
        <v>NA</v>
      </c>
      <c r="U647" s="200"/>
      <c r="V647" s="200"/>
      <c r="W647" s="200"/>
      <c r="X647" s="130"/>
      <c r="Y647" s="200"/>
      <c r="Z647" s="201"/>
    </row>
    <row r="648" spans="1:26" ht="18" customHeight="1" hidden="1">
      <c r="A648" s="140"/>
      <c r="B648" s="140"/>
      <c r="D648" s="198" t="s">
        <v>269</v>
      </c>
      <c r="E648" s="130" t="str">
        <f>_xlfn.XLOOKUP(E625,CurrentPlans!B:B,CurrentPlans!AG:AG,"NA",0,1)</f>
        <v>NA</v>
      </c>
      <c r="F648" s="200"/>
      <c r="G648" s="200"/>
      <c r="H648" s="200"/>
      <c r="I648" s="130"/>
      <c r="J648" s="201"/>
      <c r="K648"/>
      <c r="L648" s="131" t="str">
        <f>_xlfn.XLOOKUP(L625,RenewalPlans!B:B,RenewalPlans!AJ:AJ,"NA",0,1)</f>
        <v>NA</v>
      </c>
      <c r="M648" s="200"/>
      <c r="N648" s="200"/>
      <c r="O648" s="200"/>
      <c r="P648" s="130"/>
      <c r="Q648" s="200"/>
      <c r="R648" s="201"/>
      <c r="T648" s="131" t="str">
        <f>_xlfn.XLOOKUP(T625,RenewalPlans!B:B,RenewalPlans!AJ:AJ,"NA",0,1)</f>
        <v>NA</v>
      </c>
      <c r="U648" s="200"/>
      <c r="V648" s="200"/>
      <c r="W648" s="200"/>
      <c r="X648" s="130"/>
      <c r="Y648" s="200"/>
      <c r="Z648" s="201"/>
    </row>
    <row r="649" spans="1:26" ht="18" customHeight="1" hidden="1">
      <c r="A649" s="140"/>
      <c r="B649" s="140"/>
      <c r="D649" s="213" t="s">
        <v>270</v>
      </c>
      <c r="E649" s="216" t="str">
        <f>_xlfn.XLOOKUP(E625,CurrentPlans!B:B,CurrentPlans!AU:AU,"NA",0,1)</f>
        <v>NA</v>
      </c>
      <c r="F649" s="214"/>
      <c r="G649" s="214"/>
      <c r="H649" s="214"/>
      <c r="I649" s="217"/>
      <c r="J649" s="215"/>
      <c r="K649"/>
      <c r="L649" s="218" t="str">
        <f>_xlfn.XLOOKUP(L625,RenewalPlans!B:B,RenewalPlans!AX:AX,"NA",0,1)</f>
        <v>NA</v>
      </c>
      <c r="M649" s="214"/>
      <c r="N649" s="214"/>
      <c r="O649" s="214"/>
      <c r="P649" s="217"/>
      <c r="Q649" s="214"/>
      <c r="R649" s="215"/>
      <c r="T649" s="218" t="str">
        <f>_xlfn.XLOOKUP(T625,RenewalPlans!B:B,RenewalPlans!AX:AX,"NA",0,1)</f>
        <v>NA</v>
      </c>
      <c r="U649" s="214"/>
      <c r="V649" s="214"/>
      <c r="W649" s="214"/>
      <c r="X649" s="217"/>
      <c r="Y649" s="214"/>
      <c r="Z649" s="215"/>
    </row>
    <row r="650" spans="1:26" ht="18" customHeight="1" hidden="1">
      <c r="A650" s="140"/>
      <c r="B650" s="140"/>
      <c r="D650" s="213" t="s">
        <v>271</v>
      </c>
      <c r="E650" s="216" t="str">
        <f>_xlfn.XLOOKUP(E625,CurrentPlans!B:B,CurrentPlans!AT:AT,"NA",0,1)</f>
        <v>NA</v>
      </c>
      <c r="F650" s="214"/>
      <c r="G650" s="214"/>
      <c r="H650" s="214"/>
      <c r="I650" s="217"/>
      <c r="J650" s="215"/>
      <c r="K650"/>
      <c r="L650" s="218" t="str">
        <f>_xlfn.XLOOKUP(L625,RenewalPlans!B:B,RenewalPlans!AW:AW,"NA",0,1)</f>
        <v>NA</v>
      </c>
      <c r="M650" s="214"/>
      <c r="N650" s="214"/>
      <c r="O650" s="214"/>
      <c r="P650" s="217"/>
      <c r="Q650" s="214"/>
      <c r="R650" s="215"/>
      <c r="T650" s="218" t="str">
        <f>_xlfn.XLOOKUP(T625,RenewalPlans!B:B,RenewalPlans!AW:AW,"NA",0,1)</f>
        <v>NA</v>
      </c>
      <c r="U650" s="214"/>
      <c r="V650" s="214"/>
      <c r="W650" s="214"/>
      <c r="X650" s="217"/>
      <c r="Y650" s="214"/>
      <c r="Z650" s="215"/>
    </row>
    <row r="651" spans="1:26" ht="18" customHeight="1" hidden="1">
      <c r="A651" s="140"/>
      <c r="B651" s="140"/>
      <c r="D651" s="198" t="s">
        <v>272</v>
      </c>
      <c r="E651" s="130" t="str">
        <f>_xlfn.XLOOKUP(E625,CurrentPlans!B:B,CurrentPlans!AD:AD,"NA",0,1)</f>
        <v>NA</v>
      </c>
      <c r="F651" s="200"/>
      <c r="G651" s="200"/>
      <c r="H651" s="200"/>
      <c r="I651" s="130"/>
      <c r="J651" s="201"/>
      <c r="K651"/>
      <c r="L651" s="131" t="str">
        <f>_xlfn.XLOOKUP(L625,RenewalPlans!B:B,RenewalPlans!AG:AG,"NA",0,1)</f>
        <v>NA</v>
      </c>
      <c r="M651" s="200"/>
      <c r="N651" s="200"/>
      <c r="O651" s="200"/>
      <c r="P651" s="130"/>
      <c r="Q651" s="200"/>
      <c r="R651" s="201"/>
      <c r="T651" s="131" t="str">
        <f>_xlfn.XLOOKUP(T625,RenewalPlans!B:B,RenewalPlans!AG:AG,"NA",0,1)</f>
        <v>NA</v>
      </c>
      <c r="U651" s="200"/>
      <c r="V651" s="200"/>
      <c r="W651" s="200"/>
      <c r="X651" s="130"/>
      <c r="Y651" s="200"/>
      <c r="Z651" s="201"/>
    </row>
    <row r="652" spans="1:26" ht="18" customHeight="1" hidden="1">
      <c r="A652" s="140"/>
      <c r="B652" s="140"/>
      <c r="D652" s="198" t="s">
        <v>273</v>
      </c>
      <c r="E652" s="200"/>
      <c r="F652" s="200"/>
      <c r="G652" s="200"/>
      <c r="H652" s="200"/>
      <c r="I652" s="200"/>
      <c r="J652" s="201"/>
      <c r="K652"/>
      <c r="L652" s="198"/>
      <c r="M652" s="200"/>
      <c r="N652" s="200"/>
      <c r="O652" s="200"/>
      <c r="P652" s="200"/>
      <c r="Q652" s="200"/>
      <c r="R652" s="201"/>
      <c r="T652" s="198"/>
      <c r="U652" s="200"/>
      <c r="V652" s="200"/>
      <c r="W652" s="200"/>
      <c r="X652" s="200"/>
      <c r="Y652" s="200"/>
      <c r="Z652" s="201"/>
    </row>
    <row r="653" spans="1:26" ht="18" customHeight="1" hidden="1">
      <c r="A653" s="140"/>
      <c r="B653" s="140"/>
      <c r="D653" s="210"/>
      <c r="E653" s="211"/>
      <c r="F653" s="211"/>
      <c r="G653" s="211"/>
      <c r="H653" s="211"/>
      <c r="I653" s="211"/>
      <c r="J653" s="212"/>
      <c r="K653"/>
      <c r="L653" s="210"/>
      <c r="M653" s="211"/>
      <c r="N653" s="211"/>
      <c r="O653" s="211"/>
      <c r="P653" s="211"/>
      <c r="Q653" s="211"/>
      <c r="R653" s="212"/>
      <c r="T653" s="210"/>
      <c r="U653" s="211"/>
      <c r="V653" s="211"/>
      <c r="W653" s="211"/>
      <c r="X653" s="211"/>
      <c r="Y653" s="211"/>
      <c r="Z653" s="212"/>
    </row>
    <row r="654" spans="1:26" ht="18" customHeight="1" hidden="1">
      <c r="A654" s="140"/>
      <c r="B654" s="140"/>
      <c r="D654" s="219" t="s">
        <v>274</v>
      </c>
      <c r="E654" s="220"/>
      <c r="F654" s="220"/>
      <c r="G654" s="220"/>
      <c r="H654" s="220"/>
      <c r="I654" s="220"/>
      <c r="J654" s="221"/>
      <c r="K654"/>
      <c r="L654" s="222"/>
      <c r="M654" s="220"/>
      <c r="N654" s="220"/>
      <c r="O654" s="220"/>
      <c r="P654" s="220"/>
      <c r="Q654" s="220"/>
      <c r="R654" s="221"/>
      <c r="T654" s="222"/>
      <c r="U654" s="220"/>
      <c r="V654" s="220"/>
      <c r="W654" s="220"/>
      <c r="X654" s="220"/>
      <c r="Y654" s="220"/>
      <c r="Z654" s="221"/>
    </row>
    <row r="655" spans="1:26" ht="18" customHeight="1" hidden="1">
      <c r="A655" s="140"/>
      <c r="B655" s="140"/>
      <c r="D655" s="223" t="s">
        <v>250</v>
      </c>
      <c r="E655" s="205"/>
      <c r="F655" s="205"/>
      <c r="G655" s="205"/>
      <c r="H655" s="205"/>
      <c r="I655" s="205"/>
      <c r="J655" s="206"/>
      <c r="K655"/>
      <c r="L655" s="203"/>
      <c r="M655" s="205"/>
      <c r="N655" s="205"/>
      <c r="O655" s="205"/>
      <c r="P655" s="205"/>
      <c r="Q655" s="205"/>
      <c r="R655" s="206"/>
      <c r="T655" s="203"/>
      <c r="U655" s="205"/>
      <c r="V655" s="205"/>
      <c r="W655" s="205"/>
      <c r="X655" s="205"/>
      <c r="Y655" s="205"/>
      <c r="Z655" s="206"/>
    </row>
    <row r="656" spans="1:26" ht="18" customHeight="1" hidden="1">
      <c r="A656" s="140"/>
      <c r="B656" s="140"/>
      <c r="D656" s="198" t="s">
        <v>251</v>
      </c>
      <c r="E656" s="130" t="str">
        <f>_xlfn.XLOOKUP(E625,CurrentPlans!B:B,CurrentPlans!AP:AP,"NA",0,1)</f>
        <v>NA</v>
      </c>
      <c r="F656" s="200"/>
      <c r="G656" s="200"/>
      <c r="H656" s="200"/>
      <c r="I656" s="130"/>
      <c r="J656" s="201"/>
      <c r="K656"/>
      <c r="L656" s="131" t="str">
        <f>_xlfn.XLOOKUP(L625,RenewalPlans!B:B,RenewalPlans!AS:AS,"NA",0,1)</f>
        <v>NA</v>
      </c>
      <c r="M656" s="200"/>
      <c r="N656" s="200"/>
      <c r="O656" s="200"/>
      <c r="P656" s="130"/>
      <c r="Q656" s="200"/>
      <c r="R656" s="201"/>
      <c r="T656" s="131" t="str">
        <f>_xlfn.XLOOKUP(T625,RenewalPlans!B:B,RenewalPlans!AS:AS,"NA",0,1)</f>
        <v>NA</v>
      </c>
      <c r="U656" s="200"/>
      <c r="V656" s="200"/>
      <c r="W656" s="200"/>
      <c r="X656" s="130"/>
      <c r="Y656" s="200"/>
      <c r="Z656" s="201"/>
    </row>
    <row r="657" spans="1:26" ht="18" customHeight="1" hidden="1">
      <c r="A657" s="140"/>
      <c r="B657" s="140"/>
      <c r="D657" s="198" t="s">
        <v>252</v>
      </c>
      <c r="E657" s="130" t="str">
        <f>_xlfn.XLOOKUP(E625,CurrentPlans!B:B,CurrentPlans!AQ:AQ,"NA",0,1)</f>
        <v>NA</v>
      </c>
      <c r="F657" s="200"/>
      <c r="G657" s="200"/>
      <c r="H657" s="200"/>
      <c r="I657" s="130"/>
      <c r="J657" s="201"/>
      <c r="K657"/>
      <c r="L657" s="131" t="str">
        <f>_xlfn.XLOOKUP(L625,RenewalPlans!B:B,RenewalPlans!AT:AT,"NA",0,1)</f>
        <v>NA</v>
      </c>
      <c r="M657" s="200"/>
      <c r="N657" s="200"/>
      <c r="O657" s="200"/>
      <c r="P657" s="130"/>
      <c r="Q657" s="200"/>
      <c r="R657" s="201"/>
      <c r="T657" s="131" t="str">
        <f>_xlfn.XLOOKUP(T625,RenewalPlans!B:B,RenewalPlans!AT:AT,"NA",0,1)</f>
        <v>NA</v>
      </c>
      <c r="U657" s="200"/>
      <c r="V657" s="200"/>
      <c r="W657" s="200"/>
      <c r="X657" s="130"/>
      <c r="Y657" s="200"/>
      <c r="Z657" s="201"/>
    </row>
    <row r="658" spans="1:26" ht="18" customHeight="1" hidden="1">
      <c r="A658" s="140"/>
      <c r="B658" s="140"/>
      <c r="D658" s="120" t="s">
        <v>253</v>
      </c>
      <c r="E658" s="133" t="str">
        <f>_xlfn.XLOOKUP(E625,CurrentPlans!B:B,CurrentPlans!AO:AO,"NA",0,1)</f>
        <v>NA</v>
      </c>
      <c r="F658" s="122"/>
      <c r="G658" s="122"/>
      <c r="H658" s="122"/>
      <c r="I658" s="133"/>
      <c r="J658" s="123"/>
      <c r="K658"/>
      <c r="L658" s="136" t="str">
        <f>_xlfn.XLOOKUP(L625,RenewalPlans!B:B,RenewalPlans!AR:AR,"NA",0,1)</f>
        <v>NA</v>
      </c>
      <c r="M658" s="122"/>
      <c r="N658" s="122"/>
      <c r="O658" s="122"/>
      <c r="P658" s="133"/>
      <c r="Q658" s="122"/>
      <c r="R658" s="123"/>
      <c r="T658" s="136" t="str">
        <f>_xlfn.XLOOKUP(T625,RenewalPlans!B:B,RenewalPlans!AR:AR,"NA",0,1)</f>
        <v>NA</v>
      </c>
      <c r="U658" s="122"/>
      <c r="V658" s="122"/>
      <c r="W658" s="122"/>
      <c r="X658" s="133"/>
      <c r="Y658" s="122"/>
      <c r="Z658" s="123"/>
    </row>
    <row r="659" spans="1:26" ht="18" customHeight="1" hidden="1">
      <c r="A659" s="140"/>
      <c r="B659" s="140"/>
      <c r="D659" s="223" t="s">
        <v>254</v>
      </c>
      <c r="E659" s="205"/>
      <c r="F659" s="205"/>
      <c r="G659" s="205"/>
      <c r="H659" s="205"/>
      <c r="I659" s="205"/>
      <c r="J659" s="206"/>
      <c r="K659"/>
      <c r="L659" s="203"/>
      <c r="M659" s="205"/>
      <c r="N659" s="205"/>
      <c r="O659" s="205"/>
      <c r="P659" s="205"/>
      <c r="Q659" s="205"/>
      <c r="R659" s="206"/>
      <c r="T659" s="203"/>
      <c r="U659" s="205"/>
      <c r="V659" s="205"/>
      <c r="W659" s="205"/>
      <c r="X659" s="205"/>
      <c r="Y659" s="205"/>
      <c r="Z659" s="206"/>
    </row>
    <row r="660" spans="1:26" ht="18" customHeight="1" hidden="1">
      <c r="A660" s="140"/>
      <c r="B660" s="140"/>
      <c r="D660" s="198" t="s">
        <v>255</v>
      </c>
      <c r="E660" s="130" t="str">
        <f>_xlfn.XLOOKUP(E625,CurrentPlans!B:B,CurrentPlans!AR:AR,"NA",0,1)</f>
        <v>NA</v>
      </c>
      <c r="F660" s="200"/>
      <c r="G660" s="200"/>
      <c r="H660" s="200"/>
      <c r="I660" s="130"/>
      <c r="J660" s="201"/>
      <c r="K660"/>
      <c r="L660" s="131" t="str">
        <f>_xlfn.XLOOKUP(L625,RenewalPlans!B:B,RenewalPlans!AU:AU,"NA",0,1)</f>
        <v>NA</v>
      </c>
      <c r="M660" s="200"/>
      <c r="N660" s="200"/>
      <c r="O660" s="200"/>
      <c r="P660" s="130"/>
      <c r="Q660" s="200"/>
      <c r="R660" s="201"/>
      <c r="T660" s="131" t="str">
        <f>_xlfn.XLOOKUP(T625,RenewalPlans!B:B,RenewalPlans!AU:AU,"NA",0,1)</f>
        <v>NA</v>
      </c>
      <c r="U660" s="200"/>
      <c r="V660" s="200"/>
      <c r="W660" s="200"/>
      <c r="X660" s="130"/>
      <c r="Y660" s="200"/>
      <c r="Z660" s="201"/>
    </row>
    <row r="661" spans="1:26" ht="18" customHeight="1" hidden="1" thickBot="1">
      <c r="A661" s="140"/>
      <c r="B661" s="140"/>
      <c r="D661" s="224" t="s">
        <v>256</v>
      </c>
      <c r="E661" s="137" t="str">
        <f>_xlfn.XLOOKUP(E625,CurrentPlans!B:B,CurrentPlans!AS:AS,"NA",0,1)</f>
        <v>NA</v>
      </c>
      <c r="F661" s="225"/>
      <c r="G661" s="225"/>
      <c r="H661" s="225"/>
      <c r="I661" s="137"/>
      <c r="J661" s="226"/>
      <c r="K661"/>
      <c r="L661" s="138" t="str">
        <f>_xlfn.XLOOKUP(L625,RenewalPlans!B:B,RenewalPlans!AV:AV,"NA",0,1)</f>
        <v>NA</v>
      </c>
      <c r="M661" s="225"/>
      <c r="N661" s="225"/>
      <c r="O661" s="225"/>
      <c r="P661" s="137"/>
      <c r="Q661" s="225"/>
      <c r="R661" s="226"/>
      <c r="T661" s="138" t="str">
        <f>_xlfn.XLOOKUP(T625,RenewalPlans!B:B,RenewalPlans!AV:AV,"NA",0,1)</f>
        <v>NA</v>
      </c>
      <c r="U661" s="225"/>
      <c r="V661" s="225"/>
      <c r="W661" s="225"/>
      <c r="X661" s="137"/>
      <c r="Y661" s="225"/>
      <c r="Z661" s="226"/>
    </row>
    <row r="662" spans="1:27" ht="18" customHeight="1">
      <c r="A662" s="140"/>
      <c r="B662" s="140"/>
      <c r="D662" s="227"/>
      <c r="E662" s="176"/>
      <c r="F662" s="178"/>
      <c r="G662" s="179"/>
      <c r="H662" s="178"/>
      <c r="I662" s="176"/>
      <c r="J662" s="228"/>
      <c r="K662"/>
      <c r="L662" s="178"/>
      <c r="M662" s="176"/>
      <c r="N662" s="139"/>
      <c r="O662" s="178"/>
      <c r="P662" s="178"/>
      <c r="Q662" s="178"/>
      <c r="R662" s="228"/>
      <c r="T662" s="178"/>
      <c r="U662" s="176"/>
      <c r="V662" s="139"/>
      <c r="W662" s="178"/>
      <c r="X662" s="178"/>
      <c r="Y662" s="178"/>
      <c r="Z662" s="228"/>
      <c r="AA662"/>
    </row>
    <row r="663" spans="1:140" s="162" customFormat="1" ht="6" customHeight="1" thickBot="1">
      <c r="A663" s="140"/>
      <c r="B663" s="140"/>
      <c r="C663" s="141"/>
      <c r="D663" s="229"/>
      <c r="E663" s="229"/>
      <c r="F663" s="230"/>
      <c r="G663" s="231"/>
      <c r="H663" s="232"/>
      <c r="I663" s="233"/>
      <c r="J663" s="233"/>
      <c r="K663"/>
      <c r="L663" s="233"/>
      <c r="M663" s="233"/>
      <c r="N663" s="233"/>
      <c r="O663" s="233"/>
      <c r="P663" s="233"/>
      <c r="Q663" s="233"/>
      <c r="R663" s="233"/>
      <c r="S663" s="1"/>
      <c r="T663" s="233"/>
      <c r="U663" s="233"/>
      <c r="V663" s="233"/>
      <c r="W663" s="233"/>
      <c r="X663" s="233"/>
      <c r="Y663" s="233"/>
      <c r="Z663" s="23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row>
    <row r="664" spans="1:27" ht="38.25" customHeight="1" thickTop="1" thickBot="1">
      <c r="A664" s="153"/>
      <c r="B664" s="153"/>
      <c r="C664" s="269"/>
      <c r="D664" s="484" t="s">
        <v>288</v>
      </c>
      <c r="E664" s="485"/>
      <c r="F664" s="485"/>
      <c r="G664" s="485"/>
      <c r="H664" s="485"/>
      <c r="I664" s="485"/>
      <c r="J664" s="485"/>
      <c r="K664" s="485"/>
      <c r="L664" s="485"/>
      <c r="M664" s="485"/>
      <c r="N664" s="485"/>
      <c r="O664" s="485"/>
      <c r="P664" s="485"/>
      <c r="Q664" s="485"/>
      <c r="R664" s="486"/>
      <c r="S664" s="162"/>
      <c r="T664" s="235"/>
      <c r="U664" s="236"/>
      <c r="V664" s="236"/>
      <c r="W664" s="236"/>
      <c r="X664" s="236"/>
      <c r="Y664" s="236"/>
      <c r="Z664" s="236"/>
      <c r="AA664"/>
    </row>
    <row r="665" spans="1:27" ht="50.15" customHeight="1">
      <c r="A665" s="140">
        <v>1</v>
      </c>
      <c r="B665" s="140">
        <f>IF(A665&gt;Class3_CurrentDentalCount,"DELETE",Class3_CurrentDentalStart+A665)</f>
        <v>22</v>
      </c>
      <c r="C665" s="164" t="s">
        <v>289</v>
      </c>
      <c r="D665" s="273" t="e">
        <f ca="1">IF(B665="Delete","",VLOOKUP(F665,BEGIN_CURRENT_DENTAL:END_CURRENT_DENTAL,3,FALSE))</f>
        <v>#N/A</v>
      </c>
      <c r="E665" s="165"/>
      <c r="F665" s="272" cm="1">
        <f t="array" ca="1" aca="1" ref="F665">IF(B665="Delete","",INDIRECT("CurrentPlans!A"&amp;B665,TRUE))</f>
        <v>0</v>
      </c>
      <c r="G665" s="166"/>
      <c r="H665" s="167"/>
      <c r="I665" s="168"/>
      <c r="J665" s="169"/>
      <c r="K665"/>
      <c r="L665" s="274" t="str">
        <f ca="1">_xlfn.IFNA(VLOOKUP(F665,BEGIN_RENEWEDFROM_DENTAL:ROW_RenewDental_PlanID,3,FALSE),"SELECT PLAN")</f>
        <v>SELECT PLAN</v>
      </c>
      <c r="M665" s="170"/>
      <c r="N665" s="274" t="s">
        <v>330</v>
      </c>
      <c r="O665" s="171"/>
      <c r="P665" s="171"/>
      <c r="Q665" s="171"/>
      <c r="R665" s="169"/>
      <c r="T665" s="274" t="s">
        <v>38</v>
      </c>
      <c r="U665" s="170"/>
      <c r="V665" s="274" t="s">
        <v>237</v>
      </c>
      <c r="W665" s="171"/>
      <c r="X665" s="171"/>
      <c r="Y665" s="171"/>
      <c r="Z665" s="169"/>
      <c r="AA665"/>
    </row>
    <row r="666" spans="1:26" ht="18.75" customHeight="1">
      <c r="A666" s="140"/>
      <c r="B666" s="140"/>
      <c r="D666" s="172" t="s">
        <v>238</v>
      </c>
      <c r="E666" s="407" t="str">
        <f ca="1">_xlfn.IFNA(VLOOKUP(F665,BEGIN_CURRENT_DENTAL:END_CURRENT_DENTAL,CURRENT_COL_EO_count,FALSE),"")</f>
        <v/>
      </c>
      <c r="F666" s="408" t="str">
        <f ca="1">_xlfn.IFNA(VLOOKUP(F665,BEGIN_CURRENT_DENTAL:END_CURRENT_DENTAL,CURRENT_COL_EO,FALSE),"")</f>
        <v/>
      </c>
      <c r="G666" s="468" t="str">
        <f ca="1" t="shared" si="62" ref="G666:G669">IF(F666="","",H666/F666)</f>
        <v/>
      </c>
      <c r="H666" s="408" t="str">
        <f ca="1">_xlfn.IFNA(VLOOKUP(F665,BEGIN_CURRENT_DENTAL:END_CURRENT_DENTAL,CURRENT_COL_EOContrib,FALSE),"")</f>
        <v/>
      </c>
      <c r="I666" s="409" t="str">
        <f ca="1">IFERROR(F666-H666,"")</f>
        <v/>
      </c>
      <c r="J666" s="410" t="str">
        <f ca="1">IF(F666="","",H666*E666)</f>
        <v/>
      </c>
      <c r="K666" s="411"/>
      <c r="L666" s="408" t="str" cm="1">
        <f t="array" ca="1" aca="1" ref="L666">_xlfn.IFNA(VLOOKUP(INDIRECT("L"&amp;ROW()-1)&amp;"_"&amp;$D$12,BEGIN_Renew_Dental:END_RENEW_DENTAL,RENEW_COL_EO,FALSE),"")</f>
        <v/>
      </c>
      <c r="M666" s="412" t="str">
        <f ca="1">IF(E666="","",E666)</f>
        <v/>
      </c>
      <c r="N666" s="413"/>
      <c r="O666" s="414"/>
      <c r="P666" s="415" t="str">
        <f ca="1">IFERROR(IF($N665="Keep Contribution Same",H666,IF($N665="Enter Percentages",IF(N666="","",N666*L666),IF($N665="Keep Percentage Same",IF(G666="","",G666*L666),IF($N665="Enter Dollar Amount",IF(O666="","",O666),"")))),"")</f>
        <v/>
      </c>
      <c r="Q666" s="408" t="str">
        <f ca="1">IFERROR(L666-P666,"")</f>
        <v/>
      </c>
      <c r="R666" s="410" t="str">
        <f ca="1">IFERROR(IF(P666="","",M666*P666),"")</f>
        <v/>
      </c>
      <c r="S666" s="411"/>
      <c r="T666" s="408" t="str" cm="1">
        <f t="array" ca="1" aca="1" ref="T666">_xlfn.IFNA(VLOOKUP(INDIRECT("T"&amp;ROW()-1)&amp;"_"&amp;$D$12,BEGIN_Renew_Dental:END_RENEW_DENTAL,RENEW_COL_EO,FALSE),"")</f>
        <v/>
      </c>
      <c r="U666" s="412" t="str">
        <f ca="1">IF(E666="","",E666)</f>
        <v/>
      </c>
      <c r="V666" s="413"/>
      <c r="W666" s="414"/>
      <c r="X666" s="415" t="str">
        <f>IFERROR(IF($V665="Keep Contribution Same",H666,IF($V665="Enter Percentages",IF(V666="","",V666*T666),IF($V665="Keep Percentage Same",IF(G666="","",G666*T666),IF($V665="Enter Dollar Amount",IF(W666="","",W666),"")))),"")</f>
        <v/>
      </c>
      <c r="Y666" s="408" t="str">
        <f ca="1">IFERROR(T666-X666,"")</f>
        <v/>
      </c>
      <c r="Z666" s="410" t="str">
        <f>IFERROR(IF(X666="","",U666*X666),"")</f>
        <v/>
      </c>
    </row>
    <row r="667" spans="1:26" ht="18.75" customHeight="1">
      <c r="A667" s="140"/>
      <c r="B667" s="140"/>
      <c r="D667" s="172" t="s">
        <v>239</v>
      </c>
      <c r="E667" s="407" t="str">
        <f ca="1">_xlfn.IFNA(VLOOKUP(F665,BEGIN_CURRENT_DENTAL:END_CURRENT_DENTAL,CURRENT_COL_ES_count,FALSE),"")</f>
        <v/>
      </c>
      <c r="F667" s="408" t="str">
        <f ca="1">_xlfn.IFNA(VLOOKUP(F665,BEGIN_CURRENT_DENTAL:END_CURRENT_DENTAL,CURRENT_COL_ES,FALSE),"")</f>
        <v/>
      </c>
      <c r="G667" s="468" t="str">
        <f t="shared" ca="1" si="62"/>
        <v/>
      </c>
      <c r="H667" s="408" t="str">
        <f ca="1">_xlfn.IFNA(VLOOKUP(F665,BEGIN_CURRENT_DENTAL:END_CURRENT_DENTAL,CURRENT_COL_ESContrib,FALSE),"")</f>
        <v/>
      </c>
      <c r="I667" s="409" t="str">
        <f ca="1" t="shared" si="63" ref="I667:I669">IFERROR(F667-H667,"")</f>
        <v/>
      </c>
      <c r="J667" s="410" t="str">
        <f ca="1">IF(F667="","",H667*E667)</f>
        <v/>
      </c>
      <c r="K667" s="411"/>
      <c r="L667" s="408" t="str" cm="1">
        <f t="array" ca="1" aca="1" ref="L667">_xlfn.IFNA(VLOOKUP(INDIRECT("L"&amp;ROW()-2)&amp;"_"&amp;$D$12,BEGIN_Renew_Dental:END_RENEW_DENTAL,RENEW_COL_ES,FALSE),"")</f>
        <v/>
      </c>
      <c r="M667" s="412" t="str">
        <f ca="1">IF(E667="","",E667)</f>
        <v/>
      </c>
      <c r="N667" s="413"/>
      <c r="O667" s="414"/>
      <c r="P667" s="415" t="str">
        <f ca="1">IFERROR(IF($N665="Keep Contribution Same",H667,IF($N665="Enter Percentages",IF(N667="","",N667*L667),IF($N665="Keep Percentage Same",IF(G667="","",G667*L667),IF($N665="Enter Dollar Amount",IF(O667="","",O667),"")))),"")</f>
        <v/>
      </c>
      <c r="Q667" s="408" t="str">
        <f ca="1">IFERROR(L667-P667,"")</f>
        <v/>
      </c>
      <c r="R667" s="410" t="str">
        <f ca="1">IFERROR(IF(P667="","",M667*P667),"")</f>
        <v/>
      </c>
      <c r="S667" s="411"/>
      <c r="T667" s="408" t="str" cm="1">
        <f t="array" ca="1" aca="1" ref="T667">_xlfn.IFNA(VLOOKUP(INDIRECT("T"&amp;ROW()-2)&amp;"_"&amp;$D$12,BEGIN_Renew_Dental:END_RENEW_DENTAL,RENEW_COL_ES,FALSE),"")</f>
        <v/>
      </c>
      <c r="U667" s="412" t="str">
        <f ca="1" t="shared" si="64" ref="U667:U669">IF(E667="","",E667)</f>
        <v/>
      </c>
      <c r="V667" s="413"/>
      <c r="W667" s="414"/>
      <c r="X667" s="415" t="str">
        <f>IFERROR(IF($V665="Keep Contribution Same",H667,IF($V665="Enter Percentages",IF(V667="","",V667*T667),IF($V665="Keep Percentage Same",IF(G667="","",G667*T667),IF($V665="Enter Dollar Amount",IF(W667="","",W667),"")))),"")</f>
        <v/>
      </c>
      <c r="Y667" s="408" t="str">
        <f ca="1" t="shared" si="65" ref="Y667:Y669">IFERROR(T667-X667,"")</f>
        <v/>
      </c>
      <c r="Z667" s="410" t="str">
        <f t="shared" si="66" ref="Z667:Z669">IFERROR(IF(X667="","",U667*X667),"")</f>
        <v/>
      </c>
    </row>
    <row r="668" spans="1:26" ht="18.75" customHeight="1">
      <c r="A668" s="140"/>
      <c r="B668" s="140"/>
      <c r="D668" s="172" t="s">
        <v>240</v>
      </c>
      <c r="E668" s="407" t="str">
        <f ca="1">_xlfn.IFNA(VLOOKUP(F665,BEGIN_CURRENT_DENTAL:END_CURRENT_DENTAL,CURRENT_COL_EC_count,FALSE),"")</f>
        <v/>
      </c>
      <c r="F668" s="408" t="str">
        <f ca="1">_xlfn.IFNA(VLOOKUP(F665,BEGIN_CURRENT_DENTAL:END_CURRENT_DENTAL,CURRENT_COL_EC,FALSE),"")</f>
        <v/>
      </c>
      <c r="G668" s="468" t="str">
        <f t="shared" ca="1" si="62"/>
        <v/>
      </c>
      <c r="H668" s="408" t="str">
        <f ca="1">_xlfn.IFNA(VLOOKUP(F665,BEGIN_CURRENT_DENTAL:END_CURRENT_DENTAL,CURRENT_COL_ECContrib,FALSE),"")</f>
        <v/>
      </c>
      <c r="I668" s="409" t="str">
        <f t="shared" ca="1" si="63"/>
        <v/>
      </c>
      <c r="J668" s="410" t="str">
        <f ca="1">IF(F668="","",H668*E668)</f>
        <v/>
      </c>
      <c r="K668" s="411"/>
      <c r="L668" s="408" t="str" cm="1">
        <f t="array" ca="1" aca="1" ref="L668">_xlfn.IFNA(VLOOKUP(INDIRECT("L"&amp;ROW()-3)&amp;"_"&amp;$D$12,BEGIN_Renew_Dental:END_RENEW_DENTAL,RENEW_COL_EC,FALSE),"")</f>
        <v/>
      </c>
      <c r="M668" s="412" t="str">
        <f ca="1">IF(E668="","",E668)</f>
        <v/>
      </c>
      <c r="N668" s="413"/>
      <c r="O668" s="414"/>
      <c r="P668" s="415" t="str">
        <f ca="1">IFERROR(IF($N665="Keep Contribution Same",H668,IF($N665="Enter Percentages",IF(N668="","",N668*L668),IF($N665="Keep Percentage Same",IF(G668="","",G668*L668),IF($N665="Enter Dollar Amount",IF(O668="","",O668),"")))),"")</f>
        <v/>
      </c>
      <c r="Q668" s="408" t="str">
        <f ca="1">IFERROR(L668-P668,"")</f>
        <v/>
      </c>
      <c r="R668" s="410" t="str">
        <f ca="1">IFERROR(IF(P668="","",M668*P668),"")</f>
        <v/>
      </c>
      <c r="S668" s="411"/>
      <c r="T668" s="408" t="str" cm="1">
        <f t="array" ca="1" aca="1" ref="T668">_xlfn.IFNA(VLOOKUP(INDIRECT("T"&amp;ROW()-3)&amp;"_"&amp;$D$12,BEGIN_Renew_Dental:END_RENEW_DENTAL,RENEW_COL_EC,FALSE),"")</f>
        <v/>
      </c>
      <c r="U668" s="412" t="str">
        <f t="shared" ca="1" si="64"/>
        <v/>
      </c>
      <c r="V668" s="413"/>
      <c r="W668" s="414"/>
      <c r="X668" s="415" t="str">
        <f>IFERROR(IF($V665="Keep Contribution Same",H668,IF($V665="Enter Percentages",IF(V668="","",V668*T668),IF($V665="Keep Percentage Same",IF(G668="","",G668*T668),IF($V665="Enter Dollar Amount",IF(W668="","",W668),"")))),"")</f>
        <v/>
      </c>
      <c r="Y668" s="408" t="str">
        <f t="shared" ca="1" si="65"/>
        <v/>
      </c>
      <c r="Z668" s="410" t="str">
        <f t="shared" si="66"/>
        <v/>
      </c>
    </row>
    <row r="669" spans="1:26" ht="18.75" customHeight="1" thickBot="1">
      <c r="A669" s="140"/>
      <c r="B669" s="140"/>
      <c r="D669" s="174" t="s">
        <v>241</v>
      </c>
      <c r="E669" s="416" t="str">
        <f ca="1">_xlfn.IFNA(VLOOKUP(F665,BEGIN_CURRENT_DENTAL:END_CURRENT_DENTAL,CURRENT_COL_FAM_count,FALSE),"")</f>
        <v/>
      </c>
      <c r="F669" s="417" t="str">
        <f ca="1">_xlfn.IFNA(VLOOKUP(F665,BEGIN_CURRENT_DENTAL:END_CURRENT_DENTAL,CURRENT_COL_FAM,FALSE),"")</f>
        <v/>
      </c>
      <c r="G669" s="469" t="str">
        <f t="shared" ca="1" si="62"/>
        <v/>
      </c>
      <c r="H669" s="417" t="str">
        <f ca="1">_xlfn.IFNA(VLOOKUP(F665,BEGIN_CURRENT_DENTAL:END_CURRENT_DENTAL,CURRENT_COL_FAMContrib,FALSE),"")</f>
        <v/>
      </c>
      <c r="I669" s="418" t="str">
        <f t="shared" ca="1" si="63"/>
        <v/>
      </c>
      <c r="J669" s="419" t="str">
        <f ca="1">IF(F669="","",H669*E669)</f>
        <v/>
      </c>
      <c r="K669" s="411"/>
      <c r="L669" s="417" t="str" cm="1">
        <f t="array" ca="1" aca="1" ref="L669">_xlfn.IFNA(VLOOKUP(INDIRECT("L"&amp;ROW()-4)&amp;"_"&amp;$D$12,BEGIN_Renew_Dental:END_RENEW_DENTAL,RENEW_COL_FAM,FALSE),"")</f>
        <v/>
      </c>
      <c r="M669" s="423" t="str">
        <f ca="1">IF(E669="","",E669)</f>
        <v/>
      </c>
      <c r="N669" s="420"/>
      <c r="O669" s="421"/>
      <c r="P669" s="422" t="str">
        <f ca="1">IFERROR(IF($N665="Keep Contribution Same",H669,IF($N665="Enter Percentages",IF(N669="","",N669*L669),IF($N665="Keep Percentage Same",IF(G669="","",G669*L669),IF($N665="Enter Dollar Amount",IF(O669="","",O669),"")))),"")</f>
        <v/>
      </c>
      <c r="Q669" s="417" t="str">
        <f ca="1">IFERROR(L669-P669,"")</f>
        <v/>
      </c>
      <c r="R669" s="419" t="str">
        <f ca="1">IFERROR(IF(P669="","",M669*P669),"")</f>
        <v/>
      </c>
      <c r="S669" s="411"/>
      <c r="T669" s="417" t="str" cm="1">
        <f t="array" ca="1" aca="1" ref="T669">_xlfn.IFNA(VLOOKUP(INDIRECT("T"&amp;ROW()-4)&amp;"_"&amp;$D$12,BEGIN_Renew_Dental:END_RENEW_DENTAL,RENEW_COL_FAM,FALSE),"")</f>
        <v/>
      </c>
      <c r="U669" s="423" t="str">
        <f t="shared" ca="1" si="64"/>
        <v/>
      </c>
      <c r="V669" s="420"/>
      <c r="W669" s="421"/>
      <c r="X669" s="422" t="str">
        <f>IFERROR(IF($V665="Keep Contribution Same",H669,IF($V665="Enter Percentages",IF(V669="","",V669*T669),IF($V665="Keep Percentage Same",IF(G669="","",G669*T669),IF($V665="Enter Dollar Amount",IF(W669="","",W669),"")))),"")</f>
        <v/>
      </c>
      <c r="Y669" s="417" t="str">
        <f t="shared" ca="1" si="65"/>
        <v/>
      </c>
      <c r="Z669" s="419" t="str">
        <f t="shared" si="66"/>
        <v/>
      </c>
    </row>
    <row r="670" spans="1:26" ht="18.75" customHeight="1" thickTop="1">
      <c r="A670" s="140"/>
      <c r="B670" s="140"/>
      <c r="D670" s="175" t="s">
        <v>242</v>
      </c>
      <c r="E670" s="424"/>
      <c r="F670" s="427"/>
      <c r="G670" s="426"/>
      <c r="H670" s="427"/>
      <c r="I670" s="428"/>
      <c r="J670" s="429" t="str">
        <f ca="1">IFERROR(IF(J666="","",SUM(J666:J669)),0)</f>
        <v/>
      </c>
      <c r="K670" s="1"/>
      <c r="L670" s="424"/>
      <c r="M670" s="427"/>
      <c r="N670" s="426"/>
      <c r="O670" s="427"/>
      <c r="P670" s="431"/>
      <c r="Q670" s="432"/>
      <c r="R670" s="429" t="str">
        <f ca="1">IFERROR(IF(R666="","",SUM(R666:R669)),0)</f>
        <v/>
      </c>
      <c r="T670" s="424"/>
      <c r="U670" s="427"/>
      <c r="V670" s="426"/>
      <c r="W670" s="427"/>
      <c r="X670" s="431"/>
      <c r="Y670" s="432"/>
      <c r="Z670" s="429" t="str">
        <f>IFERROR(IF(Z666="","",SUM(Z666:Z669)),0)</f>
        <v/>
      </c>
    </row>
    <row r="671" spans="1:26" ht="18.75" customHeight="1">
      <c r="A671" s="140"/>
      <c r="B671" s="140"/>
      <c r="D671" s="177" t="s">
        <v>243</v>
      </c>
      <c r="E671" s="433"/>
      <c r="F671" s="436"/>
      <c r="G671" s="435"/>
      <c r="H671" s="436"/>
      <c r="I671" s="432"/>
      <c r="J671" s="437" t="str">
        <f ca="1">IF(J670="","",J670*12)</f>
        <v/>
      </c>
      <c r="K671" s="1"/>
      <c r="L671" s="433"/>
      <c r="M671" s="436"/>
      <c r="N671" s="435"/>
      <c r="O671" s="436"/>
      <c r="P671" s="432"/>
      <c r="Q671" s="432"/>
      <c r="R671" s="437" t="str">
        <f ca="1">IF(R670="","",R670*12)</f>
        <v/>
      </c>
      <c r="T671" s="433"/>
      <c r="U671" s="436"/>
      <c r="V671" s="435"/>
      <c r="W671" s="436"/>
      <c r="X671" s="432"/>
      <c r="Y671" s="432"/>
      <c r="Z671" s="437" t="str">
        <f>IF(Z670="","",Z670*12)</f>
        <v/>
      </c>
    </row>
    <row r="672" spans="1:26" ht="18.75" customHeight="1">
      <c r="A672" s="140"/>
      <c r="B672" s="140"/>
      <c r="D672" s="177" t="s">
        <v>244</v>
      </c>
      <c r="E672" s="433"/>
      <c r="F672" s="436"/>
      <c r="G672" s="435"/>
      <c r="H672" s="436"/>
      <c r="I672" s="432"/>
      <c r="J672" s="437"/>
      <c r="K672" s="1"/>
      <c r="L672" s="433"/>
      <c r="M672" s="436"/>
      <c r="N672" s="435"/>
      <c r="O672" s="436"/>
      <c r="P672" s="432"/>
      <c r="Q672" s="432"/>
      <c r="R672" s="437" t="str">
        <f ca="1">IFERROR(IF(J671="","",R671-J671),0)</f>
        <v/>
      </c>
      <c r="T672" s="433"/>
      <c r="U672" s="436"/>
      <c r="V672" s="435"/>
      <c r="W672" s="436"/>
      <c r="X672" s="432"/>
      <c r="Y672" s="432"/>
      <c r="Z672" s="437" t="str">
        <f ca="1">IFERROR(IF(R671="","",Z671-R671),0)</f>
        <v/>
      </c>
    </row>
    <row r="673" spans="1:26" ht="18" customHeight="1" thickBot="1">
      <c r="A673" s="140"/>
      <c r="B673" s="140"/>
      <c r="D673" s="180" t="s">
        <v>245</v>
      </c>
      <c r="E673" s="439"/>
      <c r="F673" s="440"/>
      <c r="G673" s="441"/>
      <c r="H673" s="440"/>
      <c r="I673" s="442"/>
      <c r="J673" s="443"/>
      <c r="K673" s="1"/>
      <c r="L673" s="439"/>
      <c r="M673" s="440"/>
      <c r="N673" s="441"/>
      <c r="O673" s="440"/>
      <c r="P673" s="445"/>
      <c r="Q673" s="445"/>
      <c r="R673" s="446" t="str">
        <f ca="1">IFERROR(IF(J671="","",(R671/J671)-1),0)</f>
        <v/>
      </c>
      <c r="T673" s="439"/>
      <c r="U673" s="440"/>
      <c r="V673" s="441"/>
      <c r="W673" s="440"/>
      <c r="X673" s="445"/>
      <c r="Y673" s="445"/>
      <c r="Z673" s="446" t="str">
        <f ca="1">IFERROR(IF(R671="","",(Z671/R671)-1),0)</f>
        <v/>
      </c>
    </row>
    <row r="674" spans="1:26" ht="5.25" customHeight="1" thickBot="1">
      <c r="A674" s="140"/>
      <c r="B674" s="140"/>
      <c r="D674" s="229"/>
      <c r="E674" s="454"/>
      <c r="F674" s="455"/>
      <c r="G674" s="456"/>
      <c r="H674" s="457"/>
      <c r="I674" s="458"/>
      <c r="J674" s="458"/>
      <c r="K674" s="1"/>
      <c r="L674" s="458"/>
      <c r="M674" s="458"/>
      <c r="N674" s="458"/>
      <c r="O674" s="458"/>
      <c r="P674" s="458"/>
      <c r="Q674" s="458"/>
      <c r="R674" s="458"/>
      <c r="T674" s="458"/>
      <c r="U674" s="458"/>
      <c r="V674" s="458"/>
      <c r="W674" s="458"/>
      <c r="X674" s="458"/>
      <c r="Y674" s="458"/>
      <c r="Z674" s="458"/>
    </row>
    <row r="675" spans="1:26" ht="50.15" customHeight="1">
      <c r="A675" s="140">
        <v>2</v>
      </c>
      <c r="B675" s="140">
        <f>IF(A675&gt;Class3_CurrentDentalCount,"DELETE",Class3_CurrentDentalStart+A675)</f>
        <v>23</v>
      </c>
      <c r="C675" s="164" t="s">
        <v>290</v>
      </c>
      <c r="D675" s="273" t="e">
        <f ca="1">IF(B675="Delete","",VLOOKUP(F675,BEGIN_CURRENT_DENTAL:END_CURRENT_DENTAL,3,FALSE))</f>
        <v>#N/A</v>
      </c>
      <c r="E675" s="165"/>
      <c r="F675" s="272" cm="1">
        <f t="array" ca="1" aca="1" ref="F675">IF(B675="Delete","",INDIRECT("CurrentPlans!A"&amp;B675,TRUE))</f>
        <v>0</v>
      </c>
      <c r="G675" s="166"/>
      <c r="H675" s="167"/>
      <c r="I675" s="168"/>
      <c r="J675" s="169"/>
      <c r="K675"/>
      <c r="L675" s="274" t="str">
        <f ca="1">_xlfn.IFNA(VLOOKUP(F675,BEGIN_RENEWEDFROM_DENTAL:ROW_RenewDental_PlanID,3,FALSE),"SELECT PLAN")</f>
        <v>SELECT PLAN</v>
      </c>
      <c r="M675" s="170"/>
      <c r="N675" s="274" t="s">
        <v>330</v>
      </c>
      <c r="O675" s="171"/>
      <c r="P675" s="171"/>
      <c r="Q675" s="171"/>
      <c r="R675" s="169"/>
      <c r="T675" s="274" t="s">
        <v>38</v>
      </c>
      <c r="U675" s="170"/>
      <c r="V675" s="274" t="s">
        <v>237</v>
      </c>
      <c r="W675" s="171"/>
      <c r="X675" s="171"/>
      <c r="Y675" s="171"/>
      <c r="Z675" s="169"/>
    </row>
    <row r="676" spans="1:26" ht="18.75" customHeight="1">
      <c r="A676" s="140"/>
      <c r="B676" s="140"/>
      <c r="D676" s="172" t="s">
        <v>238</v>
      </c>
      <c r="E676" s="407" t="str">
        <f ca="1">_xlfn.IFNA(VLOOKUP(F675,BEGIN_CURRENT_DENTAL:END_CURRENT_DENTAL,CURRENT_COL_EO_count,FALSE),"")</f>
        <v/>
      </c>
      <c r="F676" s="408" t="str">
        <f ca="1">_xlfn.IFNA(VLOOKUP(F675,BEGIN_CURRENT_DENTAL:END_CURRENT_DENTAL,CURRENT_COL_EO,FALSE),"")</f>
        <v/>
      </c>
      <c r="G676" s="468" t="str">
        <f ca="1" t="shared" si="67" ref="G676:G679">IF(F676="","",H676/F676)</f>
        <v/>
      </c>
      <c r="H676" s="408" t="str">
        <f ca="1">_xlfn.IFNA(VLOOKUP(F675,BEGIN_CURRENT_DENTAL:END_CURRENT_DENTAL,CURRENT_COL_EOContrib,FALSE),"")</f>
        <v/>
      </c>
      <c r="I676" s="409" t="str">
        <f ca="1">IFERROR(F676-H676,"")</f>
        <v/>
      </c>
      <c r="J676" s="410" t="str">
        <f ca="1">IF(F676="","",H676*E676)</f>
        <v/>
      </c>
      <c r="K676" s="411"/>
      <c r="L676" s="408" t="str" cm="1">
        <f t="array" ca="1" aca="1" ref="L676">_xlfn.IFNA(VLOOKUP(INDIRECT("L"&amp;ROW()-1)&amp;"_"&amp;$D$12,BEGIN_Renew_Dental:END_RENEW_DENTAL,RENEW_COL_EO,FALSE),"")</f>
        <v/>
      </c>
      <c r="M676" s="412" t="str">
        <f ca="1">IF(E676="","",E676)</f>
        <v/>
      </c>
      <c r="N676" s="413"/>
      <c r="O676" s="414"/>
      <c r="P676" s="415" t="str">
        <f ca="1">IFERROR(IF($N675="Keep Contribution Same",H676,IF($N675="Enter Percentages",IF(N676="","",N676*L676),IF($N675="Keep Percentage Same",IF(G676="","",G676*L676),IF($N675="Enter Dollar Amount",IF(O676="","",O676),"")))),"")</f>
        <v/>
      </c>
      <c r="Q676" s="408" t="str">
        <f ca="1">IFERROR(L676-P676,"")</f>
        <v/>
      </c>
      <c r="R676" s="410" t="str">
        <f ca="1">IFERROR(IF(P676="","",M676*P676),"")</f>
        <v/>
      </c>
      <c r="S676" s="411"/>
      <c r="T676" s="408" t="str" cm="1">
        <f t="array" ca="1" aca="1" ref="T676">_xlfn.IFNA(VLOOKUP(INDIRECT("T"&amp;ROW()-1)&amp;"_"&amp;$D$12,BEGIN_Renew_Dental:END_RENEW_DENTAL,RENEW_COL_EO,FALSE),"")</f>
        <v/>
      </c>
      <c r="U676" s="412" t="str">
        <f ca="1">IF(E676="","",E676)</f>
        <v/>
      </c>
      <c r="V676" s="413"/>
      <c r="W676" s="414"/>
      <c r="X676" s="415" t="str">
        <f>IFERROR(IF($V675="Keep Contribution Same",H676,IF($V675="Enter Percentages",IF(V676="","",V676*T676),IF($V675="Keep Percentage Same",IF(G676="","",G676*T676),IF($V675="Enter Dollar Amount",IF(W676="","",W676),"")))),"")</f>
        <v/>
      </c>
      <c r="Y676" s="408" t="str">
        <f ca="1">IFERROR(T676-X676,"")</f>
        <v/>
      </c>
      <c r="Z676" s="410" t="str">
        <f>IFERROR(IF(X676="","",U676*X676),"")</f>
        <v/>
      </c>
    </row>
    <row r="677" spans="1:26" ht="18.75" customHeight="1">
      <c r="A677" s="140"/>
      <c r="B677" s="140"/>
      <c r="D677" s="172" t="s">
        <v>239</v>
      </c>
      <c r="E677" s="407" t="str">
        <f ca="1">_xlfn.IFNA(VLOOKUP(F675,BEGIN_CURRENT_DENTAL:END_CURRENT_DENTAL,CURRENT_COL_ES_count,FALSE),"")</f>
        <v/>
      </c>
      <c r="F677" s="408" t="str">
        <f ca="1">_xlfn.IFNA(VLOOKUP(F675,BEGIN_CURRENT_DENTAL:END_CURRENT_DENTAL,CURRENT_COL_ES,FALSE),"")</f>
        <v/>
      </c>
      <c r="G677" s="468" t="str">
        <f t="shared" ca="1" si="67"/>
        <v/>
      </c>
      <c r="H677" s="408" t="str">
        <f ca="1">_xlfn.IFNA(VLOOKUP(F675,BEGIN_CURRENT_DENTAL:END_CURRENT_DENTAL,CURRENT_COL_ESContrib,FALSE),"")</f>
        <v/>
      </c>
      <c r="I677" s="409" t="str">
        <f ca="1" t="shared" si="68" ref="I677:I679">IFERROR(F677-H677,"")</f>
        <v/>
      </c>
      <c r="J677" s="410" t="str">
        <f ca="1">IF(F677="","",H677*E677)</f>
        <v/>
      </c>
      <c r="K677" s="411"/>
      <c r="L677" s="408" t="str" cm="1">
        <f t="array" ca="1" aca="1" ref="L677">_xlfn.IFNA(VLOOKUP(INDIRECT("L"&amp;ROW()-2)&amp;"_"&amp;$D$12,BEGIN_Renew_Dental:END_RENEW_DENTAL,RENEW_COL_ES,FALSE),"")</f>
        <v/>
      </c>
      <c r="M677" s="412" t="str">
        <f ca="1">IF(E677="","",E677)</f>
        <v/>
      </c>
      <c r="N677" s="413"/>
      <c r="O677" s="414"/>
      <c r="P677" s="415" t="str">
        <f ca="1">IFERROR(IF($N675="Keep Contribution Same",H677,IF($N675="Enter Percentages",IF(N677="","",N677*L677),IF($N675="Keep Percentage Same",IF(G677="","",G677*L677),IF($N675="Enter Dollar Amount",IF(O677="","",O677),"")))),"")</f>
        <v/>
      </c>
      <c r="Q677" s="408" t="str">
        <f ca="1">IFERROR(L677-P677,"")</f>
        <v/>
      </c>
      <c r="R677" s="410" t="str">
        <f ca="1">IFERROR(IF(P677="","",M677*P677),"")</f>
        <v/>
      </c>
      <c r="S677" s="411"/>
      <c r="T677" s="408" t="str" cm="1">
        <f t="array" ca="1" aca="1" ref="T677">_xlfn.IFNA(VLOOKUP(INDIRECT("T"&amp;ROW()-2)&amp;"_"&amp;$D$12,BEGIN_Renew_Dental:END_RENEW_DENTAL,RENEW_COL_ES,FALSE),"")</f>
        <v/>
      </c>
      <c r="U677" s="412" t="str">
        <f ca="1" t="shared" si="69" ref="U677:U679">IF(E677="","",E677)</f>
        <v/>
      </c>
      <c r="V677" s="413"/>
      <c r="W677" s="414"/>
      <c r="X677" s="415" t="str">
        <f>IFERROR(IF($V675="Keep Contribution Same",H677,IF($V675="Enter Percentages",IF(V677="","",V677*T677),IF($V675="Keep Percentage Same",IF(G677="","",G677*T677),IF($V675="Enter Dollar Amount",IF(W677="","",W677),"")))),"")</f>
        <v/>
      </c>
      <c r="Y677" s="408" t="str">
        <f ca="1" t="shared" si="70" ref="Y677:Y679">IFERROR(T677-X677,"")</f>
        <v/>
      </c>
      <c r="Z677" s="410" t="str">
        <f t="shared" si="71" ref="Z677:Z679">IFERROR(IF(X677="","",U677*X677),"")</f>
        <v/>
      </c>
    </row>
    <row r="678" spans="1:26" ht="18.75" customHeight="1">
      <c r="A678" s="140"/>
      <c r="B678" s="140"/>
      <c r="D678" s="172" t="s">
        <v>240</v>
      </c>
      <c r="E678" s="407" t="str">
        <f ca="1">_xlfn.IFNA(VLOOKUP(F675,BEGIN_CURRENT_DENTAL:END_CURRENT_DENTAL,CURRENT_COL_EC_count,FALSE),"")</f>
        <v/>
      </c>
      <c r="F678" s="408" t="str">
        <f ca="1">_xlfn.IFNA(VLOOKUP(F675,BEGIN_CURRENT_DENTAL:END_CURRENT_DENTAL,CURRENT_COL_EC,FALSE),"")</f>
        <v/>
      </c>
      <c r="G678" s="468" t="str">
        <f t="shared" ca="1" si="67"/>
        <v/>
      </c>
      <c r="H678" s="408" t="str">
        <f ca="1">_xlfn.IFNA(VLOOKUP(F675,BEGIN_CURRENT_DENTAL:END_CURRENT_DENTAL,CURRENT_COL_ECContrib,FALSE),"")</f>
        <v/>
      </c>
      <c r="I678" s="409" t="str">
        <f t="shared" ca="1" si="68"/>
        <v/>
      </c>
      <c r="J678" s="410" t="str">
        <f ca="1">IF(F678="","",H678*E678)</f>
        <v/>
      </c>
      <c r="K678" s="411"/>
      <c r="L678" s="408" t="str" cm="1">
        <f t="array" ca="1" aca="1" ref="L678">_xlfn.IFNA(VLOOKUP(INDIRECT("L"&amp;ROW()-3)&amp;"_"&amp;$D$12,BEGIN_Renew_Dental:END_RENEW_DENTAL,RENEW_COL_EC,FALSE),"")</f>
        <v/>
      </c>
      <c r="M678" s="412" t="str">
        <f ca="1">IF(E678="","",E678)</f>
        <v/>
      </c>
      <c r="N678" s="413"/>
      <c r="O678" s="414"/>
      <c r="P678" s="415" t="str">
        <f ca="1">IFERROR(IF($N675="Keep Contribution Same",H678,IF($N675="Enter Percentages",IF(N678="","",N678*L678),IF($N675="Keep Percentage Same",IF(G678="","",G678*L678),IF($N675="Enter Dollar Amount",IF(O678="","",O678),"")))),"")</f>
        <v/>
      </c>
      <c r="Q678" s="408" t="str">
        <f ca="1">IFERROR(L678-P678,"")</f>
        <v/>
      </c>
      <c r="R678" s="410" t="str">
        <f ca="1">IFERROR(IF(P678="","",M678*P678),"")</f>
        <v/>
      </c>
      <c r="S678" s="411"/>
      <c r="T678" s="408" t="str" cm="1">
        <f t="array" ca="1" aca="1" ref="T678">_xlfn.IFNA(VLOOKUP(INDIRECT("T"&amp;ROW()-3)&amp;"_"&amp;$D$12,BEGIN_Renew_Dental:END_RENEW_DENTAL,RENEW_COL_EC,FALSE),"")</f>
        <v/>
      </c>
      <c r="U678" s="412" t="str">
        <f t="shared" ca="1" si="69"/>
        <v/>
      </c>
      <c r="V678" s="413"/>
      <c r="W678" s="414"/>
      <c r="X678" s="415" t="str">
        <f>IFERROR(IF($V675="Keep Contribution Same",H678,IF($V675="Enter Percentages",IF(V678="","",V678*T678),IF($V675="Keep Percentage Same",IF(G678="","",G678*T678),IF($V675="Enter Dollar Amount",IF(W678="","",W678),"")))),"")</f>
        <v/>
      </c>
      <c r="Y678" s="408" t="str">
        <f t="shared" ca="1" si="70"/>
        <v/>
      </c>
      <c r="Z678" s="410" t="str">
        <f t="shared" si="71"/>
        <v/>
      </c>
    </row>
    <row r="679" spans="1:26" ht="18.75" customHeight="1" thickBot="1">
      <c r="A679" s="140"/>
      <c r="B679" s="140"/>
      <c r="D679" s="174" t="s">
        <v>241</v>
      </c>
      <c r="E679" s="416" t="str">
        <f ca="1">_xlfn.IFNA(VLOOKUP(F675,BEGIN_CURRENT_DENTAL:END_CURRENT_DENTAL,CURRENT_COL_FAM_count,FALSE),"")</f>
        <v/>
      </c>
      <c r="F679" s="417" t="str">
        <f ca="1">_xlfn.IFNA(VLOOKUP(F675,BEGIN_CURRENT_DENTAL:END_CURRENT_DENTAL,CURRENT_COL_FAM,FALSE),"")</f>
        <v/>
      </c>
      <c r="G679" s="469" t="str">
        <f t="shared" ca="1" si="67"/>
        <v/>
      </c>
      <c r="H679" s="417" t="str">
        <f ca="1">_xlfn.IFNA(VLOOKUP(F675,BEGIN_CURRENT_DENTAL:END_CURRENT_DENTAL,CURRENT_COL_FAMContrib,FALSE),"")</f>
        <v/>
      </c>
      <c r="I679" s="418" t="str">
        <f t="shared" ca="1" si="68"/>
        <v/>
      </c>
      <c r="J679" s="419" t="str">
        <f ca="1">IF(F679="","",H679*E679)</f>
        <v/>
      </c>
      <c r="K679" s="411"/>
      <c r="L679" s="417" t="str" cm="1">
        <f t="array" ca="1" aca="1" ref="L679">_xlfn.IFNA(VLOOKUP(INDIRECT("L"&amp;ROW()-4)&amp;"_"&amp;$D$12,BEGIN_Renew_Dental:END_RENEW_DENTAL,RENEW_COL_FAM,FALSE),"")</f>
        <v/>
      </c>
      <c r="M679" s="423" t="str">
        <f ca="1">IF(E679="","",E679)</f>
        <v/>
      </c>
      <c r="N679" s="420"/>
      <c r="O679" s="421"/>
      <c r="P679" s="422" t="str">
        <f ca="1">IFERROR(IF($N675="Keep Contribution Same",H679,IF($N675="Enter Percentages",IF(N679="","",N679*L679),IF($N675="Keep Percentage Same",IF(G679="","",G679*L679),IF($N675="Enter Dollar Amount",IF(O679="","",O679),"")))),"")</f>
        <v/>
      </c>
      <c r="Q679" s="417" t="str">
        <f ca="1">IFERROR(L679-P679,"")</f>
        <v/>
      </c>
      <c r="R679" s="419" t="str">
        <f ca="1">IFERROR(IF(P679="","",M679*P679),"")</f>
        <v/>
      </c>
      <c r="S679" s="411"/>
      <c r="T679" s="417" t="str" cm="1">
        <f t="array" ca="1" aca="1" ref="T679">_xlfn.IFNA(VLOOKUP(INDIRECT("T"&amp;ROW()-4)&amp;"_"&amp;$D$12,BEGIN_Renew_Dental:END_RENEW_DENTAL,RENEW_COL_FAM,FALSE),"")</f>
        <v/>
      </c>
      <c r="U679" s="423" t="str">
        <f t="shared" ca="1" si="69"/>
        <v/>
      </c>
      <c r="V679" s="420"/>
      <c r="W679" s="421"/>
      <c r="X679" s="422" t="str">
        <f>IFERROR(IF($V675="Keep Contribution Same",H679,IF($V675="Enter Percentages",IF(V679="","",V679*T679),IF($V675="Keep Percentage Same",IF(G679="","",G679*T679),IF($V675="Enter Dollar Amount",IF(W679="","",W679),"")))),"")</f>
        <v/>
      </c>
      <c r="Y679" s="417" t="str">
        <f t="shared" ca="1" si="70"/>
        <v/>
      </c>
      <c r="Z679" s="419" t="str">
        <f t="shared" si="71"/>
        <v/>
      </c>
    </row>
    <row r="680" spans="1:26" ht="18.75" customHeight="1" thickTop="1">
      <c r="A680" s="140"/>
      <c r="B680" s="140"/>
      <c r="D680" s="175" t="s">
        <v>242</v>
      </c>
      <c r="E680" s="424"/>
      <c r="F680" s="427"/>
      <c r="G680" s="426"/>
      <c r="H680" s="427"/>
      <c r="I680" s="428"/>
      <c r="J680" s="429" t="str">
        <f ca="1">IFERROR(IF(J676="","",SUM(J676:J679)),0)</f>
        <v/>
      </c>
      <c r="K680" s="1"/>
      <c r="L680" s="424"/>
      <c r="M680" s="427"/>
      <c r="N680" s="426"/>
      <c r="O680" s="427"/>
      <c r="P680" s="431"/>
      <c r="Q680" s="432"/>
      <c r="R680" s="429" t="str">
        <f ca="1">IFERROR(IF(R676="","",SUM(R676:R679)),0)</f>
        <v/>
      </c>
      <c r="T680" s="424"/>
      <c r="U680" s="427"/>
      <c r="V680" s="426"/>
      <c r="W680" s="427"/>
      <c r="X680" s="431"/>
      <c r="Y680" s="432"/>
      <c r="Z680" s="429" t="str">
        <f>IFERROR(IF(Z676="","",SUM(Z676:Z679)),0)</f>
        <v/>
      </c>
    </row>
    <row r="681" spans="1:26" ht="18.75" customHeight="1">
      <c r="A681" s="140"/>
      <c r="B681" s="140"/>
      <c r="D681" s="177" t="s">
        <v>243</v>
      </c>
      <c r="E681" s="433"/>
      <c r="F681" s="436"/>
      <c r="G681" s="435"/>
      <c r="H681" s="436"/>
      <c r="I681" s="432"/>
      <c r="J681" s="437" t="str">
        <f ca="1">IF(J680="","",J680*12)</f>
        <v/>
      </c>
      <c r="K681" s="1"/>
      <c r="L681" s="433"/>
      <c r="M681" s="436"/>
      <c r="N681" s="435"/>
      <c r="O681" s="436"/>
      <c r="P681" s="432"/>
      <c r="Q681" s="432"/>
      <c r="R681" s="437" t="str">
        <f ca="1">IF(R680="","",R680*12)</f>
        <v/>
      </c>
      <c r="T681" s="433"/>
      <c r="U681" s="436"/>
      <c r="V681" s="435"/>
      <c r="W681" s="436"/>
      <c r="X681" s="432"/>
      <c r="Y681" s="432"/>
      <c r="Z681" s="437" t="str">
        <f>IF(Z680="","",Z680*12)</f>
        <v/>
      </c>
    </row>
    <row r="682" spans="1:26" ht="18" customHeight="1">
      <c r="A682" s="140"/>
      <c r="B682" s="140"/>
      <c r="D682" s="177" t="s">
        <v>244</v>
      </c>
      <c r="E682" s="433"/>
      <c r="F682" s="436"/>
      <c r="G682" s="435"/>
      <c r="H682" s="436"/>
      <c r="I682" s="432"/>
      <c r="J682" s="437"/>
      <c r="K682" s="1"/>
      <c r="L682" s="433"/>
      <c r="M682" s="436"/>
      <c r="N682" s="435"/>
      <c r="O682" s="436"/>
      <c r="P682" s="432"/>
      <c r="Q682" s="432"/>
      <c r="R682" s="437" t="str">
        <f ca="1">IFERROR(IF(J681="","",R681-J681),0)</f>
        <v/>
      </c>
      <c r="T682" s="433"/>
      <c r="U682" s="436"/>
      <c r="V682" s="435"/>
      <c r="W682" s="436"/>
      <c r="X682" s="432"/>
      <c r="Y682" s="432"/>
      <c r="Z682" s="437" t="str">
        <f ca="1">IFERROR(IF(R681="","",Z681-R681),0)</f>
        <v/>
      </c>
    </row>
    <row r="683" spans="1:26" ht="18" customHeight="1" thickBot="1">
      <c r="A683" s="140"/>
      <c r="B683" s="140"/>
      <c r="D683" s="180" t="s">
        <v>245</v>
      </c>
      <c r="E683" s="439"/>
      <c r="F683" s="440"/>
      <c r="G683" s="441"/>
      <c r="H683" s="440"/>
      <c r="I683" s="442"/>
      <c r="J683" s="443"/>
      <c r="K683" s="1"/>
      <c r="L683" s="439"/>
      <c r="M683" s="440"/>
      <c r="N683" s="441"/>
      <c r="O683" s="440"/>
      <c r="P683" s="445"/>
      <c r="Q683" s="445"/>
      <c r="R683" s="446" t="str">
        <f ca="1">IFERROR(IF(J681="","",(R681/J681)-1),0)</f>
        <v/>
      </c>
      <c r="T683" s="439"/>
      <c r="U683" s="440"/>
      <c r="V683" s="441"/>
      <c r="W683" s="440"/>
      <c r="X683" s="445"/>
      <c r="Y683" s="445"/>
      <c r="Z683" s="446" t="str">
        <f ca="1">IFERROR(IF(R681="","",(Z681/R681)-1),0)</f>
        <v/>
      </c>
    </row>
    <row r="684" spans="1:26" ht="5.25" customHeight="1" thickBot="1">
      <c r="A684" s="140"/>
      <c r="B684" s="140"/>
      <c r="D684" s="229"/>
      <c r="E684" s="229"/>
      <c r="F684" s="230"/>
      <c r="G684" s="231"/>
      <c r="H684" s="232"/>
      <c r="I684" s="233"/>
      <c r="J684" s="233"/>
      <c r="K684"/>
      <c r="L684" s="233"/>
      <c r="M684" s="233"/>
      <c r="N684" s="233"/>
      <c r="O684" s="233"/>
      <c r="P684" s="233"/>
      <c r="Q684" s="233"/>
      <c r="R684" s="233"/>
      <c r="T684" s="233"/>
      <c r="U684" s="233"/>
      <c r="V684" s="233"/>
      <c r="W684" s="233"/>
      <c r="X684" s="233"/>
      <c r="Y684" s="233"/>
      <c r="Z684" s="233"/>
    </row>
    <row r="685" spans="1:26" ht="50.15" customHeight="1">
      <c r="A685" s="140">
        <v>3</v>
      </c>
      <c r="B685" s="140">
        <f>IF(A685&gt;Class3_CurrentDentalCount,"DELETE",Class3_CurrentDentalStart+A685)</f>
        <v>24</v>
      </c>
      <c r="C685" s="164" t="s">
        <v>291</v>
      </c>
      <c r="D685" s="273" t="e">
        <f ca="1">IF(B685="Delete","",VLOOKUP(F685,BEGIN_CURRENT_DENTAL:END_CURRENT_DENTAL,3,FALSE))</f>
        <v>#N/A</v>
      </c>
      <c r="E685" s="165"/>
      <c r="F685" s="272" cm="1">
        <f t="array" ca="1" aca="1" ref="F685">IF(B685="Delete","",INDIRECT("CurrentPlans!A"&amp;B685,TRUE))</f>
        <v>0</v>
      </c>
      <c r="G685" s="166"/>
      <c r="H685" s="167"/>
      <c r="I685" s="168"/>
      <c r="J685" s="169"/>
      <c r="K685"/>
      <c r="L685" s="274" t="str">
        <f ca="1">_xlfn.IFNA(VLOOKUP(F685,BEGIN_RENEWEDFROM_DENTAL:ROW_RenewDental_PlanID,3,FALSE),"SELECT PLAN")</f>
        <v>SELECT PLAN</v>
      </c>
      <c r="M685" s="170"/>
      <c r="N685" s="274" t="s">
        <v>330</v>
      </c>
      <c r="O685" s="171"/>
      <c r="P685" s="171"/>
      <c r="Q685" s="171"/>
      <c r="R685" s="169"/>
      <c r="T685" s="274" t="s">
        <v>38</v>
      </c>
      <c r="U685" s="170"/>
      <c r="V685" s="274" t="s">
        <v>237</v>
      </c>
      <c r="W685" s="171"/>
      <c r="X685" s="171"/>
      <c r="Y685" s="171"/>
      <c r="Z685" s="169"/>
    </row>
    <row r="686" spans="1:26" ht="18.75" customHeight="1">
      <c r="A686" s="140"/>
      <c r="B686" s="140"/>
      <c r="D686" s="172" t="s">
        <v>238</v>
      </c>
      <c r="E686" s="407" t="str">
        <f ca="1">_xlfn.IFNA(VLOOKUP(F685,BEGIN_CURRENT_DENTAL:END_CURRENT_DENTAL,CURRENT_COL_EO_count,FALSE),"")</f>
        <v/>
      </c>
      <c r="F686" s="408" t="str">
        <f ca="1">_xlfn.IFNA(VLOOKUP(F685,BEGIN_CURRENT_DENTAL:END_CURRENT_DENTAL,CURRENT_COL_EO,FALSE),"")</f>
        <v/>
      </c>
      <c r="G686" s="468" t="str">
        <f ca="1" t="shared" si="72" ref="G686:G689">IF(F686="","",H686/F686)</f>
        <v/>
      </c>
      <c r="H686" s="408" t="str">
        <f ca="1">_xlfn.IFNA(VLOOKUP(F685,BEGIN_CURRENT_DENTAL:END_CURRENT_DENTAL,CURRENT_COL_EOContrib,FALSE),"")</f>
        <v/>
      </c>
      <c r="I686" s="409" t="str">
        <f ca="1">IFERROR(F686-H686,"")</f>
        <v/>
      </c>
      <c r="J686" s="410" t="str">
        <f ca="1">IF(F686="","",H686*E686)</f>
        <v/>
      </c>
      <c r="K686" s="411"/>
      <c r="L686" s="408" t="str" cm="1">
        <f t="array" ca="1" aca="1" ref="L686">_xlfn.IFNA(VLOOKUP(INDIRECT("L"&amp;ROW()-1)&amp;"_"&amp;$D$12,BEGIN_Renew_Dental:END_RENEW_DENTAL,RENEW_COL_EO,FALSE),"")</f>
        <v/>
      </c>
      <c r="M686" s="412" t="str">
        <f ca="1">IF(E686="","",E686)</f>
        <v/>
      </c>
      <c r="N686" s="413"/>
      <c r="O686" s="414"/>
      <c r="P686" s="415" t="str">
        <f ca="1">IFERROR(IF($N685="Keep Contribution Same",H686,IF($N685="Enter Percentages",IF(N686="","",N686*L686),IF($N685="Keep Percentage Same",IF(G686="","",G686*L686),IF($N685="Enter Dollar Amount",IF(O686="","",O686),"")))),"")</f>
        <v/>
      </c>
      <c r="Q686" s="408" t="str">
        <f ca="1">IFERROR(L686-P686,"")</f>
        <v/>
      </c>
      <c r="R686" s="410" t="str">
        <f ca="1">IFERROR(IF(P686="","",M686*P686),"")</f>
        <v/>
      </c>
      <c r="S686" s="411"/>
      <c r="T686" s="408" t="str" cm="1">
        <f t="array" ca="1" aca="1" ref="T686">_xlfn.IFNA(VLOOKUP(INDIRECT("T"&amp;ROW()-1)&amp;"_"&amp;$D$12,BEGIN_Renew_Dental:END_RENEW_DENTAL,RENEW_COL_EO,FALSE),"")</f>
        <v/>
      </c>
      <c r="U686" s="412" t="str">
        <f ca="1">IF(E686="","",E686)</f>
        <v/>
      </c>
      <c r="V686" s="413"/>
      <c r="W686" s="414"/>
      <c r="X686" s="415" t="str">
        <f>IFERROR(IF($V685="Keep Contribution Same",H686,IF($V685="Enter Percentages",IF(V686="","",V686*T686),IF($V685="Keep Percentage Same",IF(G686="","",G686*T686),IF($V685="Enter Dollar Amount",IF(W686="","",W686),"")))),"")</f>
        <v/>
      </c>
      <c r="Y686" s="408" t="str">
        <f ca="1">IFERROR(T686-X686,"")</f>
        <v/>
      </c>
      <c r="Z686" s="410" t="str">
        <f>IFERROR(IF(X686="","",U686*X686),"")</f>
        <v/>
      </c>
    </row>
    <row r="687" spans="1:26" ht="18.75" customHeight="1">
      <c r="A687" s="140"/>
      <c r="B687" s="140"/>
      <c r="D687" s="172" t="s">
        <v>239</v>
      </c>
      <c r="E687" s="407" t="str">
        <f ca="1">_xlfn.IFNA(VLOOKUP(F685,BEGIN_CURRENT_DENTAL:END_CURRENT_DENTAL,CURRENT_COL_ES_count,FALSE),"")</f>
        <v/>
      </c>
      <c r="F687" s="408" t="str">
        <f ca="1">_xlfn.IFNA(VLOOKUP(F685,BEGIN_CURRENT_DENTAL:END_CURRENT_DENTAL,CURRENT_COL_ES,FALSE),"")</f>
        <v/>
      </c>
      <c r="G687" s="468" t="str">
        <f t="shared" ca="1" si="72"/>
        <v/>
      </c>
      <c r="H687" s="408" t="str">
        <f ca="1">_xlfn.IFNA(VLOOKUP(F685,BEGIN_CURRENT_DENTAL:END_CURRENT_DENTAL,CURRENT_COL_ESContrib,FALSE),"")</f>
        <v/>
      </c>
      <c r="I687" s="409" t="str">
        <f ca="1" t="shared" si="73" ref="I687:I689">IFERROR(F687-H687,"")</f>
        <v/>
      </c>
      <c r="J687" s="410" t="str">
        <f ca="1">IF(F687="","",H687*E687)</f>
        <v/>
      </c>
      <c r="K687" s="411"/>
      <c r="L687" s="408" t="str" cm="1">
        <f t="array" ca="1" aca="1" ref="L687">_xlfn.IFNA(VLOOKUP(INDIRECT("L"&amp;ROW()-2)&amp;"_"&amp;$D$12,BEGIN_Renew_Dental:END_RENEW_DENTAL,RENEW_COL_ES,FALSE),"")</f>
        <v/>
      </c>
      <c r="M687" s="412" t="str">
        <f ca="1">IF(E687="","",E687)</f>
        <v/>
      </c>
      <c r="N687" s="413"/>
      <c r="O687" s="414"/>
      <c r="P687" s="415" t="str">
        <f ca="1">IFERROR(IF($N685="Keep Contribution Same",H687,IF($N685="Enter Percentages",IF(N687="","",N687*L687),IF($N685="Keep Percentage Same",IF(G687="","",G687*L687),IF($N685="Enter Dollar Amount",IF(O687="","",O687),"")))),"")</f>
        <v/>
      </c>
      <c r="Q687" s="408" t="str">
        <f ca="1">IFERROR(L687-P687,"")</f>
        <v/>
      </c>
      <c r="R687" s="410" t="str">
        <f ca="1">IFERROR(IF(P687="","",M687*P687),"")</f>
        <v/>
      </c>
      <c r="S687" s="411"/>
      <c r="T687" s="408" t="str" cm="1">
        <f t="array" ca="1" aca="1" ref="T687">_xlfn.IFNA(VLOOKUP(INDIRECT("T"&amp;ROW()-2)&amp;"_"&amp;$D$12,BEGIN_Renew_Dental:END_RENEW_DENTAL,RENEW_COL_ES,FALSE),"")</f>
        <v/>
      </c>
      <c r="U687" s="412" t="str">
        <f ca="1" t="shared" si="74" ref="U687:U689">IF(E687="","",E687)</f>
        <v/>
      </c>
      <c r="V687" s="413"/>
      <c r="W687" s="414"/>
      <c r="X687" s="415" t="str">
        <f>IFERROR(IF($V685="Keep Contribution Same",H687,IF($V685="Enter Percentages",IF(V687="","",V687*T687),IF($V685="Keep Percentage Same",IF(G687="","",G687*T687),IF($V685="Enter Dollar Amount",IF(W687="","",W687),"")))),"")</f>
        <v/>
      </c>
      <c r="Y687" s="408" t="str">
        <f ca="1" t="shared" si="75" ref="Y687:Y689">IFERROR(T687-X687,"")</f>
        <v/>
      </c>
      <c r="Z687" s="410" t="str">
        <f t="shared" si="76" ref="Z687:Z689">IFERROR(IF(X687="","",U687*X687),"")</f>
        <v/>
      </c>
    </row>
    <row r="688" spans="1:26" ht="18.75" customHeight="1">
      <c r="A688" s="140"/>
      <c r="B688" s="140"/>
      <c r="D688" s="172" t="s">
        <v>240</v>
      </c>
      <c r="E688" s="407" t="str">
        <f ca="1">_xlfn.IFNA(VLOOKUP(F685,BEGIN_CURRENT_DENTAL:END_CURRENT_DENTAL,CURRENT_COL_EC_count,FALSE),"")</f>
        <v/>
      </c>
      <c r="F688" s="408" t="str">
        <f ca="1">_xlfn.IFNA(VLOOKUP(F685,BEGIN_CURRENT_DENTAL:END_CURRENT_DENTAL,CURRENT_COL_EC,FALSE),"")</f>
        <v/>
      </c>
      <c r="G688" s="468" t="str">
        <f t="shared" ca="1" si="72"/>
        <v/>
      </c>
      <c r="H688" s="408" t="str">
        <f ca="1">_xlfn.IFNA(VLOOKUP(F685,BEGIN_CURRENT_DENTAL:END_CURRENT_DENTAL,CURRENT_COL_ECContrib,FALSE),"")</f>
        <v/>
      </c>
      <c r="I688" s="409" t="str">
        <f t="shared" ca="1" si="73"/>
        <v/>
      </c>
      <c r="J688" s="410" t="str">
        <f ca="1">IF(F688="","",H688*E688)</f>
        <v/>
      </c>
      <c r="K688" s="411"/>
      <c r="L688" s="408" t="str" cm="1">
        <f t="array" ca="1" aca="1" ref="L688">_xlfn.IFNA(VLOOKUP(INDIRECT("L"&amp;ROW()-3)&amp;"_"&amp;$D$12,BEGIN_Renew_Dental:END_RENEW_DENTAL,RENEW_COL_EC,FALSE),"")</f>
        <v/>
      </c>
      <c r="M688" s="412" t="str">
        <f ca="1">IF(E688="","",E688)</f>
        <v/>
      </c>
      <c r="N688" s="413"/>
      <c r="O688" s="414"/>
      <c r="P688" s="415" t="str">
        <f ca="1">IFERROR(IF($N685="Keep Contribution Same",H688,IF($N685="Enter Percentages",IF(N688="","",N688*L688),IF($N685="Keep Percentage Same",IF(G688="","",G688*L688),IF($N685="Enter Dollar Amount",IF(O688="","",O688),"")))),"")</f>
        <v/>
      </c>
      <c r="Q688" s="408" t="str">
        <f ca="1">IFERROR(L688-P688,"")</f>
        <v/>
      </c>
      <c r="R688" s="410" t="str">
        <f ca="1">IFERROR(IF(P688="","",M688*P688),"")</f>
        <v/>
      </c>
      <c r="S688" s="411"/>
      <c r="T688" s="408" t="str" cm="1">
        <f t="array" ca="1" aca="1" ref="T688">_xlfn.IFNA(VLOOKUP(INDIRECT("T"&amp;ROW()-3)&amp;"_"&amp;$D$12,BEGIN_Renew_Dental:END_RENEW_DENTAL,RENEW_COL_EC,FALSE),"")</f>
        <v/>
      </c>
      <c r="U688" s="412" t="str">
        <f t="shared" ca="1" si="74"/>
        <v/>
      </c>
      <c r="V688" s="413"/>
      <c r="W688" s="414"/>
      <c r="X688" s="415" t="str">
        <f>IFERROR(IF($V685="Keep Contribution Same",H688,IF($V685="Enter Percentages",IF(V688="","",V688*T688),IF($V685="Keep Percentage Same",IF(G688="","",G688*T688),IF($V685="Enter Dollar Amount",IF(W688="","",W688),"")))),"")</f>
        <v/>
      </c>
      <c r="Y688" s="408" t="str">
        <f t="shared" ca="1" si="75"/>
        <v/>
      </c>
      <c r="Z688" s="410" t="str">
        <f t="shared" si="76"/>
        <v/>
      </c>
    </row>
    <row r="689" spans="1:26" ht="18.75" customHeight="1" thickBot="1">
      <c r="A689" s="140"/>
      <c r="B689" s="140"/>
      <c r="D689" s="174" t="s">
        <v>241</v>
      </c>
      <c r="E689" s="416" t="str">
        <f ca="1">_xlfn.IFNA(VLOOKUP(F685,BEGIN_CURRENT_DENTAL:END_CURRENT_DENTAL,CURRENT_COL_FAM_count,FALSE),"")</f>
        <v/>
      </c>
      <c r="F689" s="417" t="str">
        <f ca="1">_xlfn.IFNA(VLOOKUP(F685,BEGIN_CURRENT_DENTAL:END_CURRENT_DENTAL,CURRENT_COL_FAM,FALSE),"")</f>
        <v/>
      </c>
      <c r="G689" s="469" t="str">
        <f t="shared" ca="1" si="72"/>
        <v/>
      </c>
      <c r="H689" s="417" t="str">
        <f ca="1">_xlfn.IFNA(VLOOKUP(F685,BEGIN_CURRENT_DENTAL:END_CURRENT_DENTAL,CURRENT_COL_FAMContrib,FALSE),"")</f>
        <v/>
      </c>
      <c r="I689" s="418" t="str">
        <f t="shared" ca="1" si="73"/>
        <v/>
      </c>
      <c r="J689" s="419" t="str">
        <f ca="1">IF(F689="","",H689*E689)</f>
        <v/>
      </c>
      <c r="K689" s="411"/>
      <c r="L689" s="417" t="str" cm="1">
        <f t="array" ca="1" aca="1" ref="L689">_xlfn.IFNA(VLOOKUP(INDIRECT("L"&amp;ROW()-4)&amp;"_"&amp;$D$12,BEGIN_Renew_Dental:END_RENEW_DENTAL,RENEW_COL_FAM,FALSE),"")</f>
        <v/>
      </c>
      <c r="M689" s="423" t="str">
        <f ca="1">IF(E689="","",E689)</f>
        <v/>
      </c>
      <c r="N689" s="420"/>
      <c r="O689" s="421"/>
      <c r="P689" s="422" t="str">
        <f ca="1">IFERROR(IF($N685="Keep Contribution Same",H689,IF($N685="Enter Percentages",IF(N689="","",N689*L689),IF($N685="Keep Percentage Same",IF(G689="","",G689*L689),IF($N685="Enter Dollar Amount",IF(O689="","",O689),"")))),"")</f>
        <v/>
      </c>
      <c r="Q689" s="417" t="str">
        <f ca="1">IFERROR(L689-P689,"")</f>
        <v/>
      </c>
      <c r="R689" s="419" t="str">
        <f ca="1">IFERROR(IF(P689="","",M689*P689),"")</f>
        <v/>
      </c>
      <c r="S689" s="411"/>
      <c r="T689" s="417" t="str" cm="1">
        <f t="array" ca="1" aca="1" ref="T689">_xlfn.IFNA(VLOOKUP(INDIRECT("T"&amp;ROW()-4)&amp;"_"&amp;$D$12,BEGIN_Renew_Dental:END_RENEW_DENTAL,RENEW_COL_FAM,FALSE),"")</f>
        <v/>
      </c>
      <c r="U689" s="423" t="str">
        <f t="shared" ca="1" si="74"/>
        <v/>
      </c>
      <c r="V689" s="420"/>
      <c r="W689" s="421"/>
      <c r="X689" s="422" t="str">
        <f>IFERROR(IF($V685="Keep Contribution Same",H689,IF($V685="Enter Percentages",IF(V689="","",V689*T689),IF($V685="Keep Percentage Same",IF(G689="","",G689*T689),IF($V685="Enter Dollar Amount",IF(W689="","",W689),"")))),"")</f>
        <v/>
      </c>
      <c r="Y689" s="417" t="str">
        <f t="shared" ca="1" si="75"/>
        <v/>
      </c>
      <c r="Z689" s="419" t="str">
        <f t="shared" si="76"/>
        <v/>
      </c>
    </row>
    <row r="690" spans="1:26" ht="18.75" customHeight="1" thickTop="1">
      <c r="A690" s="140"/>
      <c r="B690" s="140"/>
      <c r="D690" s="175" t="s">
        <v>242</v>
      </c>
      <c r="E690" s="424"/>
      <c r="F690" s="427"/>
      <c r="G690" s="426"/>
      <c r="H690" s="427"/>
      <c r="I690" s="428"/>
      <c r="J690" s="429" t="str">
        <f ca="1">IFERROR(IF(J686="","",SUM(J686:J689)),0)</f>
        <v/>
      </c>
      <c r="K690" s="1"/>
      <c r="L690" s="424"/>
      <c r="M690" s="427"/>
      <c r="N690" s="426"/>
      <c r="O690" s="427"/>
      <c r="P690" s="431"/>
      <c r="Q690" s="432"/>
      <c r="R690" s="429" t="str">
        <f ca="1">IFERROR(IF(R686="","",SUM(R686:R689)),0)</f>
        <v/>
      </c>
      <c r="T690" s="424"/>
      <c r="U690" s="427"/>
      <c r="V690" s="426"/>
      <c r="W690" s="427"/>
      <c r="X690" s="431"/>
      <c r="Y690" s="432"/>
      <c r="Z690" s="429" t="str">
        <f>IFERROR(IF(Z686="","",SUM(Z686:Z689)),0)</f>
        <v/>
      </c>
    </row>
    <row r="691" spans="1:26" ht="18.75" customHeight="1">
      <c r="A691" s="140"/>
      <c r="B691" s="140"/>
      <c r="D691" s="177" t="s">
        <v>243</v>
      </c>
      <c r="E691" s="433"/>
      <c r="F691" s="436"/>
      <c r="G691" s="435"/>
      <c r="H691" s="436"/>
      <c r="I691" s="432"/>
      <c r="J691" s="437" t="str">
        <f ca="1">IF(J690="","",J690*12)</f>
        <v/>
      </c>
      <c r="K691" s="1"/>
      <c r="L691" s="433"/>
      <c r="M691" s="436"/>
      <c r="N691" s="435"/>
      <c r="O691" s="436"/>
      <c r="P691" s="432"/>
      <c r="Q691" s="432"/>
      <c r="R691" s="437" t="str">
        <f ca="1">IF(R690="","",R690*12)</f>
        <v/>
      </c>
      <c r="T691" s="433"/>
      <c r="U691" s="436"/>
      <c r="V691" s="435"/>
      <c r="W691" s="436"/>
      <c r="X691" s="432"/>
      <c r="Y691" s="432"/>
      <c r="Z691" s="437" t="str">
        <f>IF(Z690="","",Z690*12)</f>
        <v/>
      </c>
    </row>
    <row r="692" spans="1:26" ht="18" customHeight="1">
      <c r="A692" s="140"/>
      <c r="B692" s="140"/>
      <c r="D692" s="177" t="s">
        <v>244</v>
      </c>
      <c r="E692" s="433"/>
      <c r="F692" s="436"/>
      <c r="G692" s="435"/>
      <c r="H692" s="436"/>
      <c r="I692" s="432"/>
      <c r="J692" s="437"/>
      <c r="K692" s="1"/>
      <c r="L692" s="433"/>
      <c r="M692" s="436"/>
      <c r="N692" s="435"/>
      <c r="O692" s="436"/>
      <c r="P692" s="432"/>
      <c r="Q692" s="432"/>
      <c r="R692" s="437" t="str">
        <f ca="1">IFERROR(IF(J691="","",R691-J691),0)</f>
        <v/>
      </c>
      <c r="T692" s="433"/>
      <c r="U692" s="436"/>
      <c r="V692" s="435"/>
      <c r="W692" s="436"/>
      <c r="X692" s="432"/>
      <c r="Y692" s="432"/>
      <c r="Z692" s="437" t="str">
        <f ca="1">IFERROR(IF(R691="","",Z691-R691),0)</f>
        <v/>
      </c>
    </row>
    <row r="693" spans="1:26" ht="18" customHeight="1" thickBot="1">
      <c r="A693" s="140"/>
      <c r="B693" s="140"/>
      <c r="D693" s="180" t="s">
        <v>245</v>
      </c>
      <c r="E693" s="439"/>
      <c r="F693" s="440"/>
      <c r="G693" s="441"/>
      <c r="H693" s="440"/>
      <c r="I693" s="442"/>
      <c r="J693" s="443"/>
      <c r="K693" s="1"/>
      <c r="L693" s="439"/>
      <c r="M693" s="440"/>
      <c r="N693" s="441"/>
      <c r="O693" s="440"/>
      <c r="P693" s="445"/>
      <c r="Q693" s="445"/>
      <c r="R693" s="446" t="str">
        <f ca="1">IFERROR(IF(J691="","",(R691/J691)-1),0)</f>
        <v/>
      </c>
      <c r="T693" s="439"/>
      <c r="U693" s="440"/>
      <c r="V693" s="441"/>
      <c r="W693" s="440"/>
      <c r="X693" s="445"/>
      <c r="Y693" s="445"/>
      <c r="Z693" s="446" t="str">
        <f ca="1">IFERROR(IF(R691="","",(Z691/R691)-1),0)</f>
        <v/>
      </c>
    </row>
    <row r="694" spans="1:26" ht="5.25" customHeight="1" thickBot="1">
      <c r="A694" s="140"/>
      <c r="B694" s="140"/>
      <c r="D694" s="229"/>
      <c r="E694" s="229"/>
      <c r="F694" s="230"/>
      <c r="G694" s="231"/>
      <c r="H694" s="232"/>
      <c r="I694" s="233"/>
      <c r="J694" s="233"/>
      <c r="K694"/>
      <c r="L694" s="233"/>
      <c r="M694" s="233"/>
      <c r="N694" s="233"/>
      <c r="O694" s="233"/>
      <c r="P694" s="233"/>
      <c r="Q694" s="233"/>
      <c r="R694" s="233"/>
      <c r="T694" s="233"/>
      <c r="U694" s="233"/>
      <c r="V694" s="233"/>
      <c r="W694" s="233"/>
      <c r="X694" s="233"/>
      <c r="Y694" s="233"/>
      <c r="Z694" s="233"/>
    </row>
    <row r="695" spans="1:26" ht="50.15" customHeight="1">
      <c r="A695" s="140">
        <v>4</v>
      </c>
      <c r="B695" s="140">
        <f>IF(A695&gt;Class3_CurrentDentalCount,"DELETE",Class3_CurrentDentalStart+A695)</f>
        <v>25</v>
      </c>
      <c r="C695" s="164" t="s">
        <v>292</v>
      </c>
      <c r="D695" s="273" t="e">
        <f ca="1">IF(B695="Delete","",VLOOKUP(F695,BEGIN_CURRENT_DENTAL:END_CURRENT_DENTAL,3,FALSE))</f>
        <v>#N/A</v>
      </c>
      <c r="E695" s="165"/>
      <c r="F695" s="272" cm="1">
        <f t="array" ca="1" aca="1" ref="F695">IF(B695="Delete","",INDIRECT("CurrentPlans!A"&amp;B695,TRUE))</f>
        <v>0</v>
      </c>
      <c r="G695" s="166"/>
      <c r="H695" s="167"/>
      <c r="I695" s="168"/>
      <c r="J695" s="169"/>
      <c r="K695"/>
      <c r="L695" s="274" t="str">
        <f ca="1">_xlfn.IFNA(VLOOKUP(F695,BEGIN_RENEWEDFROM_DENTAL:ROW_RenewDental_PlanID,3,FALSE),"SELECT PLAN")</f>
        <v>SELECT PLAN</v>
      </c>
      <c r="M695" s="170"/>
      <c r="N695" s="274" t="s">
        <v>330</v>
      </c>
      <c r="O695" s="171"/>
      <c r="P695" s="171"/>
      <c r="Q695" s="171"/>
      <c r="R695" s="169"/>
      <c r="T695" s="274" t="s">
        <v>38</v>
      </c>
      <c r="U695" s="170"/>
      <c r="V695" s="274" t="s">
        <v>237</v>
      </c>
      <c r="W695" s="171"/>
      <c r="X695" s="171"/>
      <c r="Y695" s="171"/>
      <c r="Z695" s="169"/>
    </row>
    <row r="696" spans="1:26" ht="18.75" customHeight="1">
      <c r="A696" s="140"/>
      <c r="B696" s="140"/>
      <c r="D696" s="172" t="s">
        <v>238</v>
      </c>
      <c r="E696" s="407" t="str">
        <f ca="1">_xlfn.IFNA(VLOOKUP(F695,BEGIN_CURRENT_DENTAL:END_CURRENT_DENTAL,CURRENT_COL_EO_count,FALSE),"")</f>
        <v/>
      </c>
      <c r="F696" s="408" t="str">
        <f ca="1">_xlfn.IFNA(VLOOKUP(F695,BEGIN_CURRENT_DENTAL:END_CURRENT_DENTAL,CURRENT_COL_EO,FALSE),"")</f>
        <v/>
      </c>
      <c r="G696" s="468" t="str">
        <f ca="1" t="shared" si="77" ref="G696:G699">IF(F696="","",H696/F696)</f>
        <v/>
      </c>
      <c r="H696" s="408" t="str">
        <f ca="1">_xlfn.IFNA(VLOOKUP(F695,BEGIN_CURRENT_DENTAL:END_CURRENT_DENTAL,CURRENT_COL_EOContrib,FALSE),"")</f>
        <v/>
      </c>
      <c r="I696" s="409" t="str">
        <f ca="1">IFERROR(F696-H696,"")</f>
        <v/>
      </c>
      <c r="J696" s="410" t="str">
        <f ca="1">IF(F696="","",H696*E696)</f>
        <v/>
      </c>
      <c r="K696" s="411"/>
      <c r="L696" s="408" t="str" cm="1">
        <f t="array" ca="1" aca="1" ref="L696">_xlfn.IFNA(VLOOKUP(INDIRECT("L"&amp;ROW()-1)&amp;"_"&amp;$D$12,BEGIN_Renew_Dental:END_RENEW_DENTAL,RENEW_COL_EO,FALSE),"")</f>
        <v/>
      </c>
      <c r="M696" s="412" t="str">
        <f ca="1">IF(E696="","",E696)</f>
        <v/>
      </c>
      <c r="N696" s="413"/>
      <c r="O696" s="414"/>
      <c r="P696" s="415" t="str">
        <f ca="1">IFERROR(IF($N695="Keep Contribution Same",H696,IF($N695="Enter Percentages",IF(N696="","",N696*L696),IF($N695="Keep Percentage Same",IF(G696="","",G696*L696),IF($N695="Enter Dollar Amount",IF(O696="","",O696),"")))),"")</f>
        <v/>
      </c>
      <c r="Q696" s="408" t="str">
        <f ca="1">IFERROR(L696-P696,"")</f>
        <v/>
      </c>
      <c r="R696" s="410" t="str">
        <f ca="1">IFERROR(IF(P696="","",M696*P696),"")</f>
        <v/>
      </c>
      <c r="S696" s="411"/>
      <c r="T696" s="408" t="str" cm="1">
        <f t="array" ca="1" aca="1" ref="T696">_xlfn.IFNA(VLOOKUP(INDIRECT("T"&amp;ROW()-1)&amp;"_"&amp;$D$12,BEGIN_Renew_Dental:END_RENEW_DENTAL,RENEW_COL_EO,FALSE),"")</f>
        <v/>
      </c>
      <c r="U696" s="412" t="str">
        <f ca="1">IF(E696="","",E696)</f>
        <v/>
      </c>
      <c r="V696" s="413"/>
      <c r="W696" s="414"/>
      <c r="X696" s="415" t="str">
        <f>IFERROR(IF($V695="Keep Contribution Same",H696,IF($V695="Enter Percentages",IF(V696="","",V696*T696),IF($V695="Keep Percentage Same",IF(G696="","",G696*T696),IF($V695="Enter Dollar Amount",IF(W696="","",W696),"")))),"")</f>
        <v/>
      </c>
      <c r="Y696" s="408" t="str">
        <f ca="1">IFERROR(T696-X696,"")</f>
        <v/>
      </c>
      <c r="Z696" s="410" t="str">
        <f>IFERROR(IF(X696="","",U696*X696),"")</f>
        <v/>
      </c>
    </row>
    <row r="697" spans="1:26" ht="18.75" customHeight="1">
      <c r="A697" s="140"/>
      <c r="B697" s="140"/>
      <c r="D697" s="172" t="s">
        <v>239</v>
      </c>
      <c r="E697" s="407" t="str">
        <f ca="1">_xlfn.IFNA(VLOOKUP(F695,BEGIN_CURRENT_DENTAL:END_CURRENT_DENTAL,CURRENT_COL_ES_count,FALSE),"")</f>
        <v/>
      </c>
      <c r="F697" s="408" t="str">
        <f ca="1">_xlfn.IFNA(VLOOKUP(F695,BEGIN_CURRENT_DENTAL:END_CURRENT_DENTAL,CURRENT_COL_ES,FALSE),"")</f>
        <v/>
      </c>
      <c r="G697" s="468" t="str">
        <f t="shared" ca="1" si="77"/>
        <v/>
      </c>
      <c r="H697" s="408" t="str">
        <f ca="1">_xlfn.IFNA(VLOOKUP(F695,BEGIN_CURRENT_DENTAL:END_CURRENT_DENTAL,CURRENT_COL_ESContrib,FALSE),"")</f>
        <v/>
      </c>
      <c r="I697" s="409" t="str">
        <f ca="1" t="shared" si="78" ref="I697:I699">IFERROR(F697-H697,"")</f>
        <v/>
      </c>
      <c r="J697" s="410" t="str">
        <f ca="1">IF(F697="","",H697*E697)</f>
        <v/>
      </c>
      <c r="K697" s="411"/>
      <c r="L697" s="408" t="str" cm="1">
        <f t="array" ca="1" aca="1" ref="L697">_xlfn.IFNA(VLOOKUP(INDIRECT("L"&amp;ROW()-2)&amp;"_"&amp;$D$12,BEGIN_Renew_Dental:END_RENEW_DENTAL,RENEW_COL_ES,FALSE),"")</f>
        <v/>
      </c>
      <c r="M697" s="412" t="str">
        <f ca="1">IF(E697="","",E697)</f>
        <v/>
      </c>
      <c r="N697" s="413"/>
      <c r="O697" s="414"/>
      <c r="P697" s="415" t="str">
        <f ca="1">IFERROR(IF($N695="Keep Contribution Same",H697,IF($N695="Enter Percentages",IF(N697="","",N697*L697),IF($N695="Keep Percentage Same",IF(G697="","",G697*L697),IF($N695="Enter Dollar Amount",IF(O697="","",O697),"")))),"")</f>
        <v/>
      </c>
      <c r="Q697" s="408" t="str">
        <f ca="1">IFERROR(L697-P697,"")</f>
        <v/>
      </c>
      <c r="R697" s="410" t="str">
        <f ca="1">IFERROR(IF(P697="","",M697*P697),"")</f>
        <v/>
      </c>
      <c r="S697" s="411"/>
      <c r="T697" s="408" t="str" cm="1">
        <f t="array" ca="1" aca="1" ref="T697">_xlfn.IFNA(VLOOKUP(INDIRECT("T"&amp;ROW()-2)&amp;"_"&amp;$D$12,BEGIN_Renew_Dental:END_RENEW_DENTAL,RENEW_COL_ES,FALSE),"")</f>
        <v/>
      </c>
      <c r="U697" s="412" t="str">
        <f ca="1" t="shared" si="79" ref="U697:U699">IF(E697="","",E697)</f>
        <v/>
      </c>
      <c r="V697" s="413"/>
      <c r="W697" s="414"/>
      <c r="X697" s="415" t="str">
        <f>IFERROR(IF($V695="Keep Contribution Same",H697,IF($V695="Enter Percentages",IF(V697="","",V697*T697),IF($V695="Keep Percentage Same",IF(G697="","",G697*T697),IF($V695="Enter Dollar Amount",IF(W697="","",W697),"")))),"")</f>
        <v/>
      </c>
      <c r="Y697" s="408" t="str">
        <f ca="1" t="shared" si="80" ref="Y697:Y699">IFERROR(T697-X697,"")</f>
        <v/>
      </c>
      <c r="Z697" s="410" t="str">
        <f t="shared" si="81" ref="Z697:Z699">IFERROR(IF(X697="","",U697*X697),"")</f>
        <v/>
      </c>
    </row>
    <row r="698" spans="1:26" ht="18.75" customHeight="1">
      <c r="A698" s="140"/>
      <c r="B698" s="140"/>
      <c r="D698" s="172" t="s">
        <v>240</v>
      </c>
      <c r="E698" s="407" t="str">
        <f ca="1">_xlfn.IFNA(VLOOKUP(F695,BEGIN_CURRENT_DENTAL:END_CURRENT_DENTAL,CURRENT_COL_EC_count,FALSE),"")</f>
        <v/>
      </c>
      <c r="F698" s="408" t="str">
        <f ca="1">_xlfn.IFNA(VLOOKUP(F695,BEGIN_CURRENT_DENTAL:END_CURRENT_DENTAL,CURRENT_COL_EC,FALSE),"")</f>
        <v/>
      </c>
      <c r="G698" s="468" t="str">
        <f t="shared" ca="1" si="77"/>
        <v/>
      </c>
      <c r="H698" s="408" t="str">
        <f ca="1">_xlfn.IFNA(VLOOKUP(F695,BEGIN_CURRENT_DENTAL:END_CURRENT_DENTAL,CURRENT_COL_ECContrib,FALSE),"")</f>
        <v/>
      </c>
      <c r="I698" s="409" t="str">
        <f t="shared" ca="1" si="78"/>
        <v/>
      </c>
      <c r="J698" s="410" t="str">
        <f ca="1">IF(F698="","",H698*E698)</f>
        <v/>
      </c>
      <c r="K698" s="411"/>
      <c r="L698" s="408" t="str" cm="1">
        <f t="array" ca="1" aca="1" ref="L698">_xlfn.IFNA(VLOOKUP(INDIRECT("L"&amp;ROW()-3)&amp;"_"&amp;$D$12,BEGIN_Renew_Dental:END_RENEW_DENTAL,RENEW_COL_EC,FALSE),"")</f>
        <v/>
      </c>
      <c r="M698" s="412" t="str">
        <f ca="1">IF(E698="","",E698)</f>
        <v/>
      </c>
      <c r="N698" s="413"/>
      <c r="O698" s="414"/>
      <c r="P698" s="415" t="str">
        <f ca="1">IFERROR(IF($N695="Keep Contribution Same",H698,IF($N695="Enter Percentages",IF(N698="","",N698*L698),IF($N695="Keep Percentage Same",IF(G698="","",G698*L698),IF($N695="Enter Dollar Amount",IF(O698="","",O698),"")))),"")</f>
        <v/>
      </c>
      <c r="Q698" s="408" t="str">
        <f ca="1">IFERROR(L698-P698,"")</f>
        <v/>
      </c>
      <c r="R698" s="410" t="str">
        <f ca="1">IFERROR(IF(P698="","",M698*P698),"")</f>
        <v/>
      </c>
      <c r="S698" s="411"/>
      <c r="T698" s="408" t="str" cm="1">
        <f t="array" ca="1" aca="1" ref="T698">_xlfn.IFNA(VLOOKUP(INDIRECT("T"&amp;ROW()-3)&amp;"_"&amp;$D$12,BEGIN_Renew_Dental:END_RENEW_DENTAL,RENEW_COL_EC,FALSE),"")</f>
        <v/>
      </c>
      <c r="U698" s="412" t="str">
        <f t="shared" ca="1" si="79"/>
        <v/>
      </c>
      <c r="V698" s="413"/>
      <c r="W698" s="414"/>
      <c r="X698" s="415" t="str">
        <f>IFERROR(IF($V695="Keep Contribution Same",H698,IF($V695="Enter Percentages",IF(V698="","",V698*T698),IF($V695="Keep Percentage Same",IF(G698="","",G698*T698),IF($V695="Enter Dollar Amount",IF(W698="","",W698),"")))),"")</f>
        <v/>
      </c>
      <c r="Y698" s="408" t="str">
        <f t="shared" ca="1" si="80"/>
        <v/>
      </c>
      <c r="Z698" s="410" t="str">
        <f t="shared" si="81"/>
        <v/>
      </c>
    </row>
    <row r="699" spans="1:26" ht="18.75" customHeight="1" thickBot="1">
      <c r="A699" s="140"/>
      <c r="B699" s="140"/>
      <c r="D699" s="174" t="s">
        <v>241</v>
      </c>
      <c r="E699" s="416" t="str">
        <f ca="1">_xlfn.IFNA(VLOOKUP(F695,BEGIN_CURRENT_DENTAL:END_CURRENT_DENTAL,CURRENT_COL_FAM_count,FALSE),"")</f>
        <v/>
      </c>
      <c r="F699" s="417" t="str">
        <f ca="1">_xlfn.IFNA(VLOOKUP(F695,BEGIN_CURRENT_DENTAL:END_CURRENT_DENTAL,CURRENT_COL_FAM,FALSE),"")</f>
        <v/>
      </c>
      <c r="G699" s="469" t="str">
        <f t="shared" ca="1" si="77"/>
        <v/>
      </c>
      <c r="H699" s="417" t="str">
        <f ca="1">_xlfn.IFNA(VLOOKUP(F695,BEGIN_CURRENT_DENTAL:END_CURRENT_DENTAL,CURRENT_COL_FAMContrib,FALSE),"")</f>
        <v/>
      </c>
      <c r="I699" s="418" t="str">
        <f t="shared" ca="1" si="78"/>
        <v/>
      </c>
      <c r="J699" s="419" t="str">
        <f ca="1">IF(F699="","",H699*E699)</f>
        <v/>
      </c>
      <c r="K699" s="411"/>
      <c r="L699" s="417" t="str" cm="1">
        <f t="array" ca="1" aca="1" ref="L699">_xlfn.IFNA(VLOOKUP(INDIRECT("L"&amp;ROW()-4)&amp;"_"&amp;$D$12,BEGIN_Renew_Dental:END_RENEW_DENTAL,RENEW_COL_FAM,FALSE),"")</f>
        <v/>
      </c>
      <c r="M699" s="423" t="str">
        <f ca="1">IF(E699="","",E699)</f>
        <v/>
      </c>
      <c r="N699" s="420"/>
      <c r="O699" s="421"/>
      <c r="P699" s="422" t="str">
        <f ca="1">IFERROR(IF($N695="Keep Contribution Same",H699,IF($N695="Enter Percentages",IF(N699="","",N699*L699),IF($N695="Keep Percentage Same",IF(G699="","",G699*L699),IF($N695="Enter Dollar Amount",IF(O699="","",O699),"")))),"")</f>
        <v/>
      </c>
      <c r="Q699" s="417" t="str">
        <f ca="1">IFERROR(L699-P699,"")</f>
        <v/>
      </c>
      <c r="R699" s="419" t="str">
        <f ca="1">IFERROR(IF(P699="","",M699*P699),"")</f>
        <v/>
      </c>
      <c r="S699" s="411"/>
      <c r="T699" s="417" t="str" cm="1">
        <f t="array" ca="1" aca="1" ref="T699">_xlfn.IFNA(VLOOKUP(INDIRECT("T"&amp;ROW()-4)&amp;"_"&amp;$D$12,BEGIN_Renew_Dental:END_RENEW_DENTAL,RENEW_COL_FAM,FALSE),"")</f>
        <v/>
      </c>
      <c r="U699" s="423" t="str">
        <f t="shared" ca="1" si="79"/>
        <v/>
      </c>
      <c r="V699" s="420"/>
      <c r="W699" s="421"/>
      <c r="X699" s="422" t="str">
        <f>IFERROR(IF($V695="Keep Contribution Same",H699,IF($V695="Enter Percentages",IF(V699="","",V699*T699),IF($V695="Keep Percentage Same",IF(G699="","",G699*T699),IF($V695="Enter Dollar Amount",IF(W699="","",W699),"")))),"")</f>
        <v/>
      </c>
      <c r="Y699" s="417" t="str">
        <f t="shared" ca="1" si="80"/>
        <v/>
      </c>
      <c r="Z699" s="419" t="str">
        <f t="shared" si="81"/>
        <v/>
      </c>
    </row>
    <row r="700" spans="1:26" ht="18.75" customHeight="1" thickTop="1">
      <c r="A700" s="140"/>
      <c r="B700" s="140"/>
      <c r="D700" s="175" t="s">
        <v>242</v>
      </c>
      <c r="E700" s="424"/>
      <c r="F700" s="427"/>
      <c r="G700" s="426"/>
      <c r="H700" s="427"/>
      <c r="I700" s="428"/>
      <c r="J700" s="429" t="str">
        <f ca="1">IFERROR(IF(J696="","",SUM(J696:J699)),0)</f>
        <v/>
      </c>
      <c r="K700" s="1"/>
      <c r="L700" s="424"/>
      <c r="M700" s="427"/>
      <c r="N700" s="426"/>
      <c r="O700" s="427"/>
      <c r="P700" s="431"/>
      <c r="Q700" s="432"/>
      <c r="R700" s="429" t="str">
        <f ca="1">IFERROR(IF(R696="","",SUM(R696:R699)),0)</f>
        <v/>
      </c>
      <c r="T700" s="424"/>
      <c r="U700" s="427"/>
      <c r="V700" s="426"/>
      <c r="W700" s="427"/>
      <c r="X700" s="431"/>
      <c r="Y700" s="432"/>
      <c r="Z700" s="429" t="str">
        <f>IFERROR(IF(Z696="","",SUM(Z696:Z699)),0)</f>
        <v/>
      </c>
    </row>
    <row r="701" spans="1:26" ht="18.75" customHeight="1">
      <c r="A701" s="140"/>
      <c r="B701" s="140"/>
      <c r="D701" s="177" t="s">
        <v>243</v>
      </c>
      <c r="E701" s="433"/>
      <c r="F701" s="436"/>
      <c r="G701" s="435"/>
      <c r="H701" s="436"/>
      <c r="I701" s="432"/>
      <c r="J701" s="437" t="str">
        <f ca="1">IF(J700="","",J700*12)</f>
        <v/>
      </c>
      <c r="K701" s="1"/>
      <c r="L701" s="433"/>
      <c r="M701" s="436"/>
      <c r="N701" s="435"/>
      <c r="O701" s="436"/>
      <c r="P701" s="432"/>
      <c r="Q701" s="432"/>
      <c r="R701" s="437" t="str">
        <f ca="1">IF(R700="","",R700*12)</f>
        <v/>
      </c>
      <c r="T701" s="433"/>
      <c r="U701" s="436"/>
      <c r="V701" s="435"/>
      <c r="W701" s="436"/>
      <c r="X701" s="432"/>
      <c r="Y701" s="432"/>
      <c r="Z701" s="437" t="str">
        <f>IF(Z700="","",Z700*12)</f>
        <v/>
      </c>
    </row>
    <row r="702" spans="1:26" ht="18" customHeight="1">
      <c r="A702" s="140"/>
      <c r="B702" s="140"/>
      <c r="D702" s="177" t="s">
        <v>244</v>
      </c>
      <c r="E702" s="433"/>
      <c r="F702" s="436"/>
      <c r="G702" s="435"/>
      <c r="H702" s="436"/>
      <c r="I702" s="432"/>
      <c r="J702" s="437"/>
      <c r="K702" s="1"/>
      <c r="L702" s="433"/>
      <c r="M702" s="436"/>
      <c r="N702" s="435"/>
      <c r="O702" s="436"/>
      <c r="P702" s="432"/>
      <c r="Q702" s="432"/>
      <c r="R702" s="437" t="str">
        <f ca="1">IFERROR(IF(J701="","",R701-J701),0)</f>
        <v/>
      </c>
      <c r="T702" s="433"/>
      <c r="U702" s="436"/>
      <c r="V702" s="435"/>
      <c r="W702" s="436"/>
      <c r="X702" s="432"/>
      <c r="Y702" s="432"/>
      <c r="Z702" s="437" t="str">
        <f ca="1">IFERROR(IF(R701="","",Z701-R701),0)</f>
        <v/>
      </c>
    </row>
    <row r="703" spans="1:26" ht="18" customHeight="1" thickBot="1">
      <c r="A703" s="140"/>
      <c r="B703" s="140"/>
      <c r="D703" s="180" t="s">
        <v>245</v>
      </c>
      <c r="E703" s="439"/>
      <c r="F703" s="440"/>
      <c r="G703" s="441"/>
      <c r="H703" s="440"/>
      <c r="I703" s="442"/>
      <c r="J703" s="443"/>
      <c r="K703" s="1"/>
      <c r="L703" s="439"/>
      <c r="M703" s="440"/>
      <c r="N703" s="441"/>
      <c r="O703" s="440"/>
      <c r="P703" s="445"/>
      <c r="Q703" s="445"/>
      <c r="R703" s="446" t="str">
        <f ca="1">IFERROR(IF(J701="","",(R701/J701)-1),0)</f>
        <v/>
      </c>
      <c r="T703" s="439"/>
      <c r="U703" s="440"/>
      <c r="V703" s="441"/>
      <c r="W703" s="440"/>
      <c r="X703" s="445"/>
      <c r="Y703" s="445"/>
      <c r="Z703" s="446" t="str">
        <f ca="1">IFERROR(IF(R701="","",(Z701/R701)-1),0)</f>
        <v/>
      </c>
    </row>
    <row r="704" spans="1:26" ht="5.25" customHeight="1" thickBot="1">
      <c r="A704" s="140"/>
      <c r="B704" s="140"/>
      <c r="D704" s="229"/>
      <c r="E704" s="229"/>
      <c r="F704" s="230"/>
      <c r="G704" s="231"/>
      <c r="H704" s="232"/>
      <c r="I704" s="233"/>
      <c r="J704" s="233"/>
      <c r="K704"/>
      <c r="L704" s="233"/>
      <c r="M704" s="233"/>
      <c r="N704" s="233"/>
      <c r="O704" s="233"/>
      <c r="P704" s="233"/>
      <c r="Q704" s="233"/>
      <c r="R704" s="233"/>
      <c r="T704" s="233"/>
      <c r="U704" s="233"/>
      <c r="V704" s="233"/>
      <c r="W704" s="233"/>
      <c r="X704" s="233"/>
      <c r="Y704" s="233"/>
      <c r="Z704" s="233"/>
    </row>
    <row r="705" spans="1:26" ht="50.15" customHeight="1">
      <c r="A705" s="140">
        <v>5</v>
      </c>
      <c r="B705" s="140">
        <f>IF(A705&gt;Class3_CurrentDentalCount,"DELETE",Class3_CurrentDentalStart+A705)</f>
        <v>26</v>
      </c>
      <c r="C705" s="164" t="s">
        <v>293</v>
      </c>
      <c r="D705" s="273" t="e">
        <f ca="1">IF(B705="Delete","",VLOOKUP(F705,BEGIN_CURRENT_DENTAL:END_CURRENT_DENTAL,3,FALSE))</f>
        <v>#N/A</v>
      </c>
      <c r="E705" s="165"/>
      <c r="F705" s="272" cm="1">
        <f t="array" ca="1" aca="1" ref="F705">IF(B705="Delete","",INDIRECT("CurrentPlans!A"&amp;B705,TRUE))</f>
        <v>0</v>
      </c>
      <c r="G705" s="166"/>
      <c r="H705" s="167"/>
      <c r="I705" s="168"/>
      <c r="J705" s="169"/>
      <c r="K705"/>
      <c r="L705" s="274" t="str">
        <f ca="1">_xlfn.IFNA(VLOOKUP(F705,BEGIN_RENEWEDFROM_DENTAL:ROW_RenewDental_PlanID,3,FALSE),"SELECT PLAN")</f>
        <v>SELECT PLAN</v>
      </c>
      <c r="M705" s="170"/>
      <c r="N705" s="274" t="s">
        <v>330</v>
      </c>
      <c r="O705" s="171"/>
      <c r="P705" s="171"/>
      <c r="Q705" s="171"/>
      <c r="R705" s="169"/>
      <c r="T705" s="274" t="s">
        <v>38</v>
      </c>
      <c r="U705" s="170"/>
      <c r="V705" s="274" t="s">
        <v>237</v>
      </c>
      <c r="W705" s="171"/>
      <c r="X705" s="171"/>
      <c r="Y705" s="171"/>
      <c r="Z705" s="169"/>
    </row>
    <row r="706" spans="1:26" ht="18.75" customHeight="1">
      <c r="A706" s="140"/>
      <c r="B706" s="140"/>
      <c r="D706" s="172" t="s">
        <v>238</v>
      </c>
      <c r="E706" s="407" t="str">
        <f ca="1">_xlfn.IFNA(VLOOKUP(F705,BEGIN_CURRENT_DENTAL:END_CURRENT_DENTAL,CURRENT_COL_EO_count,FALSE),"")</f>
        <v/>
      </c>
      <c r="F706" s="408" t="str">
        <f ca="1">_xlfn.IFNA(VLOOKUP(F705,BEGIN_CURRENT_DENTAL:END_CURRENT_DENTAL,CURRENT_COL_EO,FALSE),"")</f>
        <v/>
      </c>
      <c r="G706" s="468" t="str">
        <f ca="1" t="shared" si="82" ref="G706:G709">IF(F706="","",H706/F706)</f>
        <v/>
      </c>
      <c r="H706" s="408" t="str">
        <f ca="1">_xlfn.IFNA(VLOOKUP(F705,BEGIN_CURRENT_DENTAL:END_CURRENT_DENTAL,CURRENT_COL_EOContrib,FALSE),"")</f>
        <v/>
      </c>
      <c r="I706" s="409" t="str">
        <f ca="1">IFERROR(F706-H706,"")</f>
        <v/>
      </c>
      <c r="J706" s="410" t="str">
        <f ca="1">IF(F706="","",H706*E706)</f>
        <v/>
      </c>
      <c r="K706" s="411"/>
      <c r="L706" s="408" t="str" cm="1">
        <f t="array" ca="1" aca="1" ref="L706">_xlfn.IFNA(VLOOKUP(INDIRECT("L"&amp;ROW()-1)&amp;"_"&amp;$D$12,BEGIN_Renew_Dental:END_RENEW_DENTAL,RENEW_COL_EO,FALSE),"")</f>
        <v/>
      </c>
      <c r="M706" s="412" t="str">
        <f ca="1">IF(E706="","",E706)</f>
        <v/>
      </c>
      <c r="N706" s="413"/>
      <c r="O706" s="414"/>
      <c r="P706" s="415" t="str">
        <f ca="1">IFERROR(IF($N705="Keep Contribution Same",H706,IF($N705="Enter Percentages",IF(N706="","",N706*L706),IF($N705="Keep Percentage Same",IF(G706="","",G706*L706),IF($N705="Enter Dollar Amount",IF(O706="","",O706),"")))),"")</f>
        <v/>
      </c>
      <c r="Q706" s="408" t="str">
        <f ca="1">IFERROR(L706-P706,"")</f>
        <v/>
      </c>
      <c r="R706" s="410" t="str">
        <f ca="1">IFERROR(IF(P706="","",M706*P706),"")</f>
        <v/>
      </c>
      <c r="S706" s="411"/>
      <c r="T706" s="408" t="str" cm="1">
        <f t="array" ca="1" aca="1" ref="T706">_xlfn.IFNA(VLOOKUP(INDIRECT("T"&amp;ROW()-1)&amp;"_"&amp;$D$12,BEGIN_Renew_Dental:END_RENEW_DENTAL,RENEW_COL_EO,FALSE),"")</f>
        <v/>
      </c>
      <c r="U706" s="412" t="str">
        <f ca="1">IF(E706="","",E706)</f>
        <v/>
      </c>
      <c r="V706" s="413"/>
      <c r="W706" s="414"/>
      <c r="X706" s="415" t="str">
        <f>IFERROR(IF($V705="Keep Contribution Same",H706,IF($V705="Enter Percentages",IF(V706="","",V706*T706),IF($V705="Keep Percentage Same",IF(G706="","",G706*T706),IF($V705="Enter Dollar Amount",IF(W706="","",W706),"")))),"")</f>
        <v/>
      </c>
      <c r="Y706" s="408" t="str">
        <f ca="1">IFERROR(T706-X706,"")</f>
        <v/>
      </c>
      <c r="Z706" s="410" t="str">
        <f>IFERROR(IF(X706="","",U706*X706),"")</f>
        <v/>
      </c>
    </row>
    <row r="707" spans="1:26" ht="18.75" customHeight="1">
      <c r="A707" s="140"/>
      <c r="B707" s="140"/>
      <c r="D707" s="172" t="s">
        <v>239</v>
      </c>
      <c r="E707" s="407" t="str">
        <f ca="1">_xlfn.IFNA(VLOOKUP(F705,BEGIN_CURRENT_DENTAL:END_CURRENT_DENTAL,CURRENT_COL_ES_count,FALSE),"")</f>
        <v/>
      </c>
      <c r="F707" s="408" t="str">
        <f ca="1">_xlfn.IFNA(VLOOKUP(F705,BEGIN_CURRENT_DENTAL:END_CURRENT_DENTAL,CURRENT_COL_ES,FALSE),"")</f>
        <v/>
      </c>
      <c r="G707" s="468" t="str">
        <f t="shared" ca="1" si="82"/>
        <v/>
      </c>
      <c r="H707" s="408" t="str">
        <f ca="1">_xlfn.IFNA(VLOOKUP(F705,BEGIN_CURRENT_DENTAL:END_CURRENT_DENTAL,CURRENT_COL_ESContrib,FALSE),"")</f>
        <v/>
      </c>
      <c r="I707" s="409" t="str">
        <f ca="1" t="shared" si="83" ref="I707:I709">IFERROR(F707-H707,"")</f>
        <v/>
      </c>
      <c r="J707" s="410" t="str">
        <f ca="1">IF(F707="","",H707*E707)</f>
        <v/>
      </c>
      <c r="K707" s="411"/>
      <c r="L707" s="408" t="str" cm="1">
        <f t="array" ca="1" aca="1" ref="L707">_xlfn.IFNA(VLOOKUP(INDIRECT("L"&amp;ROW()-2)&amp;"_"&amp;$D$12,BEGIN_Renew_Dental:END_RENEW_DENTAL,RENEW_COL_ES,FALSE),"")</f>
        <v/>
      </c>
      <c r="M707" s="412" t="str">
        <f ca="1">IF(E707="","",E707)</f>
        <v/>
      </c>
      <c r="N707" s="413"/>
      <c r="O707" s="414"/>
      <c r="P707" s="415" t="str">
        <f ca="1">IFERROR(IF($N705="Keep Contribution Same",H707,IF($N705="Enter Percentages",IF(N707="","",N707*L707),IF($N705="Keep Percentage Same",IF(G707="","",G707*L707),IF($N705="Enter Dollar Amount",IF(O707="","",O707),"")))),"")</f>
        <v/>
      </c>
      <c r="Q707" s="408" t="str">
        <f ca="1">IFERROR(L707-P707,"")</f>
        <v/>
      </c>
      <c r="R707" s="410" t="str">
        <f ca="1">IFERROR(IF(P707="","",M707*P707),"")</f>
        <v/>
      </c>
      <c r="S707" s="411"/>
      <c r="T707" s="408" t="str" cm="1">
        <f t="array" ca="1" aca="1" ref="T707">_xlfn.IFNA(VLOOKUP(INDIRECT("T"&amp;ROW()-2)&amp;"_"&amp;$D$12,BEGIN_Renew_Dental:END_RENEW_DENTAL,RENEW_COL_ES,FALSE),"")</f>
        <v/>
      </c>
      <c r="U707" s="412" t="str">
        <f ca="1" t="shared" si="84" ref="U707:U709">IF(E707="","",E707)</f>
        <v/>
      </c>
      <c r="V707" s="413"/>
      <c r="W707" s="414"/>
      <c r="X707" s="415" t="str">
        <f>IFERROR(IF($V705="Keep Contribution Same",H707,IF($V705="Enter Percentages",IF(V707="","",V707*T707),IF($V705="Keep Percentage Same",IF(G707="","",G707*T707),IF($V705="Enter Dollar Amount",IF(W707="","",W707),"")))),"")</f>
        <v/>
      </c>
      <c r="Y707" s="408" t="str">
        <f ca="1" t="shared" si="85" ref="Y707:Y709">IFERROR(T707-X707,"")</f>
        <v/>
      </c>
      <c r="Z707" s="410" t="str">
        <f t="shared" si="86" ref="Z707:Z709">IFERROR(IF(X707="","",U707*X707),"")</f>
        <v/>
      </c>
    </row>
    <row r="708" spans="1:26" ht="18.75" customHeight="1">
      <c r="A708" s="140"/>
      <c r="B708" s="140"/>
      <c r="D708" s="172" t="s">
        <v>240</v>
      </c>
      <c r="E708" s="407" t="str">
        <f ca="1">_xlfn.IFNA(VLOOKUP(F705,BEGIN_CURRENT_DENTAL:END_CURRENT_DENTAL,CURRENT_COL_EC_count,FALSE),"")</f>
        <v/>
      </c>
      <c r="F708" s="408" t="str">
        <f ca="1">_xlfn.IFNA(VLOOKUP(F705,BEGIN_CURRENT_DENTAL:END_CURRENT_DENTAL,CURRENT_COL_EC,FALSE),"")</f>
        <v/>
      </c>
      <c r="G708" s="468" t="str">
        <f t="shared" ca="1" si="82"/>
        <v/>
      </c>
      <c r="H708" s="408" t="str">
        <f ca="1">_xlfn.IFNA(VLOOKUP(F705,BEGIN_CURRENT_DENTAL:END_CURRENT_DENTAL,CURRENT_COL_ECContrib,FALSE),"")</f>
        <v/>
      </c>
      <c r="I708" s="409" t="str">
        <f t="shared" ca="1" si="83"/>
        <v/>
      </c>
      <c r="J708" s="410" t="str">
        <f ca="1">IF(F708="","",H708*E708)</f>
        <v/>
      </c>
      <c r="K708" s="411"/>
      <c r="L708" s="408" t="str" cm="1">
        <f t="array" ca="1" aca="1" ref="L708">_xlfn.IFNA(VLOOKUP(INDIRECT("L"&amp;ROW()-3)&amp;"_"&amp;$D$12,BEGIN_Renew_Dental:END_RENEW_DENTAL,RENEW_COL_EC,FALSE),"")</f>
        <v/>
      </c>
      <c r="M708" s="412" t="str">
        <f ca="1">IF(E708="","",E708)</f>
        <v/>
      </c>
      <c r="N708" s="413"/>
      <c r="O708" s="414"/>
      <c r="P708" s="415" t="str">
        <f ca="1">IFERROR(IF($N705="Keep Contribution Same",H708,IF($N705="Enter Percentages",IF(N708="","",N708*L708),IF($N705="Keep Percentage Same",IF(G708="","",G708*L708),IF($N705="Enter Dollar Amount",IF(O708="","",O708),"")))),"")</f>
        <v/>
      </c>
      <c r="Q708" s="408" t="str">
        <f ca="1">IFERROR(L708-P708,"")</f>
        <v/>
      </c>
      <c r="R708" s="410" t="str">
        <f ca="1">IFERROR(IF(P708="","",M708*P708),"")</f>
        <v/>
      </c>
      <c r="S708" s="411"/>
      <c r="T708" s="408" t="str" cm="1">
        <f t="array" ca="1" aca="1" ref="T708">_xlfn.IFNA(VLOOKUP(INDIRECT("T"&amp;ROW()-3)&amp;"_"&amp;$D$12,BEGIN_Renew_Dental:END_RENEW_DENTAL,RENEW_COL_EC,FALSE),"")</f>
        <v/>
      </c>
      <c r="U708" s="412" t="str">
        <f t="shared" ca="1" si="84"/>
        <v/>
      </c>
      <c r="V708" s="413"/>
      <c r="W708" s="414"/>
      <c r="X708" s="415" t="str">
        <f>IFERROR(IF($V705="Keep Contribution Same",H708,IF($V705="Enter Percentages",IF(V708="","",V708*T708),IF($V705="Keep Percentage Same",IF(G708="","",G708*T708),IF($V705="Enter Dollar Amount",IF(W708="","",W708),"")))),"")</f>
        <v/>
      </c>
      <c r="Y708" s="408" t="str">
        <f t="shared" ca="1" si="85"/>
        <v/>
      </c>
      <c r="Z708" s="410" t="str">
        <f t="shared" si="86"/>
        <v/>
      </c>
    </row>
    <row r="709" spans="1:26" ht="18.75" customHeight="1" thickBot="1">
      <c r="A709" s="140"/>
      <c r="B709" s="140"/>
      <c r="D709" s="174" t="s">
        <v>241</v>
      </c>
      <c r="E709" s="416" t="str">
        <f ca="1">_xlfn.IFNA(VLOOKUP(F705,BEGIN_CURRENT_DENTAL:END_CURRENT_DENTAL,CURRENT_COL_FAM_count,FALSE),"")</f>
        <v/>
      </c>
      <c r="F709" s="417" t="str">
        <f ca="1">_xlfn.IFNA(VLOOKUP(F705,BEGIN_CURRENT_DENTAL:END_CURRENT_DENTAL,CURRENT_COL_FAM,FALSE),"")</f>
        <v/>
      </c>
      <c r="G709" s="469" t="str">
        <f t="shared" ca="1" si="82"/>
        <v/>
      </c>
      <c r="H709" s="417" t="str">
        <f ca="1">_xlfn.IFNA(VLOOKUP(F705,BEGIN_CURRENT_DENTAL:END_CURRENT_DENTAL,CURRENT_COL_FAMContrib,FALSE),"")</f>
        <v/>
      </c>
      <c r="I709" s="418" t="str">
        <f t="shared" ca="1" si="83"/>
        <v/>
      </c>
      <c r="J709" s="419" t="str">
        <f ca="1">IF(F709="","",H709*E709)</f>
        <v/>
      </c>
      <c r="K709" s="411"/>
      <c r="L709" s="417" t="str" cm="1">
        <f t="array" ca="1" aca="1" ref="L709">_xlfn.IFNA(VLOOKUP(INDIRECT("L"&amp;ROW()-4)&amp;"_"&amp;$D$12,BEGIN_Renew_Dental:END_RENEW_DENTAL,RENEW_COL_FAM,FALSE),"")</f>
        <v/>
      </c>
      <c r="M709" s="423" t="str">
        <f ca="1">IF(E709="","",E709)</f>
        <v/>
      </c>
      <c r="N709" s="420"/>
      <c r="O709" s="421"/>
      <c r="P709" s="422" t="str">
        <f ca="1">IFERROR(IF($N705="Keep Contribution Same",H709,IF($N705="Enter Percentages",IF(N709="","",N709*L709),IF($N705="Keep Percentage Same",IF(G709="","",G709*L709),IF($N705="Enter Dollar Amount",IF(O709="","",O709),"")))),"")</f>
        <v/>
      </c>
      <c r="Q709" s="417" t="str">
        <f ca="1">IFERROR(L709-P709,"")</f>
        <v/>
      </c>
      <c r="R709" s="419" t="str">
        <f ca="1">IFERROR(IF(P709="","",M709*P709),"")</f>
        <v/>
      </c>
      <c r="S709" s="411"/>
      <c r="T709" s="417" t="str" cm="1">
        <f t="array" ca="1" aca="1" ref="T709">_xlfn.IFNA(VLOOKUP(INDIRECT("T"&amp;ROW()-4)&amp;"_"&amp;$D$12,BEGIN_Renew_Dental:END_RENEW_DENTAL,RENEW_COL_FAM,FALSE),"")</f>
        <v/>
      </c>
      <c r="U709" s="423" t="str">
        <f t="shared" ca="1" si="84"/>
        <v/>
      </c>
      <c r="V709" s="420"/>
      <c r="W709" s="421"/>
      <c r="X709" s="422" t="str">
        <f>IFERROR(IF($V705="Keep Contribution Same",H709,IF($V705="Enter Percentages",IF(V709="","",V709*T709),IF($V705="Keep Percentage Same",IF(G709="","",G709*T709),IF($V705="Enter Dollar Amount",IF(W709="","",W709),"")))),"")</f>
        <v/>
      </c>
      <c r="Y709" s="417" t="str">
        <f t="shared" ca="1" si="85"/>
        <v/>
      </c>
      <c r="Z709" s="419" t="str">
        <f t="shared" si="86"/>
        <v/>
      </c>
    </row>
    <row r="710" spans="1:26" ht="18.75" customHeight="1" thickTop="1">
      <c r="A710" s="140"/>
      <c r="B710" s="140"/>
      <c r="D710" s="175" t="s">
        <v>242</v>
      </c>
      <c r="E710" s="424"/>
      <c r="F710" s="427"/>
      <c r="G710" s="426"/>
      <c r="H710" s="427"/>
      <c r="I710" s="428"/>
      <c r="J710" s="429" t="str">
        <f ca="1">IFERROR(IF(J706="","",SUM(J706:J709)),0)</f>
        <v/>
      </c>
      <c r="K710" s="1"/>
      <c r="L710" s="424"/>
      <c r="M710" s="427"/>
      <c r="N710" s="426"/>
      <c r="O710" s="427"/>
      <c r="P710" s="431"/>
      <c r="Q710" s="432"/>
      <c r="R710" s="429" t="str">
        <f ca="1">IFERROR(IF(R706="","",SUM(R706:R709)),0)</f>
        <v/>
      </c>
      <c r="T710" s="424"/>
      <c r="U710" s="427"/>
      <c r="V710" s="426"/>
      <c r="W710" s="427"/>
      <c r="X710" s="431"/>
      <c r="Y710" s="432"/>
      <c r="Z710" s="429" t="str">
        <f>IFERROR(IF(Z706="","",SUM(Z706:Z709)),0)</f>
        <v/>
      </c>
    </row>
    <row r="711" spans="1:26" ht="18.75" customHeight="1">
      <c r="A711" s="140"/>
      <c r="B711" s="140"/>
      <c r="D711" s="177" t="s">
        <v>243</v>
      </c>
      <c r="E711" s="433"/>
      <c r="F711" s="436"/>
      <c r="G711" s="435"/>
      <c r="H711" s="436"/>
      <c r="I711" s="432"/>
      <c r="J711" s="437" t="str">
        <f ca="1">IF(J710="","",J710*12)</f>
        <v/>
      </c>
      <c r="K711" s="1"/>
      <c r="L711" s="433"/>
      <c r="M711" s="436"/>
      <c r="N711" s="435"/>
      <c r="O711" s="436"/>
      <c r="P711" s="432"/>
      <c r="Q711" s="432"/>
      <c r="R711" s="437" t="str">
        <f ca="1">IF(R710="","",R710*12)</f>
        <v/>
      </c>
      <c r="T711" s="433"/>
      <c r="U711" s="436"/>
      <c r="V711" s="435"/>
      <c r="W711" s="436"/>
      <c r="X711" s="432"/>
      <c r="Y711" s="432"/>
      <c r="Z711" s="437" t="str">
        <f>IF(Z710="","",Z710*12)</f>
        <v/>
      </c>
    </row>
    <row r="712" spans="1:26" ht="18" customHeight="1">
      <c r="A712" s="140"/>
      <c r="B712" s="140"/>
      <c r="D712" s="177" t="s">
        <v>244</v>
      </c>
      <c r="E712" s="433"/>
      <c r="F712" s="436"/>
      <c r="G712" s="435"/>
      <c r="H712" s="436"/>
      <c r="I712" s="432"/>
      <c r="J712" s="437"/>
      <c r="K712" s="1"/>
      <c r="L712" s="433"/>
      <c r="M712" s="436"/>
      <c r="N712" s="435"/>
      <c r="O712" s="436"/>
      <c r="P712" s="432"/>
      <c r="Q712" s="432"/>
      <c r="R712" s="437" t="str">
        <f ca="1">IFERROR(IF(J711="","",R711-J711),0)</f>
        <v/>
      </c>
      <c r="T712" s="433"/>
      <c r="U712" s="436"/>
      <c r="V712" s="435"/>
      <c r="W712" s="436"/>
      <c r="X712" s="432"/>
      <c r="Y712" s="432"/>
      <c r="Z712" s="437" t="str">
        <f ca="1">IFERROR(IF(R711="","",Z711-R711),0)</f>
        <v/>
      </c>
    </row>
    <row r="713" spans="1:26" ht="18" customHeight="1" thickBot="1">
      <c r="A713" s="140"/>
      <c r="B713" s="140"/>
      <c r="D713" s="180" t="s">
        <v>245</v>
      </c>
      <c r="E713" s="439"/>
      <c r="F713" s="440"/>
      <c r="G713" s="441"/>
      <c r="H713" s="440"/>
      <c r="I713" s="442"/>
      <c r="J713" s="443"/>
      <c r="K713" s="1"/>
      <c r="L713" s="439"/>
      <c r="M713" s="440"/>
      <c r="N713" s="441"/>
      <c r="O713" s="440"/>
      <c r="P713" s="445"/>
      <c r="Q713" s="445"/>
      <c r="R713" s="446" t="str">
        <f ca="1">IFERROR(IF(J711="","",(R711/J711)-1),0)</f>
        <v/>
      </c>
      <c r="T713" s="439"/>
      <c r="U713" s="440"/>
      <c r="V713" s="441"/>
      <c r="W713" s="440"/>
      <c r="X713" s="445"/>
      <c r="Y713" s="445"/>
      <c r="Z713" s="446" t="str">
        <f ca="1">IFERROR(IF(R711="","",(Z711/R711)-1),0)</f>
        <v/>
      </c>
    </row>
    <row r="714" spans="1:26" ht="5.25" customHeight="1" thickBot="1">
      <c r="A714" s="140"/>
      <c r="B714" s="140"/>
      <c r="D714" s="229"/>
      <c r="E714" s="229"/>
      <c r="F714" s="230"/>
      <c r="G714" s="231"/>
      <c r="H714" s="232"/>
      <c r="I714" s="233"/>
      <c r="J714" s="233"/>
      <c r="K714"/>
      <c r="L714" s="233"/>
      <c r="M714" s="233"/>
      <c r="N714" s="233"/>
      <c r="O714" s="233"/>
      <c r="P714" s="233"/>
      <c r="Q714" s="233"/>
      <c r="R714" s="233"/>
      <c r="T714" s="233"/>
      <c r="U714" s="233"/>
      <c r="V714" s="233"/>
      <c r="W714" s="233"/>
      <c r="X714" s="233"/>
      <c r="Y714" s="233"/>
      <c r="Z714" s="233"/>
    </row>
    <row r="715" spans="1:26" ht="50.15" customHeight="1">
      <c r="A715" s="140"/>
      <c r="B715" s="140"/>
      <c r="C715" s="164" t="s">
        <v>294</v>
      </c>
      <c r="D715" s="275" t="s">
        <v>285</v>
      </c>
      <c r="E715" s="165"/>
      <c r="F715" s="272"/>
      <c r="G715" s="166"/>
      <c r="H715" s="167"/>
      <c r="I715" s="168"/>
      <c r="J715" s="169"/>
      <c r="K715"/>
      <c r="L715" s="274" t="s">
        <v>38</v>
      </c>
      <c r="M715" s="170"/>
      <c r="N715" s="274" t="s">
        <v>237</v>
      </c>
      <c r="O715" s="171"/>
      <c r="P715" s="171"/>
      <c r="Q715" s="171"/>
      <c r="R715" s="169"/>
      <c r="T715" s="274" t="s">
        <v>38</v>
      </c>
      <c r="U715" s="170"/>
      <c r="V715" s="274" t="s">
        <v>237</v>
      </c>
      <c r="W715" s="171"/>
      <c r="X715" s="171"/>
      <c r="Y715" s="171"/>
      <c r="Z715" s="169"/>
    </row>
    <row r="716" spans="1:26" ht="18.75" customHeight="1">
      <c r="A716" s="140"/>
      <c r="B716" s="140"/>
      <c r="D716" s="172" t="s">
        <v>238</v>
      </c>
      <c r="E716" s="407"/>
      <c r="F716" s="449"/>
      <c r="G716" s="470"/>
      <c r="H716" s="449"/>
      <c r="I716" s="450"/>
      <c r="J716" s="410"/>
      <c r="K716" s="411"/>
      <c r="L716" s="408" t="str" cm="1">
        <f t="array" ca="1" aca="1" ref="L716">_xlfn.IFNA(VLOOKUP(INDIRECT("L"&amp;ROW()-1)&amp;"_"&amp;$D$12,BEGIN_Renew_Dental:END_RENEW_DENTAL,RENEW_COL_EO,FALSE),"")</f>
        <v/>
      </c>
      <c r="M716" s="412" t="str">
        <f>IF(E716="","",E716)</f>
        <v/>
      </c>
      <c r="N716" s="413"/>
      <c r="O716" s="414"/>
      <c r="P716" s="415" t="str">
        <f>IFERROR(IF($N715="Keep Contribution Same",H716,IF($N715="Enter Percentages",IF(N716="","",N716*L716),IF($N715="Keep Percentage Same",IF(G716="","",G716*L716),IF($N715="Enter Dollar Amount",IF(O716="","",O716),"")))),"")</f>
        <v/>
      </c>
      <c r="Q716" s="408" t="str">
        <f>IFERROR(R716-P716,"")</f>
        <v/>
      </c>
      <c r="R716" s="410" t="str">
        <f>IFERROR(IF(P716="","",M716*P716),"")</f>
        <v/>
      </c>
      <c r="S716" s="411"/>
      <c r="T716" s="408" t="str" cm="1">
        <f t="array" ca="1" aca="1" ref="T716">_xlfn.IFNA(VLOOKUP(INDIRECT("T"&amp;ROW()-1)&amp;"_"&amp;$D$12,BEGIN_Renew_Dental:END_RENEW_DENTAL,RENEW_COL_EO,FALSE),"")</f>
        <v/>
      </c>
      <c r="U716" s="412" t="str">
        <f>IF(E716="","",E716)</f>
        <v/>
      </c>
      <c r="V716" s="413"/>
      <c r="W716" s="414"/>
      <c r="X716" s="415" t="str">
        <f>IFERROR(IF($V715="Keep Contribution Same",H716,IF($V715="Enter Percentages",IF(V716="","",V716*T716),IF($V715="Keep Percentage Same",IF(G716="","",G716*T716),IF($V715="Enter Dollar Amount",IF(W716="","",W716),"")))),"")</f>
        <v/>
      </c>
      <c r="Y716" s="408" t="str">
        <f ca="1">IFERROR(T716-X716,"")</f>
        <v/>
      </c>
      <c r="Z716" s="410" t="str">
        <f>IFERROR(IF(X716="","",U716*X716),"")</f>
        <v/>
      </c>
    </row>
    <row r="717" spans="1:26" ht="18.75" customHeight="1">
      <c r="A717" s="140"/>
      <c r="B717" s="140"/>
      <c r="D717" s="172" t="s">
        <v>239</v>
      </c>
      <c r="E717" s="407"/>
      <c r="F717" s="449"/>
      <c r="G717" s="470"/>
      <c r="H717" s="449"/>
      <c r="I717" s="450"/>
      <c r="J717" s="410"/>
      <c r="K717" s="411"/>
      <c r="L717" s="408" t="str" cm="1">
        <f t="array" ca="1" aca="1" ref="L717">_xlfn.IFNA(VLOOKUP(INDIRECT("L"&amp;ROW()-2)&amp;"_"&amp;$D$12,BEGIN_Renew_Dental:END_RENEW_DENTAL,RENEW_COL_ES,FALSE),"")</f>
        <v/>
      </c>
      <c r="M717" s="412" t="str">
        <f>IF(E717="","",E717)</f>
        <v/>
      </c>
      <c r="N717" s="413"/>
      <c r="O717" s="414"/>
      <c r="P717" s="415" t="str">
        <f>IFERROR(IF($N715="Keep Contribution Same",H717,IF($N715="Enter Percentages",IF(N717="","",N717*L717),IF($N715="Keep Percentage Same",IF(G717="","",G717*L717),IF($N715="Enter Dollar Amount",IF(O717="","",O717),"")))),"")</f>
        <v/>
      </c>
      <c r="Q717" s="408" t="str">
        <f t="shared" si="87" ref="Q717">IFERROR(R717-P717,"")</f>
        <v/>
      </c>
      <c r="R717" s="410" t="str">
        <f>IFERROR(IF(P717="","",M717*P717),"")</f>
        <v/>
      </c>
      <c r="S717" s="411"/>
      <c r="T717" s="408" t="str" cm="1">
        <f t="array" ca="1" aca="1" ref="T717">_xlfn.IFNA(VLOOKUP(INDIRECT("T"&amp;ROW()-2)&amp;"_"&amp;$D$12,BEGIN_Renew_Dental:END_RENEW_DENTAL,RENEW_COL_ES,FALSE),"")</f>
        <v/>
      </c>
      <c r="U717" s="412" t="str">
        <f t="shared" si="88" ref="U717:U719">IF(E717="","",E717)</f>
        <v/>
      </c>
      <c r="V717" s="413"/>
      <c r="W717" s="414"/>
      <c r="X717" s="415" t="str">
        <f>IFERROR(IF($V715="Keep Contribution Same",H717,IF($V715="Enter Percentages",IF(V717="","",V717*T717),IF($V715="Keep Percentage Same",IF(G717="","",G717*T717),IF($V715="Enter Dollar Amount",IF(W717="","",W717),"")))),"")</f>
        <v/>
      </c>
      <c r="Y717" s="408" t="str">
        <f ca="1" t="shared" si="89" ref="Y717:Y719">IFERROR(T717-X717,"")</f>
        <v/>
      </c>
      <c r="Z717" s="410" t="str">
        <f t="shared" si="90" ref="Z717:Z719">IFERROR(IF(X717="","",U717*X717),"")</f>
        <v/>
      </c>
    </row>
    <row r="718" spans="1:26" ht="18.75" customHeight="1">
      <c r="A718" s="140"/>
      <c r="B718" s="140"/>
      <c r="D718" s="172" t="s">
        <v>240</v>
      </c>
      <c r="E718" s="407"/>
      <c r="F718" s="449"/>
      <c r="G718" s="470"/>
      <c r="H718" s="449"/>
      <c r="I718" s="450"/>
      <c r="J718" s="410"/>
      <c r="K718" s="411"/>
      <c r="L718" s="408" t="str" cm="1">
        <f t="array" ca="1" aca="1" ref="L718">_xlfn.IFNA(VLOOKUP(INDIRECT("L"&amp;ROW()-3)&amp;"_"&amp;$D$12,BEGIN_Renew_Dental:END_RENEW_DENTAL,RENEW_COL_EC,FALSE),"")</f>
        <v/>
      </c>
      <c r="M718" s="412" t="str">
        <f>IF(E718="","",E718)</f>
        <v/>
      </c>
      <c r="N718" s="413"/>
      <c r="O718" s="414"/>
      <c r="P718" s="415" t="str">
        <f>IFERROR(IF($N715="Keep Contribution Same",H718,IF($N715="Enter Percentages",IF(N718="","",N718*L718),IF($N715="Keep Percentage Same",IF(G718="","",G718*L718),IF($N715="Enter Dollar Amount",IF(O718="","",O718),"")))),"")</f>
        <v/>
      </c>
      <c r="Q718" s="408" t="str">
        <f>IFERROR(R718-P718,"")</f>
        <v/>
      </c>
      <c r="R718" s="410" t="str">
        <f>IFERROR(IF(P718="","",M718*P718),"")</f>
        <v/>
      </c>
      <c r="S718" s="411"/>
      <c r="T718" s="408" t="str" cm="1">
        <f t="array" ca="1" aca="1" ref="T718">_xlfn.IFNA(VLOOKUP(INDIRECT("T"&amp;ROW()-3)&amp;"_"&amp;$D$12,BEGIN_Renew_Dental:END_RENEW_DENTAL,RENEW_COL_EC,FALSE),"")</f>
        <v/>
      </c>
      <c r="U718" s="412" t="str">
        <f t="shared" si="88"/>
        <v/>
      </c>
      <c r="V718" s="413"/>
      <c r="W718" s="414"/>
      <c r="X718" s="415" t="str">
        <f>IFERROR(IF($V715="Keep Contribution Same",H718,IF($V715="Enter Percentages",IF(V718="","",V718*T718),IF($V715="Keep Percentage Same",IF(G718="","",G718*T718),IF($V715="Enter Dollar Amount",IF(W718="","",W718),"")))),"")</f>
        <v/>
      </c>
      <c r="Y718" s="408" t="str">
        <f t="shared" ca="1" si="89"/>
        <v/>
      </c>
      <c r="Z718" s="410" t="str">
        <f t="shared" si="90"/>
        <v/>
      </c>
    </row>
    <row r="719" spans="1:26" ht="18.75" customHeight="1" thickBot="1">
      <c r="A719" s="140"/>
      <c r="B719" s="140"/>
      <c r="D719" s="174" t="s">
        <v>241</v>
      </c>
      <c r="E719" s="416"/>
      <c r="F719" s="451"/>
      <c r="G719" s="471"/>
      <c r="H719" s="451"/>
      <c r="I719" s="452"/>
      <c r="J719" s="419"/>
      <c r="K719" s="411"/>
      <c r="L719" s="417" t="str" cm="1">
        <f t="array" ca="1" aca="1" ref="L719">_xlfn.IFNA(VLOOKUP(INDIRECT("L"&amp;ROW()-4)&amp;"_"&amp;$D$12,BEGIN_Renew_Dental:END_RENEW_DENTAL,RENEW_COL_FAM,FALSE),"")</f>
        <v/>
      </c>
      <c r="M719" s="423" t="str">
        <f>IF(E719="","",E719)</f>
        <v/>
      </c>
      <c r="N719" s="420"/>
      <c r="O719" s="421"/>
      <c r="P719" s="422" t="str">
        <f>IFERROR(IF($N715="Keep Contribution Same",H719,IF($N715="Enter Percentages",IF(N719="","",N719*L719),IF($N715="Keep Percentage Same",IF(G719="","",G719*L719),IF($N715="Enter Dollar Amount",IF(O719="","",O719),"")))),"")</f>
        <v/>
      </c>
      <c r="Q719" s="417" t="str">
        <f>IFERROR(R719-P719,"")</f>
        <v/>
      </c>
      <c r="R719" s="419" t="str">
        <f>IFERROR(IF(P719="","",M719*P719),"")</f>
        <v/>
      </c>
      <c r="S719" s="411"/>
      <c r="T719" s="417" t="str" cm="1">
        <f t="array" ca="1" aca="1" ref="T719">_xlfn.IFNA(VLOOKUP(INDIRECT("T"&amp;ROW()-4)&amp;"_"&amp;$D$12,BEGIN_Renew_Dental:END_RENEW_DENTAL,RENEW_COL_FAM,FALSE),"")</f>
        <v/>
      </c>
      <c r="U719" s="423" t="str">
        <f t="shared" si="88"/>
        <v/>
      </c>
      <c r="V719" s="420"/>
      <c r="W719" s="421"/>
      <c r="X719" s="422" t="str">
        <f>IFERROR(IF($V715="Keep Contribution Same",H719,IF($V715="Enter Percentages",IF(V719="","",V719*T719),IF($V715="Keep Percentage Same",IF(G719="","",G719*T719),IF($V715="Enter Dollar Amount",IF(W719="","",W719),"")))),"")</f>
        <v/>
      </c>
      <c r="Y719" s="417" t="str">
        <f t="shared" ca="1" si="89"/>
        <v/>
      </c>
      <c r="Z719" s="419" t="str">
        <f t="shared" si="90"/>
        <v/>
      </c>
    </row>
    <row r="720" spans="1:26" ht="18.75" customHeight="1" thickTop="1">
      <c r="A720" s="140"/>
      <c r="B720" s="140"/>
      <c r="D720" s="175" t="s">
        <v>329</v>
      </c>
      <c r="E720" s="424"/>
      <c r="F720" s="427"/>
      <c r="G720" s="426"/>
      <c r="H720" s="427"/>
      <c r="I720" s="428"/>
      <c r="J720" s="429" t="str">
        <f>IFERROR(IF(J716="","",SUM(J716:J719)),0)</f>
        <v/>
      </c>
      <c r="K720" s="1"/>
      <c r="L720" s="424"/>
      <c r="M720" s="427"/>
      <c r="N720" s="426"/>
      <c r="O720" s="427"/>
      <c r="P720" s="431"/>
      <c r="Q720" s="432"/>
      <c r="R720" s="429" t="str">
        <f>IFERROR(IF(R716="","",SUM(R716:R719)),0)</f>
        <v/>
      </c>
      <c r="T720" s="424"/>
      <c r="U720" s="427"/>
      <c r="V720" s="426"/>
      <c r="W720" s="427"/>
      <c r="X720" s="431"/>
      <c r="Y720" s="432"/>
      <c r="Z720" s="429" t="str">
        <f>IFERROR(IF(Z716="","",SUM(Z716:Z719)),0)</f>
        <v/>
      </c>
    </row>
    <row r="721" spans="1:26" ht="18.75" customHeight="1">
      <c r="A721" s="140"/>
      <c r="B721" s="140"/>
      <c r="D721" s="177" t="s">
        <v>243</v>
      </c>
      <c r="E721" s="433"/>
      <c r="F721" s="436"/>
      <c r="G721" s="435"/>
      <c r="H721" s="436"/>
      <c r="I721" s="432"/>
      <c r="J721" s="437" t="str">
        <f>IF(J720="","",J720*12)</f>
        <v/>
      </c>
      <c r="K721" s="1"/>
      <c r="L721" s="433"/>
      <c r="M721" s="436"/>
      <c r="N721" s="435"/>
      <c r="O721" s="436"/>
      <c r="P721" s="432"/>
      <c r="Q721" s="432"/>
      <c r="R721" s="437" t="str">
        <f>IF(R720="","",R720*12)</f>
        <v/>
      </c>
      <c r="T721" s="433"/>
      <c r="U721" s="436"/>
      <c r="V721" s="435"/>
      <c r="W721" s="436"/>
      <c r="X721" s="432"/>
      <c r="Y721" s="432"/>
      <c r="Z721" s="437" t="str">
        <f>IF(Z720="","",Z720*12)</f>
        <v/>
      </c>
    </row>
    <row r="722" spans="1:26" ht="18" customHeight="1">
      <c r="A722" s="140"/>
      <c r="B722" s="140"/>
      <c r="D722" s="177" t="s">
        <v>244</v>
      </c>
      <c r="E722" s="433"/>
      <c r="F722" s="436"/>
      <c r="G722" s="435"/>
      <c r="H722" s="436"/>
      <c r="I722" s="432"/>
      <c r="J722" s="437" t="str">
        <f>IFERROR(IF(J721="","",R721-J721),0)</f>
        <v/>
      </c>
      <c r="K722" s="1"/>
      <c r="L722" s="433"/>
      <c r="M722" s="436"/>
      <c r="N722" s="435"/>
      <c r="O722" s="436"/>
      <c r="P722" s="432"/>
      <c r="Q722" s="432"/>
      <c r="R722" s="437" t="str">
        <f>IFERROR(IF(J721="","",R721-J721),0)</f>
        <v/>
      </c>
      <c r="T722" s="433"/>
      <c r="U722" s="436"/>
      <c r="V722" s="435"/>
      <c r="W722" s="436"/>
      <c r="X722" s="432"/>
      <c r="Y722" s="432"/>
      <c r="Z722" s="437" t="str">
        <f>IFERROR(IF(R721="","",Z721-R721),0)</f>
        <v/>
      </c>
    </row>
    <row r="723" spans="1:26" ht="18" customHeight="1" thickBot="1">
      <c r="A723" s="140"/>
      <c r="B723" s="140"/>
      <c r="D723" s="180" t="s">
        <v>245</v>
      </c>
      <c r="E723" s="439"/>
      <c r="F723" s="440"/>
      <c r="G723" s="441"/>
      <c r="H723" s="440"/>
      <c r="I723" s="442"/>
      <c r="J723" s="443" t="str">
        <f>IFERROR(IF(J721="","",(R721/J721)-1),0)</f>
        <v/>
      </c>
      <c r="K723" s="1"/>
      <c r="L723" s="439"/>
      <c r="M723" s="440"/>
      <c r="N723" s="441"/>
      <c r="O723" s="440"/>
      <c r="P723" s="445"/>
      <c r="Q723" s="445"/>
      <c r="R723" s="446" t="str">
        <f>IFERROR(IF(J721="","",(R721/J721)-1),0)</f>
        <v/>
      </c>
      <c r="T723" s="439"/>
      <c r="U723" s="440"/>
      <c r="V723" s="441"/>
      <c r="W723" s="440"/>
      <c r="X723" s="445"/>
      <c r="Y723" s="445"/>
      <c r="Z723" s="446" t="str">
        <f>IFERROR(IF(R721="","",(Z721/R721)-1),0)</f>
        <v/>
      </c>
    </row>
    <row r="724" spans="1:26" ht="5.25" customHeight="1" thickBot="1">
      <c r="A724" s="140"/>
      <c r="B724" s="140"/>
      <c r="D724" s="229"/>
      <c r="E724" s="229"/>
      <c r="F724" s="230"/>
      <c r="G724" s="231"/>
      <c r="H724" s="232"/>
      <c r="I724" s="233"/>
      <c r="J724" s="233"/>
      <c r="K724"/>
      <c r="L724" s="233"/>
      <c r="M724" s="233"/>
      <c r="N724" s="233"/>
      <c r="O724" s="233"/>
      <c r="P724" s="233"/>
      <c r="Q724" s="233"/>
      <c r="R724" s="233"/>
      <c r="T724" s="233"/>
      <c r="U724" s="233"/>
      <c r="V724" s="233"/>
      <c r="W724" s="233"/>
      <c r="X724" s="233"/>
      <c r="Y724" s="233"/>
      <c r="Z724" s="233"/>
    </row>
    <row r="725" spans="1:26" ht="50.15" customHeight="1">
      <c r="A725" s="140"/>
      <c r="B725" s="140"/>
      <c r="C725" s="164" t="s">
        <v>295</v>
      </c>
      <c r="D725" s="275" t="s">
        <v>285</v>
      </c>
      <c r="E725" s="165"/>
      <c r="F725" s="272"/>
      <c r="G725" s="166"/>
      <c r="H725" s="167"/>
      <c r="I725" s="168"/>
      <c r="J725" s="169"/>
      <c r="K725"/>
      <c r="L725" s="274" t="s">
        <v>38</v>
      </c>
      <c r="M725" s="170"/>
      <c r="N725" s="274" t="s">
        <v>237</v>
      </c>
      <c r="O725" s="171"/>
      <c r="P725" s="171"/>
      <c r="Q725" s="171"/>
      <c r="R725" s="169"/>
      <c r="T725" s="274" t="s">
        <v>38</v>
      </c>
      <c r="U725" s="170"/>
      <c r="V725" s="274" t="s">
        <v>237</v>
      </c>
      <c r="W725" s="171"/>
      <c r="X725" s="171"/>
      <c r="Y725" s="171"/>
      <c r="Z725" s="169"/>
    </row>
    <row r="726" spans="1:26" ht="18.75" customHeight="1">
      <c r="A726" s="140"/>
      <c r="B726" s="140"/>
      <c r="D726" s="172" t="s">
        <v>238</v>
      </c>
      <c r="E726" s="407"/>
      <c r="F726" s="449"/>
      <c r="G726" s="470"/>
      <c r="H726" s="449"/>
      <c r="I726" s="450"/>
      <c r="J726" s="410"/>
      <c r="K726" s="411"/>
      <c r="L726" s="408" t="str" cm="1">
        <f t="array" ca="1" aca="1" ref="L726">_xlfn.IFNA(VLOOKUP(INDIRECT("L"&amp;ROW()-1)&amp;"_"&amp;$D$12,BEGIN_Renew_Dental:END_RENEW_DENTAL,RENEW_COL_EO,FALSE),"")</f>
        <v/>
      </c>
      <c r="M726" s="412" t="str">
        <f>IF(E726="","",E726)</f>
        <v/>
      </c>
      <c r="N726" s="413"/>
      <c r="O726" s="414"/>
      <c r="P726" s="415" t="str">
        <f>IFERROR(IF($N725="Keep Contribution Same",H726,IF($N725="Enter Percentages",IF(N726="","",N726*L726),IF($N725="Keep Percentage Same",IF(G726="","",G726*L726),IF($N725="Enter Dollar Amount",IF(O726="","",O726),"")))),"")</f>
        <v/>
      </c>
      <c r="Q726" s="408" t="str">
        <f>IFERROR(R726-P726,"")</f>
        <v/>
      </c>
      <c r="R726" s="410" t="str">
        <f>IFERROR(IF(P726="","",M726*P726),"")</f>
        <v/>
      </c>
      <c r="S726" s="411"/>
      <c r="T726" s="408" t="str" cm="1">
        <f t="array" ca="1" aca="1" ref="T726">_xlfn.IFNA(VLOOKUP(INDIRECT("T"&amp;ROW()-1)&amp;"_"&amp;$D$12,BEGIN_Renew_Dental:END_RENEW_DENTAL,RENEW_COL_EO,FALSE),"")</f>
        <v/>
      </c>
      <c r="U726" s="412" t="str">
        <f>IF(E726="","",E726)</f>
        <v/>
      </c>
      <c r="V726" s="413"/>
      <c r="W726" s="414"/>
      <c r="X726" s="415" t="str">
        <f>IFERROR(IF($V725="Keep Contribution Same",H726,IF($V725="Enter Percentages",IF(V726="","",V726*T726),IF($V725="Keep Percentage Same",IF(G726="","",G726*T726),IF($V725="Enter Dollar Amount",IF(W726="","",W726),"")))),"")</f>
        <v/>
      </c>
      <c r="Y726" s="408" t="str">
        <f ca="1">IFERROR(T726-X726,"")</f>
        <v/>
      </c>
      <c r="Z726" s="410" t="str">
        <f>IFERROR(IF(X726="","",U726*X726),"")</f>
        <v/>
      </c>
    </row>
    <row r="727" spans="1:26" ht="18.75" customHeight="1">
      <c r="A727" s="140"/>
      <c r="B727" s="140"/>
      <c r="D727" s="172" t="s">
        <v>239</v>
      </c>
      <c r="E727" s="407"/>
      <c r="F727" s="449"/>
      <c r="G727" s="470"/>
      <c r="H727" s="449"/>
      <c r="I727" s="450"/>
      <c r="J727" s="410"/>
      <c r="K727" s="411"/>
      <c r="L727" s="408" t="str" cm="1">
        <f t="array" ca="1" aca="1" ref="L727">_xlfn.IFNA(VLOOKUP(INDIRECT("L"&amp;ROW()-2)&amp;"_"&amp;$D$12,BEGIN_Renew_Dental:END_RENEW_DENTAL,RENEW_COL_ES,FALSE),"")</f>
        <v/>
      </c>
      <c r="M727" s="412" t="str">
        <f>IF(E727="","",E727)</f>
        <v/>
      </c>
      <c r="N727" s="413"/>
      <c r="O727" s="414"/>
      <c r="P727" s="415" t="str">
        <f>IFERROR(IF($N725="Keep Contribution Same",H727,IF($N725="Enter Percentages",IF(N727="","",N727*L727),IF($N725="Keep Percentage Same",IF(G727="","",G727*L727),IF($N725="Enter Dollar Amount",IF(O727="","",O727),"")))),"")</f>
        <v/>
      </c>
      <c r="Q727" s="408" t="str">
        <f t="shared" si="91" ref="Q727">IFERROR(R727-P727,"")</f>
        <v/>
      </c>
      <c r="R727" s="410" t="str">
        <f>IFERROR(IF(P727="","",M727*P727),"")</f>
        <v/>
      </c>
      <c r="S727" s="411"/>
      <c r="T727" s="408" t="str" cm="1">
        <f t="array" ca="1" aca="1" ref="T727">_xlfn.IFNA(VLOOKUP(INDIRECT("T"&amp;ROW()-2)&amp;"_"&amp;$D$12,BEGIN_Renew_Dental:END_RENEW_DENTAL,RENEW_COL_ES,FALSE),"")</f>
        <v/>
      </c>
      <c r="U727" s="412" t="str">
        <f t="shared" si="92" ref="U727:U729">IF(E727="","",E727)</f>
        <v/>
      </c>
      <c r="V727" s="413"/>
      <c r="W727" s="414"/>
      <c r="X727" s="415" t="str">
        <f>IFERROR(IF($V725="Keep Contribution Same",H727,IF($V725="Enter Percentages",IF(V727="","",V727*T727),IF($V725="Keep Percentage Same",IF(G727="","",G727*T727),IF($V725="Enter Dollar Amount",IF(W727="","",W727),"")))),"")</f>
        <v/>
      </c>
      <c r="Y727" s="408" t="str">
        <f ca="1" t="shared" si="93" ref="Y727:Y729">IFERROR(T727-X727,"")</f>
        <v/>
      </c>
      <c r="Z727" s="410" t="str">
        <f t="shared" si="94" ref="Z727:Z729">IFERROR(IF(X727="","",U727*X727),"")</f>
        <v/>
      </c>
    </row>
    <row r="728" spans="1:26" ht="18.75" customHeight="1">
      <c r="A728" s="140"/>
      <c r="B728" s="140"/>
      <c r="D728" s="172" t="s">
        <v>240</v>
      </c>
      <c r="E728" s="407"/>
      <c r="F728" s="449"/>
      <c r="G728" s="470"/>
      <c r="H728" s="449"/>
      <c r="I728" s="450"/>
      <c r="J728" s="410"/>
      <c r="K728" s="411"/>
      <c r="L728" s="408" t="str" cm="1">
        <f t="array" ca="1" aca="1" ref="L728">_xlfn.IFNA(VLOOKUP(INDIRECT("L"&amp;ROW()-3)&amp;"_"&amp;$D$12,BEGIN_Renew_Dental:END_RENEW_DENTAL,RENEW_COL_EC,FALSE),"")</f>
        <v/>
      </c>
      <c r="M728" s="412" t="str">
        <f>IF(E728="","",E728)</f>
        <v/>
      </c>
      <c r="N728" s="413"/>
      <c r="O728" s="414"/>
      <c r="P728" s="415" t="str">
        <f>IFERROR(IF($N725="Keep Contribution Same",H728,IF($N725="Enter Percentages",IF(N728="","",N728*L728),IF($N725="Keep Percentage Same",IF(G728="","",G728*L728),IF($N725="Enter Dollar Amount",IF(O728="","",O728),"")))),"")</f>
        <v/>
      </c>
      <c r="Q728" s="408" t="str">
        <f>IFERROR(R728-P728,"")</f>
        <v/>
      </c>
      <c r="R728" s="410" t="str">
        <f>IFERROR(IF(P728="","",M728*P728),"")</f>
        <v/>
      </c>
      <c r="S728" s="411"/>
      <c r="T728" s="408" t="str" cm="1">
        <f t="array" ca="1" aca="1" ref="T728">_xlfn.IFNA(VLOOKUP(INDIRECT("T"&amp;ROW()-3)&amp;"_"&amp;$D$12,BEGIN_Renew_Dental:END_RENEW_DENTAL,RENEW_COL_EC,FALSE),"")</f>
        <v/>
      </c>
      <c r="U728" s="412" t="str">
        <f t="shared" si="92"/>
        <v/>
      </c>
      <c r="V728" s="413"/>
      <c r="W728" s="414"/>
      <c r="X728" s="415" t="str">
        <f>IFERROR(IF($V725="Keep Contribution Same",H728,IF($V725="Enter Percentages",IF(V728="","",V728*T728),IF($V725="Keep Percentage Same",IF(G728="","",G728*T728),IF($V725="Enter Dollar Amount",IF(W728="","",W728),"")))),"")</f>
        <v/>
      </c>
      <c r="Y728" s="408" t="str">
        <f t="shared" ca="1" si="93"/>
        <v/>
      </c>
      <c r="Z728" s="410" t="str">
        <f t="shared" si="94"/>
        <v/>
      </c>
    </row>
    <row r="729" spans="1:26" ht="18.75" customHeight="1" thickBot="1">
      <c r="A729" s="140"/>
      <c r="B729" s="140"/>
      <c r="D729" s="174" t="s">
        <v>241</v>
      </c>
      <c r="E729" s="416"/>
      <c r="F729" s="451"/>
      <c r="G729" s="471"/>
      <c r="H729" s="451"/>
      <c r="I729" s="452"/>
      <c r="J729" s="419"/>
      <c r="K729" s="411"/>
      <c r="L729" s="417" t="str" cm="1">
        <f t="array" ca="1" aca="1" ref="L729">_xlfn.IFNA(VLOOKUP(INDIRECT("L"&amp;ROW()-4)&amp;"_"&amp;$D$12,BEGIN_Renew_Dental:END_RENEW_DENTAL,RENEW_COL_FAM,FALSE),"")</f>
        <v/>
      </c>
      <c r="M729" s="423" t="str">
        <f>IF(E729="","",E729)</f>
        <v/>
      </c>
      <c r="N729" s="420"/>
      <c r="O729" s="421"/>
      <c r="P729" s="422" t="str">
        <f>IFERROR(IF($N725="Keep Contribution Same",H729,IF($N725="Enter Percentages",IF(N729="","",N729*L729),IF($N725="Keep Percentage Same",IF(G729="","",G729*L729),IF($N725="Enter Dollar Amount",IF(O729="","",O729),"")))),"")</f>
        <v/>
      </c>
      <c r="Q729" s="417" t="str">
        <f>IFERROR(R729-P729,"")</f>
        <v/>
      </c>
      <c r="R729" s="419" t="str">
        <f>IFERROR(IF(P729="","",M729*P729),"")</f>
        <v/>
      </c>
      <c r="S729" s="411"/>
      <c r="T729" s="417" t="str" cm="1">
        <f t="array" ca="1" aca="1" ref="T729">_xlfn.IFNA(VLOOKUP(INDIRECT("T"&amp;ROW()-4)&amp;"_"&amp;$D$12,BEGIN_Renew_Dental:END_RENEW_DENTAL,RENEW_COL_FAM,FALSE),"")</f>
        <v/>
      </c>
      <c r="U729" s="423" t="str">
        <f t="shared" si="92"/>
        <v/>
      </c>
      <c r="V729" s="420"/>
      <c r="W729" s="421"/>
      <c r="X729" s="422" t="str">
        <f>IFERROR(IF($V725="Keep Contribution Same",H729,IF($V725="Enter Percentages",IF(V729="","",V729*T729),IF($V725="Keep Percentage Same",IF(G729="","",G729*T729),IF($V725="Enter Dollar Amount",IF(W729="","",W729),"")))),"")</f>
        <v/>
      </c>
      <c r="Y729" s="417" t="str">
        <f t="shared" ca="1" si="93"/>
        <v/>
      </c>
      <c r="Z729" s="419" t="str">
        <f t="shared" si="94"/>
        <v/>
      </c>
    </row>
    <row r="730" spans="1:26" ht="18.75" customHeight="1" thickTop="1">
      <c r="A730" s="140"/>
      <c r="B730" s="140"/>
      <c r="D730" s="175" t="s">
        <v>329</v>
      </c>
      <c r="E730" s="424"/>
      <c r="F730" s="427"/>
      <c r="G730" s="426"/>
      <c r="H730" s="427"/>
      <c r="I730" s="428"/>
      <c r="J730" s="429" t="str">
        <f>IFERROR(IF(J726="","",SUM(J726:J729)),0)</f>
        <v/>
      </c>
      <c r="K730" s="1"/>
      <c r="L730" s="424"/>
      <c r="M730" s="427"/>
      <c r="N730" s="426"/>
      <c r="O730" s="427"/>
      <c r="P730" s="431"/>
      <c r="Q730" s="432"/>
      <c r="R730" s="429" t="str">
        <f>IFERROR(IF(R726="","",SUM(R726:R729)),0)</f>
        <v/>
      </c>
      <c r="T730" s="424"/>
      <c r="U730" s="427"/>
      <c r="V730" s="426"/>
      <c r="W730" s="427"/>
      <c r="X730" s="431"/>
      <c r="Y730" s="432"/>
      <c r="Z730" s="429" t="str">
        <f>IFERROR(IF(Z726="","",SUM(Z726:Z729)),0)</f>
        <v/>
      </c>
    </row>
    <row r="731" spans="1:26" ht="18.75" customHeight="1">
      <c r="A731" s="140"/>
      <c r="B731" s="140"/>
      <c r="D731" s="177" t="s">
        <v>243</v>
      </c>
      <c r="E731" s="433"/>
      <c r="F731" s="436"/>
      <c r="G731" s="435"/>
      <c r="H731" s="436"/>
      <c r="I731" s="432"/>
      <c r="J731" s="437" t="str">
        <f>IF(J730="","",J730*12)</f>
        <v/>
      </c>
      <c r="K731" s="1"/>
      <c r="L731" s="433"/>
      <c r="M731" s="436"/>
      <c r="N731" s="435"/>
      <c r="O731" s="436"/>
      <c r="P731" s="432"/>
      <c r="Q731" s="432"/>
      <c r="R731" s="437" t="str">
        <f>IF(R730="","",R730*12)</f>
        <v/>
      </c>
      <c r="T731" s="433"/>
      <c r="U731" s="436"/>
      <c r="V731" s="435"/>
      <c r="W731" s="436"/>
      <c r="X731" s="432"/>
      <c r="Y731" s="432"/>
      <c r="Z731" s="437" t="str">
        <f>IF(Z730="","",Z730*12)</f>
        <v/>
      </c>
    </row>
    <row r="732" spans="1:26" ht="18" customHeight="1">
      <c r="A732" s="140"/>
      <c r="B732" s="140"/>
      <c r="D732" s="177" t="s">
        <v>244</v>
      </c>
      <c r="E732" s="433"/>
      <c r="F732" s="436"/>
      <c r="G732" s="435"/>
      <c r="H732" s="436"/>
      <c r="I732" s="432"/>
      <c r="J732" s="437" t="str">
        <f>IFERROR(IF(J731="","",R731-J731),0)</f>
        <v/>
      </c>
      <c r="K732" s="1"/>
      <c r="L732" s="433"/>
      <c r="M732" s="436"/>
      <c r="N732" s="435"/>
      <c r="O732" s="436"/>
      <c r="P732" s="432"/>
      <c r="Q732" s="432"/>
      <c r="R732" s="437" t="str">
        <f>IFERROR(IF(J731="","",R731-J731),0)</f>
        <v/>
      </c>
      <c r="T732" s="433"/>
      <c r="U732" s="436"/>
      <c r="V732" s="435"/>
      <c r="W732" s="436"/>
      <c r="X732" s="432"/>
      <c r="Y732" s="432"/>
      <c r="Z732" s="437" t="str">
        <f>IFERROR(IF(R731="","",Z731-R731),0)</f>
        <v/>
      </c>
    </row>
    <row r="733" spans="1:26" ht="18" customHeight="1" thickBot="1">
      <c r="A733" s="140"/>
      <c r="B733" s="140"/>
      <c r="D733" s="180" t="s">
        <v>245</v>
      </c>
      <c r="E733" s="439"/>
      <c r="F733" s="440"/>
      <c r="G733" s="441"/>
      <c r="H733" s="440"/>
      <c r="I733" s="442"/>
      <c r="J733" s="443" t="str">
        <f>IFERROR(IF(J731="","",(R731/J731)-1),0)</f>
        <v/>
      </c>
      <c r="K733" s="1"/>
      <c r="L733" s="439"/>
      <c r="M733" s="440"/>
      <c r="N733" s="441"/>
      <c r="O733" s="440"/>
      <c r="P733" s="445"/>
      <c r="Q733" s="445"/>
      <c r="R733" s="446" t="str">
        <f>IFERROR(IF(J731="","",(R731/J731)-1),0)</f>
        <v/>
      </c>
      <c r="T733" s="439"/>
      <c r="U733" s="440"/>
      <c r="V733" s="441"/>
      <c r="W733" s="440"/>
      <c r="X733" s="445"/>
      <c r="Y733" s="445"/>
      <c r="Z733" s="446" t="str">
        <f>IFERROR(IF(R731="","",(Z731/R731)-1),0)</f>
        <v/>
      </c>
    </row>
    <row r="734" spans="1:26" ht="5.25" customHeight="1" thickBot="1">
      <c r="A734" s="140"/>
      <c r="B734" s="140"/>
      <c r="D734" s="229"/>
      <c r="E734" s="229"/>
      <c r="F734" s="230"/>
      <c r="G734" s="231"/>
      <c r="H734" s="232"/>
      <c r="I734" s="233"/>
      <c r="J734" s="233"/>
      <c r="K734"/>
      <c r="L734" s="233"/>
      <c r="M734" s="233"/>
      <c r="N734" s="233"/>
      <c r="O734" s="233"/>
      <c r="P734" s="233"/>
      <c r="Q734" s="233"/>
      <c r="R734" s="233"/>
      <c r="T734" s="233"/>
      <c r="U734" s="233"/>
      <c r="V734" s="233"/>
      <c r="W734" s="233"/>
      <c r="X734" s="233"/>
      <c r="Y734" s="233"/>
      <c r="Z734" s="233"/>
    </row>
    <row r="735" spans="1:26" ht="50.15" customHeight="1">
      <c r="A735" s="140"/>
      <c r="B735" s="140"/>
      <c r="C735" s="164" t="s">
        <v>296</v>
      </c>
      <c r="D735" s="275" t="s">
        <v>285</v>
      </c>
      <c r="E735" s="165"/>
      <c r="F735" s="272"/>
      <c r="G735" s="166"/>
      <c r="H735" s="167"/>
      <c r="I735" s="168"/>
      <c r="J735" s="169"/>
      <c r="K735"/>
      <c r="L735" s="274" t="s">
        <v>38</v>
      </c>
      <c r="M735" s="170"/>
      <c r="N735" s="274" t="s">
        <v>237</v>
      </c>
      <c r="O735" s="171"/>
      <c r="P735" s="171"/>
      <c r="Q735" s="171"/>
      <c r="R735" s="169"/>
      <c r="T735" s="274" t="s">
        <v>38</v>
      </c>
      <c r="U735" s="170"/>
      <c r="V735" s="274" t="s">
        <v>237</v>
      </c>
      <c r="W735" s="171"/>
      <c r="X735" s="171"/>
      <c r="Y735" s="171"/>
      <c r="Z735" s="169"/>
    </row>
    <row r="736" spans="1:26" ht="18.75" customHeight="1">
      <c r="A736" s="140"/>
      <c r="B736" s="140"/>
      <c r="D736" s="172" t="s">
        <v>238</v>
      </c>
      <c r="E736" s="407"/>
      <c r="F736" s="449"/>
      <c r="G736" s="470"/>
      <c r="H736" s="449"/>
      <c r="I736" s="450"/>
      <c r="J736" s="410"/>
      <c r="K736" s="411"/>
      <c r="L736" s="408" t="str" cm="1">
        <f t="array" ca="1" aca="1" ref="L736">_xlfn.IFNA(VLOOKUP(INDIRECT("L"&amp;ROW()-1)&amp;"_"&amp;$D$12,BEGIN_Renew_Dental:END_RENEW_DENTAL,RENEW_COL_EO,FALSE),"")</f>
        <v/>
      </c>
      <c r="M736" s="412" t="str">
        <f>IF(E736="","",E736)</f>
        <v/>
      </c>
      <c r="N736" s="413"/>
      <c r="O736" s="414"/>
      <c r="P736" s="415" t="str">
        <f>IFERROR(IF($N735="Keep Contribution Same",H736,IF($N735="Enter Percentages",IF(N736="","",N736*L736),IF($N735="Keep Percentage Same",IF(G736="","",G736*L736),IF($N735="Enter Dollar Amount",IF(O736="","",O736),"")))),"")</f>
        <v/>
      </c>
      <c r="Q736" s="408" t="str">
        <f>IFERROR(R736-P736,"")</f>
        <v/>
      </c>
      <c r="R736" s="410" t="str">
        <f>IFERROR(IF(P736="","",M736*P736),"")</f>
        <v/>
      </c>
      <c r="S736" s="411"/>
      <c r="T736" s="408" t="str" cm="1">
        <f t="array" ca="1" aca="1" ref="T736">_xlfn.IFNA(VLOOKUP(INDIRECT("T"&amp;ROW()-1)&amp;"_"&amp;$D$12,BEGIN_Renew_Dental:END_RENEW_DENTAL,RENEW_COL_EO,FALSE),"")</f>
        <v/>
      </c>
      <c r="U736" s="412" t="str">
        <f>IF(E736="","",E736)</f>
        <v/>
      </c>
      <c r="V736" s="413"/>
      <c r="W736" s="414"/>
      <c r="X736" s="415" t="str">
        <f>IFERROR(IF($V735="Keep Contribution Same",H736,IF($V735="Enter Percentages",IF(V736="","",V736*T736),IF($V735="Keep Percentage Same",IF(G736="","",G736*T736),IF($V735="Enter Dollar Amount",IF(W736="","",W736),"")))),"")</f>
        <v/>
      </c>
      <c r="Y736" s="408" t="str">
        <f ca="1">IFERROR(T736-X736,"")</f>
        <v/>
      </c>
      <c r="Z736" s="410" t="str">
        <f>IFERROR(IF(X736="","",U736*X736),"")</f>
        <v/>
      </c>
    </row>
    <row r="737" spans="1:26" ht="18.75" customHeight="1">
      <c r="A737" s="140"/>
      <c r="B737" s="140"/>
      <c r="D737" s="172" t="s">
        <v>239</v>
      </c>
      <c r="E737" s="407"/>
      <c r="F737" s="449"/>
      <c r="G737" s="470"/>
      <c r="H737" s="449"/>
      <c r="I737" s="450"/>
      <c r="J737" s="410"/>
      <c r="K737" s="411"/>
      <c r="L737" s="408" t="str" cm="1">
        <f t="array" ca="1" aca="1" ref="L737">_xlfn.IFNA(VLOOKUP(INDIRECT("L"&amp;ROW()-2)&amp;"_"&amp;$D$12,BEGIN_Renew_Dental:END_RENEW_DENTAL,RENEW_COL_ES,FALSE),"")</f>
        <v/>
      </c>
      <c r="M737" s="412" t="str">
        <f>IF(E737="","",E737)</f>
        <v/>
      </c>
      <c r="N737" s="413"/>
      <c r="O737" s="414"/>
      <c r="P737" s="415" t="str">
        <f>IFERROR(IF($N735="Keep Contribution Same",H737,IF($N735="Enter Percentages",IF(N737="","",N737*L737),IF($N735="Keep Percentage Same",IF(G737="","",G737*L737),IF($N735="Enter Dollar Amount",IF(O737="","",O737),"")))),"")</f>
        <v/>
      </c>
      <c r="Q737" s="408" t="str">
        <f t="shared" si="95" ref="Q737">IFERROR(R737-P737,"")</f>
        <v/>
      </c>
      <c r="R737" s="410" t="str">
        <f>IFERROR(IF(P737="","",M737*P737),"")</f>
        <v/>
      </c>
      <c r="S737" s="411"/>
      <c r="T737" s="408" t="str" cm="1">
        <f t="array" ca="1" aca="1" ref="T737">_xlfn.IFNA(VLOOKUP(INDIRECT("T"&amp;ROW()-2)&amp;"_"&amp;$D$12,BEGIN_Renew_Dental:END_RENEW_DENTAL,RENEW_COL_ES,FALSE),"")</f>
        <v/>
      </c>
      <c r="U737" s="412" t="str">
        <f t="shared" si="96" ref="U737:U739">IF(E737="","",E737)</f>
        <v/>
      </c>
      <c r="V737" s="413"/>
      <c r="W737" s="414"/>
      <c r="X737" s="415" t="str">
        <f>IFERROR(IF($V735="Keep Contribution Same",H737,IF($V735="Enter Percentages",IF(V737="","",V737*T737),IF($V735="Keep Percentage Same",IF(G737="","",G737*T737),IF($V735="Enter Dollar Amount",IF(W737="","",W737),"")))),"")</f>
        <v/>
      </c>
      <c r="Y737" s="408" t="str">
        <f ca="1" t="shared" si="97" ref="Y737:Y739">IFERROR(T737-X737,"")</f>
        <v/>
      </c>
      <c r="Z737" s="410" t="str">
        <f t="shared" si="98" ref="Z737:Z739">IFERROR(IF(X737="","",U737*X737),"")</f>
        <v/>
      </c>
    </row>
    <row r="738" spans="1:26" ht="18.75" customHeight="1">
      <c r="A738" s="140"/>
      <c r="B738" s="140"/>
      <c r="D738" s="172" t="s">
        <v>240</v>
      </c>
      <c r="E738" s="407"/>
      <c r="F738" s="449"/>
      <c r="G738" s="470"/>
      <c r="H738" s="449"/>
      <c r="I738" s="450"/>
      <c r="J738" s="410"/>
      <c r="K738" s="411"/>
      <c r="L738" s="408" t="str" cm="1">
        <f t="array" ca="1" aca="1" ref="L738">_xlfn.IFNA(VLOOKUP(INDIRECT("L"&amp;ROW()-3)&amp;"_"&amp;$D$12,BEGIN_Renew_Dental:END_RENEW_DENTAL,RENEW_COL_EC,FALSE),"")</f>
        <v/>
      </c>
      <c r="M738" s="412" t="str">
        <f>IF(E738="","",E738)</f>
        <v/>
      </c>
      <c r="N738" s="413"/>
      <c r="O738" s="414"/>
      <c r="P738" s="415" t="str">
        <f>IFERROR(IF($N735="Keep Contribution Same",H738,IF($N735="Enter Percentages",IF(N738="","",N738*L738),IF($N735="Keep Percentage Same",IF(G738="","",G738*L738),IF($N735="Enter Dollar Amount",IF(O738="","",O738),"")))),"")</f>
        <v/>
      </c>
      <c r="Q738" s="408" t="str">
        <f>IFERROR(R738-P738,"")</f>
        <v/>
      </c>
      <c r="R738" s="410" t="str">
        <f>IFERROR(IF(P738="","",M738*P738),"")</f>
        <v/>
      </c>
      <c r="S738" s="411"/>
      <c r="T738" s="408" t="str" cm="1">
        <f t="array" ca="1" aca="1" ref="T738">_xlfn.IFNA(VLOOKUP(INDIRECT("T"&amp;ROW()-3)&amp;"_"&amp;$D$12,BEGIN_Renew_Dental:END_RENEW_DENTAL,RENEW_COL_EC,FALSE),"")</f>
        <v/>
      </c>
      <c r="U738" s="412" t="str">
        <f t="shared" si="96"/>
        <v/>
      </c>
      <c r="V738" s="413"/>
      <c r="W738" s="414"/>
      <c r="X738" s="415" t="str">
        <f>IFERROR(IF($V735="Keep Contribution Same",H738,IF($V735="Enter Percentages",IF(V738="","",V738*T738),IF($V735="Keep Percentage Same",IF(G738="","",G738*T738),IF($V735="Enter Dollar Amount",IF(W738="","",W738),"")))),"")</f>
        <v/>
      </c>
      <c r="Y738" s="408" t="str">
        <f t="shared" ca="1" si="97"/>
        <v/>
      </c>
      <c r="Z738" s="410" t="str">
        <f t="shared" si="98"/>
        <v/>
      </c>
    </row>
    <row r="739" spans="1:26" ht="18.75" customHeight="1" thickBot="1">
      <c r="A739" s="140"/>
      <c r="B739" s="140"/>
      <c r="D739" s="174" t="s">
        <v>241</v>
      </c>
      <c r="E739" s="416"/>
      <c r="F739" s="451"/>
      <c r="G739" s="471"/>
      <c r="H739" s="451"/>
      <c r="I739" s="452"/>
      <c r="J739" s="419"/>
      <c r="K739" s="411"/>
      <c r="L739" s="417" t="str" cm="1">
        <f t="array" ca="1" aca="1" ref="L739">_xlfn.IFNA(VLOOKUP(INDIRECT("L"&amp;ROW()-4)&amp;"_"&amp;$D$12,BEGIN_Renew_Dental:END_RENEW_DENTAL,RENEW_COL_FAM,FALSE),"")</f>
        <v/>
      </c>
      <c r="M739" s="423" t="str">
        <f>IF(E739="","",E739)</f>
        <v/>
      </c>
      <c r="N739" s="420"/>
      <c r="O739" s="421"/>
      <c r="P739" s="422" t="str">
        <f>IFERROR(IF($N735="Keep Contribution Same",H739,IF($N735="Enter Percentages",IF(N739="","",N739*L739),IF($N735="Keep Percentage Same",IF(G739="","",G739*L739),IF($N735="Enter Dollar Amount",IF(O739="","",O739),"")))),"")</f>
        <v/>
      </c>
      <c r="Q739" s="417" t="str">
        <f>IFERROR(R739-P739,"")</f>
        <v/>
      </c>
      <c r="R739" s="419" t="str">
        <f>IFERROR(IF(P739="","",M739*P739),"")</f>
        <v/>
      </c>
      <c r="S739" s="411"/>
      <c r="T739" s="417" t="str" cm="1">
        <f t="array" ca="1" aca="1" ref="T739">_xlfn.IFNA(VLOOKUP(INDIRECT("T"&amp;ROW()-4)&amp;"_"&amp;$D$12,BEGIN_Renew_Dental:END_RENEW_DENTAL,RENEW_COL_FAM,FALSE),"")</f>
        <v/>
      </c>
      <c r="U739" s="423" t="str">
        <f t="shared" si="96"/>
        <v/>
      </c>
      <c r="V739" s="420"/>
      <c r="W739" s="421"/>
      <c r="X739" s="422" t="str">
        <f>IFERROR(IF($V735="Keep Contribution Same",H739,IF($V735="Enter Percentages",IF(V739="","",V739*T739),IF($V735="Keep Percentage Same",IF(G739="","",G739*T739),IF($V735="Enter Dollar Amount",IF(W739="","",W739),"")))),"")</f>
        <v/>
      </c>
      <c r="Y739" s="417" t="str">
        <f t="shared" ca="1" si="97"/>
        <v/>
      </c>
      <c r="Z739" s="419" t="str">
        <f t="shared" si="98"/>
        <v/>
      </c>
    </row>
    <row r="740" spans="1:26" ht="18.75" customHeight="1" thickTop="1">
      <c r="A740" s="140"/>
      <c r="B740" s="140"/>
      <c r="D740" s="175" t="s">
        <v>329</v>
      </c>
      <c r="E740" s="424"/>
      <c r="F740" s="427"/>
      <c r="G740" s="426"/>
      <c r="H740" s="427"/>
      <c r="I740" s="428"/>
      <c r="J740" s="429" t="str">
        <f>IFERROR(IF(J736="","",SUM(J736:J739)),0)</f>
        <v/>
      </c>
      <c r="K740" s="1"/>
      <c r="L740" s="424"/>
      <c r="M740" s="427"/>
      <c r="N740" s="426"/>
      <c r="O740" s="427"/>
      <c r="P740" s="431"/>
      <c r="Q740" s="432"/>
      <c r="R740" s="429" t="str">
        <f>IFERROR(IF(R736="","",SUM(R736:R739)),0)</f>
        <v/>
      </c>
      <c r="T740" s="424"/>
      <c r="U740" s="427"/>
      <c r="V740" s="426"/>
      <c r="W740" s="427"/>
      <c r="X740" s="431"/>
      <c r="Y740" s="432"/>
      <c r="Z740" s="429" t="str">
        <f>IFERROR(IF(Z736="","",SUM(Z736:Z739)),0)</f>
        <v/>
      </c>
    </row>
    <row r="741" spans="1:26" ht="18" customHeight="1">
      <c r="A741" s="140"/>
      <c r="B741" s="140"/>
      <c r="D741" s="177" t="s">
        <v>243</v>
      </c>
      <c r="E741" s="433"/>
      <c r="F741" s="436"/>
      <c r="G741" s="435"/>
      <c r="H741" s="436"/>
      <c r="I741" s="432"/>
      <c r="J741" s="437" t="str">
        <f>IF(J740="","",J740*12)</f>
        <v/>
      </c>
      <c r="K741" s="1"/>
      <c r="L741" s="433"/>
      <c r="M741" s="436"/>
      <c r="N741" s="435"/>
      <c r="O741" s="436"/>
      <c r="P741" s="432"/>
      <c r="Q741" s="432"/>
      <c r="R741" s="437" t="str">
        <f>IF(R740="","",R740*12)</f>
        <v/>
      </c>
      <c r="T741" s="433"/>
      <c r="U741" s="436"/>
      <c r="V741" s="435"/>
      <c r="W741" s="436"/>
      <c r="X741" s="432"/>
      <c r="Y741" s="432"/>
      <c r="Z741" s="437" t="str">
        <f>IF(Z740="","",Z740*12)</f>
        <v/>
      </c>
    </row>
    <row r="742" spans="1:26" ht="18" customHeight="1">
      <c r="A742" s="140"/>
      <c r="B742" s="140"/>
      <c r="D742" s="177" t="s">
        <v>244</v>
      </c>
      <c r="E742" s="433"/>
      <c r="F742" s="436"/>
      <c r="G742" s="435"/>
      <c r="H742" s="436"/>
      <c r="I742" s="432"/>
      <c r="J742" s="437" t="str">
        <f>IFERROR(IF(J741="","",R741-J741),0)</f>
        <v/>
      </c>
      <c r="K742" s="1"/>
      <c r="L742" s="433"/>
      <c r="M742" s="436"/>
      <c r="N742" s="435"/>
      <c r="O742" s="436"/>
      <c r="P742" s="432"/>
      <c r="Q742" s="432"/>
      <c r="R742" s="437" t="str">
        <f>IFERROR(IF(J741="","",R741-J741),0)</f>
        <v/>
      </c>
      <c r="T742" s="433"/>
      <c r="U742" s="436"/>
      <c r="V742" s="435"/>
      <c r="W742" s="436"/>
      <c r="X742" s="432"/>
      <c r="Y742" s="432"/>
      <c r="Z742" s="437" t="str">
        <f>IFERROR(IF(R741="","",Z741-R741),0)</f>
        <v/>
      </c>
    </row>
    <row r="743" spans="1:26" ht="18" customHeight="1" thickBot="1">
      <c r="A743" s="140"/>
      <c r="B743" s="140"/>
      <c r="D743" s="180" t="s">
        <v>245</v>
      </c>
      <c r="E743" s="439"/>
      <c r="F743" s="440"/>
      <c r="G743" s="441"/>
      <c r="H743" s="440"/>
      <c r="I743" s="442"/>
      <c r="J743" s="443" t="str">
        <f>IFERROR(IF(J741="","",(R741/J741)-1),0)</f>
        <v/>
      </c>
      <c r="K743" s="1"/>
      <c r="L743" s="439"/>
      <c r="M743" s="440"/>
      <c r="N743" s="441"/>
      <c r="O743" s="440"/>
      <c r="P743" s="445"/>
      <c r="Q743" s="445"/>
      <c r="R743" s="446" t="str">
        <f>IFERROR(IF(J741="","",(R741/J741)-1),0)</f>
        <v/>
      </c>
      <c r="T743" s="439"/>
      <c r="U743" s="440"/>
      <c r="V743" s="441"/>
      <c r="W743" s="440"/>
      <c r="X743" s="445"/>
      <c r="Y743" s="445"/>
      <c r="Z743" s="446" t="str">
        <f>IFERROR(IF(R741="","",(Z741/R741)-1),0)</f>
        <v/>
      </c>
    </row>
    <row r="744" spans="1:26" ht="5.25" customHeight="1" thickBot="1">
      <c r="A744" s="140"/>
      <c r="B744" s="140"/>
      <c r="D744" s="229"/>
      <c r="E744" s="229"/>
      <c r="F744" s="230"/>
      <c r="G744" s="231"/>
      <c r="H744" s="232"/>
      <c r="I744" s="233"/>
      <c r="J744" s="233"/>
      <c r="K744"/>
      <c r="L744" s="233"/>
      <c r="M744" s="233"/>
      <c r="N744" s="233"/>
      <c r="O744" s="233"/>
      <c r="P744" s="233"/>
      <c r="Q744" s="233"/>
      <c r="R744" s="233"/>
      <c r="T744" s="233"/>
      <c r="U744" s="233"/>
      <c r="V744" s="233"/>
      <c r="W744" s="233"/>
      <c r="X744" s="233"/>
      <c r="Y744" s="233"/>
      <c r="Z744" s="233"/>
    </row>
    <row r="745" spans="1:26" ht="50.15" customHeight="1">
      <c r="A745" s="140"/>
      <c r="B745" s="140"/>
      <c r="C745" s="164" t="s">
        <v>297</v>
      </c>
      <c r="D745" s="275" t="s">
        <v>285</v>
      </c>
      <c r="E745" s="165"/>
      <c r="F745" s="272"/>
      <c r="G745" s="166"/>
      <c r="H745" s="167"/>
      <c r="I745" s="168"/>
      <c r="J745" s="169"/>
      <c r="K745"/>
      <c r="L745" s="274" t="s">
        <v>38</v>
      </c>
      <c r="M745" s="170"/>
      <c r="N745" s="274" t="s">
        <v>237</v>
      </c>
      <c r="O745" s="171"/>
      <c r="P745" s="171"/>
      <c r="Q745" s="171"/>
      <c r="R745" s="169"/>
      <c r="T745" s="274" t="s">
        <v>38</v>
      </c>
      <c r="U745" s="170"/>
      <c r="V745" s="274" t="s">
        <v>237</v>
      </c>
      <c r="W745" s="171"/>
      <c r="X745" s="171"/>
      <c r="Y745" s="171"/>
      <c r="Z745" s="169"/>
    </row>
    <row r="746" spans="1:26" ht="18.75" customHeight="1">
      <c r="A746" s="140"/>
      <c r="B746" s="140"/>
      <c r="D746" s="172" t="s">
        <v>238</v>
      </c>
      <c r="E746" s="407"/>
      <c r="F746" s="449"/>
      <c r="G746" s="470"/>
      <c r="H746" s="449"/>
      <c r="I746" s="450"/>
      <c r="J746" s="410"/>
      <c r="K746" s="411"/>
      <c r="L746" s="408" t="str" cm="1">
        <f t="array" ca="1" aca="1" ref="L746">_xlfn.IFNA(VLOOKUP(INDIRECT("L"&amp;ROW()-1)&amp;"_"&amp;$D$12,BEGIN_Renew_Dental:END_RENEW_DENTAL,RENEW_COL_EO,FALSE),"")</f>
        <v/>
      </c>
      <c r="M746" s="412" t="str">
        <f>IF(E746="","",E746)</f>
        <v/>
      </c>
      <c r="N746" s="413"/>
      <c r="O746" s="414"/>
      <c r="P746" s="415" t="str">
        <f>IFERROR(IF($N745="Keep Contribution Same",H746,IF($N745="Enter Percentages",IF(N746="","",N746*L746),IF($N745="Keep Percentage Same",IF(G746="","",G746*L746),IF($N745="Enter Dollar Amount",IF(O746="","",O746),"")))),"")</f>
        <v/>
      </c>
      <c r="Q746" s="408" t="str">
        <f>IFERROR(R746-P746,"")</f>
        <v/>
      </c>
      <c r="R746" s="410" t="str">
        <f>IFERROR(IF(P746="","",M746*P746),"")</f>
        <v/>
      </c>
      <c r="S746" s="411"/>
      <c r="T746" s="408" t="str" cm="1">
        <f t="array" ca="1" aca="1" ref="T746">_xlfn.IFNA(VLOOKUP(INDIRECT("T"&amp;ROW()-1)&amp;"_"&amp;$D$12,BEGIN_Renew_Dental:END_RENEW_DENTAL,RENEW_COL_EO,FALSE),"")</f>
        <v/>
      </c>
      <c r="U746" s="412" t="str">
        <f>IF(E746="","",E746)</f>
        <v/>
      </c>
      <c r="V746" s="413"/>
      <c r="W746" s="414"/>
      <c r="X746" s="415" t="str">
        <f>IFERROR(IF($V745="Keep Contribution Same",H746,IF($V745="Enter Percentages",IF(V746="","",V746*T746),IF($V745="Keep Percentage Same",IF(G746="","",G746*T746),IF($V745="Enter Dollar Amount",IF(W746="","",W746),"")))),"")</f>
        <v/>
      </c>
      <c r="Y746" s="408" t="str">
        <f ca="1">IFERROR(T746-X746,"")</f>
        <v/>
      </c>
      <c r="Z746" s="410" t="str">
        <f>IFERROR(IF(X746="","",U746*X746),"")</f>
        <v/>
      </c>
    </row>
    <row r="747" spans="1:26" ht="18.75" customHeight="1">
      <c r="A747" s="140"/>
      <c r="B747" s="140"/>
      <c r="D747" s="172" t="s">
        <v>239</v>
      </c>
      <c r="E747" s="407"/>
      <c r="F747" s="449"/>
      <c r="G747" s="470"/>
      <c r="H747" s="449"/>
      <c r="I747" s="450"/>
      <c r="J747" s="410"/>
      <c r="K747" s="411"/>
      <c r="L747" s="408" t="str" cm="1">
        <f t="array" ca="1" aca="1" ref="L747">_xlfn.IFNA(VLOOKUP(INDIRECT("L"&amp;ROW()-2)&amp;"_"&amp;$D$12,BEGIN_Renew_Dental:END_RENEW_DENTAL,RENEW_COL_ES,FALSE),"")</f>
        <v/>
      </c>
      <c r="M747" s="412" t="str">
        <f>IF(E747="","",E747)</f>
        <v/>
      </c>
      <c r="N747" s="413"/>
      <c r="O747" s="414"/>
      <c r="P747" s="415" t="str">
        <f>IFERROR(IF($N745="Keep Contribution Same",H747,IF($N745="Enter Percentages",IF(N747="","",N747*L747),IF($N745="Keep Percentage Same",IF(G747="","",G747*L747),IF($N745="Enter Dollar Amount",IF(O747="","",O747),"")))),"")</f>
        <v/>
      </c>
      <c r="Q747" s="408" t="str">
        <f t="shared" si="99" ref="Q747">IFERROR(R747-P747,"")</f>
        <v/>
      </c>
      <c r="R747" s="410" t="str">
        <f>IFERROR(IF(P747="","",M747*P747),"")</f>
        <v/>
      </c>
      <c r="S747" s="411"/>
      <c r="T747" s="408" t="str" cm="1">
        <f t="array" ca="1" aca="1" ref="T747">_xlfn.IFNA(VLOOKUP(INDIRECT("T"&amp;ROW()-2)&amp;"_"&amp;$D$12,BEGIN_Renew_Dental:END_RENEW_DENTAL,RENEW_COL_ES,FALSE),"")</f>
        <v/>
      </c>
      <c r="U747" s="412" t="str">
        <f t="shared" si="100" ref="U747:U749">IF(E747="","",E747)</f>
        <v/>
      </c>
      <c r="V747" s="413"/>
      <c r="W747" s="414"/>
      <c r="X747" s="415" t="str">
        <f>IFERROR(IF($V745="Keep Contribution Same",H747,IF($V745="Enter Percentages",IF(V747="","",V747*T747),IF($V745="Keep Percentage Same",IF(G747="","",G747*T747),IF($V745="Enter Dollar Amount",IF(W747="","",W747),"")))),"")</f>
        <v/>
      </c>
      <c r="Y747" s="408" t="str">
        <f ca="1" t="shared" si="101" ref="Y747:Y749">IFERROR(T747-X747,"")</f>
        <v/>
      </c>
      <c r="Z747" s="410" t="str">
        <f t="shared" si="102" ref="Z747:Z749">IFERROR(IF(X747="","",U747*X747),"")</f>
        <v/>
      </c>
    </row>
    <row r="748" spans="1:26" ht="18.75" customHeight="1">
      <c r="A748" s="140"/>
      <c r="B748" s="140"/>
      <c r="D748" s="172" t="s">
        <v>240</v>
      </c>
      <c r="E748" s="407"/>
      <c r="F748" s="449"/>
      <c r="G748" s="470"/>
      <c r="H748" s="449"/>
      <c r="I748" s="450"/>
      <c r="J748" s="410"/>
      <c r="K748" s="411"/>
      <c r="L748" s="408" t="str" cm="1">
        <f t="array" ca="1" aca="1" ref="L748">_xlfn.IFNA(VLOOKUP(INDIRECT("L"&amp;ROW()-3)&amp;"_"&amp;$D$12,BEGIN_Renew_Dental:END_RENEW_DENTAL,RENEW_COL_EC,FALSE),"")</f>
        <v/>
      </c>
      <c r="M748" s="412" t="str">
        <f>IF(E748="","",E748)</f>
        <v/>
      </c>
      <c r="N748" s="413"/>
      <c r="O748" s="414"/>
      <c r="P748" s="415" t="str">
        <f>IFERROR(IF($N745="Keep Contribution Same",H748,IF($N745="Enter Percentages",IF(N748="","",N748*L748),IF($N745="Keep Percentage Same",IF(G748="","",G748*L748),IF($N745="Enter Dollar Amount",IF(O748="","",O748),"")))),"")</f>
        <v/>
      </c>
      <c r="Q748" s="408" t="str">
        <f>IFERROR(R748-P748,"")</f>
        <v/>
      </c>
      <c r="R748" s="410" t="str">
        <f>IFERROR(IF(P748="","",M748*P748),"")</f>
        <v/>
      </c>
      <c r="S748" s="411"/>
      <c r="T748" s="408" t="str" cm="1">
        <f t="array" ca="1" aca="1" ref="T748">_xlfn.IFNA(VLOOKUP(INDIRECT("T"&amp;ROW()-3)&amp;"_"&amp;$D$12,BEGIN_Renew_Dental:END_RENEW_DENTAL,RENEW_COL_EC,FALSE),"")</f>
        <v/>
      </c>
      <c r="U748" s="412" t="str">
        <f t="shared" si="100"/>
        <v/>
      </c>
      <c r="V748" s="413"/>
      <c r="W748" s="414"/>
      <c r="X748" s="415" t="str">
        <f>IFERROR(IF($V745="Keep Contribution Same",H748,IF($V745="Enter Percentages",IF(V748="","",V748*T748),IF($V745="Keep Percentage Same",IF(G748="","",G748*T748),IF($V745="Enter Dollar Amount",IF(W748="","",W748),"")))),"")</f>
        <v/>
      </c>
      <c r="Y748" s="408" t="str">
        <f t="shared" ca="1" si="101"/>
        <v/>
      </c>
      <c r="Z748" s="410" t="str">
        <f t="shared" si="102"/>
        <v/>
      </c>
    </row>
    <row r="749" spans="1:26" ht="18.75" customHeight="1" thickBot="1">
      <c r="A749" s="140"/>
      <c r="B749" s="140"/>
      <c r="D749" s="174" t="s">
        <v>241</v>
      </c>
      <c r="E749" s="416"/>
      <c r="F749" s="451"/>
      <c r="G749" s="471"/>
      <c r="H749" s="451"/>
      <c r="I749" s="452"/>
      <c r="J749" s="419"/>
      <c r="K749" s="411"/>
      <c r="L749" s="417" t="str" cm="1">
        <f t="array" ca="1" aca="1" ref="L749">_xlfn.IFNA(VLOOKUP(INDIRECT("L"&amp;ROW()-4)&amp;"_"&amp;$D$12,BEGIN_Renew_Dental:END_RENEW_DENTAL,RENEW_COL_FAM,FALSE),"")</f>
        <v/>
      </c>
      <c r="M749" s="423" t="str">
        <f>IF(E749="","",E749)</f>
        <v/>
      </c>
      <c r="N749" s="420"/>
      <c r="O749" s="421"/>
      <c r="P749" s="422" t="str">
        <f>IFERROR(IF($N745="Keep Contribution Same",H749,IF($N745="Enter Percentages",IF(N749="","",N749*L749),IF($N745="Keep Percentage Same",IF(G749="","",G749*L749),IF($N745="Enter Dollar Amount",IF(O749="","",O749),"")))),"")</f>
        <v/>
      </c>
      <c r="Q749" s="417" t="str">
        <f>IFERROR(R749-P749,"")</f>
        <v/>
      </c>
      <c r="R749" s="419" t="str">
        <f>IFERROR(IF(P749="","",M749*P749),"")</f>
        <v/>
      </c>
      <c r="S749" s="411"/>
      <c r="T749" s="417" t="str" cm="1">
        <f t="array" ca="1" aca="1" ref="T749">_xlfn.IFNA(VLOOKUP(INDIRECT("T"&amp;ROW()-4)&amp;"_"&amp;$D$12,BEGIN_Renew_Dental:END_RENEW_DENTAL,RENEW_COL_FAM,FALSE),"")</f>
        <v/>
      </c>
      <c r="U749" s="423" t="str">
        <f t="shared" si="100"/>
        <v/>
      </c>
      <c r="V749" s="420"/>
      <c r="W749" s="421"/>
      <c r="X749" s="422" t="str">
        <f>IFERROR(IF($V745="Keep Contribution Same",H749,IF($V745="Enter Percentages",IF(V749="","",V749*T749),IF($V745="Keep Percentage Same",IF(G749="","",G749*T749),IF($V745="Enter Dollar Amount",IF(W749="","",W749),"")))),"")</f>
        <v/>
      </c>
      <c r="Y749" s="417" t="str">
        <f t="shared" ca="1" si="101"/>
        <v/>
      </c>
      <c r="Z749" s="419" t="str">
        <f t="shared" si="102"/>
        <v/>
      </c>
    </row>
    <row r="750" spans="1:26" ht="18.75" customHeight="1" thickTop="1">
      <c r="A750" s="140"/>
      <c r="B750" s="140"/>
      <c r="D750" s="175" t="s">
        <v>329</v>
      </c>
      <c r="E750" s="424"/>
      <c r="F750" s="427"/>
      <c r="G750" s="426"/>
      <c r="H750" s="427"/>
      <c r="I750" s="428"/>
      <c r="J750" s="429" t="str">
        <f>IFERROR(IF(J746="","",SUM(J746:J749)),0)</f>
        <v/>
      </c>
      <c r="K750" s="1"/>
      <c r="L750" s="424"/>
      <c r="M750" s="427"/>
      <c r="N750" s="426"/>
      <c r="O750" s="427"/>
      <c r="P750" s="431"/>
      <c r="Q750" s="432"/>
      <c r="R750" s="429" t="str">
        <f>IFERROR(IF(R746="","",SUM(R746:R749)),0)</f>
        <v/>
      </c>
      <c r="T750" s="424"/>
      <c r="U750" s="427"/>
      <c r="V750" s="426"/>
      <c r="W750" s="427"/>
      <c r="X750" s="431"/>
      <c r="Y750" s="432"/>
      <c r="Z750" s="429" t="str">
        <f>IFERROR(IF(Z746="","",SUM(Z746:Z749)),0)</f>
        <v/>
      </c>
    </row>
    <row r="751" spans="1:26" ht="18.75" customHeight="1">
      <c r="A751" s="140"/>
      <c r="B751" s="140"/>
      <c r="D751" s="177" t="s">
        <v>243</v>
      </c>
      <c r="E751" s="433"/>
      <c r="F751" s="436"/>
      <c r="G751" s="435"/>
      <c r="H751" s="436"/>
      <c r="I751" s="432"/>
      <c r="J751" s="437" t="str">
        <f>IF(J750="","",J750*12)</f>
        <v/>
      </c>
      <c r="K751" s="1"/>
      <c r="L751" s="433"/>
      <c r="M751" s="436"/>
      <c r="N751" s="435"/>
      <c r="O751" s="436"/>
      <c r="P751" s="432"/>
      <c r="Q751" s="432"/>
      <c r="R751" s="437" t="str">
        <f>IF(R750="","",R750*12)</f>
        <v/>
      </c>
      <c r="T751" s="433"/>
      <c r="U751" s="436"/>
      <c r="V751" s="435"/>
      <c r="W751" s="436"/>
      <c r="X751" s="432"/>
      <c r="Y751" s="432"/>
      <c r="Z751" s="437" t="str">
        <f>IF(Z750="","",Z750*12)</f>
        <v/>
      </c>
    </row>
    <row r="752" spans="1:26" ht="18" customHeight="1">
      <c r="A752" s="140"/>
      <c r="B752" s="140"/>
      <c r="D752" s="177" t="s">
        <v>244</v>
      </c>
      <c r="E752" s="433"/>
      <c r="F752" s="436"/>
      <c r="G752" s="435"/>
      <c r="H752" s="436"/>
      <c r="I752" s="432"/>
      <c r="J752" s="437" t="str">
        <f>IFERROR(IF(J751="","",R751-J751),0)</f>
        <v/>
      </c>
      <c r="K752" s="1"/>
      <c r="L752" s="433"/>
      <c r="M752" s="436"/>
      <c r="N752" s="435"/>
      <c r="O752" s="436"/>
      <c r="P752" s="432"/>
      <c r="Q752" s="432"/>
      <c r="R752" s="437" t="str">
        <f>IFERROR(IF(J751="","",R751-J751),0)</f>
        <v/>
      </c>
      <c r="T752" s="433"/>
      <c r="U752" s="436"/>
      <c r="V752" s="435"/>
      <c r="W752" s="436"/>
      <c r="X752" s="432"/>
      <c r="Y752" s="432"/>
      <c r="Z752" s="437" t="str">
        <f>IFERROR(IF(R751="","",Z751-R751),0)</f>
        <v/>
      </c>
    </row>
    <row r="753" spans="1:26" ht="18" customHeight="1" thickBot="1">
      <c r="A753" s="140"/>
      <c r="B753" s="140"/>
      <c r="D753" s="180" t="s">
        <v>245</v>
      </c>
      <c r="E753" s="439"/>
      <c r="F753" s="440"/>
      <c r="G753" s="441"/>
      <c r="H753" s="440"/>
      <c r="I753" s="442"/>
      <c r="J753" s="443" t="str">
        <f>IFERROR(IF(J751="","",(R751/J751)-1),0)</f>
        <v/>
      </c>
      <c r="K753" s="1"/>
      <c r="L753" s="439"/>
      <c r="M753" s="440"/>
      <c r="N753" s="441"/>
      <c r="O753" s="440"/>
      <c r="P753" s="445"/>
      <c r="Q753" s="445"/>
      <c r="R753" s="446" t="str">
        <f>IFERROR(IF(J751="","",(R751/J751)-1),0)</f>
        <v/>
      </c>
      <c r="T753" s="439"/>
      <c r="U753" s="440"/>
      <c r="V753" s="441"/>
      <c r="W753" s="440"/>
      <c r="X753" s="445"/>
      <c r="Y753" s="445"/>
      <c r="Z753" s="446" t="str">
        <f>IFERROR(IF(R751="","",(Z751/R751)-1),0)</f>
        <v/>
      </c>
    </row>
    <row r="754" spans="1:26" ht="5.25" customHeight="1" thickBot="1">
      <c r="A754" s="140"/>
      <c r="B754" s="140"/>
      <c r="D754" s="229"/>
      <c r="E754" s="229"/>
      <c r="F754" s="230"/>
      <c r="G754" s="231"/>
      <c r="H754" s="232"/>
      <c r="I754" s="233"/>
      <c r="J754" s="233"/>
      <c r="K754"/>
      <c r="L754" s="233"/>
      <c r="M754" s="233"/>
      <c r="N754" s="233"/>
      <c r="O754" s="233"/>
      <c r="P754" s="233"/>
      <c r="Q754" s="233"/>
      <c r="R754" s="233"/>
      <c r="T754" s="233"/>
      <c r="U754" s="233"/>
      <c r="V754" s="233"/>
      <c r="W754" s="233"/>
      <c r="X754" s="233"/>
      <c r="Y754" s="233"/>
      <c r="Z754" s="233"/>
    </row>
    <row r="755" spans="1:26" ht="50.15" customHeight="1">
      <c r="A755" s="140"/>
      <c r="B755" s="140"/>
      <c r="C755" s="164" t="s">
        <v>298</v>
      </c>
      <c r="D755" s="275" t="s">
        <v>285</v>
      </c>
      <c r="E755" s="165"/>
      <c r="F755" s="272"/>
      <c r="G755" s="166"/>
      <c r="H755" s="167"/>
      <c r="I755" s="168"/>
      <c r="J755" s="169"/>
      <c r="K755"/>
      <c r="L755" s="274" t="s">
        <v>38</v>
      </c>
      <c r="M755" s="170"/>
      <c r="N755" s="274" t="s">
        <v>237</v>
      </c>
      <c r="O755" s="171"/>
      <c r="P755" s="171"/>
      <c r="Q755" s="171"/>
      <c r="R755" s="169"/>
      <c r="T755" s="274" t="s">
        <v>38</v>
      </c>
      <c r="U755" s="170"/>
      <c r="V755" s="274" t="s">
        <v>237</v>
      </c>
      <c r="W755" s="171"/>
      <c r="X755" s="171"/>
      <c r="Y755" s="171"/>
      <c r="Z755" s="169"/>
    </row>
    <row r="756" spans="1:26" ht="18.75" customHeight="1">
      <c r="A756" s="140"/>
      <c r="B756" s="140"/>
      <c r="D756" s="172" t="s">
        <v>238</v>
      </c>
      <c r="E756" s="407"/>
      <c r="F756" s="449"/>
      <c r="G756" s="470"/>
      <c r="H756" s="449"/>
      <c r="I756" s="450"/>
      <c r="J756" s="410"/>
      <c r="K756" s="411"/>
      <c r="L756" s="408" t="str" cm="1">
        <f t="array" ca="1" aca="1" ref="L756">_xlfn.IFNA(VLOOKUP(INDIRECT("L"&amp;ROW()-1)&amp;"_"&amp;$D$12,BEGIN_Renew_Dental:END_RENEW_DENTAL,RENEW_COL_EO,FALSE),"")</f>
        <v/>
      </c>
      <c r="M756" s="412" t="str">
        <f>IF(E756="","",E756)</f>
        <v/>
      </c>
      <c r="N756" s="413"/>
      <c r="O756" s="414"/>
      <c r="P756" s="415" t="str">
        <f>IFERROR(IF($N755="Keep Contribution Same",H756,IF($N755="Enter Percentages",IF(N756="","",N756*L756),IF($N755="Keep Percentage Same",IF(G756="","",G756*L756),IF($N755="Enter Dollar Amount",IF(O756="","",O756),"")))),"")</f>
        <v/>
      </c>
      <c r="Q756" s="408" t="str">
        <f>IFERROR(R756-P756,"")</f>
        <v/>
      </c>
      <c r="R756" s="410" t="str">
        <f>IFERROR(IF(P756="","",M756*P756),"")</f>
        <v/>
      </c>
      <c r="S756" s="411"/>
      <c r="T756" s="408" t="str" cm="1">
        <f t="array" ca="1" aca="1" ref="T756">_xlfn.IFNA(VLOOKUP(INDIRECT("T"&amp;ROW()-1)&amp;"_"&amp;$D$12,BEGIN_Renew_Dental:END_RENEW_DENTAL,RENEW_COL_EO,FALSE),"")</f>
        <v/>
      </c>
      <c r="U756" s="412" t="str">
        <f>IF(E756="","",E756)</f>
        <v/>
      </c>
      <c r="V756" s="413"/>
      <c r="W756" s="414"/>
      <c r="X756" s="415" t="str">
        <f>IFERROR(IF($V755="Keep Contribution Same",H756,IF($V755="Enter Percentages",IF(V756="","",V756*T756),IF($V755="Keep Percentage Same",IF(G756="","",G756*T756),IF($V755="Enter Dollar Amount",IF(W756="","",W756),"")))),"")</f>
        <v/>
      </c>
      <c r="Y756" s="408" t="str">
        <f ca="1">IFERROR(T756-X756,"")</f>
        <v/>
      </c>
      <c r="Z756" s="410" t="str">
        <f>IFERROR(IF(X756="","",U756*X756),"")</f>
        <v/>
      </c>
    </row>
    <row r="757" spans="1:26" ht="18.75" customHeight="1">
      <c r="A757" s="140"/>
      <c r="B757" s="140"/>
      <c r="D757" s="172" t="s">
        <v>239</v>
      </c>
      <c r="E757" s="407"/>
      <c r="F757" s="449"/>
      <c r="G757" s="470"/>
      <c r="H757" s="449"/>
      <c r="I757" s="450"/>
      <c r="J757" s="410"/>
      <c r="K757" s="411"/>
      <c r="L757" s="408" t="str" cm="1">
        <f t="array" ca="1" aca="1" ref="L757">_xlfn.IFNA(VLOOKUP(INDIRECT("L"&amp;ROW()-2)&amp;"_"&amp;$D$12,BEGIN_Renew_Dental:END_RENEW_DENTAL,RENEW_COL_ES,FALSE),"")</f>
        <v/>
      </c>
      <c r="M757" s="412" t="str">
        <f>IF(E757="","",E757)</f>
        <v/>
      </c>
      <c r="N757" s="413"/>
      <c r="O757" s="414"/>
      <c r="P757" s="415" t="str">
        <f>IFERROR(IF($N755="Keep Contribution Same",H757,IF($N755="Enter Percentages",IF(N757="","",N757*L757),IF($N755="Keep Percentage Same",IF(G757="","",G757*L757),IF($N755="Enter Dollar Amount",IF(O757="","",O757),"")))),"")</f>
        <v/>
      </c>
      <c r="Q757" s="408" t="str">
        <f t="shared" si="103" ref="Q757">IFERROR(R757-P757,"")</f>
        <v/>
      </c>
      <c r="R757" s="410" t="str">
        <f>IFERROR(IF(P757="","",M757*P757),"")</f>
        <v/>
      </c>
      <c r="S757" s="411"/>
      <c r="T757" s="408" t="str" cm="1">
        <f t="array" ca="1" aca="1" ref="T757">_xlfn.IFNA(VLOOKUP(INDIRECT("T"&amp;ROW()-2)&amp;"_"&amp;$D$12,BEGIN_Renew_Dental:END_RENEW_DENTAL,RENEW_COL_ES,FALSE),"")</f>
        <v/>
      </c>
      <c r="U757" s="412" t="str">
        <f t="shared" si="104" ref="U757:U759">IF(E757="","",E757)</f>
        <v/>
      </c>
      <c r="V757" s="413"/>
      <c r="W757" s="414"/>
      <c r="X757" s="415" t="str">
        <f>IFERROR(IF($V755="Keep Contribution Same",H757,IF($V755="Enter Percentages",IF(V757="","",V757*T757),IF($V755="Keep Percentage Same",IF(G757="","",G757*T757),IF($V755="Enter Dollar Amount",IF(W757="","",W757),"")))),"")</f>
        <v/>
      </c>
      <c r="Y757" s="408" t="str">
        <f ca="1" t="shared" si="105" ref="Y757:Y759">IFERROR(T757-X757,"")</f>
        <v/>
      </c>
      <c r="Z757" s="410" t="str">
        <f t="shared" si="106" ref="Z757:Z759">IFERROR(IF(X757="","",U757*X757),"")</f>
        <v/>
      </c>
    </row>
    <row r="758" spans="1:26" ht="18.75" customHeight="1">
      <c r="A758" s="140"/>
      <c r="B758" s="140"/>
      <c r="D758" s="172" t="s">
        <v>240</v>
      </c>
      <c r="E758" s="407"/>
      <c r="F758" s="449"/>
      <c r="G758" s="470"/>
      <c r="H758" s="449"/>
      <c r="I758" s="450"/>
      <c r="J758" s="410"/>
      <c r="K758" s="411"/>
      <c r="L758" s="408" t="str" cm="1">
        <f t="array" ca="1" aca="1" ref="L758">_xlfn.IFNA(VLOOKUP(INDIRECT("L"&amp;ROW()-3)&amp;"_"&amp;$D$12,BEGIN_Renew_Dental:END_RENEW_DENTAL,RENEW_COL_EC,FALSE),"")</f>
        <v/>
      </c>
      <c r="M758" s="412" t="str">
        <f>IF(E758="","",E758)</f>
        <v/>
      </c>
      <c r="N758" s="413"/>
      <c r="O758" s="414"/>
      <c r="P758" s="415" t="str">
        <f>IFERROR(IF($N755="Keep Contribution Same",H758,IF($N755="Enter Percentages",IF(N758="","",N758*L758),IF($N755="Keep Percentage Same",IF(G758="","",G758*L758),IF($N755="Enter Dollar Amount",IF(O758="","",O758),"")))),"")</f>
        <v/>
      </c>
      <c r="Q758" s="408" t="str">
        <f>IFERROR(R758-P758,"")</f>
        <v/>
      </c>
      <c r="R758" s="410" t="str">
        <f>IFERROR(IF(P758="","",M758*P758),"")</f>
        <v/>
      </c>
      <c r="S758" s="411"/>
      <c r="T758" s="408" t="str" cm="1">
        <f t="array" ca="1" aca="1" ref="T758">_xlfn.IFNA(VLOOKUP(INDIRECT("T"&amp;ROW()-3)&amp;"_"&amp;$D$12,BEGIN_Renew_Dental:END_RENEW_DENTAL,RENEW_COL_EC,FALSE),"")</f>
        <v/>
      </c>
      <c r="U758" s="412" t="str">
        <f t="shared" si="104"/>
        <v/>
      </c>
      <c r="V758" s="413"/>
      <c r="W758" s="414"/>
      <c r="X758" s="415" t="str">
        <f>IFERROR(IF($V755="Keep Contribution Same",H758,IF($V755="Enter Percentages",IF(V758="","",V758*T758),IF($V755="Keep Percentage Same",IF(G758="","",G758*T758),IF($V755="Enter Dollar Amount",IF(W758="","",W758),"")))),"")</f>
        <v/>
      </c>
      <c r="Y758" s="408" t="str">
        <f t="shared" ca="1" si="105"/>
        <v/>
      </c>
      <c r="Z758" s="410" t="str">
        <f t="shared" si="106"/>
        <v/>
      </c>
    </row>
    <row r="759" spans="1:26" ht="18.75" customHeight="1" thickBot="1">
      <c r="A759" s="140"/>
      <c r="B759" s="140"/>
      <c r="D759" s="174" t="s">
        <v>241</v>
      </c>
      <c r="E759" s="416"/>
      <c r="F759" s="451"/>
      <c r="G759" s="471"/>
      <c r="H759" s="451"/>
      <c r="I759" s="452"/>
      <c r="J759" s="419"/>
      <c r="K759" s="411"/>
      <c r="L759" s="417" t="str" cm="1">
        <f t="array" ca="1" aca="1" ref="L759">_xlfn.IFNA(VLOOKUP(INDIRECT("L"&amp;ROW()-4)&amp;"_"&amp;$D$12,BEGIN_Renew_Dental:END_RENEW_DENTAL,RENEW_COL_FAM,FALSE),"")</f>
        <v/>
      </c>
      <c r="M759" s="423" t="str">
        <f>IF(E759="","",E759)</f>
        <v/>
      </c>
      <c r="N759" s="420"/>
      <c r="O759" s="421"/>
      <c r="P759" s="422" t="str">
        <f>IFERROR(IF($N755="Keep Contribution Same",H759,IF($N755="Enter Percentages",IF(N759="","",N759*L759),IF($N755="Keep Percentage Same",IF(G759="","",G759*L759),IF($N755="Enter Dollar Amount",IF(O759="","",O759),"")))),"")</f>
        <v/>
      </c>
      <c r="Q759" s="417" t="str">
        <f>IFERROR(R759-P759,"")</f>
        <v/>
      </c>
      <c r="R759" s="419" t="str">
        <f>IFERROR(IF(P759="","",M759*P759),"")</f>
        <v/>
      </c>
      <c r="S759" s="411"/>
      <c r="T759" s="417" t="str" cm="1">
        <f t="array" ca="1" aca="1" ref="T759">_xlfn.IFNA(VLOOKUP(INDIRECT("T"&amp;ROW()-4)&amp;"_"&amp;$D$12,BEGIN_Renew_Dental:END_RENEW_DENTAL,RENEW_COL_FAM,FALSE),"")</f>
        <v/>
      </c>
      <c r="U759" s="423" t="str">
        <f t="shared" si="104"/>
        <v/>
      </c>
      <c r="V759" s="420"/>
      <c r="W759" s="421"/>
      <c r="X759" s="422" t="str">
        <f>IFERROR(IF($V755="Keep Contribution Same",H759,IF($V755="Enter Percentages",IF(V759="","",V759*T759),IF($V755="Keep Percentage Same",IF(G759="","",G759*T759),IF($V755="Enter Dollar Amount",IF(W759="","",W759),"")))),"")</f>
        <v/>
      </c>
      <c r="Y759" s="417" t="str">
        <f t="shared" ca="1" si="105"/>
        <v/>
      </c>
      <c r="Z759" s="419" t="str">
        <f t="shared" si="106"/>
        <v/>
      </c>
    </row>
    <row r="760" spans="1:26" ht="18.75" customHeight="1" thickTop="1">
      <c r="A760" s="140"/>
      <c r="B760" s="140"/>
      <c r="D760" s="175" t="s">
        <v>329</v>
      </c>
      <c r="E760" s="424"/>
      <c r="F760" s="427"/>
      <c r="G760" s="426"/>
      <c r="H760" s="427"/>
      <c r="I760" s="428"/>
      <c r="J760" s="429" t="str">
        <f>IFERROR(IF(J756="","",SUM(J756:J759)),0)</f>
        <v/>
      </c>
      <c r="K760" s="1"/>
      <c r="L760" s="424"/>
      <c r="M760" s="427"/>
      <c r="N760" s="426"/>
      <c r="O760" s="427"/>
      <c r="P760" s="431"/>
      <c r="Q760" s="432"/>
      <c r="R760" s="429" t="str">
        <f>IFERROR(IF(R756="","",SUM(R756:R759)),0)</f>
        <v/>
      </c>
      <c r="T760" s="424"/>
      <c r="U760" s="427"/>
      <c r="V760" s="426"/>
      <c r="W760" s="427"/>
      <c r="X760" s="431"/>
      <c r="Y760" s="432"/>
      <c r="Z760" s="429" t="str">
        <f>IFERROR(IF(Z756="","",SUM(Z756:Z759)),0)</f>
        <v/>
      </c>
    </row>
    <row r="761" spans="1:26" ht="18.75" customHeight="1">
      <c r="A761" s="140"/>
      <c r="B761" s="140"/>
      <c r="D761" s="177" t="s">
        <v>243</v>
      </c>
      <c r="E761" s="433"/>
      <c r="F761" s="436"/>
      <c r="G761" s="435"/>
      <c r="H761" s="436"/>
      <c r="I761" s="432"/>
      <c r="J761" s="437" t="str">
        <f>IF(J760="","",J760*12)</f>
        <v/>
      </c>
      <c r="K761" s="1"/>
      <c r="L761" s="433"/>
      <c r="M761" s="436"/>
      <c r="N761" s="435"/>
      <c r="O761" s="436"/>
      <c r="P761" s="432"/>
      <c r="Q761" s="432"/>
      <c r="R761" s="437" t="str">
        <f>IF(R760="","",R760*12)</f>
        <v/>
      </c>
      <c r="T761" s="433"/>
      <c r="U761" s="436"/>
      <c r="V761" s="435"/>
      <c r="W761" s="436"/>
      <c r="X761" s="432"/>
      <c r="Y761" s="432"/>
      <c r="Z761" s="437" t="str">
        <f>IF(Z760="","",Z760*12)</f>
        <v/>
      </c>
    </row>
    <row r="762" spans="1:26" ht="18" customHeight="1">
      <c r="A762" s="140"/>
      <c r="B762" s="140"/>
      <c r="D762" s="177" t="s">
        <v>244</v>
      </c>
      <c r="E762" s="433"/>
      <c r="F762" s="436"/>
      <c r="G762" s="435"/>
      <c r="H762" s="436"/>
      <c r="I762" s="432"/>
      <c r="J762" s="437" t="str">
        <f>IFERROR(IF(J761="","",R761-J761),0)</f>
        <v/>
      </c>
      <c r="K762" s="1"/>
      <c r="L762" s="433"/>
      <c r="M762" s="436"/>
      <c r="N762" s="435"/>
      <c r="O762" s="436"/>
      <c r="P762" s="432"/>
      <c r="Q762" s="432"/>
      <c r="R762" s="437" t="str">
        <f>IFERROR(IF(J761="","",R761-J761),0)</f>
        <v/>
      </c>
      <c r="T762" s="433"/>
      <c r="U762" s="436"/>
      <c r="V762" s="435"/>
      <c r="W762" s="436"/>
      <c r="X762" s="432"/>
      <c r="Y762" s="432"/>
      <c r="Z762" s="437" t="str">
        <f>IFERROR(IF(R761="","",Z761-R761),0)</f>
        <v/>
      </c>
    </row>
    <row r="763" spans="1:26" ht="18" customHeight="1" thickBot="1">
      <c r="A763" s="140"/>
      <c r="B763" s="140"/>
      <c r="D763" s="180" t="s">
        <v>245</v>
      </c>
      <c r="E763" s="439"/>
      <c r="F763" s="440"/>
      <c r="G763" s="441"/>
      <c r="H763" s="440"/>
      <c r="I763" s="442"/>
      <c r="J763" s="443" t="str">
        <f>IFERROR(IF(J761="","",(R761/J761)-1),0)</f>
        <v/>
      </c>
      <c r="K763" s="1"/>
      <c r="L763" s="439"/>
      <c r="M763" s="440"/>
      <c r="N763" s="441"/>
      <c r="O763" s="440"/>
      <c r="P763" s="445"/>
      <c r="Q763" s="445"/>
      <c r="R763" s="446" t="str">
        <f>IFERROR(IF(J761="","",(R761/J761)-1),0)</f>
        <v/>
      </c>
      <c r="T763" s="439"/>
      <c r="U763" s="440"/>
      <c r="V763" s="441"/>
      <c r="W763" s="440"/>
      <c r="X763" s="445"/>
      <c r="Y763" s="445"/>
      <c r="Z763" s="446" t="str">
        <f>IFERROR(IF(R761="","",(Z761/R761)-1),0)</f>
        <v/>
      </c>
    </row>
    <row r="764" spans="1:140" s="162" customFormat="1" ht="5.25" customHeight="1" thickBot="1">
      <c r="A764" s="140"/>
      <c r="B764" s="140"/>
      <c r="C764" s="141"/>
      <c r="D764" s="229"/>
      <c r="E764" s="229"/>
      <c r="F764" s="230"/>
      <c r="G764" s="231"/>
      <c r="H764" s="232"/>
      <c r="I764" s="233"/>
      <c r="J764" s="233"/>
      <c r="K764"/>
      <c r="L764" s="233"/>
      <c r="M764" s="233"/>
      <c r="N764" s="233"/>
      <c r="O764" s="233"/>
      <c r="P764" s="233"/>
      <c r="Q764" s="233"/>
      <c r="R764" s="233"/>
      <c r="S764" s="1"/>
      <c r="T764" s="233"/>
      <c r="U764" s="233"/>
      <c r="V764" s="233"/>
      <c r="W764" s="233"/>
      <c r="X764" s="233"/>
      <c r="Y764" s="233"/>
      <c r="Z764" s="233"/>
      <c r="AA764" s="1"/>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row>
    <row r="765" spans="1:34" ht="38.25" customHeight="1" thickTop="1" thickBot="1">
      <c r="A765" s="153"/>
      <c r="B765" s="153"/>
      <c r="C765" s="270"/>
      <c r="D765" s="484" t="s">
        <v>299</v>
      </c>
      <c r="E765" s="485"/>
      <c r="F765" s="485"/>
      <c r="G765" s="485"/>
      <c r="H765" s="485"/>
      <c r="I765" s="485"/>
      <c r="J765" s="485"/>
      <c r="K765" s="485"/>
      <c r="L765" s="485"/>
      <c r="M765" s="485"/>
      <c r="N765" s="485"/>
      <c r="O765" s="485"/>
      <c r="P765" s="485"/>
      <c r="Q765" s="485"/>
      <c r="R765" s="486"/>
      <c r="S765" s="162"/>
      <c r="T765" s="235"/>
      <c r="U765" s="236"/>
      <c r="V765" s="236"/>
      <c r="W765" s="236"/>
      <c r="X765" s="236"/>
      <c r="Y765" s="236"/>
      <c r="Z765" s="237"/>
      <c r="AA765" s="271"/>
      <c r="AB765" s="271"/>
      <c r="AC765" s="271"/>
      <c r="AD765" s="271"/>
      <c r="AE765" s="271"/>
      <c r="AF765" s="271"/>
      <c r="AG765" s="271"/>
      <c r="AH765" s="271"/>
    </row>
    <row r="766" spans="1:26" ht="50.15" customHeight="1">
      <c r="A766" s="140">
        <v>1</v>
      </c>
      <c r="B766" s="140">
        <f>IF(A766&gt;Class3_CurrentVisionCount,"DELETE",Class3_CurrentVisionStart+A766)</f>
        <v>23</v>
      </c>
      <c r="C766" s="164" t="s">
        <v>300</v>
      </c>
      <c r="D766" s="273" t="e">
        <f ca="1">IF(B766="Delete","",VLOOKUP(F766,BEGIN_CURRENT_VISION:END_CURRENT_VISION,3,FALSE))</f>
        <v>#N/A</v>
      </c>
      <c r="E766" s="165"/>
      <c r="F766" s="272" cm="1">
        <f t="array" ca="1" aca="1" ref="F766">IF(B766="Delete","",INDIRECT("CurrentPlans!A"&amp;B766,TRUE))</f>
        <v>0</v>
      </c>
      <c r="G766" s="166"/>
      <c r="H766" s="167"/>
      <c r="I766" s="168"/>
      <c r="J766" s="169"/>
      <c r="K766"/>
      <c r="L766" s="274" t="str">
        <f ca="1">_xlfn.IFNA(VLOOKUP(F766,BEGIN_RENEWEDFROM_DENTAL:ROW_RenewDental_PlanID,3,FALSE),"SELECT PLAN")</f>
        <v>SELECT PLAN</v>
      </c>
      <c r="M766" s="170"/>
      <c r="N766" s="274" t="s">
        <v>237</v>
      </c>
      <c r="O766" s="171"/>
      <c r="P766" s="171"/>
      <c r="Q766" s="171"/>
      <c r="R766" s="169"/>
      <c r="T766" s="274" t="s">
        <v>38</v>
      </c>
      <c r="U766" s="170"/>
      <c r="V766" s="274" t="s">
        <v>237</v>
      </c>
      <c r="W766" s="171"/>
      <c r="X766" s="171"/>
      <c r="Y766" s="171"/>
      <c r="Z766" s="169"/>
    </row>
    <row r="767" spans="1:26" ht="18.75" customHeight="1">
      <c r="A767" s="140"/>
      <c r="B767" s="140"/>
      <c r="D767" s="172" t="s">
        <v>238</v>
      </c>
      <c r="E767" s="407" t="str">
        <f ca="1">_xlfn.IFNA(VLOOKUP(F766,BEGIN_CURRENT_VISION:END_CURRENT_VISION,CURRENT_COL_EO_count,FALSE),"")</f>
        <v/>
      </c>
      <c r="F767" s="408" t="str">
        <f ca="1">_xlfn.IFNA(VLOOKUP(F766,BEGIN_CURRENT_VISION:END_CURRENT_VISION,CURRENT_COL_EO,FALSE),"")</f>
        <v/>
      </c>
      <c r="G767" s="468" t="str">
        <f ca="1" t="shared" si="107" ref="G767:G770">IF(F767="","",H767/F767)</f>
        <v/>
      </c>
      <c r="H767" s="408" t="str">
        <f ca="1">_xlfn.IFNA(VLOOKUP(F766,BEGIN_CURRENT_VISION:END_CURRENT_VISION,CURRENT_COL_EOContrib,FALSE),"")</f>
        <v/>
      </c>
      <c r="I767" s="409" t="str">
        <f ca="1">IFERROR(F767-H767,"")</f>
        <v/>
      </c>
      <c r="J767" s="410" t="str">
        <f ca="1">IF(F767="","",H767*E767)</f>
        <v/>
      </c>
      <c r="K767" s="411"/>
      <c r="L767" s="408" t="str" cm="1">
        <f t="array" ca="1" aca="1" ref="L767">_xlfn.IFNA(VLOOKUP(INDIRECT("L"&amp;ROW()-1)&amp;"_"&amp;$D$12,BEGIN_Renew_Vision:END_RENEW_VISION,RENEW_COL_EO,FALSE),"")</f>
        <v/>
      </c>
      <c r="M767" s="412" t="str">
        <f ca="1">IF(E767="","",E767)</f>
        <v/>
      </c>
      <c r="N767" s="413"/>
      <c r="O767" s="414"/>
      <c r="P767" s="415" t="str">
        <f>IFERROR(IF($N766="Keep Contribution Same",H767,IF($N766="Enter Percentages",IF(N767="","",N767*L767),IF($N766="Keep Percentage Same",IF(G767="","",G767*L767),IF($N766="Enter Dollar Amount",IF(O767="","",O767),"")))),"")</f>
        <v/>
      </c>
      <c r="Q767" s="408" t="str">
        <f ca="1">IFERROR(L767-P767,"")</f>
        <v/>
      </c>
      <c r="R767" s="410" t="str">
        <f>IFERROR(IF(P767="","",M767*P767),"")</f>
        <v/>
      </c>
      <c r="S767" s="411"/>
      <c r="T767" s="408" t="str" cm="1">
        <f t="array" ca="1" aca="1" ref="T767">_xlfn.IFNA(VLOOKUP(INDIRECT("T"&amp;ROW()-1)&amp;"_"&amp;$D$12,BEGIN_Renew_Vision:END_RENEW_VISION,RENEW_COL_EO,FALSE),"")</f>
        <v/>
      </c>
      <c r="U767" s="412" t="str">
        <f ca="1">IF(E767="","",E767)</f>
        <v/>
      </c>
      <c r="V767" s="413"/>
      <c r="W767" s="414"/>
      <c r="X767" s="415" t="str">
        <f>IFERROR(IF($V766="Keep Contribution Same",H767,IF($V766="Enter Percentages",IF(V767="","",V767*T767),IF($V766="Keep Percentage Same",IF(G767="","",G767*T767),IF($V766="Enter Dollar Amount",IF(W767="","",W767),"")))),"")</f>
        <v/>
      </c>
      <c r="Y767" s="408" t="str">
        <f ca="1">IFERROR(T767-X767,"")</f>
        <v/>
      </c>
      <c r="Z767" s="410" t="str">
        <f>IFERROR(IF(X767="","",U767*X767),"")</f>
        <v/>
      </c>
    </row>
    <row r="768" spans="1:26" ht="18.75" customHeight="1">
      <c r="A768" s="140"/>
      <c r="B768" s="140"/>
      <c r="D768" s="172" t="s">
        <v>239</v>
      </c>
      <c r="E768" s="407" t="str">
        <f ca="1">_xlfn.IFNA(VLOOKUP(F766,BEGIN_CURRENT_VISION:END_CURRENT_VISION,CURRENT_COL_ES_count,FALSE),"")</f>
        <v/>
      </c>
      <c r="F768" s="408" t="str">
        <f ca="1">_xlfn.IFNA(VLOOKUP(F766,BEGIN_CURRENT_VISION:END_CURRENT_VISION,CURRENT_COL_ES,FALSE),"")</f>
        <v/>
      </c>
      <c r="G768" s="468" t="str">
        <f t="shared" ca="1" si="107"/>
        <v/>
      </c>
      <c r="H768" s="408" t="str">
        <f ca="1">_xlfn.IFNA(VLOOKUP(F766,BEGIN_CURRENT_VISION:END_CURRENT_VISION,CURRENT_COL_ESContrib,FALSE),"")</f>
        <v/>
      </c>
      <c r="I768" s="409" t="str">
        <f ca="1" t="shared" si="108" ref="I768:I770">IFERROR(F768-H768,"")</f>
        <v/>
      </c>
      <c r="J768" s="410" t="str">
        <f ca="1" t="shared" si="109" ref="J768:J770">IF(F768="","",H768*E768)</f>
        <v/>
      </c>
      <c r="K768" s="411"/>
      <c r="L768" s="408" t="str" cm="1">
        <f t="array" ca="1" aca="1" ref="L768">_xlfn.IFNA(VLOOKUP(INDIRECT("L"&amp;ROW()-2)&amp;"_"&amp;$D$12,BEGIN_Renew_Vision:END_RENEW_VISION,RENEW_COL_ES,FALSE),"")</f>
        <v/>
      </c>
      <c r="M768" s="412" t="str">
        <f ca="1">IF(E768="","",E768)</f>
        <v/>
      </c>
      <c r="N768" s="413"/>
      <c r="O768" s="414"/>
      <c r="P768" s="415" t="str">
        <f>IFERROR(IF($N766="Keep Contribution Same",H768,IF($N766="Enter Percentages",IF(N768="","",N768*L768),IF($N766="Keep Percentage Same",IF(G768="","",G768*L768),IF($N766="Enter Dollar Amount",IF(O768="","",O768),"")))),"")</f>
        <v/>
      </c>
      <c r="Q768" s="408" t="str">
        <f ca="1" t="shared" si="110" ref="Q768:Q770">IFERROR(L768-P768,"")</f>
        <v/>
      </c>
      <c r="R768" s="410" t="str">
        <f>IFERROR(IF(P768="","",M768*P768),"")</f>
        <v/>
      </c>
      <c r="S768" s="411"/>
      <c r="T768" s="408" t="str" cm="1">
        <f t="array" ca="1" aca="1" ref="T768">_xlfn.IFNA(VLOOKUP(INDIRECT("T"&amp;ROW()-2)&amp;"_"&amp;$D$12,BEGIN_Renew_Vision:END_RENEW_VISION,RENEW_COL_ES,FALSE),"")</f>
        <v/>
      </c>
      <c r="U768" s="412" t="str">
        <f ca="1" t="shared" si="111" ref="U768:U770">IF(E768="","",E768)</f>
        <v/>
      </c>
      <c r="V768" s="413"/>
      <c r="W768" s="414"/>
      <c r="X768" s="415" t="str">
        <f>IFERROR(IF($V766="Keep Contribution Same",H768,IF($V766="Enter Percentages",IF(V768="","",V768*T768),IF($V766="Keep Percentage Same",IF(G768="","",G768*T768),IF($V766="Enter Dollar Amount",IF(W768="","",W768),"")))),"")</f>
        <v/>
      </c>
      <c r="Y768" s="408" t="str">
        <f ca="1" t="shared" si="112" ref="Y768:Y770">IFERROR(T768-X768,"")</f>
        <v/>
      </c>
      <c r="Z768" s="410" t="str">
        <f t="shared" si="113" ref="Z768:Z770">IFERROR(IF(X768="","",U768*X768),"")</f>
        <v/>
      </c>
    </row>
    <row r="769" spans="1:26" ht="18.75" customHeight="1">
      <c r="A769" s="140"/>
      <c r="B769" s="140"/>
      <c r="D769" s="172" t="s">
        <v>240</v>
      </c>
      <c r="E769" s="407" t="str">
        <f ca="1">_xlfn.IFNA(VLOOKUP(F766,BEGIN_CURRENT_VISION:END_CURRENT_VISION,CURRENT_COL_EC_count,FALSE),"")</f>
        <v/>
      </c>
      <c r="F769" s="408" t="str">
        <f ca="1">_xlfn.IFNA(VLOOKUP(F766,BEGIN_CURRENT_VISION:END_CURRENT_VISION,CURRENT_COL_EC,FALSE),"")</f>
        <v/>
      </c>
      <c r="G769" s="468" t="str">
        <f t="shared" ca="1" si="107"/>
        <v/>
      </c>
      <c r="H769" s="408" t="str">
        <f ca="1">_xlfn.IFNA(VLOOKUP(F766,BEGIN_CURRENT_VISION:END_CURRENT_VISION,CURRENT_COL_ECContrib,FALSE),"")</f>
        <v/>
      </c>
      <c r="I769" s="409" t="str">
        <f t="shared" ca="1" si="108"/>
        <v/>
      </c>
      <c r="J769" s="410" t="str">
        <f t="shared" ca="1" si="109"/>
        <v/>
      </c>
      <c r="K769" s="411"/>
      <c r="L769" s="408" t="str" cm="1">
        <f t="array" ca="1" aca="1" ref="L769">_xlfn.IFNA(VLOOKUP(INDIRECT("L"&amp;ROW()-3)&amp;"_"&amp;$D$12,BEGIN_Renew_Vision:END_RENEW_VISION,RENEW_COL_EC,FALSE),"")</f>
        <v/>
      </c>
      <c r="M769" s="412" t="str">
        <f ca="1">IF(E769="","",E769)</f>
        <v/>
      </c>
      <c r="N769" s="413"/>
      <c r="O769" s="414"/>
      <c r="P769" s="415" t="str">
        <f>IFERROR(IF($N766="Keep Contribution Same",H769,IF($N766="Enter Percentages",IF(N769="","",N769*L769),IF($N766="Keep Percentage Same",IF(G769="","",G769*L769),IF($N766="Enter Dollar Amount",IF(O769="","",O769),"")))),"")</f>
        <v/>
      </c>
      <c r="Q769" s="408" t="str">
        <f t="shared" ca="1" si="110"/>
        <v/>
      </c>
      <c r="R769" s="410" t="str">
        <f>IFERROR(IF(P769="","",M769*P769),"")</f>
        <v/>
      </c>
      <c r="S769" s="411"/>
      <c r="T769" s="408" t="str" cm="1">
        <f t="array" ca="1" aca="1" ref="T769">_xlfn.IFNA(VLOOKUP(INDIRECT("T"&amp;ROW()-3)&amp;"_"&amp;$D$12,BEGIN_Renew_Vision:END_RENEW_VISION,RENEW_COL_EC,FALSE),"")</f>
        <v/>
      </c>
      <c r="U769" s="412" t="str">
        <f t="shared" ca="1" si="111"/>
        <v/>
      </c>
      <c r="V769" s="413"/>
      <c r="W769" s="414"/>
      <c r="X769" s="415" t="str">
        <f>IFERROR(IF($V766="Keep Contribution Same",H769,IF($V766="Enter Percentages",IF(V769="","",V769*T769),IF($V766="Keep Percentage Same",IF(G769="","",G769*T769),IF($V766="Enter Dollar Amount",IF(W769="","",W769),"")))),"")</f>
        <v/>
      </c>
      <c r="Y769" s="408" t="str">
        <f t="shared" ca="1" si="112"/>
        <v/>
      </c>
      <c r="Z769" s="410" t="str">
        <f t="shared" si="113"/>
        <v/>
      </c>
    </row>
    <row r="770" spans="1:26" ht="18.75" customHeight="1" thickBot="1">
      <c r="A770" s="140"/>
      <c r="B770" s="140"/>
      <c r="D770" s="174" t="s">
        <v>241</v>
      </c>
      <c r="E770" s="416" t="str">
        <f ca="1">_xlfn.IFNA(VLOOKUP(F766,BEGIN_CURRENT_VISION:END_CURRENT_VISION,CURRENT_COL_FAM_count,FALSE),"")</f>
        <v/>
      </c>
      <c r="F770" s="417" t="str">
        <f ca="1">_xlfn.IFNA(VLOOKUP(F766,BEGIN_CURRENT_VISION:END_CURRENT_VISION,CURRENT_COL_FAM,FALSE),"")</f>
        <v/>
      </c>
      <c r="G770" s="469" t="str">
        <f t="shared" ca="1" si="107"/>
        <v/>
      </c>
      <c r="H770" s="417" t="str">
        <f ca="1">_xlfn.IFNA(VLOOKUP(F766,BEGIN_CURRENT_VISION:END_CURRENT_VISION,CURRENT_COL_FAMContrib,FALSE),"")</f>
        <v/>
      </c>
      <c r="I770" s="409" t="str">
        <f t="shared" ca="1" si="108"/>
        <v/>
      </c>
      <c r="J770" s="410" t="str">
        <f t="shared" ca="1" si="109"/>
        <v/>
      </c>
      <c r="K770" s="411"/>
      <c r="L770" s="417" t="str" cm="1">
        <f t="array" ca="1" aca="1" ref="L770">_xlfn.IFNA(VLOOKUP(INDIRECT("L"&amp;ROW()-4)&amp;"_"&amp;$D$12,BEGIN_Renew_Vision:END_RENEW_VISION,RENEW_COL_FAM,FALSE),"")</f>
        <v/>
      </c>
      <c r="M770" s="423" t="str">
        <f ca="1">IF(E770="","",E770)</f>
        <v/>
      </c>
      <c r="N770" s="420"/>
      <c r="O770" s="421"/>
      <c r="P770" s="422" t="str">
        <f>IFERROR(IF($N766="Keep Contribution Same",H770,IF($N766="Enter Percentages",IF(N770="","",N770*L770),IF($N766="Keep Percentage Same",IF(G770="","",G770*L770),IF($N766="Enter Dollar Amount",IF(O770="","",O770),"")))),"")</f>
        <v/>
      </c>
      <c r="Q770" s="417" t="str">
        <f t="shared" ca="1" si="110"/>
        <v/>
      </c>
      <c r="R770" s="419" t="str">
        <f>IFERROR(IF(P770="","",M770*P770),"")</f>
        <v/>
      </c>
      <c r="S770" s="411"/>
      <c r="T770" s="417" t="str" cm="1">
        <f t="array" ca="1" aca="1" ref="T770">_xlfn.IFNA(VLOOKUP(INDIRECT("T"&amp;ROW()-4)&amp;"_"&amp;$D$12,BEGIN_Renew_Vision:END_RENEW_VISION,RENEW_COL_FAM,FALSE),"")</f>
        <v/>
      </c>
      <c r="U770" s="423" t="str">
        <f t="shared" ca="1" si="111"/>
        <v/>
      </c>
      <c r="V770" s="420"/>
      <c r="W770" s="421"/>
      <c r="X770" s="422" t="str">
        <f>IFERROR(IF($V766="Keep Contribution Same",H770,IF($V766="Enter Percentages",IF(V770="","",V770*T770),IF($V766="Keep Percentage Same",IF(G770="","",G770*T770),IF($V766="Enter Dollar Amount",IF(W770="","",W770),"")))),"")</f>
        <v/>
      </c>
      <c r="Y770" s="417" t="str">
        <f t="shared" ca="1" si="112"/>
        <v/>
      </c>
      <c r="Z770" s="419" t="str">
        <f t="shared" si="113"/>
        <v/>
      </c>
    </row>
    <row r="771" spans="1:26" ht="18.75" customHeight="1" thickTop="1">
      <c r="A771" s="140"/>
      <c r="B771" s="140"/>
      <c r="D771" s="175" t="s">
        <v>329</v>
      </c>
      <c r="E771" s="424"/>
      <c r="F771" s="427"/>
      <c r="G771" s="426"/>
      <c r="H771" s="427"/>
      <c r="I771" s="428"/>
      <c r="J771" s="429" t="str">
        <f ca="1">IFERROR(IF(J767="","",SUM(J767:J770)),0)</f>
        <v/>
      </c>
      <c r="K771" s="1"/>
      <c r="L771" s="424"/>
      <c r="M771" s="427"/>
      <c r="N771" s="426"/>
      <c r="O771" s="427"/>
      <c r="P771" s="431"/>
      <c r="Q771" s="432"/>
      <c r="R771" s="429" t="str">
        <f>IFERROR(IF(R767="","",SUM(R767:R770)),0)</f>
        <v/>
      </c>
      <c r="T771" s="424"/>
      <c r="U771" s="427"/>
      <c r="V771" s="426"/>
      <c r="W771" s="427"/>
      <c r="X771" s="431"/>
      <c r="Y771" s="432"/>
      <c r="Z771" s="429" t="str">
        <f>IFERROR(IF(Z767="","",SUM(Z767:Z770)),0)</f>
        <v/>
      </c>
    </row>
    <row r="772" spans="1:26" ht="18.75" customHeight="1">
      <c r="A772" s="140"/>
      <c r="B772" s="140"/>
      <c r="D772" s="177" t="s">
        <v>243</v>
      </c>
      <c r="E772" s="433"/>
      <c r="F772" s="436"/>
      <c r="G772" s="435"/>
      <c r="H772" s="436"/>
      <c r="I772" s="432"/>
      <c r="J772" s="437" t="str">
        <f ca="1">IF(J771="","",J771*12)</f>
        <v/>
      </c>
      <c r="K772" s="1"/>
      <c r="L772" s="433"/>
      <c r="M772" s="436"/>
      <c r="N772" s="435"/>
      <c r="O772" s="436"/>
      <c r="P772" s="432"/>
      <c r="Q772" s="432"/>
      <c r="R772" s="437" t="str">
        <f>IF(R771="","",R771*12)</f>
        <v/>
      </c>
      <c r="T772" s="433"/>
      <c r="U772" s="436"/>
      <c r="V772" s="435"/>
      <c r="W772" s="436"/>
      <c r="X772" s="432"/>
      <c r="Y772" s="432"/>
      <c r="Z772" s="437" t="str">
        <f>IF(Z771="","",Z771*12)</f>
        <v/>
      </c>
    </row>
    <row r="773" spans="1:26" ht="18" customHeight="1">
      <c r="A773" s="140"/>
      <c r="B773" s="140"/>
      <c r="D773" s="177" t="s">
        <v>244</v>
      </c>
      <c r="E773" s="433"/>
      <c r="F773" s="436"/>
      <c r="G773" s="435"/>
      <c r="H773" s="436"/>
      <c r="I773" s="432"/>
      <c r="J773" s="437" t="str">
        <f ca="1">IFERROR(IF(J772="","",R772-J772),0)</f>
        <v/>
      </c>
      <c r="K773" s="1"/>
      <c r="L773" s="433"/>
      <c r="M773" s="436"/>
      <c r="N773" s="435"/>
      <c r="O773" s="436"/>
      <c r="P773" s="432"/>
      <c r="Q773" s="432"/>
      <c r="R773" s="437" t="str">
        <f ca="1">IFERROR(IF(J772="","",R772-J772),0)</f>
        <v/>
      </c>
      <c r="T773" s="433"/>
      <c r="U773" s="436"/>
      <c r="V773" s="435"/>
      <c r="W773" s="436"/>
      <c r="X773" s="432"/>
      <c r="Y773" s="432"/>
      <c r="Z773" s="437" t="str">
        <f>IFERROR(IF(R772="","",Z772-R772),0)</f>
        <v/>
      </c>
    </row>
    <row r="774" spans="1:26" ht="18" customHeight="1" thickBot="1">
      <c r="A774" s="140"/>
      <c r="B774" s="140"/>
      <c r="D774" s="180" t="s">
        <v>245</v>
      </c>
      <c r="E774" s="439"/>
      <c r="F774" s="440"/>
      <c r="G774" s="441"/>
      <c r="H774" s="440"/>
      <c r="I774" s="442"/>
      <c r="J774" s="437" t="str">
        <f ca="1">IFERROR(IF(J772="","",(R772/J772)-1),0)</f>
        <v/>
      </c>
      <c r="K774" s="1"/>
      <c r="L774" s="439"/>
      <c r="M774" s="440"/>
      <c r="N774" s="441"/>
      <c r="O774" s="440"/>
      <c r="P774" s="445"/>
      <c r="Q774" s="445"/>
      <c r="R774" s="446" t="str">
        <f ca="1">IFERROR(IF(J772="","",(R772/J772)-1),0)</f>
        <v/>
      </c>
      <c r="T774" s="439"/>
      <c r="U774" s="440"/>
      <c r="V774" s="441"/>
      <c r="W774" s="440"/>
      <c r="X774" s="445"/>
      <c r="Y774" s="445"/>
      <c r="Z774" s="446" t="str">
        <f>IFERROR(IF(R772="","",(Z772/R772)-1),0)</f>
        <v/>
      </c>
    </row>
    <row r="775" spans="1:26" ht="5.25" customHeight="1" thickBot="1">
      <c r="A775" s="140"/>
      <c r="B775" s="140"/>
      <c r="D775" s="229"/>
      <c r="E775" s="229"/>
      <c r="F775" s="230"/>
      <c r="G775" s="231"/>
      <c r="H775" s="232"/>
      <c r="I775" s="233"/>
      <c r="J775" s="233"/>
      <c r="K775"/>
      <c r="L775" s="233"/>
      <c r="M775" s="233"/>
      <c r="N775" s="233"/>
      <c r="O775" s="233"/>
      <c r="P775" s="233"/>
      <c r="Q775" s="233"/>
      <c r="R775" s="233"/>
      <c r="T775" s="233"/>
      <c r="U775" s="233"/>
      <c r="V775" s="233"/>
      <c r="W775" s="233"/>
      <c r="X775" s="233"/>
      <c r="Y775" s="233"/>
      <c r="Z775" s="233"/>
    </row>
    <row r="776" spans="1:26" ht="50.15" customHeight="1">
      <c r="A776" s="140">
        <v>2</v>
      </c>
      <c r="B776" s="140">
        <f>IF(A776&gt;Class3_CurrentVisionCount,"DELETE",Class3_CurrentVisionStart+A776)</f>
        <v>24</v>
      </c>
      <c r="C776" s="164" t="s">
        <v>301</v>
      </c>
      <c r="D776" s="273" t="e">
        <f ca="1">IF(B776="Delete","",VLOOKUP(F776,BEGIN_CURRENT_VISION:END_CURRENT_VISION,3,FALSE))</f>
        <v>#N/A</v>
      </c>
      <c r="E776" s="165"/>
      <c r="F776" s="272" cm="1">
        <f t="array" ca="1" aca="1" ref="F776">IF(B776="Delete","",INDIRECT("CurrentPlans!A"&amp;B776,TRUE))</f>
        <v>0</v>
      </c>
      <c r="G776" s="166"/>
      <c r="H776" s="167"/>
      <c r="I776" s="168"/>
      <c r="J776" s="169"/>
      <c r="K776"/>
      <c r="L776" s="274" t="str">
        <f ca="1">_xlfn.IFNA(VLOOKUP(F776,BEGIN_RENEWEDFROM_DENTAL:ROW_RenewDental_PlanID,3,FALSE),"SELECT PLAN")</f>
        <v>SELECT PLAN</v>
      </c>
      <c r="M776" s="170"/>
      <c r="N776" s="274" t="s">
        <v>237</v>
      </c>
      <c r="O776" s="171"/>
      <c r="P776" s="171"/>
      <c r="Q776" s="171"/>
      <c r="R776" s="169"/>
      <c r="T776" s="274" t="s">
        <v>38</v>
      </c>
      <c r="U776" s="170"/>
      <c r="V776" s="274" t="s">
        <v>237</v>
      </c>
      <c r="W776" s="171"/>
      <c r="X776" s="171"/>
      <c r="Y776" s="171"/>
      <c r="Z776" s="169"/>
    </row>
    <row r="777" spans="1:26" ht="18.75" customHeight="1">
      <c r="A777" s="140"/>
      <c r="B777" s="140"/>
      <c r="D777" s="172" t="s">
        <v>238</v>
      </c>
      <c r="E777" s="407" t="str">
        <f ca="1">_xlfn.IFNA(VLOOKUP(F776,BEGIN_CURRENT_VISION:END_CURRENT_VISION,CURRENT_COL_EO_count,FALSE),"")</f>
        <v/>
      </c>
      <c r="F777" s="408" t="str">
        <f ca="1">_xlfn.IFNA(VLOOKUP(F776,BEGIN_CURRENT_VISION:END_CURRENT_VISION,CURRENT_COL_EO,FALSE),"")</f>
        <v/>
      </c>
      <c r="G777" s="468" t="str">
        <f ca="1" t="shared" si="114" ref="G777:G780">IF(F777="","",H777/F777)</f>
        <v/>
      </c>
      <c r="H777" s="408" t="str">
        <f ca="1">_xlfn.IFNA(VLOOKUP(F776,BEGIN_CURRENT_VISION:END_CURRENT_VISION,CURRENT_COL_EOContrib,FALSE),"")</f>
        <v/>
      </c>
      <c r="I777" s="409" t="str">
        <f ca="1">IFERROR(F777-H777,"")</f>
        <v/>
      </c>
      <c r="J777" s="410" t="str">
        <f ca="1">IF(F777="","",H777*E777)</f>
        <v/>
      </c>
      <c r="K777" s="411"/>
      <c r="L777" s="408" t="str" cm="1">
        <f t="array" ca="1" aca="1" ref="L777">_xlfn.IFNA(VLOOKUP(INDIRECT("L"&amp;ROW()-1)&amp;"_"&amp;$D$12,BEGIN_Renew_Vision:END_RENEW_VISION,RENEW_COL_EO,FALSE),"")</f>
        <v/>
      </c>
      <c r="M777" s="412" t="str">
        <f ca="1">IF(E777="","",E777)</f>
        <v/>
      </c>
      <c r="N777" s="413"/>
      <c r="O777" s="414"/>
      <c r="P777" s="415" t="str">
        <f>IFERROR(IF($N776="Keep Contribution Same",H777,IF($N776="Enter Percentages",IF(N777="","",N777*L777),IF($N776="Keep Percentage Same",IF(G777="","",G777*L777),IF($N776="Enter Dollar Amount",IF(O777="","",O777),"")))),"")</f>
        <v/>
      </c>
      <c r="Q777" s="408" t="str">
        <f ca="1">IFERROR(L777-P777,"")</f>
        <v/>
      </c>
      <c r="R777" s="410" t="str">
        <f>IFERROR(IF(P777="","",M777*P777),"")</f>
        <v/>
      </c>
      <c r="S777" s="411"/>
      <c r="T777" s="408" t="str" cm="1">
        <f t="array" ca="1" aca="1" ref="T777">_xlfn.IFNA(VLOOKUP(INDIRECT("T"&amp;ROW()-1)&amp;"_"&amp;$D$12,BEGIN_Renew_Vision:END_RENEW_VISION,RENEW_COL_EO,FALSE),"")</f>
        <v/>
      </c>
      <c r="U777" s="412" t="str">
        <f ca="1">IF(E777="","",E777)</f>
        <v/>
      </c>
      <c r="V777" s="413"/>
      <c r="W777" s="414"/>
      <c r="X777" s="415" t="str">
        <f>IFERROR(IF($V776="Keep Contribution Same",H777,IF($V776="Enter Percentages",IF(V777="","",V777*T777),IF($V776="Keep Percentage Same",IF(G777="","",G777*T777),IF($V776="Enter Dollar Amount",IF(W777="","",W777),"")))),"")</f>
        <v/>
      </c>
      <c r="Y777" s="408" t="str">
        <f ca="1">IFERROR(T777-X777,"")</f>
        <v/>
      </c>
      <c r="Z777" s="410" t="str">
        <f>IFERROR(IF(X777="","",U777*X777),"")</f>
        <v/>
      </c>
    </row>
    <row r="778" spans="1:26" ht="18.75" customHeight="1">
      <c r="A778" s="140"/>
      <c r="B778" s="140"/>
      <c r="D778" s="172" t="s">
        <v>239</v>
      </c>
      <c r="E778" s="407" t="str">
        <f ca="1">_xlfn.IFNA(VLOOKUP(F776,BEGIN_CURRENT_VISION:END_CURRENT_VISION,CURRENT_COL_ES_count,FALSE),"")</f>
        <v/>
      </c>
      <c r="F778" s="408" t="str">
        <f ca="1">_xlfn.IFNA(VLOOKUP(F776,BEGIN_CURRENT_VISION:END_CURRENT_VISION,CURRENT_COL_ES,FALSE),"")</f>
        <v/>
      </c>
      <c r="G778" s="468" t="str">
        <f t="shared" ca="1" si="114"/>
        <v/>
      </c>
      <c r="H778" s="408" t="str">
        <f ca="1">_xlfn.IFNA(VLOOKUP(F776,BEGIN_CURRENT_VISION:END_CURRENT_VISION,CURRENT_COL_ESContrib,FALSE),"")</f>
        <v/>
      </c>
      <c r="I778" s="409" t="str">
        <f ca="1" t="shared" si="115" ref="I778:I780">IFERROR(F778-H778,"")</f>
        <v/>
      </c>
      <c r="J778" s="410" t="str">
        <f ca="1" t="shared" si="116" ref="J778:J780">IF(F778="","",H778*E778)</f>
        <v/>
      </c>
      <c r="K778" s="411"/>
      <c r="L778" s="408" t="str" cm="1">
        <f t="array" ca="1" aca="1" ref="L778">_xlfn.IFNA(VLOOKUP(INDIRECT("L"&amp;ROW()-2)&amp;"_"&amp;$D$12,BEGIN_Renew_Vision:END_RENEW_VISION,RENEW_COL_ES,FALSE),"")</f>
        <v/>
      </c>
      <c r="M778" s="412" t="str">
        <f ca="1">IF(E778="","",E778)</f>
        <v/>
      </c>
      <c r="N778" s="413"/>
      <c r="O778" s="414"/>
      <c r="P778" s="415" t="str">
        <f>IFERROR(IF($N776="Keep Contribution Same",H778,IF($N776="Enter Percentages",IF(N778="","",N778*L778),IF($N776="Keep Percentage Same",IF(G778="","",G778*L778),IF($N776="Enter Dollar Amount",IF(O778="","",O778),"")))),"")</f>
        <v/>
      </c>
      <c r="Q778" s="408" t="str">
        <f ca="1" t="shared" si="117" ref="Q778:Q780">IFERROR(L778-P778,"")</f>
        <v/>
      </c>
      <c r="R778" s="410" t="str">
        <f>IFERROR(IF(P778="","",M778*P778),"")</f>
        <v/>
      </c>
      <c r="S778" s="411"/>
      <c r="T778" s="408" t="str" cm="1">
        <f t="array" ca="1" aca="1" ref="T778">_xlfn.IFNA(VLOOKUP(INDIRECT("T"&amp;ROW()-2)&amp;"_"&amp;$D$12,BEGIN_Renew_Vision:END_RENEW_VISION,RENEW_COL_ES,FALSE),"")</f>
        <v/>
      </c>
      <c r="U778" s="412" t="str">
        <f ca="1" t="shared" si="118" ref="U778:U780">IF(E778="","",E778)</f>
        <v/>
      </c>
      <c r="V778" s="413"/>
      <c r="W778" s="414"/>
      <c r="X778" s="415" t="str">
        <f>IFERROR(IF($V776="Keep Contribution Same",H778,IF($V776="Enter Percentages",IF(V778="","",V778*T778),IF($V776="Keep Percentage Same",IF(G778="","",G778*T778),IF($V776="Enter Dollar Amount",IF(W778="","",W778),"")))),"")</f>
        <v/>
      </c>
      <c r="Y778" s="408" t="str">
        <f ca="1" t="shared" si="119" ref="Y778:Y780">IFERROR(T778-X778,"")</f>
        <v/>
      </c>
      <c r="Z778" s="410" t="str">
        <f t="shared" si="120" ref="Z778:Z780">IFERROR(IF(X778="","",U778*X778),"")</f>
        <v/>
      </c>
    </row>
    <row r="779" spans="1:26" ht="18.75" customHeight="1">
      <c r="A779" s="140"/>
      <c r="B779" s="140"/>
      <c r="D779" s="172" t="s">
        <v>240</v>
      </c>
      <c r="E779" s="407" t="str">
        <f ca="1">_xlfn.IFNA(VLOOKUP(F776,BEGIN_CURRENT_VISION:END_CURRENT_VISION,CURRENT_COL_EC_count,FALSE),"")</f>
        <v/>
      </c>
      <c r="F779" s="408" t="str">
        <f ca="1">_xlfn.IFNA(VLOOKUP(F776,BEGIN_CURRENT_VISION:END_CURRENT_VISION,CURRENT_COL_EC,FALSE),"")</f>
        <v/>
      </c>
      <c r="G779" s="468" t="str">
        <f t="shared" ca="1" si="114"/>
        <v/>
      </c>
      <c r="H779" s="408" t="str">
        <f ca="1">_xlfn.IFNA(VLOOKUP(F776,BEGIN_CURRENT_VISION:END_CURRENT_VISION,CURRENT_COL_ECContrib,FALSE),"")</f>
        <v/>
      </c>
      <c r="I779" s="409" t="str">
        <f t="shared" ca="1" si="115"/>
        <v/>
      </c>
      <c r="J779" s="410" t="str">
        <f t="shared" ca="1" si="116"/>
        <v/>
      </c>
      <c r="K779" s="411"/>
      <c r="L779" s="408" t="str" cm="1">
        <f t="array" ca="1" aca="1" ref="L779">_xlfn.IFNA(VLOOKUP(INDIRECT("L"&amp;ROW()-3)&amp;"_"&amp;$D$12,BEGIN_Renew_Vision:END_RENEW_VISION,RENEW_COL_EC,FALSE),"")</f>
        <v/>
      </c>
      <c r="M779" s="412" t="str">
        <f ca="1">IF(E779="","",E779)</f>
        <v/>
      </c>
      <c r="N779" s="413"/>
      <c r="O779" s="414"/>
      <c r="P779" s="415" t="str">
        <f>IFERROR(IF($N776="Keep Contribution Same",H779,IF($N776="Enter Percentages",IF(N779="","",N779*L779),IF($N776="Keep Percentage Same",IF(G779="","",G779*L779),IF($N776="Enter Dollar Amount",IF(O779="","",O779),"")))),"")</f>
        <v/>
      </c>
      <c r="Q779" s="408" t="str">
        <f t="shared" ca="1" si="117"/>
        <v/>
      </c>
      <c r="R779" s="410" t="str">
        <f>IFERROR(IF(P779="","",M779*P779),"")</f>
        <v/>
      </c>
      <c r="S779" s="411"/>
      <c r="T779" s="408" t="str" cm="1">
        <f t="array" ca="1" aca="1" ref="T779">_xlfn.IFNA(VLOOKUP(INDIRECT("T"&amp;ROW()-3)&amp;"_"&amp;$D$12,BEGIN_Renew_Vision:END_RENEW_VISION,RENEW_COL_EC,FALSE),"")</f>
        <v/>
      </c>
      <c r="U779" s="412" t="str">
        <f t="shared" ca="1" si="118"/>
        <v/>
      </c>
      <c r="V779" s="413"/>
      <c r="W779" s="414"/>
      <c r="X779" s="415" t="str">
        <f>IFERROR(IF($V776="Keep Contribution Same",H779,IF($V776="Enter Percentages",IF(V779="","",V779*T779),IF($V776="Keep Percentage Same",IF(G779="","",G779*T779),IF($V776="Enter Dollar Amount",IF(W779="","",W779),"")))),"")</f>
        <v/>
      </c>
      <c r="Y779" s="408" t="str">
        <f t="shared" ca="1" si="119"/>
        <v/>
      </c>
      <c r="Z779" s="410" t="str">
        <f t="shared" si="120"/>
        <v/>
      </c>
    </row>
    <row r="780" spans="1:26" ht="18.75" customHeight="1" thickBot="1">
      <c r="A780" s="140"/>
      <c r="B780" s="140"/>
      <c r="D780" s="174" t="s">
        <v>241</v>
      </c>
      <c r="E780" s="416" t="str">
        <f ca="1">_xlfn.IFNA(VLOOKUP(F776,BEGIN_CURRENT_VISION:END_CURRENT_VISION,CURRENT_COL_FAM_count,FALSE),"")</f>
        <v/>
      </c>
      <c r="F780" s="417" t="str">
        <f ca="1">_xlfn.IFNA(VLOOKUP(F776,BEGIN_CURRENT_VISION:END_CURRENT_VISION,CURRENT_COL_FAM,FALSE),"")</f>
        <v/>
      </c>
      <c r="G780" s="469" t="str">
        <f t="shared" ca="1" si="114"/>
        <v/>
      </c>
      <c r="H780" s="417" t="str">
        <f ca="1">_xlfn.IFNA(VLOOKUP(F776,BEGIN_CURRENT_VISION:END_CURRENT_VISION,CURRENT_COL_FAMContrib,FALSE),"")</f>
        <v/>
      </c>
      <c r="I780" s="409" t="str">
        <f t="shared" ca="1" si="115"/>
        <v/>
      </c>
      <c r="J780" s="410" t="str">
        <f t="shared" ca="1" si="116"/>
        <v/>
      </c>
      <c r="K780" s="411"/>
      <c r="L780" s="417" t="str" cm="1">
        <f t="array" ca="1" aca="1" ref="L780">_xlfn.IFNA(VLOOKUP(INDIRECT("L"&amp;ROW()-4)&amp;"_"&amp;$D$12,BEGIN_Renew_Vision:END_RENEW_VISION,RENEW_COL_FAM,FALSE),"")</f>
        <v/>
      </c>
      <c r="M780" s="423" t="str">
        <f ca="1">IF(E780="","",E780)</f>
        <v/>
      </c>
      <c r="N780" s="420"/>
      <c r="O780" s="421"/>
      <c r="P780" s="422" t="str">
        <f>IFERROR(IF($N776="Keep Contribution Same",H780,IF($N776="Enter Percentages",IF(N780="","",N780*L780),IF($N776="Keep Percentage Same",IF(G780="","",G780*L780),IF($N776="Enter Dollar Amount",IF(O780="","",O780),"")))),"")</f>
        <v/>
      </c>
      <c r="Q780" s="417" t="str">
        <f t="shared" ca="1" si="117"/>
        <v/>
      </c>
      <c r="R780" s="419" t="str">
        <f>IFERROR(IF(P780="","",M780*P780),"")</f>
        <v/>
      </c>
      <c r="S780" s="411"/>
      <c r="T780" s="417" t="str" cm="1">
        <f t="array" ca="1" aca="1" ref="T780">_xlfn.IFNA(VLOOKUP(INDIRECT("T"&amp;ROW()-4)&amp;"_"&amp;$D$12,BEGIN_Renew_Vision:END_RENEW_VISION,RENEW_COL_FAM,FALSE),"")</f>
        <v/>
      </c>
      <c r="U780" s="423" t="str">
        <f t="shared" ca="1" si="118"/>
        <v/>
      </c>
      <c r="V780" s="420"/>
      <c r="W780" s="421"/>
      <c r="X780" s="422" t="str">
        <f>IFERROR(IF($V776="Keep Contribution Same",H780,IF($V776="Enter Percentages",IF(V780="","",V780*T780),IF($V776="Keep Percentage Same",IF(G780="","",G780*T780),IF($V776="Enter Dollar Amount",IF(W780="","",W780),"")))),"")</f>
        <v/>
      </c>
      <c r="Y780" s="417" t="str">
        <f t="shared" ca="1" si="119"/>
        <v/>
      </c>
      <c r="Z780" s="419" t="str">
        <f t="shared" si="120"/>
        <v/>
      </c>
    </row>
    <row r="781" spans="1:26" ht="18.75" customHeight="1" thickTop="1">
      <c r="A781" s="140"/>
      <c r="B781" s="140"/>
      <c r="D781" s="175" t="s">
        <v>329</v>
      </c>
      <c r="E781" s="424"/>
      <c r="F781" s="427"/>
      <c r="G781" s="426"/>
      <c r="H781" s="427"/>
      <c r="I781" s="428"/>
      <c r="J781" s="429" t="str">
        <f ca="1">IFERROR(IF(J777="","",SUM(J777:J780)),0)</f>
        <v/>
      </c>
      <c r="K781" s="1"/>
      <c r="L781" s="424"/>
      <c r="M781" s="427"/>
      <c r="N781" s="426"/>
      <c r="O781" s="427"/>
      <c r="P781" s="431"/>
      <c r="Q781" s="432"/>
      <c r="R781" s="429" t="str">
        <f>IFERROR(IF(R777="","",SUM(R777:R780)),0)</f>
        <v/>
      </c>
      <c r="T781" s="424"/>
      <c r="U781" s="427"/>
      <c r="V781" s="426"/>
      <c r="W781" s="427"/>
      <c r="X781" s="431"/>
      <c r="Y781" s="432"/>
      <c r="Z781" s="429" t="str">
        <f>IFERROR(IF(Z777="","",SUM(Z777:Z780)),0)</f>
        <v/>
      </c>
    </row>
    <row r="782" spans="1:26" ht="18.75" customHeight="1">
      <c r="A782" s="140"/>
      <c r="B782" s="140"/>
      <c r="D782" s="177" t="s">
        <v>243</v>
      </c>
      <c r="E782" s="433"/>
      <c r="F782" s="436"/>
      <c r="G782" s="435"/>
      <c r="H782" s="436"/>
      <c r="I782" s="432"/>
      <c r="J782" s="437" t="str">
        <f ca="1">IF(J781="","",J781*12)</f>
        <v/>
      </c>
      <c r="K782" s="1"/>
      <c r="L782" s="433"/>
      <c r="M782" s="436"/>
      <c r="N782" s="435"/>
      <c r="O782" s="436"/>
      <c r="P782" s="432"/>
      <c r="Q782" s="432"/>
      <c r="R782" s="437" t="str">
        <f>IF(R781="","",R781*12)</f>
        <v/>
      </c>
      <c r="T782" s="433"/>
      <c r="U782" s="436"/>
      <c r="V782" s="435"/>
      <c r="W782" s="436"/>
      <c r="X782" s="432"/>
      <c r="Y782" s="432"/>
      <c r="Z782" s="437" t="str">
        <f>IF(Z781="","",Z781*12)</f>
        <v/>
      </c>
    </row>
    <row r="783" spans="1:26" ht="18" customHeight="1">
      <c r="A783" s="140"/>
      <c r="B783" s="140"/>
      <c r="D783" s="177" t="s">
        <v>244</v>
      </c>
      <c r="E783" s="433"/>
      <c r="F783" s="436"/>
      <c r="G783" s="435"/>
      <c r="H783" s="436"/>
      <c r="I783" s="432"/>
      <c r="J783" s="437" t="str">
        <f ca="1">IFERROR(IF(J782="","",R782-J782),0)</f>
        <v/>
      </c>
      <c r="K783" s="1"/>
      <c r="L783" s="433"/>
      <c r="M783" s="436"/>
      <c r="N783" s="435"/>
      <c r="O783" s="436"/>
      <c r="P783" s="432"/>
      <c r="Q783" s="432"/>
      <c r="R783" s="437" t="str">
        <f ca="1">IFERROR(IF(J782="","",R782-J782),0)</f>
        <v/>
      </c>
      <c r="T783" s="433"/>
      <c r="U783" s="436"/>
      <c r="V783" s="435"/>
      <c r="W783" s="436"/>
      <c r="X783" s="432"/>
      <c r="Y783" s="432"/>
      <c r="Z783" s="437" t="str">
        <f>IFERROR(IF(R782="","",Z782-R782),0)</f>
        <v/>
      </c>
    </row>
    <row r="784" spans="1:26" ht="18" customHeight="1" thickBot="1">
      <c r="A784" s="140"/>
      <c r="B784" s="140"/>
      <c r="D784" s="180" t="s">
        <v>245</v>
      </c>
      <c r="E784" s="439"/>
      <c r="F784" s="440"/>
      <c r="G784" s="441"/>
      <c r="H784" s="440"/>
      <c r="I784" s="442"/>
      <c r="J784" s="437" t="str">
        <f ca="1">IFERROR(IF(J782="","",(R782/J782)-1),0)</f>
        <v/>
      </c>
      <c r="K784" s="1"/>
      <c r="L784" s="439"/>
      <c r="M784" s="440"/>
      <c r="N784" s="441"/>
      <c r="O784" s="440"/>
      <c r="P784" s="445"/>
      <c r="Q784" s="445"/>
      <c r="R784" s="446" t="str">
        <f ca="1">IFERROR(IF(J782="","",(R782/J782)-1),0)</f>
        <v/>
      </c>
      <c r="T784" s="439"/>
      <c r="U784" s="440"/>
      <c r="V784" s="441"/>
      <c r="W784" s="440"/>
      <c r="X784" s="445"/>
      <c r="Y784" s="445"/>
      <c r="Z784" s="446" t="str">
        <f>IFERROR(IF(R782="","",(Z782/R782)-1),0)</f>
        <v/>
      </c>
    </row>
    <row r="785" spans="1:26" ht="5.25" customHeight="1" thickBot="1">
      <c r="A785" s="140"/>
      <c r="B785" s="140"/>
      <c r="D785" s="229"/>
      <c r="E785" s="229"/>
      <c r="F785" s="230"/>
      <c r="G785" s="231"/>
      <c r="H785" s="232"/>
      <c r="I785" s="233"/>
      <c r="J785" s="233"/>
      <c r="K785"/>
      <c r="L785" s="233"/>
      <c r="M785" s="233"/>
      <c r="N785" s="233"/>
      <c r="O785" s="233"/>
      <c r="P785" s="233"/>
      <c r="Q785" s="233"/>
      <c r="R785" s="233"/>
      <c r="T785" s="233"/>
      <c r="U785" s="233"/>
      <c r="V785" s="233"/>
      <c r="W785" s="233"/>
      <c r="X785" s="233"/>
      <c r="Y785" s="233"/>
      <c r="Z785" s="233"/>
    </row>
    <row r="786" spans="1:26" ht="50.15" customHeight="1">
      <c r="A786" s="140">
        <v>3</v>
      </c>
      <c r="B786" s="140">
        <f>IF(A786&gt;Class3_CurrentVisionCount,"DELETE",Class3_CurrentVisionStart+A786)</f>
        <v>25</v>
      </c>
      <c r="C786" s="164" t="s">
        <v>302</v>
      </c>
      <c r="D786" s="273" t="e">
        <f ca="1">IF(B786="Delete","",VLOOKUP(F786,BEGIN_CURRENT_VISION:END_CURRENT_VISION,3,FALSE))</f>
        <v>#N/A</v>
      </c>
      <c r="E786" s="165"/>
      <c r="F786" s="272" cm="1">
        <f t="array" ca="1" aca="1" ref="F786">IF(B786="Delete","",INDIRECT("CurrentPlans!A"&amp;B786,TRUE))</f>
        <v>0</v>
      </c>
      <c r="G786" s="166"/>
      <c r="H786" s="167"/>
      <c r="I786" s="168"/>
      <c r="J786" s="169"/>
      <c r="K786"/>
      <c r="L786" s="274" t="str">
        <f ca="1">_xlfn.IFNA(VLOOKUP(F786,BEGIN_RENEWEDFROM_DENTAL:ROW_RenewDental_PlanID,3,FALSE),"SELECT PLAN")</f>
        <v>SELECT PLAN</v>
      </c>
      <c r="M786" s="170"/>
      <c r="N786" s="274" t="s">
        <v>237</v>
      </c>
      <c r="O786" s="171"/>
      <c r="P786" s="171"/>
      <c r="Q786" s="171"/>
      <c r="R786" s="169"/>
      <c r="T786" s="274" t="s">
        <v>38</v>
      </c>
      <c r="U786" s="170"/>
      <c r="V786" s="274" t="s">
        <v>237</v>
      </c>
      <c r="W786" s="171"/>
      <c r="X786" s="171"/>
      <c r="Y786" s="171"/>
      <c r="Z786" s="169"/>
    </row>
    <row r="787" spans="1:26" ht="18.75" customHeight="1">
      <c r="A787" s="140"/>
      <c r="B787" s="140"/>
      <c r="D787" s="172" t="s">
        <v>238</v>
      </c>
      <c r="E787" s="407" t="str">
        <f ca="1">_xlfn.IFNA(VLOOKUP(F786,BEGIN_CURRENT_VISION:END_CURRENT_VISION,CURRENT_COL_EO_count,FALSE),"")</f>
        <v/>
      </c>
      <c r="F787" s="408" t="str">
        <f ca="1">_xlfn.IFNA(VLOOKUP(F786,BEGIN_CURRENT_VISION:END_CURRENT_VISION,CURRENT_COL_EO,FALSE),"")</f>
        <v/>
      </c>
      <c r="G787" s="468" t="str">
        <f ca="1" t="shared" si="121" ref="G787:G790">IF(F787="","",H787/F787)</f>
        <v/>
      </c>
      <c r="H787" s="408" t="str">
        <f ca="1">_xlfn.IFNA(VLOOKUP(F786,BEGIN_CURRENT_VISION:END_CURRENT_VISION,CURRENT_COL_EOContrib,FALSE),"")</f>
        <v/>
      </c>
      <c r="I787" s="409" t="str">
        <f ca="1">IFERROR(F787-H787,"")</f>
        <v/>
      </c>
      <c r="J787" s="410" t="str">
        <f ca="1">IF(F787="","",H787*E787)</f>
        <v/>
      </c>
      <c r="K787" s="411"/>
      <c r="L787" s="408" t="str" cm="1">
        <f t="array" ca="1" aca="1" ref="L787">_xlfn.IFNA(VLOOKUP(INDIRECT("L"&amp;ROW()-1)&amp;"_"&amp;$D$12,BEGIN_Renew_Vision:END_RENEW_VISION,RENEW_COL_EO,FALSE),"")</f>
        <v/>
      </c>
      <c r="M787" s="412" t="str">
        <f ca="1">IF(E787="","",E787)</f>
        <v/>
      </c>
      <c r="N787" s="413"/>
      <c r="O787" s="414"/>
      <c r="P787" s="415" t="str">
        <f>IFERROR(IF($N786="Keep Contribution Same",H787,IF($N786="Enter Percentages",IF(N787="","",N787*L787),IF($N786="Keep Percentage Same",IF(G787="","",G787*L787),IF($N786="Enter Dollar Amount",IF(O787="","",O787),"")))),"")</f>
        <v/>
      </c>
      <c r="Q787" s="408" t="str">
        <f ca="1">IFERROR(L787-P787,"")</f>
        <v/>
      </c>
      <c r="R787" s="410" t="str">
        <f>IFERROR(IF(P787="","",M787*P787),"")</f>
        <v/>
      </c>
      <c r="S787" s="411"/>
      <c r="T787" s="408" t="str" cm="1">
        <f t="array" ca="1" aca="1" ref="T787">_xlfn.IFNA(VLOOKUP(INDIRECT("T"&amp;ROW()-1)&amp;"_"&amp;$D$12,BEGIN_Renew_Vision:END_RENEW_VISION,RENEW_COL_EO,FALSE),"")</f>
        <v/>
      </c>
      <c r="U787" s="412" t="str">
        <f ca="1">IF(E787="","",E787)</f>
        <v/>
      </c>
      <c r="V787" s="413"/>
      <c r="W787" s="414"/>
      <c r="X787" s="415" t="str">
        <f>IFERROR(IF($V786="Keep Contribution Same",H787,IF($V786="Enter Percentages",IF(V787="","",V787*T787),IF($V786="Keep Percentage Same",IF(G787="","",G787*T787),IF($V786="Enter Dollar Amount",IF(W787="","",W787),"")))),"")</f>
        <v/>
      </c>
      <c r="Y787" s="408" t="str">
        <f ca="1">IFERROR(T787-X787,"")</f>
        <v/>
      </c>
      <c r="Z787" s="410" t="str">
        <f>IFERROR(IF(X787="","",U787*X787),"")</f>
        <v/>
      </c>
    </row>
    <row r="788" spans="1:26" ht="18.75" customHeight="1">
      <c r="A788" s="140"/>
      <c r="B788" s="140"/>
      <c r="D788" s="172" t="s">
        <v>239</v>
      </c>
      <c r="E788" s="407" t="str">
        <f ca="1">_xlfn.IFNA(VLOOKUP(F786,BEGIN_CURRENT_VISION:END_CURRENT_VISION,CURRENT_COL_ES_count,FALSE),"")</f>
        <v/>
      </c>
      <c r="F788" s="408" t="str">
        <f ca="1">_xlfn.IFNA(VLOOKUP(F786,BEGIN_CURRENT_VISION:END_CURRENT_VISION,CURRENT_COL_ES,FALSE),"")</f>
        <v/>
      </c>
      <c r="G788" s="468" t="str">
        <f t="shared" ca="1" si="121"/>
        <v/>
      </c>
      <c r="H788" s="408" t="str">
        <f ca="1">_xlfn.IFNA(VLOOKUP(F786,BEGIN_CURRENT_VISION:END_CURRENT_VISION,CURRENT_COL_ESContrib,FALSE),"")</f>
        <v/>
      </c>
      <c r="I788" s="409" t="str">
        <f ca="1" t="shared" si="122" ref="I788:I790">IFERROR(F788-H788,"")</f>
        <v/>
      </c>
      <c r="J788" s="410" t="str">
        <f ca="1" t="shared" si="123" ref="J788:J790">IF(F788="","",H788*E788)</f>
        <v/>
      </c>
      <c r="K788" s="411"/>
      <c r="L788" s="408" t="str" cm="1">
        <f t="array" ca="1" aca="1" ref="L788">_xlfn.IFNA(VLOOKUP(INDIRECT("L"&amp;ROW()-2)&amp;"_"&amp;$D$12,BEGIN_Renew_Vision:END_RENEW_VISION,RENEW_COL_ES,FALSE),"")</f>
        <v/>
      </c>
      <c r="M788" s="412" t="str">
        <f ca="1">IF(E788="","",E788)</f>
        <v/>
      </c>
      <c r="N788" s="413"/>
      <c r="O788" s="414"/>
      <c r="P788" s="415" t="str">
        <f>IFERROR(IF($N786="Keep Contribution Same",H788,IF($N786="Enter Percentages",IF(N788="","",N788*L788),IF($N786="Keep Percentage Same",IF(G788="","",G788*L788),IF($N786="Enter Dollar Amount",IF(O788="","",O788),"")))),"")</f>
        <v/>
      </c>
      <c r="Q788" s="408" t="str">
        <f ca="1" t="shared" si="124" ref="Q788:Q790">IFERROR(L788-P788,"")</f>
        <v/>
      </c>
      <c r="R788" s="410" t="str">
        <f>IFERROR(IF(P788="","",M788*P788),"")</f>
        <v/>
      </c>
      <c r="S788" s="411"/>
      <c r="T788" s="408" t="str" cm="1">
        <f t="array" ca="1" aca="1" ref="T788">_xlfn.IFNA(VLOOKUP(INDIRECT("T"&amp;ROW()-2)&amp;"_"&amp;$D$12,BEGIN_Renew_Vision:END_RENEW_VISION,RENEW_COL_ES,FALSE),"")</f>
        <v/>
      </c>
      <c r="U788" s="412" t="str">
        <f ca="1" t="shared" si="125" ref="U788:U790">IF(E788="","",E788)</f>
        <v/>
      </c>
      <c r="V788" s="413"/>
      <c r="W788" s="414"/>
      <c r="X788" s="415" t="str">
        <f>IFERROR(IF($V786="Keep Contribution Same",H788,IF($V786="Enter Percentages",IF(V788="","",V788*T788),IF($V786="Keep Percentage Same",IF(G788="","",G788*T788),IF($V786="Enter Dollar Amount",IF(W788="","",W788),"")))),"")</f>
        <v/>
      </c>
      <c r="Y788" s="408" t="str">
        <f ca="1" t="shared" si="126" ref="Y788:Y790">IFERROR(T788-X788,"")</f>
        <v/>
      </c>
      <c r="Z788" s="410" t="str">
        <f t="shared" si="127" ref="Z788:Z790">IFERROR(IF(X788="","",U788*X788),"")</f>
        <v/>
      </c>
    </row>
    <row r="789" spans="1:26" ht="18.75" customHeight="1">
      <c r="A789" s="140"/>
      <c r="B789" s="140"/>
      <c r="D789" s="172" t="s">
        <v>240</v>
      </c>
      <c r="E789" s="407" t="str">
        <f ca="1">_xlfn.IFNA(VLOOKUP(F786,BEGIN_CURRENT_VISION:END_CURRENT_VISION,CURRENT_COL_EC_count,FALSE),"")</f>
        <v/>
      </c>
      <c r="F789" s="408" t="str">
        <f ca="1">_xlfn.IFNA(VLOOKUP(F786,BEGIN_CURRENT_VISION:END_CURRENT_VISION,CURRENT_COL_EC,FALSE),"")</f>
        <v/>
      </c>
      <c r="G789" s="468" t="str">
        <f t="shared" ca="1" si="121"/>
        <v/>
      </c>
      <c r="H789" s="408" t="str">
        <f ca="1">_xlfn.IFNA(VLOOKUP(F786,BEGIN_CURRENT_VISION:END_CURRENT_VISION,CURRENT_COL_ECContrib,FALSE),"")</f>
        <v/>
      </c>
      <c r="I789" s="409" t="str">
        <f t="shared" ca="1" si="122"/>
        <v/>
      </c>
      <c r="J789" s="410" t="str">
        <f t="shared" ca="1" si="123"/>
        <v/>
      </c>
      <c r="K789" s="411"/>
      <c r="L789" s="408" t="str" cm="1">
        <f t="array" ca="1" aca="1" ref="L789">_xlfn.IFNA(VLOOKUP(INDIRECT("L"&amp;ROW()-3)&amp;"_"&amp;$D$12,BEGIN_Renew_Vision:END_RENEW_VISION,RENEW_COL_EC,FALSE),"")</f>
        <v/>
      </c>
      <c r="M789" s="412" t="str">
        <f ca="1">IF(E789="","",E789)</f>
        <v/>
      </c>
      <c r="N789" s="413"/>
      <c r="O789" s="414"/>
      <c r="P789" s="415" t="str">
        <f>IFERROR(IF($N786="Keep Contribution Same",H789,IF($N786="Enter Percentages",IF(N789="","",N789*L789),IF($N786="Keep Percentage Same",IF(G789="","",G789*L789),IF($N786="Enter Dollar Amount",IF(O789="","",O789),"")))),"")</f>
        <v/>
      </c>
      <c r="Q789" s="408" t="str">
        <f t="shared" ca="1" si="124"/>
        <v/>
      </c>
      <c r="R789" s="410" t="str">
        <f>IFERROR(IF(P789="","",M789*P789),"")</f>
        <v/>
      </c>
      <c r="S789" s="411"/>
      <c r="T789" s="408" t="str" cm="1">
        <f t="array" ca="1" aca="1" ref="T789">_xlfn.IFNA(VLOOKUP(INDIRECT("T"&amp;ROW()-3)&amp;"_"&amp;$D$12,BEGIN_Renew_Vision:END_RENEW_VISION,RENEW_COL_EC,FALSE),"")</f>
        <v/>
      </c>
      <c r="U789" s="412" t="str">
        <f t="shared" ca="1" si="125"/>
        <v/>
      </c>
      <c r="V789" s="413"/>
      <c r="W789" s="414"/>
      <c r="X789" s="415" t="str">
        <f>IFERROR(IF($V786="Keep Contribution Same",H789,IF($V786="Enter Percentages",IF(V789="","",V789*T789),IF($V786="Keep Percentage Same",IF(G789="","",G789*T789),IF($V786="Enter Dollar Amount",IF(W789="","",W789),"")))),"")</f>
        <v/>
      </c>
      <c r="Y789" s="408" t="str">
        <f t="shared" ca="1" si="126"/>
        <v/>
      </c>
      <c r="Z789" s="410" t="str">
        <f t="shared" si="127"/>
        <v/>
      </c>
    </row>
    <row r="790" spans="1:26" ht="18.75" customHeight="1" thickBot="1">
      <c r="A790" s="140"/>
      <c r="B790" s="140"/>
      <c r="D790" s="174" t="s">
        <v>241</v>
      </c>
      <c r="E790" s="416" t="str">
        <f ca="1">_xlfn.IFNA(VLOOKUP(F786,BEGIN_CURRENT_VISION:END_CURRENT_VISION,CURRENT_COL_FAM_count,FALSE),"")</f>
        <v/>
      </c>
      <c r="F790" s="417" t="str">
        <f ca="1">_xlfn.IFNA(VLOOKUP(F786,BEGIN_CURRENT_VISION:END_CURRENT_VISION,CURRENT_COL_FAM,FALSE),"")</f>
        <v/>
      </c>
      <c r="G790" s="469" t="str">
        <f t="shared" ca="1" si="121"/>
        <v/>
      </c>
      <c r="H790" s="417" t="str">
        <f ca="1">_xlfn.IFNA(VLOOKUP(F786,BEGIN_CURRENT_VISION:END_CURRENT_VISION,CURRENT_COL_FAMContrib,FALSE),"")</f>
        <v/>
      </c>
      <c r="I790" s="409" t="str">
        <f t="shared" ca="1" si="122"/>
        <v/>
      </c>
      <c r="J790" s="410" t="str">
        <f t="shared" ca="1" si="123"/>
        <v/>
      </c>
      <c r="K790" s="411"/>
      <c r="L790" s="417" t="str" cm="1">
        <f t="array" ca="1" aca="1" ref="L790">_xlfn.IFNA(VLOOKUP(INDIRECT("L"&amp;ROW()-4)&amp;"_"&amp;$D$12,BEGIN_Renew_Vision:END_RENEW_VISION,RENEW_COL_FAM,FALSE),"")</f>
        <v/>
      </c>
      <c r="M790" s="423" t="str">
        <f ca="1">IF(E790="","",E790)</f>
        <v/>
      </c>
      <c r="N790" s="420"/>
      <c r="O790" s="421"/>
      <c r="P790" s="422" t="str">
        <f>IFERROR(IF($N786="Keep Contribution Same",H790,IF($N786="Enter Percentages",IF(N790="","",N790*L790),IF($N786="Keep Percentage Same",IF(G790="","",G790*L790),IF($N786="Enter Dollar Amount",IF(O790="","",O790),"")))),"")</f>
        <v/>
      </c>
      <c r="Q790" s="417" t="str">
        <f t="shared" ca="1" si="124"/>
        <v/>
      </c>
      <c r="R790" s="419" t="str">
        <f>IFERROR(IF(P790="","",M790*P790),"")</f>
        <v/>
      </c>
      <c r="S790" s="411"/>
      <c r="T790" s="417" t="str" cm="1">
        <f t="array" ca="1" aca="1" ref="T790">_xlfn.IFNA(VLOOKUP(INDIRECT("T"&amp;ROW()-4)&amp;"_"&amp;$D$12,BEGIN_Renew_Vision:END_RENEW_VISION,RENEW_COL_FAM,FALSE),"")</f>
        <v/>
      </c>
      <c r="U790" s="423" t="str">
        <f t="shared" ca="1" si="125"/>
        <v/>
      </c>
      <c r="V790" s="420"/>
      <c r="W790" s="421"/>
      <c r="X790" s="422" t="str">
        <f>IFERROR(IF($V786="Keep Contribution Same",H790,IF($V786="Enter Percentages",IF(V790="","",V790*T790),IF($V786="Keep Percentage Same",IF(G790="","",G790*T790),IF($V786="Enter Dollar Amount",IF(W790="","",W790),"")))),"")</f>
        <v/>
      </c>
      <c r="Y790" s="417" t="str">
        <f t="shared" ca="1" si="126"/>
        <v/>
      </c>
      <c r="Z790" s="419" t="str">
        <f t="shared" si="127"/>
        <v/>
      </c>
    </row>
    <row r="791" spans="1:26" ht="18.75" customHeight="1" thickTop="1">
      <c r="A791" s="140"/>
      <c r="B791" s="140"/>
      <c r="D791" s="175" t="s">
        <v>329</v>
      </c>
      <c r="E791" s="424"/>
      <c r="F791" s="427"/>
      <c r="G791" s="426"/>
      <c r="H791" s="427"/>
      <c r="I791" s="428"/>
      <c r="J791" s="429" t="str">
        <f ca="1">IFERROR(IF(J787="","",SUM(J787:J790)),0)</f>
        <v/>
      </c>
      <c r="K791" s="1"/>
      <c r="L791" s="424"/>
      <c r="M791" s="427"/>
      <c r="N791" s="426"/>
      <c r="O791" s="427"/>
      <c r="P791" s="431"/>
      <c r="Q791" s="432"/>
      <c r="R791" s="429" t="str">
        <f>IFERROR(IF(R787="","",SUM(R787:R790)),0)</f>
        <v/>
      </c>
      <c r="T791" s="424"/>
      <c r="U791" s="427"/>
      <c r="V791" s="426"/>
      <c r="W791" s="427"/>
      <c r="X791" s="431"/>
      <c r="Y791" s="432"/>
      <c r="Z791" s="429" t="str">
        <f>IFERROR(IF(Z787="","",SUM(Z787:Z790)),0)</f>
        <v/>
      </c>
    </row>
    <row r="792" spans="1:26" ht="18.75" customHeight="1">
      <c r="A792" s="140"/>
      <c r="B792" s="140"/>
      <c r="D792" s="177" t="s">
        <v>243</v>
      </c>
      <c r="E792" s="433"/>
      <c r="F792" s="436"/>
      <c r="G792" s="435"/>
      <c r="H792" s="436"/>
      <c r="I792" s="432"/>
      <c r="J792" s="437" t="str">
        <f ca="1">IF(J791="","",J791*12)</f>
        <v/>
      </c>
      <c r="K792" s="1"/>
      <c r="L792" s="433"/>
      <c r="M792" s="436"/>
      <c r="N792" s="435"/>
      <c r="O792" s="436"/>
      <c r="P792" s="432"/>
      <c r="Q792" s="432"/>
      <c r="R792" s="437" t="str">
        <f>IF(R791="","",R791*12)</f>
        <v/>
      </c>
      <c r="T792" s="433"/>
      <c r="U792" s="436"/>
      <c r="V792" s="435"/>
      <c r="W792" s="436"/>
      <c r="X792" s="432"/>
      <c r="Y792" s="432"/>
      <c r="Z792" s="437" t="str">
        <f>IF(Z791="","",Z791*12)</f>
        <v/>
      </c>
    </row>
    <row r="793" spans="1:26" ht="18" customHeight="1">
      <c r="A793" s="140"/>
      <c r="B793" s="140"/>
      <c r="D793" s="177" t="s">
        <v>244</v>
      </c>
      <c r="E793" s="433"/>
      <c r="F793" s="436"/>
      <c r="G793" s="435"/>
      <c r="H793" s="436"/>
      <c r="I793" s="432"/>
      <c r="J793" s="437" t="str">
        <f ca="1">IFERROR(IF(J792="","",R792-J792),0)</f>
        <v/>
      </c>
      <c r="K793" s="1"/>
      <c r="L793" s="433"/>
      <c r="M793" s="436"/>
      <c r="N793" s="435"/>
      <c r="O793" s="436"/>
      <c r="P793" s="432"/>
      <c r="Q793" s="432"/>
      <c r="R793" s="437" t="str">
        <f ca="1">IFERROR(IF(J792="","",R792-J792),0)</f>
        <v/>
      </c>
      <c r="T793" s="433"/>
      <c r="U793" s="436"/>
      <c r="V793" s="435"/>
      <c r="W793" s="436"/>
      <c r="X793" s="432"/>
      <c r="Y793" s="432"/>
      <c r="Z793" s="437" t="str">
        <f>IFERROR(IF(R792="","",Z792-R792),0)</f>
        <v/>
      </c>
    </row>
    <row r="794" spans="1:26" ht="18" customHeight="1" thickBot="1">
      <c r="A794" s="140"/>
      <c r="B794" s="140"/>
      <c r="D794" s="180" t="s">
        <v>245</v>
      </c>
      <c r="E794" s="439"/>
      <c r="F794" s="440"/>
      <c r="G794" s="441"/>
      <c r="H794" s="440"/>
      <c r="I794" s="442"/>
      <c r="J794" s="437" t="str">
        <f ca="1">IFERROR(IF(J792="","",(R792/J792)-1),0)</f>
        <v/>
      </c>
      <c r="K794" s="1"/>
      <c r="L794" s="439"/>
      <c r="M794" s="440"/>
      <c r="N794" s="441"/>
      <c r="O794" s="440"/>
      <c r="P794" s="445"/>
      <c r="Q794" s="445"/>
      <c r="R794" s="446" t="str">
        <f ca="1">IFERROR(IF(J792="","",(R792/J792)-1),0)</f>
        <v/>
      </c>
      <c r="T794" s="439"/>
      <c r="U794" s="440"/>
      <c r="V794" s="441"/>
      <c r="W794" s="440"/>
      <c r="X794" s="445"/>
      <c r="Y794" s="445"/>
      <c r="Z794" s="446" t="str">
        <f>IFERROR(IF(R792="","",(Z792/R792)-1),0)</f>
        <v/>
      </c>
    </row>
    <row r="795" spans="1:26" ht="5.25" customHeight="1" thickBot="1">
      <c r="A795" s="140"/>
      <c r="B795" s="140"/>
      <c r="D795" s="229"/>
      <c r="E795" s="229"/>
      <c r="F795" s="230"/>
      <c r="G795" s="231"/>
      <c r="H795" s="232"/>
      <c r="I795" s="233"/>
      <c r="J795" s="233"/>
      <c r="K795"/>
      <c r="L795" s="233"/>
      <c r="M795" s="233"/>
      <c r="N795" s="233"/>
      <c r="O795" s="233"/>
      <c r="P795" s="233"/>
      <c r="Q795" s="233"/>
      <c r="R795" s="233"/>
      <c r="T795" s="233"/>
      <c r="U795" s="233"/>
      <c r="V795" s="233"/>
      <c r="W795" s="233"/>
      <c r="X795" s="233"/>
      <c r="Y795" s="233"/>
      <c r="Z795" s="233"/>
    </row>
    <row r="796" spans="1:26" ht="50.15" customHeight="1">
      <c r="A796" s="140">
        <v>4</v>
      </c>
      <c r="B796" s="140">
        <f>IF(A796&gt;Class3_CurrentVisionCount,"DELETE",Class3_CurrentVisionStart+A796)</f>
        <v>26</v>
      </c>
      <c r="C796" s="164" t="s">
        <v>303</v>
      </c>
      <c r="D796" s="273" t="e">
        <f ca="1">IF(B796="Delete","",VLOOKUP(F796,BEGIN_CURRENT_VISION:END_CURRENT_VISION,3,FALSE))</f>
        <v>#N/A</v>
      </c>
      <c r="E796" s="165"/>
      <c r="F796" s="272" cm="1">
        <f t="array" ca="1" aca="1" ref="F796">IF(B796="Delete","",INDIRECT("CurrentPlans!A"&amp;B796,TRUE))</f>
        <v>0</v>
      </c>
      <c r="G796" s="166"/>
      <c r="H796" s="167"/>
      <c r="I796" s="168"/>
      <c r="J796" s="169"/>
      <c r="K796"/>
      <c r="L796" s="274" t="str">
        <f ca="1">_xlfn.IFNA(VLOOKUP(F796,BEGIN_RENEWEDFROM_DENTAL:ROW_RenewDental_PlanID,3,FALSE),"SELECT PLAN")</f>
        <v>SELECT PLAN</v>
      </c>
      <c r="M796" s="170"/>
      <c r="N796" s="274" t="s">
        <v>237</v>
      </c>
      <c r="O796" s="171"/>
      <c r="P796" s="171"/>
      <c r="Q796" s="171"/>
      <c r="R796" s="169"/>
      <c r="T796" s="274" t="s">
        <v>38</v>
      </c>
      <c r="U796" s="170"/>
      <c r="V796" s="274" t="s">
        <v>237</v>
      </c>
      <c r="W796" s="171"/>
      <c r="X796" s="171"/>
      <c r="Y796" s="171"/>
      <c r="Z796" s="169"/>
    </row>
    <row r="797" spans="1:26" ht="18.75" customHeight="1">
      <c r="A797" s="140"/>
      <c r="B797" s="140"/>
      <c r="D797" s="172" t="s">
        <v>238</v>
      </c>
      <c r="E797" s="407" t="str">
        <f ca="1">_xlfn.IFNA(VLOOKUP(F796,BEGIN_CURRENT_VISION:END_CURRENT_VISION,CURRENT_COL_EO_count,FALSE),"")</f>
        <v/>
      </c>
      <c r="F797" s="408" t="str">
        <f ca="1">_xlfn.IFNA(VLOOKUP(F796,BEGIN_CURRENT_VISION:END_CURRENT_VISION,CURRENT_COL_EO,FALSE),"")</f>
        <v/>
      </c>
      <c r="G797" s="468" t="str">
        <f ca="1" t="shared" si="128" ref="G797:G800">IF(F797="","",H797/F797)</f>
        <v/>
      </c>
      <c r="H797" s="408" t="str">
        <f ca="1">_xlfn.IFNA(VLOOKUP(F796,BEGIN_CURRENT_VISION:END_CURRENT_VISION,CURRENT_COL_EOContrib,FALSE),"")</f>
        <v/>
      </c>
      <c r="I797" s="409" t="str">
        <f ca="1">IFERROR(F797-H797,"")</f>
        <v/>
      </c>
      <c r="J797" s="410" t="str">
        <f ca="1">IF(F797="","",H797*E797)</f>
        <v/>
      </c>
      <c r="K797" s="411"/>
      <c r="L797" s="408" t="str" cm="1">
        <f t="array" ca="1" aca="1" ref="L797">_xlfn.IFNA(VLOOKUP(INDIRECT("L"&amp;ROW()-1)&amp;"_"&amp;$D$12,BEGIN_Renew_Vision:END_RENEW_VISION,RENEW_COL_EO,FALSE),"")</f>
        <v/>
      </c>
      <c r="M797" s="412" t="str">
        <f ca="1">IF(E797="","",E797)</f>
        <v/>
      </c>
      <c r="N797" s="413"/>
      <c r="O797" s="414"/>
      <c r="P797" s="415" t="str">
        <f>IFERROR(IF($N796="Keep Contribution Same",H797,IF($N796="Enter Percentages",IF(N797="","",N797*L797),IF($N796="Keep Percentage Same",IF(G797="","",G797*L797),IF($N796="Enter Dollar Amount",IF(O797="","",O797),"")))),"")</f>
        <v/>
      </c>
      <c r="Q797" s="408" t="str">
        <f ca="1">IFERROR(L797-P797,"")</f>
        <v/>
      </c>
      <c r="R797" s="410" t="str">
        <f>IFERROR(IF(P797="","",M797*P797),"")</f>
        <v/>
      </c>
      <c r="S797" s="411"/>
      <c r="T797" s="408" t="str" cm="1">
        <f t="array" ca="1" aca="1" ref="T797">_xlfn.IFNA(VLOOKUP(INDIRECT("T"&amp;ROW()-1)&amp;"_"&amp;$D$12,BEGIN_Renew_Vision:END_RENEW_VISION,RENEW_COL_EO,FALSE),"")</f>
        <v/>
      </c>
      <c r="U797" s="412" t="str">
        <f ca="1">IF(E797="","",E797)</f>
        <v/>
      </c>
      <c r="V797" s="413"/>
      <c r="W797" s="414"/>
      <c r="X797" s="415" t="str">
        <f>IFERROR(IF($V796="Keep Contribution Same",H797,IF($V796="Enter Percentages",IF(V797="","",V797*T797),IF($V796="Keep Percentage Same",IF(G797="","",G797*T797),IF($V796="Enter Dollar Amount",IF(W797="","",W797),"")))),"")</f>
        <v/>
      </c>
      <c r="Y797" s="408" t="str">
        <f ca="1">IFERROR(T797-X797,"")</f>
        <v/>
      </c>
      <c r="Z797" s="410" t="str">
        <f>IFERROR(IF(X797="","",U797*X797),"")</f>
        <v/>
      </c>
    </row>
    <row r="798" spans="1:26" ht="18.75" customHeight="1">
      <c r="A798" s="140"/>
      <c r="B798" s="140"/>
      <c r="D798" s="172" t="s">
        <v>239</v>
      </c>
      <c r="E798" s="407" t="str">
        <f ca="1">_xlfn.IFNA(VLOOKUP(F796,BEGIN_CURRENT_VISION:END_CURRENT_VISION,CURRENT_COL_ES_count,FALSE),"")</f>
        <v/>
      </c>
      <c r="F798" s="408" t="str">
        <f ca="1">_xlfn.IFNA(VLOOKUP(F796,BEGIN_CURRENT_VISION:END_CURRENT_VISION,CURRENT_COL_ES,FALSE),"")</f>
        <v/>
      </c>
      <c r="G798" s="468" t="str">
        <f t="shared" ca="1" si="128"/>
        <v/>
      </c>
      <c r="H798" s="408" t="str">
        <f ca="1">_xlfn.IFNA(VLOOKUP(F796,BEGIN_CURRENT_VISION:END_CURRENT_VISION,CURRENT_COL_ESContrib,FALSE),"")</f>
        <v/>
      </c>
      <c r="I798" s="409" t="str">
        <f ca="1" t="shared" si="129" ref="I798:I800">IFERROR(F798-H798,"")</f>
        <v/>
      </c>
      <c r="J798" s="410" t="str">
        <f ca="1" t="shared" si="130" ref="J798:J800">IF(F798="","",H798*E798)</f>
        <v/>
      </c>
      <c r="K798" s="411"/>
      <c r="L798" s="408" t="str" cm="1">
        <f t="array" ca="1" aca="1" ref="L798">_xlfn.IFNA(VLOOKUP(INDIRECT("L"&amp;ROW()-2)&amp;"_"&amp;$D$12,BEGIN_Renew_Vision:END_RENEW_VISION,RENEW_COL_ES,FALSE),"")</f>
        <v/>
      </c>
      <c r="M798" s="412" t="str">
        <f ca="1">IF(E798="","",E798)</f>
        <v/>
      </c>
      <c r="N798" s="413"/>
      <c r="O798" s="414"/>
      <c r="P798" s="415" t="str">
        <f>IFERROR(IF($N796="Keep Contribution Same",H798,IF($N796="Enter Percentages",IF(N798="","",N798*L798),IF($N796="Keep Percentage Same",IF(G798="","",G798*L798),IF($N796="Enter Dollar Amount",IF(O798="","",O798),"")))),"")</f>
        <v/>
      </c>
      <c r="Q798" s="408" t="str">
        <f ca="1" t="shared" si="131" ref="Q798:Q800">IFERROR(L798-P798,"")</f>
        <v/>
      </c>
      <c r="R798" s="410" t="str">
        <f>IFERROR(IF(P798="","",M798*P798),"")</f>
        <v/>
      </c>
      <c r="S798" s="411"/>
      <c r="T798" s="408" t="str" cm="1">
        <f t="array" ca="1" aca="1" ref="T798">_xlfn.IFNA(VLOOKUP(INDIRECT("T"&amp;ROW()-2)&amp;"_"&amp;$D$12,BEGIN_Renew_Vision:END_RENEW_VISION,RENEW_COL_ES,FALSE),"")</f>
        <v/>
      </c>
      <c r="U798" s="412" t="str">
        <f ca="1" t="shared" si="132" ref="U798:U800">IF(E798="","",E798)</f>
        <v/>
      </c>
      <c r="V798" s="413"/>
      <c r="W798" s="414"/>
      <c r="X798" s="415" t="str">
        <f>IFERROR(IF($V796="Keep Contribution Same",H798,IF($V796="Enter Percentages",IF(V798="","",V798*T798),IF($V796="Keep Percentage Same",IF(G798="","",G798*T798),IF($V796="Enter Dollar Amount",IF(W798="","",W798),"")))),"")</f>
        <v/>
      </c>
      <c r="Y798" s="408" t="str">
        <f ca="1" t="shared" si="133" ref="Y798:Y800">IFERROR(T798-X798,"")</f>
        <v/>
      </c>
      <c r="Z798" s="410" t="str">
        <f t="shared" si="134" ref="Z798:Z800">IFERROR(IF(X798="","",U798*X798),"")</f>
        <v/>
      </c>
    </row>
    <row r="799" spans="1:26" ht="18.75" customHeight="1">
      <c r="A799" s="140"/>
      <c r="B799" s="140"/>
      <c r="D799" s="172" t="s">
        <v>240</v>
      </c>
      <c r="E799" s="407" t="str">
        <f ca="1">_xlfn.IFNA(VLOOKUP(F796,BEGIN_CURRENT_VISION:END_CURRENT_VISION,CURRENT_COL_EC_count,FALSE),"")</f>
        <v/>
      </c>
      <c r="F799" s="408" t="str">
        <f ca="1">_xlfn.IFNA(VLOOKUP(F796,BEGIN_CURRENT_VISION:END_CURRENT_VISION,CURRENT_COL_EC,FALSE),"")</f>
        <v/>
      </c>
      <c r="G799" s="468" t="str">
        <f t="shared" ca="1" si="128"/>
        <v/>
      </c>
      <c r="H799" s="408" t="str">
        <f ca="1">_xlfn.IFNA(VLOOKUP(F796,BEGIN_CURRENT_VISION:END_CURRENT_VISION,CURRENT_COL_ECContrib,FALSE),"")</f>
        <v/>
      </c>
      <c r="I799" s="409" t="str">
        <f t="shared" ca="1" si="129"/>
        <v/>
      </c>
      <c r="J799" s="410" t="str">
        <f t="shared" ca="1" si="130"/>
        <v/>
      </c>
      <c r="K799" s="411"/>
      <c r="L799" s="408" t="str" cm="1">
        <f t="array" ca="1" aca="1" ref="L799">_xlfn.IFNA(VLOOKUP(INDIRECT("L"&amp;ROW()-3)&amp;"_"&amp;$D$12,BEGIN_Renew_Vision:END_RENEW_VISION,RENEW_COL_EC,FALSE),"")</f>
        <v/>
      </c>
      <c r="M799" s="412" t="str">
        <f ca="1">IF(E799="","",E799)</f>
        <v/>
      </c>
      <c r="N799" s="413"/>
      <c r="O799" s="414"/>
      <c r="P799" s="415" t="str">
        <f>IFERROR(IF($N796="Keep Contribution Same",H799,IF($N796="Enter Percentages",IF(N799="","",N799*L799),IF($N796="Keep Percentage Same",IF(G799="","",G799*L799),IF($N796="Enter Dollar Amount",IF(O799="","",O799),"")))),"")</f>
        <v/>
      </c>
      <c r="Q799" s="408" t="str">
        <f t="shared" ca="1" si="131"/>
        <v/>
      </c>
      <c r="R799" s="410" t="str">
        <f>IFERROR(IF(P799="","",M799*P799),"")</f>
        <v/>
      </c>
      <c r="S799" s="411"/>
      <c r="T799" s="408" t="str" cm="1">
        <f t="array" ca="1" aca="1" ref="T799">_xlfn.IFNA(VLOOKUP(INDIRECT("T"&amp;ROW()-3)&amp;"_"&amp;$D$12,BEGIN_Renew_Vision:END_RENEW_VISION,RENEW_COL_EC,FALSE),"")</f>
        <v/>
      </c>
      <c r="U799" s="412" t="str">
        <f t="shared" ca="1" si="132"/>
        <v/>
      </c>
      <c r="V799" s="413"/>
      <c r="W799" s="414"/>
      <c r="X799" s="415" t="str">
        <f>IFERROR(IF($V796="Keep Contribution Same",H799,IF($V796="Enter Percentages",IF(V799="","",V799*T799),IF($V796="Keep Percentage Same",IF(G799="","",G799*T799),IF($V796="Enter Dollar Amount",IF(W799="","",W799),"")))),"")</f>
        <v/>
      </c>
      <c r="Y799" s="408" t="str">
        <f t="shared" ca="1" si="133"/>
        <v/>
      </c>
      <c r="Z799" s="410" t="str">
        <f t="shared" si="134"/>
        <v/>
      </c>
    </row>
    <row r="800" spans="1:26" ht="18.75" customHeight="1" thickBot="1">
      <c r="A800" s="140"/>
      <c r="B800" s="140"/>
      <c r="D800" s="174" t="s">
        <v>241</v>
      </c>
      <c r="E800" s="416" t="str">
        <f ca="1">_xlfn.IFNA(VLOOKUP(F796,BEGIN_CURRENT_VISION:END_CURRENT_VISION,CURRENT_COL_FAM_count,FALSE),"")</f>
        <v/>
      </c>
      <c r="F800" s="417" t="str">
        <f ca="1">_xlfn.IFNA(VLOOKUP(F796,BEGIN_CURRENT_VISION:END_CURRENT_VISION,CURRENT_COL_FAM,FALSE),"")</f>
        <v/>
      </c>
      <c r="G800" s="469" t="str">
        <f t="shared" ca="1" si="128"/>
        <v/>
      </c>
      <c r="H800" s="417" t="str">
        <f ca="1">_xlfn.IFNA(VLOOKUP(F796,BEGIN_CURRENT_VISION:END_CURRENT_VISION,CURRENT_COL_FAMContrib,FALSE),"")</f>
        <v/>
      </c>
      <c r="I800" s="409" t="str">
        <f t="shared" ca="1" si="129"/>
        <v/>
      </c>
      <c r="J800" s="410" t="str">
        <f t="shared" ca="1" si="130"/>
        <v/>
      </c>
      <c r="K800" s="411"/>
      <c r="L800" s="417" t="str" cm="1">
        <f t="array" ca="1" aca="1" ref="L800">_xlfn.IFNA(VLOOKUP(INDIRECT("L"&amp;ROW()-4)&amp;"_"&amp;$D$12,BEGIN_Renew_Vision:END_RENEW_VISION,RENEW_COL_FAM,FALSE),"")</f>
        <v/>
      </c>
      <c r="M800" s="423" t="str">
        <f ca="1">IF(E800="","",E800)</f>
        <v/>
      </c>
      <c r="N800" s="420"/>
      <c r="O800" s="421"/>
      <c r="P800" s="422" t="str">
        <f>IFERROR(IF($N796="Keep Contribution Same",H800,IF($N796="Enter Percentages",IF(N800="","",N800*L800),IF($N796="Keep Percentage Same",IF(G800="","",G800*L800),IF($N796="Enter Dollar Amount",IF(O800="","",O800),"")))),"")</f>
        <v/>
      </c>
      <c r="Q800" s="417" t="str">
        <f t="shared" ca="1" si="131"/>
        <v/>
      </c>
      <c r="R800" s="419" t="str">
        <f>IFERROR(IF(P800="","",M800*P800),"")</f>
        <v/>
      </c>
      <c r="S800" s="411"/>
      <c r="T800" s="417" t="str" cm="1">
        <f t="array" ca="1" aca="1" ref="T800">_xlfn.IFNA(VLOOKUP(INDIRECT("T"&amp;ROW()-4)&amp;"_"&amp;$D$12,BEGIN_Renew_Vision:END_RENEW_VISION,RENEW_COL_FAM,FALSE),"")</f>
        <v/>
      </c>
      <c r="U800" s="423" t="str">
        <f t="shared" ca="1" si="132"/>
        <v/>
      </c>
      <c r="V800" s="420"/>
      <c r="W800" s="421"/>
      <c r="X800" s="422" t="str">
        <f>IFERROR(IF($V796="Keep Contribution Same",H800,IF($V796="Enter Percentages",IF(V800="","",V800*T800),IF($V796="Keep Percentage Same",IF(G800="","",G800*T800),IF($V796="Enter Dollar Amount",IF(W800="","",W800),"")))),"")</f>
        <v/>
      </c>
      <c r="Y800" s="417" t="str">
        <f t="shared" ca="1" si="133"/>
        <v/>
      </c>
      <c r="Z800" s="419" t="str">
        <f t="shared" si="134"/>
        <v/>
      </c>
    </row>
    <row r="801" spans="1:26" ht="18.75" customHeight="1" thickTop="1">
      <c r="A801" s="140"/>
      <c r="B801" s="140"/>
      <c r="D801" s="175" t="s">
        <v>329</v>
      </c>
      <c r="E801" s="424"/>
      <c r="F801" s="427"/>
      <c r="G801" s="426"/>
      <c r="H801" s="427"/>
      <c r="I801" s="428"/>
      <c r="J801" s="429" t="str">
        <f ca="1">IFERROR(IF(J797="","",SUM(J797:J800)),0)</f>
        <v/>
      </c>
      <c r="K801" s="1"/>
      <c r="L801" s="424"/>
      <c r="M801" s="427"/>
      <c r="N801" s="426"/>
      <c r="O801" s="427"/>
      <c r="P801" s="431"/>
      <c r="Q801" s="432"/>
      <c r="R801" s="429" t="str">
        <f>IFERROR(IF(R797="","",SUM(R797:R800)),0)</f>
        <v/>
      </c>
      <c r="T801" s="424"/>
      <c r="U801" s="427"/>
      <c r="V801" s="426"/>
      <c r="W801" s="427"/>
      <c r="X801" s="431"/>
      <c r="Y801" s="432"/>
      <c r="Z801" s="429" t="str">
        <f>IFERROR(IF(Z797="","",SUM(Z797:Z800)),0)</f>
        <v/>
      </c>
    </row>
    <row r="802" spans="1:26" ht="18.75" customHeight="1">
      <c r="A802" s="140"/>
      <c r="B802" s="140"/>
      <c r="D802" s="177" t="s">
        <v>243</v>
      </c>
      <c r="E802" s="433"/>
      <c r="F802" s="436"/>
      <c r="G802" s="435"/>
      <c r="H802" s="436"/>
      <c r="I802" s="432"/>
      <c r="J802" s="437" t="str">
        <f ca="1">IF(J801="","",J801*12)</f>
        <v/>
      </c>
      <c r="K802" s="1"/>
      <c r="L802" s="433"/>
      <c r="M802" s="436"/>
      <c r="N802" s="435"/>
      <c r="O802" s="436"/>
      <c r="P802" s="432"/>
      <c r="Q802" s="432"/>
      <c r="R802" s="437" t="str">
        <f>IF(R801="","",R801*12)</f>
        <v/>
      </c>
      <c r="T802" s="433"/>
      <c r="U802" s="436"/>
      <c r="V802" s="435"/>
      <c r="W802" s="436"/>
      <c r="X802" s="432"/>
      <c r="Y802" s="432"/>
      <c r="Z802" s="437" t="str">
        <f>IF(Z801="","",Z801*12)</f>
        <v/>
      </c>
    </row>
    <row r="803" spans="1:26" ht="18" customHeight="1">
      <c r="A803" s="140"/>
      <c r="B803" s="140"/>
      <c r="D803" s="177" t="s">
        <v>244</v>
      </c>
      <c r="E803" s="433"/>
      <c r="F803" s="436"/>
      <c r="G803" s="435"/>
      <c r="H803" s="436"/>
      <c r="I803" s="432"/>
      <c r="J803" s="437" t="str">
        <f ca="1">IFERROR(IF(J802="","",R802-J802),0)</f>
        <v/>
      </c>
      <c r="K803" s="1"/>
      <c r="L803" s="433"/>
      <c r="M803" s="436"/>
      <c r="N803" s="435"/>
      <c r="O803" s="436"/>
      <c r="P803" s="432"/>
      <c r="Q803" s="432"/>
      <c r="R803" s="437" t="str">
        <f ca="1">IFERROR(IF(J802="","",R802-J802),0)</f>
        <v/>
      </c>
      <c r="T803" s="433"/>
      <c r="U803" s="436"/>
      <c r="V803" s="435"/>
      <c r="W803" s="436"/>
      <c r="X803" s="432"/>
      <c r="Y803" s="432"/>
      <c r="Z803" s="437" t="str">
        <f>IFERROR(IF(R802="","",Z802-R802),0)</f>
        <v/>
      </c>
    </row>
    <row r="804" spans="1:26" ht="18" customHeight="1" thickBot="1">
      <c r="A804" s="140"/>
      <c r="B804" s="140"/>
      <c r="D804" s="180" t="s">
        <v>245</v>
      </c>
      <c r="E804" s="439"/>
      <c r="F804" s="440"/>
      <c r="G804" s="441"/>
      <c r="H804" s="440"/>
      <c r="I804" s="442"/>
      <c r="J804" s="437" t="str">
        <f ca="1">IFERROR(IF(J802="","",(R802/J802)-1),0)</f>
        <v/>
      </c>
      <c r="K804" s="1"/>
      <c r="L804" s="439"/>
      <c r="M804" s="440"/>
      <c r="N804" s="441"/>
      <c r="O804" s="440"/>
      <c r="P804" s="445"/>
      <c r="Q804" s="445"/>
      <c r="R804" s="446" t="str">
        <f ca="1">IFERROR(IF(J802="","",(R802/J802)-1),0)</f>
        <v/>
      </c>
      <c r="T804" s="439"/>
      <c r="U804" s="440"/>
      <c r="V804" s="441"/>
      <c r="W804" s="440"/>
      <c r="X804" s="445"/>
      <c r="Y804" s="445"/>
      <c r="Z804" s="446" t="str">
        <f>IFERROR(IF(R802="","",(Z802/R802)-1),0)</f>
        <v/>
      </c>
    </row>
    <row r="805" spans="1:26" ht="5.25" customHeight="1" thickBot="1">
      <c r="A805" s="140"/>
      <c r="B805" s="140"/>
      <c r="D805" s="229"/>
      <c r="E805" s="229"/>
      <c r="F805" s="230"/>
      <c r="G805" s="231"/>
      <c r="H805" s="232"/>
      <c r="I805" s="233"/>
      <c r="J805" s="233"/>
      <c r="K805"/>
      <c r="L805" s="233"/>
      <c r="M805" s="233"/>
      <c r="N805" s="233"/>
      <c r="O805" s="233"/>
      <c r="P805" s="233"/>
      <c r="Q805" s="233"/>
      <c r="R805" s="233"/>
      <c r="T805" s="233"/>
      <c r="U805" s="233"/>
      <c r="V805" s="233"/>
      <c r="W805" s="233"/>
      <c r="X805" s="233"/>
      <c r="Y805" s="233"/>
      <c r="Z805" s="233"/>
    </row>
    <row r="806" spans="1:26" ht="50.15" customHeight="1">
      <c r="A806" s="140">
        <v>5</v>
      </c>
      <c r="B806" s="140" t="str">
        <f>IF(A806&gt;Class3_CurrentVisionCount,"DELETE",Class3_CurrentVisionStart+A806)</f>
        <v>DELETE</v>
      </c>
      <c r="C806" s="164" t="s">
        <v>304</v>
      </c>
      <c r="D806" s="273" t="str">
        <f>IF(B806="Delete","",VLOOKUP(F806,BEGIN_CURRENT_VISION:END_CURRENT_VISION,3,FALSE))</f>
        <v/>
      </c>
      <c r="E806" s="165"/>
      <c r="F806" s="272" t="str" cm="1">
        <f t="array" ca="1" aca="1" ref="F806">IF(B806="Delete","",INDIRECT("CurrentPlans!A"&amp;B806,TRUE))</f>
        <v/>
      </c>
      <c r="G806" s="166"/>
      <c r="H806" s="167"/>
      <c r="I806" s="168"/>
      <c r="J806" s="169"/>
      <c r="K806"/>
      <c r="L806" s="274" t="str">
        <f ca="1">_xlfn.IFNA(VLOOKUP(F806,BEGIN_RENEWEDFROM_DENTAL:ROW_RenewDental_PlanID,3,FALSE),"SELECT PLAN")</f>
        <v>SELECT PLAN</v>
      </c>
      <c r="M806" s="170"/>
      <c r="N806" s="274" t="s">
        <v>237</v>
      </c>
      <c r="O806" s="171"/>
      <c r="P806" s="171"/>
      <c r="Q806" s="171"/>
      <c r="R806" s="169"/>
      <c r="T806" s="274" t="s">
        <v>38</v>
      </c>
      <c r="U806" s="170"/>
      <c r="V806" s="274" t="s">
        <v>237</v>
      </c>
      <c r="W806" s="171"/>
      <c r="X806" s="171"/>
      <c r="Y806" s="171"/>
      <c r="Z806" s="169"/>
    </row>
    <row r="807" spans="1:26" ht="18.75" customHeight="1">
      <c r="A807" s="140"/>
      <c r="B807" s="140"/>
      <c r="D807" s="172" t="s">
        <v>238</v>
      </c>
      <c r="E807" s="407" t="str">
        <f ca="1">_xlfn.IFNA(VLOOKUP(F806,BEGIN_CURRENT_VISION:END_CURRENT_VISION,CURRENT_COL_EO_count,FALSE),"")</f>
        <v/>
      </c>
      <c r="F807" s="408" t="str">
        <f ca="1">_xlfn.IFNA(VLOOKUP(F806,BEGIN_CURRENT_VISION:END_CURRENT_VISION,CURRENT_COL_EO,FALSE),"")</f>
        <v/>
      </c>
      <c r="G807" s="468" t="str">
        <f ca="1" t="shared" si="135" ref="G807:G810">IF(F807="","",H807/F807)</f>
        <v/>
      </c>
      <c r="H807" s="408" t="str">
        <f ca="1">_xlfn.IFNA(VLOOKUP(F806,BEGIN_CURRENT_VISION:END_CURRENT_VISION,CURRENT_COL_EOContrib,FALSE),"")</f>
        <v/>
      </c>
      <c r="I807" s="409" t="str">
        <f ca="1">IFERROR(F807-H807,"")</f>
        <v/>
      </c>
      <c r="J807" s="410" t="str">
        <f ca="1">IF(F807="","",H807*E807)</f>
        <v/>
      </c>
      <c r="K807" s="411"/>
      <c r="L807" s="408" t="str" cm="1">
        <f t="array" ca="1" aca="1" ref="L807">_xlfn.IFNA(VLOOKUP(INDIRECT("L"&amp;ROW()-1)&amp;"_"&amp;$D$12,BEGIN_Renew_Vision:END_RENEW_VISION,RENEW_COL_EO,FALSE),"")</f>
        <v/>
      </c>
      <c r="M807" s="412" t="str">
        <f ca="1">IF(E807="","",E807)</f>
        <v/>
      </c>
      <c r="N807" s="413"/>
      <c r="O807" s="414"/>
      <c r="P807" s="415" t="str">
        <f>IFERROR(IF($N806="Keep Contribution Same",H807,IF($N806="Enter Percentages",IF(N807="","",N807*L807),IF($N806="Keep Percentage Same",IF(G807="","",G807*L807),IF($N806="Enter Dollar Amount",IF(O807="","",O807),"")))),"")</f>
        <v/>
      </c>
      <c r="Q807" s="408" t="str">
        <f ca="1">IFERROR(L807-P807,"")</f>
        <v/>
      </c>
      <c r="R807" s="410" t="str">
        <f>IFERROR(IF(P807="","",M807*P807),"")</f>
        <v/>
      </c>
      <c r="S807" s="411"/>
      <c r="T807" s="408" t="str" cm="1">
        <f t="array" ca="1" aca="1" ref="T807">_xlfn.IFNA(VLOOKUP(INDIRECT("T"&amp;ROW()-1)&amp;"_"&amp;$D$12,BEGIN_Renew_Vision:END_RENEW_VISION,RENEW_COL_EO,FALSE),"")</f>
        <v/>
      </c>
      <c r="U807" s="412" t="str">
        <f ca="1">IF(E807="","",E807)</f>
        <v/>
      </c>
      <c r="V807" s="413"/>
      <c r="W807" s="414"/>
      <c r="X807" s="415" t="str">
        <f>IFERROR(IF($V806="Keep Contribution Same",H807,IF($V806="Enter Percentages",IF(V807="","",V807*T807),IF($V806="Keep Percentage Same",IF(G807="","",G807*T807),IF($V806="Enter Dollar Amount",IF(W807="","",W807),"")))),"")</f>
        <v/>
      </c>
      <c r="Y807" s="408" t="str">
        <f ca="1">IFERROR(T807-X807,"")</f>
        <v/>
      </c>
      <c r="Z807" s="410" t="str">
        <f>IFERROR(IF(X807="","",U807*X807),"")</f>
        <v/>
      </c>
    </row>
    <row r="808" spans="1:26" ht="18.75" customHeight="1">
      <c r="A808" s="140"/>
      <c r="B808" s="140"/>
      <c r="D808" s="172" t="s">
        <v>239</v>
      </c>
      <c r="E808" s="407" t="str">
        <f ca="1">_xlfn.IFNA(VLOOKUP(F806,BEGIN_CURRENT_VISION:END_CURRENT_VISION,CURRENT_COL_ES_count,FALSE),"")</f>
        <v/>
      </c>
      <c r="F808" s="408" t="str">
        <f ca="1">_xlfn.IFNA(VLOOKUP(F806,BEGIN_CURRENT_VISION:END_CURRENT_VISION,CURRENT_COL_ES,FALSE),"")</f>
        <v/>
      </c>
      <c r="G808" s="468" t="str">
        <f t="shared" ca="1" si="135"/>
        <v/>
      </c>
      <c r="H808" s="408" t="str">
        <f ca="1">_xlfn.IFNA(VLOOKUP(F806,BEGIN_CURRENT_VISION:END_CURRENT_VISION,CURRENT_COL_ESContrib,FALSE),"")</f>
        <v/>
      </c>
      <c r="I808" s="409" t="str">
        <f ca="1" t="shared" si="136" ref="I808:I810">IFERROR(F808-H808,"")</f>
        <v/>
      </c>
      <c r="J808" s="410" t="str">
        <f ca="1" t="shared" si="137" ref="J808:J810">IF(F808="","",H808*E808)</f>
        <v/>
      </c>
      <c r="K808" s="411"/>
      <c r="L808" s="408" t="str" cm="1">
        <f t="array" ca="1" aca="1" ref="L808">_xlfn.IFNA(VLOOKUP(INDIRECT("L"&amp;ROW()-2)&amp;"_"&amp;$D$12,BEGIN_Renew_Vision:END_RENEW_VISION,RENEW_COL_ES,FALSE),"")</f>
        <v/>
      </c>
      <c r="M808" s="412" t="str">
        <f ca="1">IF(E808="","",E808)</f>
        <v/>
      </c>
      <c r="N808" s="413"/>
      <c r="O808" s="414"/>
      <c r="P808" s="415" t="str">
        <f>IFERROR(IF($N806="Keep Contribution Same",H808,IF($N806="Enter Percentages",IF(N808="","",N808*L808),IF($N806="Keep Percentage Same",IF(G808="","",G808*L808),IF($N806="Enter Dollar Amount",IF(O808="","",O808),"")))),"")</f>
        <v/>
      </c>
      <c r="Q808" s="408" t="str">
        <f ca="1" t="shared" si="138" ref="Q808:Q810">IFERROR(L808-P808,"")</f>
        <v/>
      </c>
      <c r="R808" s="410" t="str">
        <f>IFERROR(IF(P808="","",M808*P808),"")</f>
        <v/>
      </c>
      <c r="S808" s="411"/>
      <c r="T808" s="408" t="str" cm="1">
        <f t="array" ca="1" aca="1" ref="T808">_xlfn.IFNA(VLOOKUP(INDIRECT("T"&amp;ROW()-2)&amp;"_"&amp;$D$12,BEGIN_Renew_Vision:END_RENEW_VISION,RENEW_COL_ES,FALSE),"")</f>
        <v/>
      </c>
      <c r="U808" s="412" t="str">
        <f ca="1" t="shared" si="139" ref="U808:U810">IF(E808="","",E808)</f>
        <v/>
      </c>
      <c r="V808" s="413"/>
      <c r="W808" s="414"/>
      <c r="X808" s="415" t="str">
        <f>IFERROR(IF($V806="Keep Contribution Same",H808,IF($V806="Enter Percentages",IF(V808="","",V808*T808),IF($V806="Keep Percentage Same",IF(G808="","",G808*T808),IF($V806="Enter Dollar Amount",IF(W808="","",W808),"")))),"")</f>
        <v/>
      </c>
      <c r="Y808" s="408" t="str">
        <f ca="1" t="shared" si="140" ref="Y808:Y810">IFERROR(T808-X808,"")</f>
        <v/>
      </c>
      <c r="Z808" s="410" t="str">
        <f t="shared" si="141" ref="Z808:Z810">IFERROR(IF(X808="","",U808*X808),"")</f>
        <v/>
      </c>
    </row>
    <row r="809" spans="1:26" ht="18.75" customHeight="1">
      <c r="A809" s="140"/>
      <c r="B809" s="140"/>
      <c r="D809" s="172" t="s">
        <v>240</v>
      </c>
      <c r="E809" s="407" t="str">
        <f ca="1">_xlfn.IFNA(VLOOKUP(F806,BEGIN_CURRENT_VISION:END_CURRENT_VISION,CURRENT_COL_EC_count,FALSE),"")</f>
        <v/>
      </c>
      <c r="F809" s="408" t="str">
        <f ca="1">_xlfn.IFNA(VLOOKUP(F806,BEGIN_CURRENT_VISION:END_CURRENT_VISION,CURRENT_COL_EC,FALSE),"")</f>
        <v/>
      </c>
      <c r="G809" s="468" t="str">
        <f t="shared" ca="1" si="135"/>
        <v/>
      </c>
      <c r="H809" s="408" t="str">
        <f ca="1">_xlfn.IFNA(VLOOKUP(F806,BEGIN_CURRENT_VISION:END_CURRENT_VISION,CURRENT_COL_ECContrib,FALSE),"")</f>
        <v/>
      </c>
      <c r="I809" s="409" t="str">
        <f t="shared" ca="1" si="136"/>
        <v/>
      </c>
      <c r="J809" s="410" t="str">
        <f t="shared" ca="1" si="137"/>
        <v/>
      </c>
      <c r="K809" s="411"/>
      <c r="L809" s="408" t="str" cm="1">
        <f t="array" ca="1" aca="1" ref="L809">_xlfn.IFNA(VLOOKUP(INDIRECT("L"&amp;ROW()-3)&amp;"_"&amp;$D$12,BEGIN_Renew_Vision:END_RENEW_VISION,RENEW_COL_EC,FALSE),"")</f>
        <v/>
      </c>
      <c r="M809" s="412" t="str">
        <f ca="1">IF(E809="","",E809)</f>
        <v/>
      </c>
      <c r="N809" s="413"/>
      <c r="O809" s="414"/>
      <c r="P809" s="415" t="str">
        <f>IFERROR(IF($N806="Keep Contribution Same",H809,IF($N806="Enter Percentages",IF(N809="","",N809*L809),IF($N806="Keep Percentage Same",IF(G809="","",G809*L809),IF($N806="Enter Dollar Amount",IF(O809="","",O809),"")))),"")</f>
        <v/>
      </c>
      <c r="Q809" s="408" t="str">
        <f t="shared" ca="1" si="138"/>
        <v/>
      </c>
      <c r="R809" s="410" t="str">
        <f>IFERROR(IF(P809="","",M809*P809),"")</f>
        <v/>
      </c>
      <c r="S809" s="411"/>
      <c r="T809" s="408" t="str" cm="1">
        <f t="array" ca="1" aca="1" ref="T809">_xlfn.IFNA(VLOOKUP(INDIRECT("T"&amp;ROW()-3)&amp;"_"&amp;$D$12,BEGIN_Renew_Vision:END_RENEW_VISION,RENEW_COL_EC,FALSE),"")</f>
        <v/>
      </c>
      <c r="U809" s="412" t="str">
        <f t="shared" ca="1" si="139"/>
        <v/>
      </c>
      <c r="V809" s="413"/>
      <c r="W809" s="414"/>
      <c r="X809" s="415" t="str">
        <f>IFERROR(IF($V806="Keep Contribution Same",H809,IF($V806="Enter Percentages",IF(V809="","",V809*T809),IF($V806="Keep Percentage Same",IF(G809="","",G809*T809),IF($V806="Enter Dollar Amount",IF(W809="","",W809),"")))),"")</f>
        <v/>
      </c>
      <c r="Y809" s="408" t="str">
        <f t="shared" ca="1" si="140"/>
        <v/>
      </c>
      <c r="Z809" s="410" t="str">
        <f t="shared" si="141"/>
        <v/>
      </c>
    </row>
    <row r="810" spans="1:26" ht="18.75" customHeight="1" thickBot="1">
      <c r="A810" s="140"/>
      <c r="B810" s="140"/>
      <c r="D810" s="174" t="s">
        <v>241</v>
      </c>
      <c r="E810" s="416" t="str">
        <f ca="1">_xlfn.IFNA(VLOOKUP(F806,BEGIN_CURRENT_VISION:END_CURRENT_VISION,CURRENT_COL_FAM_count,FALSE),"")</f>
        <v/>
      </c>
      <c r="F810" s="417" t="str">
        <f ca="1">_xlfn.IFNA(VLOOKUP(F806,BEGIN_CURRENT_VISION:END_CURRENT_VISION,CURRENT_COL_FAM,FALSE),"")</f>
        <v/>
      </c>
      <c r="G810" s="469" t="str">
        <f t="shared" ca="1" si="135"/>
        <v/>
      </c>
      <c r="H810" s="417" t="str">
        <f ca="1">_xlfn.IFNA(VLOOKUP(F806,BEGIN_CURRENT_VISION:END_CURRENT_VISION,CURRENT_COL_FAMContrib,FALSE),"")</f>
        <v/>
      </c>
      <c r="I810" s="409" t="str">
        <f t="shared" ca="1" si="136"/>
        <v/>
      </c>
      <c r="J810" s="410" t="str">
        <f t="shared" ca="1" si="137"/>
        <v/>
      </c>
      <c r="K810" s="411"/>
      <c r="L810" s="417" t="str" cm="1">
        <f t="array" ca="1" aca="1" ref="L810">_xlfn.IFNA(VLOOKUP(INDIRECT("L"&amp;ROW()-4)&amp;"_"&amp;$D$12,BEGIN_Renew_Vision:END_RENEW_VISION,RENEW_COL_FAM,FALSE),"")</f>
        <v/>
      </c>
      <c r="M810" s="423" t="str">
        <f ca="1">IF(E810="","",E810)</f>
        <v/>
      </c>
      <c r="N810" s="420"/>
      <c r="O810" s="421"/>
      <c r="P810" s="422" t="str">
        <f>IFERROR(IF($N806="Keep Contribution Same",H810,IF($N806="Enter Percentages",IF(N810="","",N810*L810),IF($N806="Keep Percentage Same",IF(G810="","",G810*L810),IF($N806="Enter Dollar Amount",IF(O810="","",O810),"")))),"")</f>
        <v/>
      </c>
      <c r="Q810" s="417" t="str">
        <f t="shared" ca="1" si="138"/>
        <v/>
      </c>
      <c r="R810" s="419" t="str">
        <f>IFERROR(IF(P810="","",M810*P810),"")</f>
        <v/>
      </c>
      <c r="S810" s="411"/>
      <c r="T810" s="417" t="str" cm="1">
        <f t="array" ca="1" aca="1" ref="T810">_xlfn.IFNA(VLOOKUP(INDIRECT("T"&amp;ROW()-4)&amp;"_"&amp;$D$12,BEGIN_Renew_Vision:END_RENEW_VISION,RENEW_COL_FAM,FALSE),"")</f>
        <v/>
      </c>
      <c r="U810" s="423" t="str">
        <f t="shared" ca="1" si="139"/>
        <v/>
      </c>
      <c r="V810" s="420"/>
      <c r="W810" s="421"/>
      <c r="X810" s="422" t="str">
        <f>IFERROR(IF($V806="Keep Contribution Same",H810,IF($V806="Enter Percentages",IF(V810="","",V810*T810),IF($V806="Keep Percentage Same",IF(G810="","",G810*T810),IF($V806="Enter Dollar Amount",IF(W810="","",W810),"")))),"")</f>
        <v/>
      </c>
      <c r="Y810" s="417" t="str">
        <f t="shared" ca="1" si="140"/>
        <v/>
      </c>
      <c r="Z810" s="419" t="str">
        <f t="shared" si="141"/>
        <v/>
      </c>
    </row>
    <row r="811" spans="1:26" ht="18.75" customHeight="1" thickTop="1">
      <c r="A811" s="140"/>
      <c r="B811" s="140"/>
      <c r="D811" s="175" t="s">
        <v>329</v>
      </c>
      <c r="E811" s="424"/>
      <c r="F811" s="427"/>
      <c r="G811" s="426"/>
      <c r="H811" s="427"/>
      <c r="I811" s="428"/>
      <c r="J811" s="429" t="str">
        <f ca="1">IFERROR(IF(J807="","",SUM(J807:J810)),0)</f>
        <v/>
      </c>
      <c r="K811" s="1"/>
      <c r="L811" s="424"/>
      <c r="M811" s="427"/>
      <c r="N811" s="426"/>
      <c r="O811" s="427"/>
      <c r="P811" s="431"/>
      <c r="Q811" s="432"/>
      <c r="R811" s="429" t="str">
        <f>IFERROR(IF(R807="","",SUM(R807:R810)),0)</f>
        <v/>
      </c>
      <c r="T811" s="424"/>
      <c r="U811" s="427"/>
      <c r="V811" s="426"/>
      <c r="W811" s="427"/>
      <c r="X811" s="431"/>
      <c r="Y811" s="432"/>
      <c r="Z811" s="429" t="str">
        <f>IFERROR(IF(Z807="","",SUM(Z807:Z810)),0)</f>
        <v/>
      </c>
    </row>
    <row r="812" spans="1:26" ht="18.75" customHeight="1">
      <c r="A812" s="140"/>
      <c r="B812" s="140"/>
      <c r="D812" s="177" t="s">
        <v>243</v>
      </c>
      <c r="E812" s="433"/>
      <c r="F812" s="436"/>
      <c r="G812" s="435"/>
      <c r="H812" s="436"/>
      <c r="I812" s="432"/>
      <c r="J812" s="437" t="str">
        <f ca="1">IF(J811="","",J811*12)</f>
        <v/>
      </c>
      <c r="K812" s="1"/>
      <c r="L812" s="433"/>
      <c r="M812" s="436"/>
      <c r="N812" s="435"/>
      <c r="O812" s="436"/>
      <c r="P812" s="432"/>
      <c r="Q812" s="432"/>
      <c r="R812" s="437" t="str">
        <f>IF(R811="","",R811*12)</f>
        <v/>
      </c>
      <c r="T812" s="433"/>
      <c r="U812" s="436"/>
      <c r="V812" s="435"/>
      <c r="W812" s="436"/>
      <c r="X812" s="432"/>
      <c r="Y812" s="432"/>
      <c r="Z812" s="437" t="str">
        <f>IF(Z811="","",Z811*12)</f>
        <v/>
      </c>
    </row>
    <row r="813" spans="1:26" ht="18" customHeight="1">
      <c r="A813" s="140"/>
      <c r="B813" s="140"/>
      <c r="D813" s="177" t="s">
        <v>244</v>
      </c>
      <c r="E813" s="433"/>
      <c r="F813" s="436"/>
      <c r="G813" s="435"/>
      <c r="H813" s="436"/>
      <c r="I813" s="432"/>
      <c r="J813" s="437" t="str">
        <f ca="1">IFERROR(IF(J812="","",R812-J812),0)</f>
        <v/>
      </c>
      <c r="K813" s="1"/>
      <c r="L813" s="433"/>
      <c r="M813" s="436"/>
      <c r="N813" s="435"/>
      <c r="O813" s="436"/>
      <c r="P813" s="432"/>
      <c r="Q813" s="432"/>
      <c r="R813" s="437" t="str">
        <f ca="1">IFERROR(IF(J812="","",R812-J812),0)</f>
        <v/>
      </c>
      <c r="T813" s="433"/>
      <c r="U813" s="436"/>
      <c r="V813" s="435"/>
      <c r="W813" s="436"/>
      <c r="X813" s="432"/>
      <c r="Y813" s="432"/>
      <c r="Z813" s="437" t="str">
        <f>IFERROR(IF(R812="","",Z812-R812),0)</f>
        <v/>
      </c>
    </row>
    <row r="814" spans="1:26" ht="18" customHeight="1" thickBot="1">
      <c r="A814" s="140"/>
      <c r="B814" s="140"/>
      <c r="D814" s="180" t="s">
        <v>245</v>
      </c>
      <c r="E814" s="439"/>
      <c r="F814" s="440"/>
      <c r="G814" s="441"/>
      <c r="H814" s="440"/>
      <c r="I814" s="442"/>
      <c r="J814" s="437" t="str">
        <f ca="1">IFERROR(IF(J812="","",(R812/J812)-1),0)</f>
        <v/>
      </c>
      <c r="K814" s="1"/>
      <c r="L814" s="439"/>
      <c r="M814" s="440"/>
      <c r="N814" s="441"/>
      <c r="O814" s="440"/>
      <c r="P814" s="445"/>
      <c r="Q814" s="445"/>
      <c r="R814" s="446" t="str">
        <f ca="1">IFERROR(IF(J812="","",(R812/J812)-1),0)</f>
        <v/>
      </c>
      <c r="T814" s="439"/>
      <c r="U814" s="440"/>
      <c r="V814" s="441"/>
      <c r="W814" s="440"/>
      <c r="X814" s="445"/>
      <c r="Y814" s="445"/>
      <c r="Z814" s="446" t="str">
        <f>IFERROR(IF(R812="","",(Z812/R812)-1),0)</f>
        <v/>
      </c>
    </row>
    <row r="815" spans="1:26" ht="5.25" customHeight="1" thickBot="1">
      <c r="A815" s="140"/>
      <c r="B815" s="140"/>
      <c r="D815" s="229"/>
      <c r="E815" s="229"/>
      <c r="F815" s="230"/>
      <c r="G815" s="231"/>
      <c r="H815" s="232"/>
      <c r="I815" s="233"/>
      <c r="J815" s="233"/>
      <c r="K815"/>
      <c r="L815" s="233"/>
      <c r="M815" s="233"/>
      <c r="N815" s="233"/>
      <c r="O815" s="233"/>
      <c r="P815" s="233"/>
      <c r="Q815" s="233"/>
      <c r="R815" s="233"/>
      <c r="T815" s="233"/>
      <c r="U815" s="233"/>
      <c r="V815" s="233"/>
      <c r="W815" s="233"/>
      <c r="X815" s="233"/>
      <c r="Y815" s="233"/>
      <c r="Z815" s="233"/>
    </row>
    <row r="816" spans="1:26" ht="50.15" customHeight="1">
      <c r="A816" s="140"/>
      <c r="B816" s="140"/>
      <c r="C816" s="164" t="s">
        <v>305</v>
      </c>
      <c r="D816" s="275" t="s">
        <v>285</v>
      </c>
      <c r="E816" s="165"/>
      <c r="F816" s="272"/>
      <c r="G816" s="166"/>
      <c r="H816" s="167"/>
      <c r="I816" s="168"/>
      <c r="J816" s="169"/>
      <c r="K816"/>
      <c r="L816" s="274" t="s">
        <v>38</v>
      </c>
      <c r="M816" s="170"/>
      <c r="N816" s="274" t="s">
        <v>237</v>
      </c>
      <c r="O816" s="171"/>
      <c r="P816" s="171"/>
      <c r="Q816" s="171"/>
      <c r="R816" s="169"/>
      <c r="T816" s="274" t="s">
        <v>38</v>
      </c>
      <c r="U816" s="170"/>
      <c r="V816" s="274" t="s">
        <v>237</v>
      </c>
      <c r="W816" s="171"/>
      <c r="X816" s="171"/>
      <c r="Y816" s="171"/>
      <c r="Z816" s="169"/>
    </row>
    <row r="817" spans="1:26" ht="18.75" customHeight="1">
      <c r="A817" s="140"/>
      <c r="B817" s="140"/>
      <c r="D817" s="172" t="s">
        <v>238</v>
      </c>
      <c r="E817" s="407"/>
      <c r="F817" s="449"/>
      <c r="G817" s="470" t="str">
        <f t="shared" si="142" ref="G817:G820">IF(F817="","",H817/F817)</f>
        <v/>
      </c>
      <c r="H817" s="449" t="str">
        <f>_xlfn.IFNA(VLOOKUP(F816,BEGIN_CURRENT_VISION:END_CURRENT_VISION,CURRENT_COL_EOContrib,FALSE),"")</f>
        <v/>
      </c>
      <c r="I817" s="409" t="str">
        <f>IFERROR(F817-H817,"")</f>
        <v/>
      </c>
      <c r="J817" s="410" t="str">
        <f>IF(F817="","",H817*E817)</f>
        <v/>
      </c>
      <c r="K817" s="411"/>
      <c r="L817" s="408" t="str" cm="1">
        <f t="array" ca="1" aca="1" ref="L817">_xlfn.IFNA(VLOOKUP(INDIRECT("L"&amp;ROW()-1)&amp;"_"&amp;$D$12,BEGIN_Renew_Vision:END_RENEW_VISION,RENEW_COL_EO,FALSE),"")</f>
        <v/>
      </c>
      <c r="M817" s="412" t="str">
        <f>IF(E817="","",E817)</f>
        <v/>
      </c>
      <c r="N817" s="413"/>
      <c r="O817" s="414"/>
      <c r="P817" s="415" t="str">
        <f>IFERROR(IF($N816="Keep Contribution Same",H817,IF($N816="Enter Percentages",IF(N817="","",N817*L817),IF($N816="Keep Percentage Same",IF(G817="","",G817*L817),IF($N816="Enter Dollar Amount",IF(O817="","",O817),"")))),"")</f>
        <v/>
      </c>
      <c r="Q817" s="408" t="str">
        <f ca="1">IFERROR(L817-P817,"")</f>
        <v/>
      </c>
      <c r="R817" s="410" t="str">
        <f>IFERROR(IF(P817="","",M817*P817),"")</f>
        <v/>
      </c>
      <c r="S817" s="411"/>
      <c r="T817" s="408" t="str" cm="1">
        <f t="array" ca="1" aca="1" ref="T817">_xlfn.IFNA(VLOOKUP(INDIRECT("T"&amp;ROW()-1)&amp;"_"&amp;$D$12,BEGIN_Renew_Vision:END_RENEW_VISION,RENEW_COL_EO,FALSE),"")</f>
        <v/>
      </c>
      <c r="U817" s="412" t="str">
        <f>IF(E817="","",E817)</f>
        <v/>
      </c>
      <c r="V817" s="413"/>
      <c r="W817" s="414"/>
      <c r="X817" s="415" t="str">
        <f>IFERROR(IF($V816="Keep Contribution Same",H817,IF($V816="Enter Percentages",IF(V817="","",V817*T817),IF($V816="Keep Percentage Same",IF(G817="","",G817*T817),IF($V816="Enter Dollar Amount",IF(W817="","",W817),"")))),"")</f>
        <v/>
      </c>
      <c r="Y817" s="408" t="str">
        <f ca="1">IFERROR(T817-X817,"")</f>
        <v/>
      </c>
      <c r="Z817" s="410" t="str">
        <f>IFERROR(IF(X817="","",U817*X817),"")</f>
        <v/>
      </c>
    </row>
    <row r="818" spans="1:26" ht="18.75" customHeight="1">
      <c r="A818" s="140"/>
      <c r="B818" s="140"/>
      <c r="D818" s="172" t="s">
        <v>239</v>
      </c>
      <c r="E818" s="407"/>
      <c r="F818" s="449" t="str">
        <f>_xlfn.IFNA(VLOOKUP(F816,BEGIN_CURRENT_VISION:END_CURRENT_VISION,CURRENT_COL_ES,FALSE),"")</f>
        <v/>
      </c>
      <c r="G818" s="470" t="str">
        <f t="shared" si="142"/>
        <v/>
      </c>
      <c r="H818" s="449" t="str">
        <f>_xlfn.IFNA(VLOOKUP(F816,BEGIN_CURRENT_VISION:END_CURRENT_VISION,CURRENT_COL_ESContrib,FALSE),"")</f>
        <v/>
      </c>
      <c r="I818" s="409" t="str">
        <f t="shared" si="143" ref="I818:I820">IFERROR(F818-H818,"")</f>
        <v/>
      </c>
      <c r="J818" s="410" t="str">
        <f t="shared" si="144" ref="J818:J820">IF(F818="","",H818*E818)</f>
        <v/>
      </c>
      <c r="K818" s="411"/>
      <c r="L818" s="408" t="str" cm="1">
        <f t="array" ca="1" aca="1" ref="L818">_xlfn.IFNA(VLOOKUP(INDIRECT("L"&amp;ROW()-2)&amp;"_"&amp;$D$12,BEGIN_Renew_Vision:END_RENEW_VISION,RENEW_COL_ES,FALSE),"")</f>
        <v/>
      </c>
      <c r="M818" s="412" t="str">
        <f>IF(E818="","",E818)</f>
        <v/>
      </c>
      <c r="N818" s="413"/>
      <c r="O818" s="414"/>
      <c r="P818" s="415" t="str">
        <f>IFERROR(IF($N816="Keep Contribution Same",H818,IF($N816="Enter Percentages",IF(N818="","",N818*L818),IF($N816="Keep Percentage Same",IF(G818="","",G818*L818),IF($N816="Enter Dollar Amount",IF(O818="","",O818),"")))),"")</f>
        <v/>
      </c>
      <c r="Q818" s="408" t="str">
        <f ca="1" t="shared" si="145" ref="Q818:Q820">IFERROR(L818-P818,"")</f>
        <v/>
      </c>
      <c r="R818" s="410" t="str">
        <f>IFERROR(IF(P818="","",M818*P818),"")</f>
        <v/>
      </c>
      <c r="S818" s="411"/>
      <c r="T818" s="408" t="str" cm="1">
        <f t="array" ca="1" aca="1" ref="T818">_xlfn.IFNA(VLOOKUP(INDIRECT("T"&amp;ROW()-2)&amp;"_"&amp;$D$12,BEGIN_Renew_Vision:END_RENEW_VISION,RENEW_COL_ES,FALSE),"")</f>
        <v/>
      </c>
      <c r="U818" s="412" t="str">
        <f t="shared" si="146" ref="U818:U820">IF(E818="","",E818)</f>
        <v/>
      </c>
      <c r="V818" s="413"/>
      <c r="W818" s="414"/>
      <c r="X818" s="415" t="str">
        <f>IFERROR(IF($V816="Keep Contribution Same",H818,IF($V816="Enter Percentages",IF(V818="","",V818*T818),IF($V816="Keep Percentage Same",IF(G818="","",G818*T818),IF($V816="Enter Dollar Amount",IF(W818="","",W818),"")))),"")</f>
        <v/>
      </c>
      <c r="Y818" s="408" t="str">
        <f ca="1" t="shared" si="147" ref="Y818:Y820">IFERROR(T818-X818,"")</f>
        <v/>
      </c>
      <c r="Z818" s="410" t="str">
        <f t="shared" si="148" ref="Z818:Z820">IFERROR(IF(X818="","",U818*X818),"")</f>
        <v/>
      </c>
    </row>
    <row r="819" spans="1:26" ht="18.75" customHeight="1">
      <c r="A819" s="140"/>
      <c r="B819" s="140"/>
      <c r="D819" s="172" t="s">
        <v>240</v>
      </c>
      <c r="E819" s="407"/>
      <c r="F819" s="449" t="str">
        <f>_xlfn.IFNA(VLOOKUP(F816,BEGIN_CURRENT_VISION:END_CURRENT_VISION,CURRENT_COL_EC,FALSE),"")</f>
        <v/>
      </c>
      <c r="G819" s="470" t="str">
        <f t="shared" si="142"/>
        <v/>
      </c>
      <c r="H819" s="449" t="str">
        <f>_xlfn.IFNA(VLOOKUP(F816,BEGIN_CURRENT_VISION:END_CURRENT_VISION,CURRENT_COL_ECContrib,FALSE),"")</f>
        <v/>
      </c>
      <c r="I819" s="409" t="str">
        <f t="shared" si="143"/>
        <v/>
      </c>
      <c r="J819" s="410" t="str">
        <f t="shared" si="144"/>
        <v/>
      </c>
      <c r="K819" s="411"/>
      <c r="L819" s="408" t="str" cm="1">
        <f t="array" ca="1" aca="1" ref="L819">_xlfn.IFNA(VLOOKUP(INDIRECT("L"&amp;ROW()-3)&amp;"_"&amp;$D$12,BEGIN_Renew_Vision:END_RENEW_VISION,RENEW_COL_EC,FALSE),"")</f>
        <v/>
      </c>
      <c r="M819" s="412" t="str">
        <f>IF(E819="","",E819)</f>
        <v/>
      </c>
      <c r="N819" s="413"/>
      <c r="O819" s="414"/>
      <c r="P819" s="415" t="str">
        <f>IFERROR(IF($N816="Keep Contribution Same",H819,IF($N816="Enter Percentages",IF(N819="","",N819*L819),IF($N816="Keep Percentage Same",IF(G819="","",G819*L819),IF($N816="Enter Dollar Amount",IF(O819="","",O819),"")))),"")</f>
        <v/>
      </c>
      <c r="Q819" s="408" t="str">
        <f t="shared" ca="1" si="145"/>
        <v/>
      </c>
      <c r="R819" s="410" t="str">
        <f>IFERROR(IF(P819="","",M819*P819),"")</f>
        <v/>
      </c>
      <c r="S819" s="411"/>
      <c r="T819" s="408" t="str" cm="1">
        <f t="array" ca="1" aca="1" ref="T819">_xlfn.IFNA(VLOOKUP(INDIRECT("T"&amp;ROW()-3)&amp;"_"&amp;$D$12,BEGIN_Renew_Vision:END_RENEW_VISION,RENEW_COL_EC,FALSE),"")</f>
        <v/>
      </c>
      <c r="U819" s="412" t="str">
        <f t="shared" si="146"/>
        <v/>
      </c>
      <c r="V819" s="413"/>
      <c r="W819" s="414"/>
      <c r="X819" s="415" t="str">
        <f>IFERROR(IF($V816="Keep Contribution Same",H819,IF($V816="Enter Percentages",IF(V819="","",V819*T819),IF($V816="Keep Percentage Same",IF(G819="","",G819*T819),IF($V816="Enter Dollar Amount",IF(W819="","",W819),"")))),"")</f>
        <v/>
      </c>
      <c r="Y819" s="408" t="str">
        <f t="shared" ca="1" si="147"/>
        <v/>
      </c>
      <c r="Z819" s="410" t="str">
        <f t="shared" si="148"/>
        <v/>
      </c>
    </row>
    <row r="820" spans="1:26" ht="18.75" customHeight="1" thickBot="1">
      <c r="A820" s="140"/>
      <c r="B820" s="140"/>
      <c r="D820" s="174" t="s">
        <v>241</v>
      </c>
      <c r="E820" s="416"/>
      <c r="F820" s="451" t="str">
        <f>_xlfn.IFNA(VLOOKUP(F816,BEGIN_CURRENT_VISION:END_CURRENT_VISION,CURRENT_COL_FAM,FALSE),"")</f>
        <v/>
      </c>
      <c r="G820" s="471" t="str">
        <f t="shared" si="142"/>
        <v/>
      </c>
      <c r="H820" s="451" t="str">
        <f>_xlfn.IFNA(VLOOKUP(F816,BEGIN_CURRENT_VISION:END_CURRENT_VISION,CURRENT_COL_FAMContrib,FALSE),"")</f>
        <v/>
      </c>
      <c r="I820" s="409" t="str">
        <f t="shared" si="143"/>
        <v/>
      </c>
      <c r="J820" s="410" t="str">
        <f t="shared" si="144"/>
        <v/>
      </c>
      <c r="K820" s="411"/>
      <c r="L820" s="417" t="str" cm="1">
        <f t="array" ca="1" aca="1" ref="L820">_xlfn.IFNA(VLOOKUP(INDIRECT("L"&amp;ROW()-4)&amp;"_"&amp;$D$12,BEGIN_Renew_Vision:END_RENEW_VISION,RENEW_COL_FAM,FALSE),"")</f>
        <v/>
      </c>
      <c r="M820" s="423" t="str">
        <f>IF(E820="","",E820)</f>
        <v/>
      </c>
      <c r="N820" s="420"/>
      <c r="O820" s="421"/>
      <c r="P820" s="422" t="str">
        <f>IFERROR(IF($N816="Keep Contribution Same",H820,IF($N816="Enter Percentages",IF(N820="","",N820*L820),IF($N816="Keep Percentage Same",IF(G820="","",G820*L820),IF($N816="Enter Dollar Amount",IF(O820="","",O820),"")))),"")</f>
        <v/>
      </c>
      <c r="Q820" s="417" t="str">
        <f t="shared" ca="1" si="145"/>
        <v/>
      </c>
      <c r="R820" s="419" t="str">
        <f>IFERROR(IF(P820="","",M820*P820),"")</f>
        <v/>
      </c>
      <c r="S820" s="411"/>
      <c r="T820" s="417" t="str" cm="1">
        <f t="array" ca="1" aca="1" ref="T820">_xlfn.IFNA(VLOOKUP(INDIRECT("T"&amp;ROW()-4)&amp;"_"&amp;$D$12,BEGIN_Renew_Vision:END_RENEW_VISION,RENEW_COL_FAM,FALSE),"")</f>
        <v/>
      </c>
      <c r="U820" s="423" t="str">
        <f t="shared" si="146"/>
        <v/>
      </c>
      <c r="V820" s="420"/>
      <c r="W820" s="421"/>
      <c r="X820" s="422" t="str">
        <f>IFERROR(IF($V816="Keep Contribution Same",H820,IF($V816="Enter Percentages",IF(V820="","",V820*T820),IF($V816="Keep Percentage Same",IF(G820="","",G820*T820),IF($V816="Enter Dollar Amount",IF(W820="","",W820),"")))),"")</f>
        <v/>
      </c>
      <c r="Y820" s="417" t="str">
        <f t="shared" ca="1" si="147"/>
        <v/>
      </c>
      <c r="Z820" s="419" t="str">
        <f t="shared" si="148"/>
        <v/>
      </c>
    </row>
    <row r="821" spans="1:26" ht="18.75" customHeight="1" thickTop="1">
      <c r="A821" s="140"/>
      <c r="B821" s="140"/>
      <c r="D821" s="175" t="s">
        <v>329</v>
      </c>
      <c r="E821" s="424"/>
      <c r="F821" s="427"/>
      <c r="G821" s="426"/>
      <c r="H821" s="427"/>
      <c r="I821" s="428"/>
      <c r="J821" s="429" t="str">
        <f>IFERROR(IF(J817="","",SUM(J817:J820)),0)</f>
        <v/>
      </c>
      <c r="K821" s="1"/>
      <c r="L821" s="424"/>
      <c r="M821" s="427"/>
      <c r="N821" s="426"/>
      <c r="O821" s="427"/>
      <c r="P821" s="431"/>
      <c r="Q821" s="432"/>
      <c r="R821" s="429" t="str">
        <f>IFERROR(IF(R817="","",SUM(R817:R820)),0)</f>
        <v/>
      </c>
      <c r="T821" s="424"/>
      <c r="U821" s="427"/>
      <c r="V821" s="426"/>
      <c r="W821" s="427"/>
      <c r="X821" s="431"/>
      <c r="Y821" s="432"/>
      <c r="Z821" s="429" t="str">
        <f>IFERROR(IF(Z817="","",SUM(Z817:Z820)),0)</f>
        <v/>
      </c>
    </row>
    <row r="822" spans="1:26" ht="18.75" customHeight="1">
      <c r="A822" s="140"/>
      <c r="B822" s="140"/>
      <c r="D822" s="177" t="s">
        <v>243</v>
      </c>
      <c r="E822" s="433"/>
      <c r="F822" s="436"/>
      <c r="G822" s="435"/>
      <c r="H822" s="436"/>
      <c r="I822" s="432"/>
      <c r="J822" s="437" t="str">
        <f>IF(J821="","",J821*12)</f>
        <v/>
      </c>
      <c r="K822" s="1"/>
      <c r="L822" s="433"/>
      <c r="M822" s="436"/>
      <c r="N822" s="435"/>
      <c r="O822" s="436"/>
      <c r="P822" s="432"/>
      <c r="Q822" s="432"/>
      <c r="R822" s="437" t="str">
        <f>IF(R821="","",R821*12)</f>
        <v/>
      </c>
      <c r="T822" s="433"/>
      <c r="U822" s="436"/>
      <c r="V822" s="435"/>
      <c r="W822" s="436"/>
      <c r="X822" s="432"/>
      <c r="Y822" s="432"/>
      <c r="Z822" s="437" t="str">
        <f>IF(Z821="","",Z821*12)</f>
        <v/>
      </c>
    </row>
    <row r="823" spans="1:26" ht="18" customHeight="1">
      <c r="A823" s="140"/>
      <c r="B823" s="140"/>
      <c r="D823" s="177" t="s">
        <v>244</v>
      </c>
      <c r="E823" s="433"/>
      <c r="F823" s="436"/>
      <c r="G823" s="435"/>
      <c r="H823" s="436"/>
      <c r="I823" s="432"/>
      <c r="J823" s="437" t="str">
        <f>IFERROR(IF(J822="","",R822-J822),0)</f>
        <v/>
      </c>
      <c r="K823" s="1"/>
      <c r="L823" s="433"/>
      <c r="M823" s="436"/>
      <c r="N823" s="435"/>
      <c r="O823" s="436"/>
      <c r="P823" s="432"/>
      <c r="Q823" s="432"/>
      <c r="R823" s="437" t="str">
        <f>IFERROR(IF(J822="","",R822-J822),0)</f>
        <v/>
      </c>
      <c r="T823" s="433"/>
      <c r="U823" s="436"/>
      <c r="V823" s="435"/>
      <c r="W823" s="436"/>
      <c r="X823" s="432"/>
      <c r="Y823" s="432"/>
      <c r="Z823" s="437" t="str">
        <f>IFERROR(IF(R822="","",Z822-R822),0)</f>
        <v/>
      </c>
    </row>
    <row r="824" spans="1:26" ht="18" customHeight="1" thickBot="1">
      <c r="A824" s="140"/>
      <c r="B824" s="140"/>
      <c r="D824" s="180" t="s">
        <v>245</v>
      </c>
      <c r="E824" s="439"/>
      <c r="F824" s="440"/>
      <c r="G824" s="441"/>
      <c r="H824" s="440"/>
      <c r="I824" s="442"/>
      <c r="J824" s="437" t="str">
        <f>IFERROR(IF(J822="","",(R822/J822)-1),0)</f>
        <v/>
      </c>
      <c r="K824" s="1"/>
      <c r="L824" s="439"/>
      <c r="M824" s="440"/>
      <c r="N824" s="441"/>
      <c r="O824" s="440"/>
      <c r="P824" s="445"/>
      <c r="Q824" s="445"/>
      <c r="R824" s="446" t="str">
        <f>IFERROR(IF(J822="","",(R822/J822)-1),0)</f>
        <v/>
      </c>
      <c r="T824" s="439"/>
      <c r="U824" s="440"/>
      <c r="V824" s="441"/>
      <c r="W824" s="440"/>
      <c r="X824" s="445"/>
      <c r="Y824" s="445"/>
      <c r="Z824" s="446" t="str">
        <f>IFERROR(IF(R822="","",(Z822/R822)-1),0)</f>
        <v/>
      </c>
    </row>
    <row r="825" spans="1:26" ht="5.25" customHeight="1" thickBot="1">
      <c r="A825" s="140"/>
      <c r="B825" s="140"/>
      <c r="D825" s="229"/>
      <c r="E825" s="229"/>
      <c r="F825" s="230"/>
      <c r="G825" s="231"/>
      <c r="H825" s="232"/>
      <c r="I825" s="233"/>
      <c r="J825" s="233"/>
      <c r="K825"/>
      <c r="L825" s="233"/>
      <c r="M825" s="233"/>
      <c r="N825" s="233"/>
      <c r="O825" s="233"/>
      <c r="P825" s="233"/>
      <c r="Q825" s="233"/>
      <c r="R825" s="233"/>
      <c r="T825" s="233"/>
      <c r="U825" s="233"/>
      <c r="V825" s="233"/>
      <c r="W825" s="233"/>
      <c r="X825" s="233"/>
      <c r="Y825" s="233"/>
      <c r="Z825" s="233"/>
    </row>
    <row r="826" spans="1:26" ht="50.15" customHeight="1">
      <c r="A826" s="140"/>
      <c r="B826" s="140"/>
      <c r="C826" s="164" t="s">
        <v>306</v>
      </c>
      <c r="D826" s="275" t="s">
        <v>285</v>
      </c>
      <c r="E826" s="165"/>
      <c r="F826" s="272"/>
      <c r="G826" s="166"/>
      <c r="H826" s="167"/>
      <c r="I826" s="168"/>
      <c r="J826" s="169"/>
      <c r="K826"/>
      <c r="L826" s="274" t="s">
        <v>38</v>
      </c>
      <c r="M826" s="170"/>
      <c r="N826" s="274" t="s">
        <v>237</v>
      </c>
      <c r="O826" s="171"/>
      <c r="P826" s="171"/>
      <c r="Q826" s="171"/>
      <c r="R826" s="169"/>
      <c r="T826" s="274" t="s">
        <v>38</v>
      </c>
      <c r="U826" s="170"/>
      <c r="V826" s="274" t="s">
        <v>237</v>
      </c>
      <c r="W826" s="171"/>
      <c r="X826" s="171"/>
      <c r="Y826" s="171"/>
      <c r="Z826" s="169"/>
    </row>
    <row r="827" spans="1:26" ht="18.75" customHeight="1">
      <c r="A827" s="140"/>
      <c r="B827" s="140"/>
      <c r="D827" s="172" t="s">
        <v>238</v>
      </c>
      <c r="E827" s="407"/>
      <c r="F827" s="449"/>
      <c r="G827" s="470" t="str">
        <f t="shared" si="149" ref="G827:G830">IF(F827="","",H827/F827)</f>
        <v/>
      </c>
      <c r="H827" s="449" t="str">
        <f>_xlfn.IFNA(VLOOKUP(F826,BEGIN_CURRENT_VISION:END_CURRENT_VISION,CURRENT_COL_EOContrib,FALSE),"")</f>
        <v/>
      </c>
      <c r="I827" s="409" t="str">
        <f>IFERROR(F827-H827,"")</f>
        <v/>
      </c>
      <c r="J827" s="410" t="str">
        <f>IF(F827="","",H827*E827)</f>
        <v/>
      </c>
      <c r="K827" s="411"/>
      <c r="L827" s="408" t="str" cm="1">
        <f t="array" ca="1" aca="1" ref="L827">_xlfn.IFNA(VLOOKUP(INDIRECT("L"&amp;ROW()-1)&amp;"_"&amp;$D$12,BEGIN_Renew_Vision:END_RENEW_VISION,RENEW_COL_EO,FALSE),"")</f>
        <v/>
      </c>
      <c r="M827" s="412" t="str">
        <f>IF(E827="","",E827)</f>
        <v/>
      </c>
      <c r="N827" s="413"/>
      <c r="O827" s="414"/>
      <c r="P827" s="415" t="str">
        <f>IFERROR(IF($N826="Keep Contribution Same",H827,IF($N826="Enter Percentages",IF(N827="","",N827*L827),IF($N826="Keep Percentage Same",IF(G827="","",G827*L827),IF($N826="Enter Dollar Amount",IF(O827="","",O827),"")))),"")</f>
        <v/>
      </c>
      <c r="Q827" s="408" t="str">
        <f ca="1">IFERROR(L827-P827,"")</f>
        <v/>
      </c>
      <c r="R827" s="410" t="str">
        <f>IFERROR(IF(P827="","",M827*P827),"")</f>
        <v/>
      </c>
      <c r="S827" s="411"/>
      <c r="T827" s="408" t="str" cm="1">
        <f t="array" ca="1" aca="1" ref="T827">_xlfn.IFNA(VLOOKUP(INDIRECT("T"&amp;ROW()-1)&amp;"_"&amp;$D$12,BEGIN_Renew_Vision:END_RENEW_VISION,RENEW_COL_EO,FALSE),"")</f>
        <v/>
      </c>
      <c r="U827" s="412" t="str">
        <f>IF(E827="","",E827)</f>
        <v/>
      </c>
      <c r="V827" s="413"/>
      <c r="W827" s="414"/>
      <c r="X827" s="415" t="str">
        <f>IFERROR(IF($V826="Keep Contribution Same",H827,IF($V826="Enter Percentages",IF(V827="","",V827*T827),IF($V826="Keep Percentage Same",IF(G827="","",G827*T827),IF($V826="Enter Dollar Amount",IF(W827="","",W827),"")))),"")</f>
        <v/>
      </c>
      <c r="Y827" s="408" t="str">
        <f ca="1">IFERROR(T827-X827,"")</f>
        <v/>
      </c>
      <c r="Z827" s="410" t="str">
        <f>IFERROR(IF(X827="","",U827*X827),"")</f>
        <v/>
      </c>
    </row>
    <row r="828" spans="1:26" ht="18.75" customHeight="1">
      <c r="A828" s="140"/>
      <c r="B828" s="140"/>
      <c r="D828" s="172" t="s">
        <v>239</v>
      </c>
      <c r="E828" s="407"/>
      <c r="F828" s="449" t="str">
        <f>_xlfn.IFNA(VLOOKUP(F826,BEGIN_CURRENT_VISION:END_CURRENT_VISION,CURRENT_COL_ES,FALSE),"")</f>
        <v/>
      </c>
      <c r="G828" s="470" t="str">
        <f t="shared" si="149"/>
        <v/>
      </c>
      <c r="H828" s="449" t="str">
        <f>_xlfn.IFNA(VLOOKUP(F826,BEGIN_CURRENT_VISION:END_CURRENT_VISION,CURRENT_COL_ESContrib,FALSE),"")</f>
        <v/>
      </c>
      <c r="I828" s="409" t="str">
        <f t="shared" si="150" ref="I828:I830">IFERROR(F828-H828,"")</f>
        <v/>
      </c>
      <c r="J828" s="410" t="str">
        <f t="shared" si="151" ref="J828:J830">IF(F828="","",H828*E828)</f>
        <v/>
      </c>
      <c r="K828" s="411"/>
      <c r="L828" s="408" t="str" cm="1">
        <f t="array" ca="1" aca="1" ref="L828">_xlfn.IFNA(VLOOKUP(INDIRECT("L"&amp;ROW()-2)&amp;"_"&amp;$D$12,BEGIN_Renew_Vision:END_RENEW_VISION,RENEW_COL_ES,FALSE),"")</f>
        <v/>
      </c>
      <c r="M828" s="412" t="str">
        <f>IF(E828="","",E828)</f>
        <v/>
      </c>
      <c r="N828" s="413"/>
      <c r="O828" s="414"/>
      <c r="P828" s="415" t="str">
        <f>IFERROR(IF($N826="Keep Contribution Same",H828,IF($N826="Enter Percentages",IF(N828="","",N828*L828),IF($N826="Keep Percentage Same",IF(G828="","",G828*L828),IF($N826="Enter Dollar Amount",IF(O828="","",O828),"")))),"")</f>
        <v/>
      </c>
      <c r="Q828" s="408" t="str">
        <f ca="1" t="shared" si="152" ref="Q828:Q830">IFERROR(L828-P828,"")</f>
        <v/>
      </c>
      <c r="R828" s="410" t="str">
        <f>IFERROR(IF(P828="","",M828*P828),"")</f>
        <v/>
      </c>
      <c r="S828" s="411"/>
      <c r="T828" s="408" t="str" cm="1">
        <f t="array" ca="1" aca="1" ref="T828">_xlfn.IFNA(VLOOKUP(INDIRECT("T"&amp;ROW()-2)&amp;"_"&amp;$D$12,BEGIN_Renew_Vision:END_RENEW_VISION,RENEW_COL_ES,FALSE),"")</f>
        <v/>
      </c>
      <c r="U828" s="412" t="str">
        <f t="shared" si="153" ref="U828:U830">IF(E828="","",E828)</f>
        <v/>
      </c>
      <c r="V828" s="413"/>
      <c r="W828" s="414"/>
      <c r="X828" s="415" t="str">
        <f>IFERROR(IF($V826="Keep Contribution Same",H828,IF($V826="Enter Percentages",IF(V828="","",V828*T828),IF($V826="Keep Percentage Same",IF(G828="","",G828*T828),IF($V826="Enter Dollar Amount",IF(W828="","",W828),"")))),"")</f>
        <v/>
      </c>
      <c r="Y828" s="408" t="str">
        <f ca="1" t="shared" si="154" ref="Y828:Y830">IFERROR(T828-X828,"")</f>
        <v/>
      </c>
      <c r="Z828" s="410" t="str">
        <f t="shared" si="155" ref="Z828:Z830">IFERROR(IF(X828="","",U828*X828),"")</f>
        <v/>
      </c>
    </row>
    <row r="829" spans="1:26" ht="18.75" customHeight="1">
      <c r="A829" s="140"/>
      <c r="B829" s="140"/>
      <c r="D829" s="172" t="s">
        <v>240</v>
      </c>
      <c r="E829" s="407"/>
      <c r="F829" s="449" t="str">
        <f>_xlfn.IFNA(VLOOKUP(F826,BEGIN_CURRENT_VISION:END_CURRENT_VISION,CURRENT_COL_EC,FALSE),"")</f>
        <v/>
      </c>
      <c r="G829" s="470" t="str">
        <f t="shared" si="149"/>
        <v/>
      </c>
      <c r="H829" s="449" t="str">
        <f>_xlfn.IFNA(VLOOKUP(F826,BEGIN_CURRENT_VISION:END_CURRENT_VISION,CURRENT_COL_ECContrib,FALSE),"")</f>
        <v/>
      </c>
      <c r="I829" s="409" t="str">
        <f t="shared" si="150"/>
        <v/>
      </c>
      <c r="J829" s="410" t="str">
        <f t="shared" si="151"/>
        <v/>
      </c>
      <c r="K829" s="411"/>
      <c r="L829" s="408" t="str" cm="1">
        <f t="array" ca="1" aca="1" ref="L829">_xlfn.IFNA(VLOOKUP(INDIRECT("L"&amp;ROW()-3)&amp;"_"&amp;$D$12,BEGIN_Renew_Vision:END_RENEW_VISION,RENEW_COL_EC,FALSE),"")</f>
        <v/>
      </c>
      <c r="M829" s="412" t="str">
        <f>IF(E829="","",E829)</f>
        <v/>
      </c>
      <c r="N829" s="413"/>
      <c r="O829" s="414"/>
      <c r="P829" s="415" t="str">
        <f>IFERROR(IF($N826="Keep Contribution Same",H829,IF($N826="Enter Percentages",IF(N829="","",N829*L829),IF($N826="Keep Percentage Same",IF(G829="","",G829*L829),IF($N826="Enter Dollar Amount",IF(O829="","",O829),"")))),"")</f>
        <v/>
      </c>
      <c r="Q829" s="408" t="str">
        <f t="shared" ca="1" si="152"/>
        <v/>
      </c>
      <c r="R829" s="410" t="str">
        <f>IFERROR(IF(P829="","",M829*P829),"")</f>
        <v/>
      </c>
      <c r="S829" s="411"/>
      <c r="T829" s="408" t="str" cm="1">
        <f t="array" ca="1" aca="1" ref="T829">_xlfn.IFNA(VLOOKUP(INDIRECT("T"&amp;ROW()-3)&amp;"_"&amp;$D$12,BEGIN_Renew_Vision:END_RENEW_VISION,RENEW_COL_EC,FALSE),"")</f>
        <v/>
      </c>
      <c r="U829" s="412" t="str">
        <f t="shared" si="153"/>
        <v/>
      </c>
      <c r="V829" s="413"/>
      <c r="W829" s="414"/>
      <c r="X829" s="415" t="str">
        <f>IFERROR(IF($V826="Keep Contribution Same",H829,IF($V826="Enter Percentages",IF(V829="","",V829*T829),IF($V826="Keep Percentage Same",IF(G829="","",G829*T829),IF($V826="Enter Dollar Amount",IF(W829="","",W829),"")))),"")</f>
        <v/>
      </c>
      <c r="Y829" s="408" t="str">
        <f t="shared" ca="1" si="154"/>
        <v/>
      </c>
      <c r="Z829" s="410" t="str">
        <f t="shared" si="155"/>
        <v/>
      </c>
    </row>
    <row r="830" spans="1:26" ht="18.75" customHeight="1" thickBot="1">
      <c r="A830" s="140"/>
      <c r="B830" s="140"/>
      <c r="D830" s="174" t="s">
        <v>241</v>
      </c>
      <c r="E830" s="416"/>
      <c r="F830" s="451" t="str">
        <f>_xlfn.IFNA(VLOOKUP(F826,BEGIN_CURRENT_VISION:END_CURRENT_VISION,CURRENT_COL_FAM,FALSE),"")</f>
        <v/>
      </c>
      <c r="G830" s="471" t="str">
        <f t="shared" si="149"/>
        <v/>
      </c>
      <c r="H830" s="451" t="str">
        <f>_xlfn.IFNA(VLOOKUP(F826,BEGIN_CURRENT_VISION:END_CURRENT_VISION,CURRENT_COL_FAMContrib,FALSE),"")</f>
        <v/>
      </c>
      <c r="I830" s="409" t="str">
        <f t="shared" si="150"/>
        <v/>
      </c>
      <c r="J830" s="410" t="str">
        <f t="shared" si="151"/>
        <v/>
      </c>
      <c r="K830" s="411"/>
      <c r="L830" s="417" t="str" cm="1">
        <f t="array" ca="1" aca="1" ref="L830">_xlfn.IFNA(VLOOKUP(INDIRECT("L"&amp;ROW()-4)&amp;"_"&amp;$D$12,BEGIN_Renew_Vision:END_RENEW_VISION,RENEW_COL_FAM,FALSE),"")</f>
        <v/>
      </c>
      <c r="M830" s="423" t="str">
        <f>IF(E830="","",E830)</f>
        <v/>
      </c>
      <c r="N830" s="420"/>
      <c r="O830" s="421"/>
      <c r="P830" s="422" t="str">
        <f>IFERROR(IF($N826="Keep Contribution Same",H830,IF($N826="Enter Percentages",IF(N830="","",N830*L830),IF($N826="Keep Percentage Same",IF(G830="","",G830*L830),IF($N826="Enter Dollar Amount",IF(O830="","",O830),"")))),"")</f>
        <v/>
      </c>
      <c r="Q830" s="417" t="str">
        <f t="shared" ca="1" si="152"/>
        <v/>
      </c>
      <c r="R830" s="419" t="str">
        <f>IFERROR(IF(P830="","",M830*P830),"")</f>
        <v/>
      </c>
      <c r="S830" s="411"/>
      <c r="T830" s="417" t="str" cm="1">
        <f t="array" ca="1" aca="1" ref="T830">_xlfn.IFNA(VLOOKUP(INDIRECT("T"&amp;ROW()-4)&amp;"_"&amp;$D$12,BEGIN_Renew_Vision:END_RENEW_VISION,RENEW_COL_FAM,FALSE),"")</f>
        <v/>
      </c>
      <c r="U830" s="423" t="str">
        <f t="shared" si="153"/>
        <v/>
      </c>
      <c r="V830" s="420"/>
      <c r="W830" s="421"/>
      <c r="X830" s="422" t="str">
        <f>IFERROR(IF($V826="Keep Contribution Same",H830,IF($V826="Enter Percentages",IF(V830="","",V830*T830),IF($V826="Keep Percentage Same",IF(G830="","",G830*T830),IF($V826="Enter Dollar Amount",IF(W830="","",W830),"")))),"")</f>
        <v/>
      </c>
      <c r="Y830" s="417" t="str">
        <f t="shared" ca="1" si="154"/>
        <v/>
      </c>
      <c r="Z830" s="419" t="str">
        <f t="shared" si="155"/>
        <v/>
      </c>
    </row>
    <row r="831" spans="1:26" ht="18.75" customHeight="1" thickTop="1">
      <c r="A831" s="140"/>
      <c r="B831" s="140"/>
      <c r="D831" s="175" t="s">
        <v>329</v>
      </c>
      <c r="E831" s="424"/>
      <c r="F831" s="427"/>
      <c r="G831" s="426"/>
      <c r="H831" s="427"/>
      <c r="I831" s="428"/>
      <c r="J831" s="429" t="str">
        <f>IFERROR(IF(J827="","",SUM(J827:J830)),0)</f>
        <v/>
      </c>
      <c r="K831" s="1"/>
      <c r="L831" s="424"/>
      <c r="M831" s="427"/>
      <c r="N831" s="426"/>
      <c r="O831" s="427"/>
      <c r="P831" s="431"/>
      <c r="Q831" s="432"/>
      <c r="R831" s="429" t="str">
        <f>IFERROR(IF(R827="","",SUM(R827:R830)),0)</f>
        <v/>
      </c>
      <c r="T831" s="424"/>
      <c r="U831" s="427"/>
      <c r="V831" s="426"/>
      <c r="W831" s="427"/>
      <c r="X831" s="431"/>
      <c r="Y831" s="432"/>
      <c r="Z831" s="429" t="str">
        <f>IFERROR(IF(Z827="","",SUM(Z827:Z830)),0)</f>
        <v/>
      </c>
    </row>
    <row r="832" spans="1:26" ht="18.75" customHeight="1">
      <c r="A832" s="140"/>
      <c r="B832" s="140"/>
      <c r="D832" s="177" t="s">
        <v>243</v>
      </c>
      <c r="E832" s="433"/>
      <c r="F832" s="436"/>
      <c r="G832" s="435"/>
      <c r="H832" s="436"/>
      <c r="I832" s="432"/>
      <c r="J832" s="437" t="str">
        <f>IF(J831="","",J831*12)</f>
        <v/>
      </c>
      <c r="K832" s="1"/>
      <c r="L832" s="433"/>
      <c r="M832" s="436"/>
      <c r="N832" s="435"/>
      <c r="O832" s="436"/>
      <c r="P832" s="432"/>
      <c r="Q832" s="432"/>
      <c r="R832" s="437" t="str">
        <f>IF(R831="","",R831*12)</f>
        <v/>
      </c>
      <c r="T832" s="433"/>
      <c r="U832" s="436"/>
      <c r="V832" s="435"/>
      <c r="W832" s="436"/>
      <c r="X832" s="432"/>
      <c r="Y832" s="432"/>
      <c r="Z832" s="437" t="str">
        <f>IF(Z831="","",Z831*12)</f>
        <v/>
      </c>
    </row>
    <row r="833" spans="1:26" ht="18" customHeight="1">
      <c r="A833" s="140"/>
      <c r="B833" s="140"/>
      <c r="D833" s="177" t="s">
        <v>244</v>
      </c>
      <c r="E833" s="433"/>
      <c r="F833" s="436"/>
      <c r="G833" s="435"/>
      <c r="H833" s="436"/>
      <c r="I833" s="432"/>
      <c r="J833" s="437" t="str">
        <f>IFERROR(IF(J832="","",R832-J832),0)</f>
        <v/>
      </c>
      <c r="K833" s="1"/>
      <c r="L833" s="433"/>
      <c r="M833" s="436"/>
      <c r="N833" s="435"/>
      <c r="O833" s="436"/>
      <c r="P833" s="432"/>
      <c r="Q833" s="432"/>
      <c r="R833" s="437" t="str">
        <f>IFERROR(IF(J832="","",R832-J832),0)</f>
        <v/>
      </c>
      <c r="T833" s="433"/>
      <c r="U833" s="436"/>
      <c r="V833" s="435"/>
      <c r="W833" s="436"/>
      <c r="X833" s="432"/>
      <c r="Y833" s="432"/>
      <c r="Z833" s="437" t="str">
        <f>IFERROR(IF(R832="","",Z832-R832),0)</f>
        <v/>
      </c>
    </row>
    <row r="834" spans="1:26" ht="18" customHeight="1" thickBot="1">
      <c r="A834" s="140"/>
      <c r="B834" s="140"/>
      <c r="D834" s="180" t="s">
        <v>245</v>
      </c>
      <c r="E834" s="439"/>
      <c r="F834" s="440"/>
      <c r="G834" s="441"/>
      <c r="H834" s="440"/>
      <c r="I834" s="442"/>
      <c r="J834" s="437" t="str">
        <f>IFERROR(IF(J832="","",(R832/J832)-1),0)</f>
        <v/>
      </c>
      <c r="K834" s="1"/>
      <c r="L834" s="439"/>
      <c r="M834" s="440"/>
      <c r="N834" s="441"/>
      <c r="O834" s="440"/>
      <c r="P834" s="445"/>
      <c r="Q834" s="445"/>
      <c r="R834" s="446" t="str">
        <f>IFERROR(IF(J832="","",(R832/J832)-1),0)</f>
        <v/>
      </c>
      <c r="T834" s="439"/>
      <c r="U834" s="440"/>
      <c r="V834" s="441"/>
      <c r="W834" s="440"/>
      <c r="X834" s="445"/>
      <c r="Y834" s="445"/>
      <c r="Z834" s="446" t="str">
        <f>IFERROR(IF(R832="","",(Z832/R832)-1),0)</f>
        <v/>
      </c>
    </row>
    <row r="835" spans="1:26" ht="5.25" customHeight="1" thickBot="1">
      <c r="A835" s="140"/>
      <c r="B835" s="140"/>
      <c r="D835" s="229"/>
      <c r="E835" s="229"/>
      <c r="F835" s="230"/>
      <c r="G835" s="231"/>
      <c r="H835" s="232"/>
      <c r="I835" s="233"/>
      <c r="J835" s="233"/>
      <c r="K835"/>
      <c r="L835" s="233"/>
      <c r="M835" s="233"/>
      <c r="N835" s="233"/>
      <c r="O835" s="233"/>
      <c r="P835" s="233"/>
      <c r="Q835" s="233"/>
      <c r="R835" s="233"/>
      <c r="T835" s="233"/>
      <c r="U835" s="233"/>
      <c r="V835" s="233"/>
      <c r="W835" s="233"/>
      <c r="X835" s="233"/>
      <c r="Y835" s="233"/>
      <c r="Z835" s="233"/>
    </row>
    <row r="836" spans="1:26" ht="50.15" customHeight="1">
      <c r="A836" s="140"/>
      <c r="B836" s="140"/>
      <c r="C836" s="164" t="s">
        <v>307</v>
      </c>
      <c r="D836" s="275" t="s">
        <v>285</v>
      </c>
      <c r="E836" s="165"/>
      <c r="F836" s="272"/>
      <c r="G836" s="166"/>
      <c r="H836" s="167"/>
      <c r="I836" s="168"/>
      <c r="J836" s="169"/>
      <c r="K836"/>
      <c r="L836" s="274" t="s">
        <v>38</v>
      </c>
      <c r="M836" s="170"/>
      <c r="N836" s="274" t="s">
        <v>237</v>
      </c>
      <c r="O836" s="171"/>
      <c r="P836" s="171"/>
      <c r="Q836" s="171"/>
      <c r="R836" s="169"/>
      <c r="T836" s="274" t="s">
        <v>38</v>
      </c>
      <c r="U836" s="170"/>
      <c r="V836" s="274" t="s">
        <v>237</v>
      </c>
      <c r="W836" s="171"/>
      <c r="X836" s="171"/>
      <c r="Y836" s="171"/>
      <c r="Z836" s="169"/>
    </row>
    <row r="837" spans="1:26" ht="18.75" customHeight="1">
      <c r="A837" s="140"/>
      <c r="B837" s="140"/>
      <c r="D837" s="172" t="s">
        <v>238</v>
      </c>
      <c r="E837" s="407"/>
      <c r="F837" s="449"/>
      <c r="G837" s="470" t="str">
        <f t="shared" si="156" ref="G837:G840">IF(F837="","",H837/F837)</f>
        <v/>
      </c>
      <c r="H837" s="449" t="str">
        <f>_xlfn.IFNA(VLOOKUP(F836,BEGIN_CURRENT_VISION:END_CURRENT_VISION,CURRENT_COL_EOContrib,FALSE),"")</f>
        <v/>
      </c>
      <c r="I837" s="409" t="str">
        <f>IFERROR(F837-H837,"")</f>
        <v/>
      </c>
      <c r="J837" s="410" t="str">
        <f>IF(F837="","",H837*E837)</f>
        <v/>
      </c>
      <c r="K837" s="411"/>
      <c r="L837" s="408" t="str" cm="1">
        <f t="array" ca="1" aca="1" ref="L837">_xlfn.IFNA(VLOOKUP(INDIRECT("L"&amp;ROW()-1)&amp;"_"&amp;$D$12,BEGIN_Renew_Vision:END_RENEW_VISION,RENEW_COL_EO,FALSE),"")</f>
        <v/>
      </c>
      <c r="M837" s="412" t="str">
        <f>IF(E837="","",E837)</f>
        <v/>
      </c>
      <c r="N837" s="413"/>
      <c r="O837" s="414"/>
      <c r="P837" s="415" t="str">
        <f>IFERROR(IF($N836="Keep Contribution Same",H837,IF($N836="Enter Percentages",IF(N837="","",N837*L837),IF($N836="Keep Percentage Same",IF(G837="","",G837*L837),IF($N836="Enter Dollar Amount",IF(O837="","",O837),"")))),"")</f>
        <v/>
      </c>
      <c r="Q837" s="408" t="str">
        <f ca="1">IFERROR(L837-P837,"")</f>
        <v/>
      </c>
      <c r="R837" s="410" t="str">
        <f>IFERROR(IF(P837="","",M837*P837),"")</f>
        <v/>
      </c>
      <c r="S837" s="411"/>
      <c r="T837" s="408" t="str" cm="1">
        <f t="array" ca="1" aca="1" ref="T837">_xlfn.IFNA(VLOOKUP(INDIRECT("T"&amp;ROW()-1)&amp;"_"&amp;$D$12,BEGIN_Renew_Vision:END_RENEW_VISION,RENEW_COL_EO,FALSE),"")</f>
        <v/>
      </c>
      <c r="U837" s="412" t="str">
        <f>IF(E837="","",E837)</f>
        <v/>
      </c>
      <c r="V837" s="413"/>
      <c r="W837" s="414"/>
      <c r="X837" s="415" t="str">
        <f>IFERROR(IF($V836="Keep Contribution Same",H837,IF($V836="Enter Percentages",IF(V837="","",V837*T837),IF($V836="Keep Percentage Same",IF(G837="","",G837*T837),IF($V836="Enter Dollar Amount",IF(W837="","",W837),"")))),"")</f>
        <v/>
      </c>
      <c r="Y837" s="408" t="str">
        <f ca="1">IFERROR(T837-X837,"")</f>
        <v/>
      </c>
      <c r="Z837" s="410" t="str">
        <f>IFERROR(IF(X837="","",U837*X837),"")</f>
        <v/>
      </c>
    </row>
    <row r="838" spans="1:26" ht="18.75" customHeight="1">
      <c r="A838" s="140"/>
      <c r="B838" s="140"/>
      <c r="D838" s="172" t="s">
        <v>239</v>
      </c>
      <c r="E838" s="407"/>
      <c r="F838" s="449" t="str">
        <f>_xlfn.IFNA(VLOOKUP(F836,BEGIN_CURRENT_VISION:END_CURRENT_VISION,CURRENT_COL_ES,FALSE),"")</f>
        <v/>
      </c>
      <c r="G838" s="470" t="str">
        <f t="shared" si="156"/>
        <v/>
      </c>
      <c r="H838" s="449" t="str">
        <f>_xlfn.IFNA(VLOOKUP(F836,BEGIN_CURRENT_VISION:END_CURRENT_VISION,CURRENT_COL_ESContrib,FALSE),"")</f>
        <v/>
      </c>
      <c r="I838" s="409" t="str">
        <f t="shared" si="157" ref="I838:I840">IFERROR(F838-H838,"")</f>
        <v/>
      </c>
      <c r="J838" s="410" t="str">
        <f t="shared" si="158" ref="J838:J840">IF(F838="","",H838*E838)</f>
        <v/>
      </c>
      <c r="K838" s="411"/>
      <c r="L838" s="408" t="str" cm="1">
        <f t="array" ca="1" aca="1" ref="L838">_xlfn.IFNA(VLOOKUP(INDIRECT("L"&amp;ROW()-2)&amp;"_"&amp;$D$12,BEGIN_Renew_Vision:END_RENEW_VISION,RENEW_COL_ES,FALSE),"")</f>
        <v/>
      </c>
      <c r="M838" s="412" t="str">
        <f>IF(E838="","",E838)</f>
        <v/>
      </c>
      <c r="N838" s="413"/>
      <c r="O838" s="414"/>
      <c r="P838" s="415" t="str">
        <f>IFERROR(IF($N836="Keep Contribution Same",H838,IF($N836="Enter Percentages",IF(N838="","",N838*L838),IF($N836="Keep Percentage Same",IF(G838="","",G838*L838),IF($N836="Enter Dollar Amount",IF(O838="","",O838),"")))),"")</f>
        <v/>
      </c>
      <c r="Q838" s="408" t="str">
        <f ca="1" t="shared" si="159" ref="Q838:Q840">IFERROR(L838-P838,"")</f>
        <v/>
      </c>
      <c r="R838" s="410" t="str">
        <f>IFERROR(IF(P838="","",M838*P838),"")</f>
        <v/>
      </c>
      <c r="S838" s="411"/>
      <c r="T838" s="408" t="str" cm="1">
        <f t="array" ca="1" aca="1" ref="T838">_xlfn.IFNA(VLOOKUP(INDIRECT("T"&amp;ROW()-2)&amp;"_"&amp;$D$12,BEGIN_Renew_Vision:END_RENEW_VISION,RENEW_COL_ES,FALSE),"")</f>
        <v/>
      </c>
      <c r="U838" s="412" t="str">
        <f t="shared" si="160" ref="U838:U840">IF(E838="","",E838)</f>
        <v/>
      </c>
      <c r="V838" s="413"/>
      <c r="W838" s="414"/>
      <c r="X838" s="415" t="str">
        <f>IFERROR(IF($V836="Keep Contribution Same",H838,IF($V836="Enter Percentages",IF(V838="","",V838*T838),IF($V836="Keep Percentage Same",IF(G838="","",G838*T838),IF($V836="Enter Dollar Amount",IF(W838="","",W838),"")))),"")</f>
        <v/>
      </c>
      <c r="Y838" s="408" t="str">
        <f ca="1" t="shared" si="161" ref="Y838:Y840">IFERROR(T838-X838,"")</f>
        <v/>
      </c>
      <c r="Z838" s="410" t="str">
        <f t="shared" si="162" ref="Z838:Z840">IFERROR(IF(X838="","",U838*X838),"")</f>
        <v/>
      </c>
    </row>
    <row r="839" spans="1:26" ht="18.75" customHeight="1">
      <c r="A839" s="140"/>
      <c r="B839" s="140"/>
      <c r="D839" s="172" t="s">
        <v>240</v>
      </c>
      <c r="E839" s="407"/>
      <c r="F839" s="449" t="str">
        <f>_xlfn.IFNA(VLOOKUP(F836,BEGIN_CURRENT_VISION:END_CURRENT_VISION,CURRENT_COL_EC,FALSE),"")</f>
        <v/>
      </c>
      <c r="G839" s="470" t="str">
        <f t="shared" si="156"/>
        <v/>
      </c>
      <c r="H839" s="449" t="str">
        <f>_xlfn.IFNA(VLOOKUP(F836,BEGIN_CURRENT_VISION:END_CURRENT_VISION,CURRENT_COL_ECContrib,FALSE),"")</f>
        <v/>
      </c>
      <c r="I839" s="409" t="str">
        <f t="shared" si="157"/>
        <v/>
      </c>
      <c r="J839" s="410" t="str">
        <f t="shared" si="158"/>
        <v/>
      </c>
      <c r="K839" s="411"/>
      <c r="L839" s="408" t="str" cm="1">
        <f t="array" ca="1" aca="1" ref="L839">_xlfn.IFNA(VLOOKUP(INDIRECT("L"&amp;ROW()-3)&amp;"_"&amp;$D$12,BEGIN_Renew_Vision:END_RENEW_VISION,RENEW_COL_EC,FALSE),"")</f>
        <v/>
      </c>
      <c r="M839" s="412" t="str">
        <f>IF(E839="","",E839)</f>
        <v/>
      </c>
      <c r="N839" s="413"/>
      <c r="O839" s="414"/>
      <c r="P839" s="415" t="str">
        <f>IFERROR(IF($N836="Keep Contribution Same",H839,IF($N836="Enter Percentages",IF(N839="","",N839*L839),IF($N836="Keep Percentage Same",IF(G839="","",G839*L839),IF($N836="Enter Dollar Amount",IF(O839="","",O839),"")))),"")</f>
        <v/>
      </c>
      <c r="Q839" s="408" t="str">
        <f t="shared" ca="1" si="159"/>
        <v/>
      </c>
      <c r="R839" s="410" t="str">
        <f>IFERROR(IF(P839="","",M839*P839),"")</f>
        <v/>
      </c>
      <c r="S839" s="411"/>
      <c r="T839" s="408" t="str" cm="1">
        <f t="array" ca="1" aca="1" ref="T839">_xlfn.IFNA(VLOOKUP(INDIRECT("T"&amp;ROW()-3)&amp;"_"&amp;$D$12,BEGIN_Renew_Vision:END_RENEW_VISION,RENEW_COL_EC,FALSE),"")</f>
        <v/>
      </c>
      <c r="U839" s="412" t="str">
        <f t="shared" si="160"/>
        <v/>
      </c>
      <c r="V839" s="413"/>
      <c r="W839" s="414"/>
      <c r="X839" s="415" t="str">
        <f>IFERROR(IF($V836="Keep Contribution Same",H839,IF($V836="Enter Percentages",IF(V839="","",V839*T839),IF($V836="Keep Percentage Same",IF(G839="","",G839*T839),IF($V836="Enter Dollar Amount",IF(W839="","",W839),"")))),"")</f>
        <v/>
      </c>
      <c r="Y839" s="408" t="str">
        <f t="shared" ca="1" si="161"/>
        <v/>
      </c>
      <c r="Z839" s="410" t="str">
        <f t="shared" si="162"/>
        <v/>
      </c>
    </row>
    <row r="840" spans="1:26" ht="18.75" customHeight="1" thickBot="1">
      <c r="A840" s="140"/>
      <c r="B840" s="140"/>
      <c r="D840" s="174" t="s">
        <v>241</v>
      </c>
      <c r="E840" s="416"/>
      <c r="F840" s="451" t="str">
        <f>_xlfn.IFNA(VLOOKUP(F836,BEGIN_CURRENT_VISION:END_CURRENT_VISION,CURRENT_COL_FAM,FALSE),"")</f>
        <v/>
      </c>
      <c r="G840" s="471" t="str">
        <f t="shared" si="156"/>
        <v/>
      </c>
      <c r="H840" s="451" t="str">
        <f>_xlfn.IFNA(VLOOKUP(F836,BEGIN_CURRENT_VISION:END_CURRENT_VISION,CURRENT_COL_FAMContrib,FALSE),"")</f>
        <v/>
      </c>
      <c r="I840" s="409" t="str">
        <f t="shared" si="157"/>
        <v/>
      </c>
      <c r="J840" s="410" t="str">
        <f t="shared" si="158"/>
        <v/>
      </c>
      <c r="K840" s="411"/>
      <c r="L840" s="417" t="str" cm="1">
        <f t="array" ca="1" aca="1" ref="L840">_xlfn.IFNA(VLOOKUP(INDIRECT("L"&amp;ROW()-4)&amp;"_"&amp;$D$12,BEGIN_Renew_Vision:END_RENEW_VISION,RENEW_COL_FAM,FALSE),"")</f>
        <v/>
      </c>
      <c r="M840" s="423" t="str">
        <f>IF(E840="","",E840)</f>
        <v/>
      </c>
      <c r="N840" s="420"/>
      <c r="O840" s="421"/>
      <c r="P840" s="422" t="str">
        <f>IFERROR(IF($N836="Keep Contribution Same",H840,IF($N836="Enter Percentages",IF(N840="","",N840*L840),IF($N836="Keep Percentage Same",IF(G840="","",G840*L840),IF($N836="Enter Dollar Amount",IF(O840="","",O840),"")))),"")</f>
        <v/>
      </c>
      <c r="Q840" s="417" t="str">
        <f t="shared" ca="1" si="159"/>
        <v/>
      </c>
      <c r="R840" s="419" t="str">
        <f>IFERROR(IF(P840="","",M840*P840),"")</f>
        <v/>
      </c>
      <c r="S840" s="411"/>
      <c r="T840" s="417" t="str" cm="1">
        <f t="array" ca="1" aca="1" ref="T840">_xlfn.IFNA(VLOOKUP(INDIRECT("T"&amp;ROW()-4)&amp;"_"&amp;$D$12,BEGIN_Renew_Vision:END_RENEW_VISION,RENEW_COL_FAM,FALSE),"")</f>
        <v/>
      </c>
      <c r="U840" s="423" t="str">
        <f t="shared" si="160"/>
        <v/>
      </c>
      <c r="V840" s="420"/>
      <c r="W840" s="421"/>
      <c r="X840" s="422" t="str">
        <f>IFERROR(IF($V836="Keep Contribution Same",H840,IF($V836="Enter Percentages",IF(V840="","",V840*T840),IF($V836="Keep Percentage Same",IF(G840="","",G840*T840),IF($V836="Enter Dollar Amount",IF(W840="","",W840),"")))),"")</f>
        <v/>
      </c>
      <c r="Y840" s="417" t="str">
        <f t="shared" ca="1" si="161"/>
        <v/>
      </c>
      <c r="Z840" s="419" t="str">
        <f t="shared" si="162"/>
        <v/>
      </c>
    </row>
    <row r="841" spans="1:26" ht="18.75" customHeight="1" thickTop="1">
      <c r="A841" s="140"/>
      <c r="B841" s="140"/>
      <c r="D841" s="175" t="s">
        <v>329</v>
      </c>
      <c r="E841" s="424"/>
      <c r="F841" s="427"/>
      <c r="G841" s="426"/>
      <c r="H841" s="427"/>
      <c r="I841" s="428"/>
      <c r="J841" s="429" t="str">
        <f>IFERROR(IF(J837="","",SUM(J837:J840)),0)</f>
        <v/>
      </c>
      <c r="K841" s="1"/>
      <c r="L841" s="424"/>
      <c r="M841" s="427"/>
      <c r="N841" s="426"/>
      <c r="O841" s="427"/>
      <c r="P841" s="431"/>
      <c r="Q841" s="432"/>
      <c r="R841" s="429" t="str">
        <f>IFERROR(IF(R837="","",SUM(R837:R840)),0)</f>
        <v/>
      </c>
      <c r="T841" s="424"/>
      <c r="U841" s="427"/>
      <c r="V841" s="426"/>
      <c r="W841" s="427"/>
      <c r="X841" s="431"/>
      <c r="Y841" s="432"/>
      <c r="Z841" s="429" t="str">
        <f>IFERROR(IF(Z837="","",SUM(Z837:Z840)),0)</f>
        <v/>
      </c>
    </row>
    <row r="842" spans="1:26" ht="18" customHeight="1">
      <c r="A842" s="140"/>
      <c r="B842" s="140"/>
      <c r="D842" s="177" t="s">
        <v>243</v>
      </c>
      <c r="E842" s="433"/>
      <c r="F842" s="436"/>
      <c r="G842" s="435"/>
      <c r="H842" s="436"/>
      <c r="I842" s="432"/>
      <c r="J842" s="437" t="str">
        <f>IF(J841="","",J841*12)</f>
        <v/>
      </c>
      <c r="K842" s="1"/>
      <c r="L842" s="433"/>
      <c r="M842" s="436"/>
      <c r="N842" s="435"/>
      <c r="O842" s="436"/>
      <c r="P842" s="432"/>
      <c r="Q842" s="432"/>
      <c r="R842" s="437" t="str">
        <f>IF(R841="","",R841*12)</f>
        <v/>
      </c>
      <c r="T842" s="433"/>
      <c r="U842" s="436"/>
      <c r="V842" s="435"/>
      <c r="W842" s="436"/>
      <c r="X842" s="432"/>
      <c r="Y842" s="432"/>
      <c r="Z842" s="437" t="str">
        <f>IF(Z841="","",Z841*12)</f>
        <v/>
      </c>
    </row>
    <row r="843" spans="1:26" ht="18" customHeight="1">
      <c r="A843" s="140"/>
      <c r="B843" s="140"/>
      <c r="D843" s="177" t="s">
        <v>244</v>
      </c>
      <c r="E843" s="433"/>
      <c r="F843" s="436"/>
      <c r="G843" s="435"/>
      <c r="H843" s="436"/>
      <c r="I843" s="432"/>
      <c r="J843" s="437" t="str">
        <f>IFERROR(IF(J842="","",R842-J842),0)</f>
        <v/>
      </c>
      <c r="K843" s="1"/>
      <c r="L843" s="433"/>
      <c r="M843" s="436"/>
      <c r="N843" s="435"/>
      <c r="O843" s="436"/>
      <c r="P843" s="432"/>
      <c r="Q843" s="432"/>
      <c r="R843" s="437" t="str">
        <f>IFERROR(IF(J842="","",R842-J842),0)</f>
        <v/>
      </c>
      <c r="T843" s="433"/>
      <c r="U843" s="436"/>
      <c r="V843" s="435"/>
      <c r="W843" s="436"/>
      <c r="X843" s="432"/>
      <c r="Y843" s="432"/>
      <c r="Z843" s="437" t="str">
        <f>IFERROR(IF(R842="","",Z842-R842),0)</f>
        <v/>
      </c>
    </row>
    <row r="844" spans="1:26" ht="18" customHeight="1" thickBot="1">
      <c r="A844" s="140"/>
      <c r="B844" s="140"/>
      <c r="D844" s="180" t="s">
        <v>245</v>
      </c>
      <c r="E844" s="439"/>
      <c r="F844" s="440"/>
      <c r="G844" s="441"/>
      <c r="H844" s="440"/>
      <c r="I844" s="442"/>
      <c r="J844" s="437" t="str">
        <f>IFERROR(IF(J842="","",(R842/J842)-1),0)</f>
        <v/>
      </c>
      <c r="K844" s="1"/>
      <c r="L844" s="439"/>
      <c r="M844" s="440"/>
      <c r="N844" s="441"/>
      <c r="O844" s="440"/>
      <c r="P844" s="445"/>
      <c r="Q844" s="445"/>
      <c r="R844" s="446" t="str">
        <f>IFERROR(IF(J842="","",(R842/J842)-1),0)</f>
        <v/>
      </c>
      <c r="T844" s="439"/>
      <c r="U844" s="440"/>
      <c r="V844" s="441"/>
      <c r="W844" s="440"/>
      <c r="X844" s="445"/>
      <c r="Y844" s="445"/>
      <c r="Z844" s="446" t="str">
        <f>IFERROR(IF(R842="","",(Z842/R842)-1),0)</f>
        <v/>
      </c>
    </row>
    <row r="845" spans="1:26" ht="5.25" customHeight="1" thickBot="1">
      <c r="A845" s="140"/>
      <c r="B845" s="140"/>
      <c r="D845" s="229"/>
      <c r="E845" s="229"/>
      <c r="F845" s="230"/>
      <c r="G845" s="231"/>
      <c r="H845" s="232"/>
      <c r="I845" s="233"/>
      <c r="J845" s="233"/>
      <c r="K845"/>
      <c r="L845" s="233"/>
      <c r="M845" s="233"/>
      <c r="N845" s="233"/>
      <c r="O845" s="233"/>
      <c r="P845" s="233"/>
      <c r="Q845" s="233"/>
      <c r="R845" s="233"/>
      <c r="T845" s="233"/>
      <c r="U845" s="233"/>
      <c r="V845" s="233"/>
      <c r="W845" s="233"/>
      <c r="X845" s="233"/>
      <c r="Y845" s="233"/>
      <c r="Z845" s="233"/>
    </row>
    <row r="846" spans="1:26" ht="50.15" customHeight="1">
      <c r="A846" s="140"/>
      <c r="B846" s="140"/>
      <c r="C846" s="164" t="s">
        <v>308</v>
      </c>
      <c r="D846" s="275" t="s">
        <v>285</v>
      </c>
      <c r="E846" s="165"/>
      <c r="F846" s="272"/>
      <c r="G846" s="166"/>
      <c r="H846" s="167"/>
      <c r="I846" s="168"/>
      <c r="J846" s="169"/>
      <c r="K846"/>
      <c r="L846" s="274" t="s">
        <v>38</v>
      </c>
      <c r="M846" s="170"/>
      <c r="N846" s="274" t="s">
        <v>237</v>
      </c>
      <c r="O846" s="171"/>
      <c r="P846" s="171"/>
      <c r="Q846" s="171"/>
      <c r="R846" s="169"/>
      <c r="T846" s="274" t="s">
        <v>38</v>
      </c>
      <c r="U846" s="170"/>
      <c r="V846" s="274" t="s">
        <v>237</v>
      </c>
      <c r="W846" s="171"/>
      <c r="X846" s="171"/>
      <c r="Y846" s="171"/>
      <c r="Z846" s="169"/>
    </row>
    <row r="847" spans="1:26" ht="18.75" customHeight="1">
      <c r="A847" s="140"/>
      <c r="B847" s="140"/>
      <c r="D847" s="172" t="s">
        <v>238</v>
      </c>
      <c r="E847" s="407"/>
      <c r="F847" s="449"/>
      <c r="G847" s="470" t="str">
        <f t="shared" si="163" ref="G847:G850">IF(F847="","",H847/F847)</f>
        <v/>
      </c>
      <c r="H847" s="449" t="str">
        <f>_xlfn.IFNA(VLOOKUP(F846,BEGIN_CURRENT_VISION:END_CURRENT_VISION,CURRENT_COL_EOContrib,FALSE),"")</f>
        <v/>
      </c>
      <c r="I847" s="409" t="str">
        <f>IFERROR(F847-H847,"")</f>
        <v/>
      </c>
      <c r="J847" s="410" t="str">
        <f>IF(F847="","",H847*E847)</f>
        <v/>
      </c>
      <c r="K847" s="411"/>
      <c r="L847" s="408" t="str" cm="1">
        <f t="array" ca="1" aca="1" ref="L847">_xlfn.IFNA(VLOOKUP(INDIRECT("L"&amp;ROW()-1)&amp;"_"&amp;$D$12,BEGIN_Renew_Vision:END_RENEW_VISION,RENEW_COL_EO,FALSE),"")</f>
        <v/>
      </c>
      <c r="M847" s="412" t="str">
        <f>IF(E847="","",E847)</f>
        <v/>
      </c>
      <c r="N847" s="413"/>
      <c r="O847" s="414"/>
      <c r="P847" s="415" t="str">
        <f>IFERROR(IF($N846="Keep Contribution Same",H847,IF($N846="Enter Percentages",IF(N847="","",N847*L847),IF($N846="Keep Percentage Same",IF(G847="","",G847*L847),IF($N846="Enter Dollar Amount",IF(O847="","",O847),"")))),"")</f>
        <v/>
      </c>
      <c r="Q847" s="408" t="str">
        <f ca="1">IFERROR(L847-P847,"")</f>
        <v/>
      </c>
      <c r="R847" s="410" t="str">
        <f>IFERROR(IF(P847="","",M847*P847),"")</f>
        <v/>
      </c>
      <c r="S847" s="411"/>
      <c r="T847" s="408" t="str" cm="1">
        <f t="array" ca="1" aca="1" ref="T847">_xlfn.IFNA(VLOOKUP(INDIRECT("T"&amp;ROW()-1)&amp;"_"&amp;$D$12,BEGIN_Renew_Vision:END_RENEW_VISION,RENEW_COL_EO,FALSE),"")</f>
        <v/>
      </c>
      <c r="U847" s="412" t="str">
        <f>IF(E847="","",E847)</f>
        <v/>
      </c>
      <c r="V847" s="413"/>
      <c r="W847" s="414"/>
      <c r="X847" s="415" t="str">
        <f>IFERROR(IF($V846="Keep Contribution Same",H847,IF($V846="Enter Percentages",IF(V847="","",V847*T847),IF($V846="Keep Percentage Same",IF(G847="","",G847*T847),IF($V846="Enter Dollar Amount",IF(W847="","",W847),"")))),"")</f>
        <v/>
      </c>
      <c r="Y847" s="408" t="str">
        <f ca="1">IFERROR(T847-X847,"")</f>
        <v/>
      </c>
      <c r="Z847" s="410" t="str">
        <f>IFERROR(IF(X847="","",U847*X847),"")</f>
        <v/>
      </c>
    </row>
    <row r="848" spans="1:26" ht="18.75" customHeight="1">
      <c r="A848" s="140"/>
      <c r="B848" s="140"/>
      <c r="D848" s="172" t="s">
        <v>239</v>
      </c>
      <c r="E848" s="407"/>
      <c r="F848" s="449" t="str">
        <f>_xlfn.IFNA(VLOOKUP(F846,BEGIN_CURRENT_VISION:END_CURRENT_VISION,CURRENT_COL_ES,FALSE),"")</f>
        <v/>
      </c>
      <c r="G848" s="470" t="str">
        <f t="shared" si="163"/>
        <v/>
      </c>
      <c r="H848" s="449" t="str">
        <f>_xlfn.IFNA(VLOOKUP(F846,BEGIN_CURRENT_VISION:END_CURRENT_VISION,CURRENT_COL_ESContrib,FALSE),"")</f>
        <v/>
      </c>
      <c r="I848" s="409" t="str">
        <f t="shared" si="164" ref="I848:I850">IFERROR(F848-H848,"")</f>
        <v/>
      </c>
      <c r="J848" s="410" t="str">
        <f t="shared" si="165" ref="J848:J850">IF(F848="","",H848*E848)</f>
        <v/>
      </c>
      <c r="K848" s="411"/>
      <c r="L848" s="408" t="str" cm="1">
        <f t="array" ca="1" aca="1" ref="L848">_xlfn.IFNA(VLOOKUP(INDIRECT("L"&amp;ROW()-2)&amp;"_"&amp;$D$12,BEGIN_Renew_Vision:END_RENEW_VISION,RENEW_COL_ES,FALSE),"")</f>
        <v/>
      </c>
      <c r="M848" s="412" t="str">
        <f>IF(E848="","",E848)</f>
        <v/>
      </c>
      <c r="N848" s="413"/>
      <c r="O848" s="414"/>
      <c r="P848" s="415" t="str">
        <f>IFERROR(IF($N846="Keep Contribution Same",H848,IF($N846="Enter Percentages",IF(N848="","",N848*L848),IF($N846="Keep Percentage Same",IF(G848="","",G848*L848),IF($N846="Enter Dollar Amount",IF(O848="","",O848),"")))),"")</f>
        <v/>
      </c>
      <c r="Q848" s="408" t="str">
        <f ca="1" t="shared" si="166" ref="Q848:Q850">IFERROR(L848-P848,"")</f>
        <v/>
      </c>
      <c r="R848" s="410" t="str">
        <f>IFERROR(IF(P848="","",M848*P848),"")</f>
        <v/>
      </c>
      <c r="S848" s="411"/>
      <c r="T848" s="408" t="str" cm="1">
        <f t="array" ca="1" aca="1" ref="T848">_xlfn.IFNA(VLOOKUP(INDIRECT("T"&amp;ROW()-2)&amp;"_"&amp;$D$12,BEGIN_Renew_Vision:END_RENEW_VISION,RENEW_COL_ES,FALSE),"")</f>
        <v/>
      </c>
      <c r="U848" s="412" t="str">
        <f t="shared" si="167" ref="U848:U850">IF(E848="","",E848)</f>
        <v/>
      </c>
      <c r="V848" s="413"/>
      <c r="W848" s="414"/>
      <c r="X848" s="415" t="str">
        <f>IFERROR(IF($V846="Keep Contribution Same",H848,IF($V846="Enter Percentages",IF(V848="","",V848*T848),IF($V846="Keep Percentage Same",IF(G848="","",G848*T848),IF($V846="Enter Dollar Amount",IF(W848="","",W848),"")))),"")</f>
        <v/>
      </c>
      <c r="Y848" s="408" t="str">
        <f ca="1" t="shared" si="168" ref="Y848:Y850">IFERROR(T848-X848,"")</f>
        <v/>
      </c>
      <c r="Z848" s="410" t="str">
        <f t="shared" si="169" ref="Z848:Z850">IFERROR(IF(X848="","",U848*X848),"")</f>
        <v/>
      </c>
    </row>
    <row r="849" spans="1:26" ht="18.75" customHeight="1">
      <c r="A849" s="140"/>
      <c r="B849" s="140"/>
      <c r="D849" s="172" t="s">
        <v>240</v>
      </c>
      <c r="E849" s="407"/>
      <c r="F849" s="449" t="str">
        <f>_xlfn.IFNA(VLOOKUP(F846,BEGIN_CURRENT_VISION:END_CURRENT_VISION,CURRENT_COL_EC,FALSE),"")</f>
        <v/>
      </c>
      <c r="G849" s="470" t="str">
        <f t="shared" si="163"/>
        <v/>
      </c>
      <c r="H849" s="449" t="str">
        <f>_xlfn.IFNA(VLOOKUP(F846,BEGIN_CURRENT_VISION:END_CURRENT_VISION,CURRENT_COL_ECContrib,FALSE),"")</f>
        <v/>
      </c>
      <c r="I849" s="409" t="str">
        <f t="shared" si="164"/>
        <v/>
      </c>
      <c r="J849" s="410" t="str">
        <f t="shared" si="165"/>
        <v/>
      </c>
      <c r="K849" s="411"/>
      <c r="L849" s="408" t="str" cm="1">
        <f t="array" ca="1" aca="1" ref="L849">_xlfn.IFNA(VLOOKUP(INDIRECT("L"&amp;ROW()-3)&amp;"_"&amp;$D$12,BEGIN_Renew_Vision:END_RENEW_VISION,RENEW_COL_EC,FALSE),"")</f>
        <v/>
      </c>
      <c r="M849" s="412" t="str">
        <f>IF(E849="","",E849)</f>
        <v/>
      </c>
      <c r="N849" s="413"/>
      <c r="O849" s="414"/>
      <c r="P849" s="415" t="str">
        <f>IFERROR(IF($N846="Keep Contribution Same",H849,IF($N846="Enter Percentages",IF(N849="","",N849*L849),IF($N846="Keep Percentage Same",IF(G849="","",G849*L849),IF($N846="Enter Dollar Amount",IF(O849="","",O849),"")))),"")</f>
        <v/>
      </c>
      <c r="Q849" s="408" t="str">
        <f t="shared" ca="1" si="166"/>
        <v/>
      </c>
      <c r="R849" s="410" t="str">
        <f>IFERROR(IF(P849="","",M849*P849),"")</f>
        <v/>
      </c>
      <c r="S849" s="411"/>
      <c r="T849" s="408" t="str" cm="1">
        <f t="array" ca="1" aca="1" ref="T849">_xlfn.IFNA(VLOOKUP(INDIRECT("T"&amp;ROW()-3)&amp;"_"&amp;$D$12,BEGIN_Renew_Vision:END_RENEW_VISION,RENEW_COL_EC,FALSE),"")</f>
        <v/>
      </c>
      <c r="U849" s="412" t="str">
        <f t="shared" si="167"/>
        <v/>
      </c>
      <c r="V849" s="413"/>
      <c r="W849" s="414"/>
      <c r="X849" s="415" t="str">
        <f>IFERROR(IF($V846="Keep Contribution Same",H849,IF($V846="Enter Percentages",IF(V849="","",V849*T849),IF($V846="Keep Percentage Same",IF(G849="","",G849*T849),IF($V846="Enter Dollar Amount",IF(W849="","",W849),"")))),"")</f>
        <v/>
      </c>
      <c r="Y849" s="408" t="str">
        <f t="shared" ca="1" si="168"/>
        <v/>
      </c>
      <c r="Z849" s="410" t="str">
        <f t="shared" si="169"/>
        <v/>
      </c>
    </row>
    <row r="850" spans="1:26" ht="18.75" customHeight="1" thickBot="1">
      <c r="A850" s="140"/>
      <c r="B850" s="140"/>
      <c r="D850" s="174" t="s">
        <v>241</v>
      </c>
      <c r="E850" s="416"/>
      <c r="F850" s="451" t="str">
        <f>_xlfn.IFNA(VLOOKUP(F846,BEGIN_CURRENT_VISION:END_CURRENT_VISION,CURRENT_COL_FAM,FALSE),"")</f>
        <v/>
      </c>
      <c r="G850" s="471" t="str">
        <f t="shared" si="163"/>
        <v/>
      </c>
      <c r="H850" s="451" t="str">
        <f>_xlfn.IFNA(VLOOKUP(F846,BEGIN_CURRENT_VISION:END_CURRENT_VISION,CURRENT_COL_FAMContrib,FALSE),"")</f>
        <v/>
      </c>
      <c r="I850" s="409" t="str">
        <f t="shared" si="164"/>
        <v/>
      </c>
      <c r="J850" s="410" t="str">
        <f t="shared" si="165"/>
        <v/>
      </c>
      <c r="K850" s="411"/>
      <c r="L850" s="417" t="str" cm="1">
        <f t="array" ca="1" aca="1" ref="L850">_xlfn.IFNA(VLOOKUP(INDIRECT("L"&amp;ROW()-4)&amp;"_"&amp;$D$12,BEGIN_Renew_Vision:END_RENEW_VISION,RENEW_COL_FAM,FALSE),"")</f>
        <v/>
      </c>
      <c r="M850" s="423" t="str">
        <f>IF(E850="","",E850)</f>
        <v/>
      </c>
      <c r="N850" s="420"/>
      <c r="O850" s="421"/>
      <c r="P850" s="422" t="str">
        <f>IFERROR(IF($N846="Keep Contribution Same",H850,IF($N846="Enter Percentages",IF(N850="","",N850*L850),IF($N846="Keep Percentage Same",IF(G850="","",G850*L850),IF($N846="Enter Dollar Amount",IF(O850="","",O850),"")))),"")</f>
        <v/>
      </c>
      <c r="Q850" s="417" t="str">
        <f t="shared" ca="1" si="166"/>
        <v/>
      </c>
      <c r="R850" s="419" t="str">
        <f>IFERROR(IF(P850="","",M850*P850),"")</f>
        <v/>
      </c>
      <c r="S850" s="411"/>
      <c r="T850" s="417" t="str" cm="1">
        <f t="array" ca="1" aca="1" ref="T850">_xlfn.IFNA(VLOOKUP(INDIRECT("T"&amp;ROW()-4)&amp;"_"&amp;$D$12,BEGIN_Renew_Vision:END_RENEW_VISION,RENEW_COL_FAM,FALSE),"")</f>
        <v/>
      </c>
      <c r="U850" s="423" t="str">
        <f t="shared" si="167"/>
        <v/>
      </c>
      <c r="V850" s="420"/>
      <c r="W850" s="421"/>
      <c r="X850" s="422" t="str">
        <f>IFERROR(IF($V846="Keep Contribution Same",H850,IF($V846="Enter Percentages",IF(V850="","",V850*T850),IF($V846="Keep Percentage Same",IF(G850="","",G850*T850),IF($V846="Enter Dollar Amount",IF(W850="","",W850),"")))),"")</f>
        <v/>
      </c>
      <c r="Y850" s="417" t="str">
        <f t="shared" ca="1" si="168"/>
        <v/>
      </c>
      <c r="Z850" s="419" t="str">
        <f t="shared" si="169"/>
        <v/>
      </c>
    </row>
    <row r="851" spans="1:26" ht="18.75" customHeight="1" thickTop="1">
      <c r="A851" s="140"/>
      <c r="B851" s="140"/>
      <c r="D851" s="175" t="s">
        <v>329</v>
      </c>
      <c r="E851" s="424"/>
      <c r="F851" s="427"/>
      <c r="G851" s="426"/>
      <c r="H851" s="427"/>
      <c r="I851" s="428"/>
      <c r="J851" s="429" t="str">
        <f>IFERROR(IF(J847="","",SUM(J847:J850)),0)</f>
        <v/>
      </c>
      <c r="K851" s="1"/>
      <c r="L851" s="424"/>
      <c r="M851" s="427"/>
      <c r="N851" s="426"/>
      <c r="O851" s="427"/>
      <c r="P851" s="431"/>
      <c r="Q851" s="432"/>
      <c r="R851" s="429" t="str">
        <f>IFERROR(IF(R847="","",SUM(R847:R850)),0)</f>
        <v/>
      </c>
      <c r="T851" s="424"/>
      <c r="U851" s="427"/>
      <c r="V851" s="426"/>
      <c r="W851" s="427"/>
      <c r="X851" s="431"/>
      <c r="Y851" s="432"/>
      <c r="Z851" s="429" t="str">
        <f>IFERROR(IF(Z847="","",SUM(Z847:Z850)),0)</f>
        <v/>
      </c>
    </row>
    <row r="852" spans="1:26" ht="18.75" customHeight="1">
      <c r="A852" s="140"/>
      <c r="B852" s="140"/>
      <c r="D852" s="177" t="s">
        <v>243</v>
      </c>
      <c r="E852" s="433"/>
      <c r="F852" s="436"/>
      <c r="G852" s="435"/>
      <c r="H852" s="436"/>
      <c r="I852" s="432"/>
      <c r="J852" s="437" t="str">
        <f>IF(J851="","",J851*12)</f>
        <v/>
      </c>
      <c r="K852" s="1"/>
      <c r="L852" s="433"/>
      <c r="M852" s="436"/>
      <c r="N852" s="435"/>
      <c r="O852" s="436"/>
      <c r="P852" s="432"/>
      <c r="Q852" s="432"/>
      <c r="R852" s="437" t="str">
        <f>IF(R851="","",R851*12)</f>
        <v/>
      </c>
      <c r="T852" s="433"/>
      <c r="U852" s="436"/>
      <c r="V852" s="435"/>
      <c r="W852" s="436"/>
      <c r="X852" s="432"/>
      <c r="Y852" s="432"/>
      <c r="Z852" s="437" t="str">
        <f>IF(Z851="","",Z851*12)</f>
        <v/>
      </c>
    </row>
    <row r="853" spans="1:26" ht="18" customHeight="1">
      <c r="A853" s="140"/>
      <c r="B853" s="140"/>
      <c r="D853" s="177" t="s">
        <v>244</v>
      </c>
      <c r="E853" s="433"/>
      <c r="F853" s="436"/>
      <c r="G853" s="435"/>
      <c r="H853" s="436"/>
      <c r="I853" s="432"/>
      <c r="J853" s="437" t="str">
        <f>IFERROR(IF(J852="","",R852-J852),0)</f>
        <v/>
      </c>
      <c r="K853" s="1"/>
      <c r="L853" s="433"/>
      <c r="M853" s="436"/>
      <c r="N853" s="435"/>
      <c r="O853" s="436"/>
      <c r="P853" s="432"/>
      <c r="Q853" s="432"/>
      <c r="R853" s="437" t="str">
        <f>IFERROR(IF(J852="","",R852-J852),0)</f>
        <v/>
      </c>
      <c r="T853" s="433"/>
      <c r="U853" s="436"/>
      <c r="V853" s="435"/>
      <c r="W853" s="436"/>
      <c r="X853" s="432"/>
      <c r="Y853" s="432"/>
      <c r="Z853" s="437" t="str">
        <f>IFERROR(IF(R852="","",Z852-R852),0)</f>
        <v/>
      </c>
    </row>
    <row r="854" spans="1:26" ht="18" customHeight="1" thickBot="1">
      <c r="A854" s="140"/>
      <c r="B854" s="140"/>
      <c r="D854" s="180" t="s">
        <v>245</v>
      </c>
      <c r="E854" s="439"/>
      <c r="F854" s="440"/>
      <c r="G854" s="441"/>
      <c r="H854" s="440"/>
      <c r="I854" s="442"/>
      <c r="J854" s="437" t="str">
        <f>IFERROR(IF(J852="","",(R852/J852)-1),0)</f>
        <v/>
      </c>
      <c r="K854" s="1"/>
      <c r="L854" s="439"/>
      <c r="M854" s="440"/>
      <c r="N854" s="441"/>
      <c r="O854" s="440"/>
      <c r="P854" s="445"/>
      <c r="Q854" s="445"/>
      <c r="R854" s="446" t="str">
        <f>IFERROR(IF(J852="","",(R852/J852)-1),0)</f>
        <v/>
      </c>
      <c r="T854" s="439"/>
      <c r="U854" s="440"/>
      <c r="V854" s="441"/>
      <c r="W854" s="440"/>
      <c r="X854" s="445"/>
      <c r="Y854" s="445"/>
      <c r="Z854" s="446" t="str">
        <f>IFERROR(IF(R852="","",(Z852/R852)-1),0)</f>
        <v/>
      </c>
    </row>
    <row r="855" spans="1:26" ht="5.25" customHeight="1" thickBot="1">
      <c r="A855" s="140"/>
      <c r="B855" s="140"/>
      <c r="D855" s="229"/>
      <c r="E855" s="229"/>
      <c r="F855" s="230"/>
      <c r="G855" s="231"/>
      <c r="H855" s="232"/>
      <c r="I855" s="233"/>
      <c r="J855" s="233"/>
      <c r="K855"/>
      <c r="L855" s="233"/>
      <c r="M855" s="233"/>
      <c r="N855" s="233"/>
      <c r="O855" s="233"/>
      <c r="P855" s="233"/>
      <c r="Q855" s="233"/>
      <c r="R855" s="233"/>
      <c r="T855" s="233"/>
      <c r="U855" s="233"/>
      <c r="V855" s="233"/>
      <c r="W855" s="233"/>
      <c r="X855" s="233"/>
      <c r="Y855" s="233"/>
      <c r="Z855" s="233"/>
    </row>
    <row r="856" spans="1:26" ht="50.15" customHeight="1">
      <c r="A856" s="140"/>
      <c r="B856" s="140"/>
      <c r="C856" s="164" t="s">
        <v>309</v>
      </c>
      <c r="D856" s="275" t="s">
        <v>285</v>
      </c>
      <c r="E856" s="165"/>
      <c r="F856" s="272"/>
      <c r="G856" s="166"/>
      <c r="H856" s="167"/>
      <c r="I856" s="168"/>
      <c r="J856" s="169"/>
      <c r="K856"/>
      <c r="L856" s="274" t="s">
        <v>38</v>
      </c>
      <c r="M856" s="170"/>
      <c r="N856" s="274" t="s">
        <v>237</v>
      </c>
      <c r="O856" s="171"/>
      <c r="P856" s="171"/>
      <c r="Q856" s="171"/>
      <c r="R856" s="169"/>
      <c r="T856" s="274" t="s">
        <v>38</v>
      </c>
      <c r="U856" s="170"/>
      <c r="V856" s="274" t="s">
        <v>237</v>
      </c>
      <c r="W856" s="171"/>
      <c r="X856" s="171"/>
      <c r="Y856" s="171"/>
      <c r="Z856" s="169"/>
    </row>
    <row r="857" spans="1:26" ht="18.75" customHeight="1">
      <c r="A857" s="140"/>
      <c r="B857" s="140"/>
      <c r="D857" s="172" t="s">
        <v>238</v>
      </c>
      <c r="E857" s="407"/>
      <c r="F857" s="449"/>
      <c r="G857" s="470" t="str">
        <f t="shared" si="170" ref="G857:G860">IF(F857="","",H857/F857)</f>
        <v/>
      </c>
      <c r="H857" s="449" t="str">
        <f>_xlfn.IFNA(VLOOKUP(F856,BEGIN_CURRENT_VISION:END_CURRENT_VISION,CURRENT_COL_EOContrib,FALSE),"")</f>
        <v/>
      </c>
      <c r="I857" s="409" t="str">
        <f>IFERROR(F857-H857,"")</f>
        <v/>
      </c>
      <c r="J857" s="410" t="str">
        <f>IF(F857="","",H857*E857)</f>
        <v/>
      </c>
      <c r="K857" s="411"/>
      <c r="L857" s="408" t="str" cm="1">
        <f t="array" ca="1" aca="1" ref="L857">_xlfn.IFNA(VLOOKUP(INDIRECT("L"&amp;ROW()-1)&amp;"_"&amp;$D$12,BEGIN_Renew_Vision:END_RENEW_VISION,RENEW_COL_EO,FALSE),"")</f>
        <v/>
      </c>
      <c r="M857" s="412" t="str">
        <f>IF(E857="","",E857)</f>
        <v/>
      </c>
      <c r="N857" s="413"/>
      <c r="O857" s="414"/>
      <c r="P857" s="415" t="str">
        <f>IFERROR(IF($N856="Keep Contribution Same",H857,IF($N856="Enter Percentages",IF(N857="","",N857*L857),IF($N856="Keep Percentage Same",IF(G857="","",G857*L857),IF($N856="Enter Dollar Amount",IF(O857="","",O857),"")))),"")</f>
        <v/>
      </c>
      <c r="Q857" s="408" t="str">
        <f ca="1">IFERROR(L857-P857,"")</f>
        <v/>
      </c>
      <c r="R857" s="410" t="str">
        <f>IFERROR(IF(P857="","",M857*P857),"")</f>
        <v/>
      </c>
      <c r="S857" s="411"/>
      <c r="T857" s="408" t="str" cm="1">
        <f t="array" ca="1" aca="1" ref="T857">_xlfn.IFNA(VLOOKUP(INDIRECT("T"&amp;ROW()-1)&amp;"_"&amp;$D$12,BEGIN_Renew_Vision:END_RENEW_VISION,RENEW_COL_EO,FALSE),"")</f>
        <v/>
      </c>
      <c r="U857" s="412" t="str">
        <f>IF(E857="","",E857)</f>
        <v/>
      </c>
      <c r="V857" s="413"/>
      <c r="W857" s="414"/>
      <c r="X857" s="415" t="str">
        <f>IFERROR(IF($V856="Keep Contribution Same",H857,IF($V856="Enter Percentages",IF(V857="","",V857*T857),IF($V856="Keep Percentage Same",IF(G857="","",G857*T857),IF($V856="Enter Dollar Amount",IF(W857="","",W857),"")))),"")</f>
        <v/>
      </c>
      <c r="Y857" s="408" t="str">
        <f ca="1">IFERROR(T857-X857,"")</f>
        <v/>
      </c>
      <c r="Z857" s="410" t="str">
        <f>IFERROR(IF(X857="","",U857*X857),"")</f>
        <v/>
      </c>
    </row>
    <row r="858" spans="1:26" ht="18.75" customHeight="1">
      <c r="A858" s="140"/>
      <c r="B858" s="140"/>
      <c r="D858" s="172" t="s">
        <v>239</v>
      </c>
      <c r="E858" s="407"/>
      <c r="F858" s="449" t="str">
        <f>_xlfn.IFNA(VLOOKUP(F856,BEGIN_CURRENT_VISION:END_CURRENT_VISION,CURRENT_COL_ES,FALSE),"")</f>
        <v/>
      </c>
      <c r="G858" s="470" t="str">
        <f t="shared" si="170"/>
        <v/>
      </c>
      <c r="H858" s="449" t="str">
        <f>_xlfn.IFNA(VLOOKUP(F856,BEGIN_CURRENT_VISION:END_CURRENT_VISION,CURRENT_COL_ESContrib,FALSE),"")</f>
        <v/>
      </c>
      <c r="I858" s="409" t="str">
        <f t="shared" si="171" ref="I858:I860">IFERROR(F858-H858,"")</f>
        <v/>
      </c>
      <c r="J858" s="410" t="str">
        <f t="shared" si="172" ref="J858:J860">IF(F858="","",H858*E858)</f>
        <v/>
      </c>
      <c r="K858" s="411"/>
      <c r="L858" s="408" t="str" cm="1">
        <f t="array" ca="1" aca="1" ref="L858">_xlfn.IFNA(VLOOKUP(INDIRECT("L"&amp;ROW()-2)&amp;"_"&amp;$D$12,BEGIN_Renew_Vision:END_RENEW_VISION,RENEW_COL_ES,FALSE),"")</f>
        <v/>
      </c>
      <c r="M858" s="412" t="str">
        <f>IF(E858="","",E858)</f>
        <v/>
      </c>
      <c r="N858" s="413"/>
      <c r="O858" s="414"/>
      <c r="P858" s="415" t="str">
        <f>IFERROR(IF($N856="Keep Contribution Same",H858,IF($N856="Enter Percentages",IF(N858="","",N858*L858),IF($N856="Keep Percentage Same",IF(G858="","",G858*L858),IF($N856="Enter Dollar Amount",IF(O858="","",O858),"")))),"")</f>
        <v/>
      </c>
      <c r="Q858" s="408" t="str">
        <f ca="1" t="shared" si="173" ref="Q858:Q860">IFERROR(L858-P858,"")</f>
        <v/>
      </c>
      <c r="R858" s="410" t="str">
        <f>IFERROR(IF(P858="","",M858*P858),"")</f>
        <v/>
      </c>
      <c r="S858" s="411"/>
      <c r="T858" s="408" t="str" cm="1">
        <f t="array" ca="1" aca="1" ref="T858">_xlfn.IFNA(VLOOKUP(INDIRECT("T"&amp;ROW()-2)&amp;"_"&amp;$D$12,BEGIN_Renew_Vision:END_RENEW_VISION,RENEW_COL_ES,FALSE),"")</f>
        <v/>
      </c>
      <c r="U858" s="412" t="str">
        <f t="shared" si="174" ref="U858:U860">IF(E858="","",E858)</f>
        <v/>
      </c>
      <c r="V858" s="413"/>
      <c r="W858" s="414"/>
      <c r="X858" s="415" t="str">
        <f>IFERROR(IF($V856="Keep Contribution Same",H858,IF($V856="Enter Percentages",IF(V858="","",V858*T858),IF($V856="Keep Percentage Same",IF(G858="","",G858*T858),IF($V856="Enter Dollar Amount",IF(W858="","",W858),"")))),"")</f>
        <v/>
      </c>
      <c r="Y858" s="408" t="str">
        <f ca="1" t="shared" si="175" ref="Y858:Y860">IFERROR(T858-X858,"")</f>
        <v/>
      </c>
      <c r="Z858" s="410" t="str">
        <f t="shared" si="176" ref="Z858:Z860">IFERROR(IF(X858="","",U858*X858),"")</f>
        <v/>
      </c>
    </row>
    <row r="859" spans="1:26" ht="18.75" customHeight="1">
      <c r="A859" s="140"/>
      <c r="B859" s="140"/>
      <c r="D859" s="172" t="s">
        <v>240</v>
      </c>
      <c r="E859" s="407"/>
      <c r="F859" s="449" t="str">
        <f>_xlfn.IFNA(VLOOKUP(F856,BEGIN_CURRENT_VISION:END_CURRENT_VISION,CURRENT_COL_EC,FALSE),"")</f>
        <v/>
      </c>
      <c r="G859" s="470" t="str">
        <f t="shared" si="170"/>
        <v/>
      </c>
      <c r="H859" s="449" t="str">
        <f>_xlfn.IFNA(VLOOKUP(F856,BEGIN_CURRENT_VISION:END_CURRENT_VISION,CURRENT_COL_ECContrib,FALSE),"")</f>
        <v/>
      </c>
      <c r="I859" s="409" t="str">
        <f t="shared" si="171"/>
        <v/>
      </c>
      <c r="J859" s="410" t="str">
        <f t="shared" si="172"/>
        <v/>
      </c>
      <c r="K859" s="411"/>
      <c r="L859" s="408" t="str" cm="1">
        <f t="array" ca="1" aca="1" ref="L859">_xlfn.IFNA(VLOOKUP(INDIRECT("L"&amp;ROW()-3)&amp;"_"&amp;$D$12,BEGIN_Renew_Vision:END_RENEW_VISION,RENEW_COL_EC,FALSE),"")</f>
        <v/>
      </c>
      <c r="M859" s="412" t="str">
        <f>IF(E859="","",E859)</f>
        <v/>
      </c>
      <c r="N859" s="413"/>
      <c r="O859" s="414"/>
      <c r="P859" s="415" t="str">
        <f>IFERROR(IF($N856="Keep Contribution Same",H859,IF($N856="Enter Percentages",IF(N859="","",N859*L859),IF($N856="Keep Percentage Same",IF(G859="","",G859*L859),IF($N856="Enter Dollar Amount",IF(O859="","",O859),"")))),"")</f>
        <v/>
      </c>
      <c r="Q859" s="408" t="str">
        <f t="shared" ca="1" si="173"/>
        <v/>
      </c>
      <c r="R859" s="410" t="str">
        <f>IFERROR(IF(P859="","",M859*P859),"")</f>
        <v/>
      </c>
      <c r="S859" s="411"/>
      <c r="T859" s="408" t="str" cm="1">
        <f t="array" ca="1" aca="1" ref="T859">_xlfn.IFNA(VLOOKUP(INDIRECT("T"&amp;ROW()-3)&amp;"_"&amp;$D$12,BEGIN_Renew_Vision:END_RENEW_VISION,RENEW_COL_EC,FALSE),"")</f>
        <v/>
      </c>
      <c r="U859" s="412" t="str">
        <f t="shared" si="174"/>
        <v/>
      </c>
      <c r="V859" s="413"/>
      <c r="W859" s="414"/>
      <c r="X859" s="415" t="str">
        <f>IFERROR(IF($V856="Keep Contribution Same",H859,IF($V856="Enter Percentages",IF(V859="","",V859*T859),IF($V856="Keep Percentage Same",IF(G859="","",G859*T859),IF($V856="Enter Dollar Amount",IF(W859="","",W859),"")))),"")</f>
        <v/>
      </c>
      <c r="Y859" s="408" t="str">
        <f t="shared" ca="1" si="175"/>
        <v/>
      </c>
      <c r="Z859" s="410" t="str">
        <f t="shared" si="176"/>
        <v/>
      </c>
    </row>
    <row r="860" spans="1:26" ht="18.75" customHeight="1" thickBot="1">
      <c r="A860" s="140"/>
      <c r="B860" s="140"/>
      <c r="D860" s="174" t="s">
        <v>241</v>
      </c>
      <c r="E860" s="416"/>
      <c r="F860" s="451" t="str">
        <f>_xlfn.IFNA(VLOOKUP(F856,BEGIN_CURRENT_VISION:END_CURRENT_VISION,CURRENT_COL_FAM,FALSE),"")</f>
        <v/>
      </c>
      <c r="G860" s="471" t="str">
        <f t="shared" si="170"/>
        <v/>
      </c>
      <c r="H860" s="451" t="str">
        <f>_xlfn.IFNA(VLOOKUP(F856,BEGIN_CURRENT_VISION:END_CURRENT_VISION,CURRENT_COL_FAMContrib,FALSE),"")</f>
        <v/>
      </c>
      <c r="I860" s="409" t="str">
        <f t="shared" si="171"/>
        <v/>
      </c>
      <c r="J860" s="410" t="str">
        <f t="shared" si="172"/>
        <v/>
      </c>
      <c r="K860" s="411"/>
      <c r="L860" s="417" t="str" cm="1">
        <f t="array" ca="1" aca="1" ref="L860">_xlfn.IFNA(VLOOKUP(INDIRECT("L"&amp;ROW()-4)&amp;"_"&amp;$D$12,BEGIN_Renew_Vision:END_RENEW_VISION,RENEW_COL_FAM,FALSE),"")</f>
        <v/>
      </c>
      <c r="M860" s="423" t="str">
        <f>IF(E860="","",E860)</f>
        <v/>
      </c>
      <c r="N860" s="420"/>
      <c r="O860" s="421"/>
      <c r="P860" s="422" t="str">
        <f>IFERROR(IF($N856="Keep Contribution Same",H860,IF($N856="Enter Percentages",IF(N860="","",N860*L860),IF($N856="Keep Percentage Same",IF(G860="","",G860*L860),IF($N856="Enter Dollar Amount",IF(O860="","",O860),"")))),"")</f>
        <v/>
      </c>
      <c r="Q860" s="417" t="str">
        <f t="shared" ca="1" si="173"/>
        <v/>
      </c>
      <c r="R860" s="419" t="str">
        <f>IFERROR(IF(P860="","",M860*P860),"")</f>
        <v/>
      </c>
      <c r="S860" s="411"/>
      <c r="T860" s="417" t="str" cm="1">
        <f t="array" ca="1" aca="1" ref="T860">_xlfn.IFNA(VLOOKUP(INDIRECT("T"&amp;ROW()-4)&amp;"_"&amp;$D$12,BEGIN_Renew_Vision:END_RENEW_VISION,RENEW_COL_FAM,FALSE),"")</f>
        <v/>
      </c>
      <c r="U860" s="423" t="str">
        <f t="shared" si="174"/>
        <v/>
      </c>
      <c r="V860" s="420"/>
      <c r="W860" s="421"/>
      <c r="X860" s="422" t="str">
        <f>IFERROR(IF($V856="Keep Contribution Same",H860,IF($V856="Enter Percentages",IF(V860="","",V860*T860),IF($V856="Keep Percentage Same",IF(G860="","",G860*T860),IF($V856="Enter Dollar Amount",IF(W860="","",W860),"")))),"")</f>
        <v/>
      </c>
      <c r="Y860" s="417" t="str">
        <f t="shared" ca="1" si="175"/>
        <v/>
      </c>
      <c r="Z860" s="419" t="str">
        <f t="shared" si="176"/>
        <v/>
      </c>
    </row>
    <row r="861" spans="1:26" ht="18.75" customHeight="1" thickTop="1">
      <c r="A861" s="140"/>
      <c r="B861" s="140"/>
      <c r="D861" s="175" t="s">
        <v>329</v>
      </c>
      <c r="E861" s="424"/>
      <c r="F861" s="427"/>
      <c r="G861" s="426"/>
      <c r="H861" s="427"/>
      <c r="I861" s="428"/>
      <c r="J861" s="429" t="str">
        <f>IFERROR(IF(J857="","",SUM(J857:J860)),0)</f>
        <v/>
      </c>
      <c r="K861" s="1"/>
      <c r="L861" s="424"/>
      <c r="M861" s="427"/>
      <c r="N861" s="426"/>
      <c r="O861" s="427"/>
      <c r="P861" s="431"/>
      <c r="Q861" s="432"/>
      <c r="R861" s="429" t="str">
        <f>IFERROR(IF(R857="","",SUM(R857:R860)),0)</f>
        <v/>
      </c>
      <c r="T861" s="424"/>
      <c r="U861" s="427"/>
      <c r="V861" s="426"/>
      <c r="W861" s="427"/>
      <c r="X861" s="431"/>
      <c r="Y861" s="432"/>
      <c r="Z861" s="429" t="str">
        <f>IFERROR(IF(Z857="","",SUM(Z857:Z860)),0)</f>
        <v/>
      </c>
    </row>
    <row r="862" spans="1:26" ht="18.75" customHeight="1">
      <c r="A862" s="140"/>
      <c r="B862" s="140"/>
      <c r="D862" s="177" t="s">
        <v>243</v>
      </c>
      <c r="E862" s="433"/>
      <c r="F862" s="436"/>
      <c r="G862" s="435"/>
      <c r="H862" s="436"/>
      <c r="I862" s="432"/>
      <c r="J862" s="437" t="str">
        <f>IF(J861="","",J861*12)</f>
        <v/>
      </c>
      <c r="K862" s="1"/>
      <c r="L862" s="433"/>
      <c r="M862" s="436"/>
      <c r="N862" s="435"/>
      <c r="O862" s="436"/>
      <c r="P862" s="432"/>
      <c r="Q862" s="432"/>
      <c r="R862" s="437" t="str">
        <f>IF(R861="","",R861*12)</f>
        <v/>
      </c>
      <c r="T862" s="433"/>
      <c r="U862" s="436"/>
      <c r="V862" s="435"/>
      <c r="W862" s="436"/>
      <c r="X862" s="432"/>
      <c r="Y862" s="432"/>
      <c r="Z862" s="437" t="str">
        <f>IF(Z861="","",Z861*12)</f>
        <v/>
      </c>
    </row>
    <row r="863" spans="1:26" ht="18" customHeight="1">
      <c r="A863" s="140"/>
      <c r="B863" s="140"/>
      <c r="D863" s="177" t="s">
        <v>244</v>
      </c>
      <c r="E863" s="433"/>
      <c r="F863" s="436"/>
      <c r="G863" s="435"/>
      <c r="H863" s="436"/>
      <c r="I863" s="432"/>
      <c r="J863" s="437" t="str">
        <f>IFERROR(IF(J862="","",R862-J862),0)</f>
        <v/>
      </c>
      <c r="K863" s="1"/>
      <c r="L863" s="433"/>
      <c r="M863" s="436"/>
      <c r="N863" s="435"/>
      <c r="O863" s="436"/>
      <c r="P863" s="432"/>
      <c r="Q863" s="432"/>
      <c r="R863" s="437" t="str">
        <f>IFERROR(IF(J862="","",R862-J862),0)</f>
        <v/>
      </c>
      <c r="T863" s="433"/>
      <c r="U863" s="436"/>
      <c r="V863" s="435"/>
      <c r="W863" s="436"/>
      <c r="X863" s="432"/>
      <c r="Y863" s="432"/>
      <c r="Z863" s="437" t="str">
        <f>IFERROR(IF(R862="","",Z862-R862),0)</f>
        <v/>
      </c>
    </row>
    <row r="864" spans="1:26" ht="18" customHeight="1" thickBot="1">
      <c r="A864" s="140"/>
      <c r="B864" s="140"/>
      <c r="D864" s="180" t="s">
        <v>245</v>
      </c>
      <c r="E864" s="439"/>
      <c r="F864" s="440"/>
      <c r="G864" s="441"/>
      <c r="H864" s="440"/>
      <c r="I864" s="442"/>
      <c r="J864" s="437" t="str">
        <f>IFERROR(IF(J862="","",(R862/J862)-1),0)</f>
        <v/>
      </c>
      <c r="K864" s="1"/>
      <c r="L864" s="439"/>
      <c r="M864" s="440"/>
      <c r="N864" s="441"/>
      <c r="O864" s="440"/>
      <c r="P864" s="445"/>
      <c r="Q864" s="445"/>
      <c r="R864" s="446" t="str">
        <f>IFERROR(IF(J862="","",(R862/J862)-1),0)</f>
        <v/>
      </c>
      <c r="T864" s="439"/>
      <c r="U864" s="440"/>
      <c r="V864" s="441"/>
      <c r="W864" s="440"/>
      <c r="X864" s="445"/>
      <c r="Y864" s="445"/>
      <c r="Z864" s="446" t="str">
        <f>IFERROR(IF(R862="","",(Z862/R862)-1),0)</f>
        <v/>
      </c>
    </row>
    <row r="865" spans="1:26" ht="5.25" customHeight="1" thickBot="1">
      <c r="A865" s="140"/>
      <c r="B865" s="140"/>
      <c r="D865" s="229"/>
      <c r="E865" s="229"/>
      <c r="F865" s="230"/>
      <c r="G865" s="231"/>
      <c r="H865" s="232"/>
      <c r="I865" s="233"/>
      <c r="J865" s="233"/>
      <c r="K865"/>
      <c r="L865" s="233"/>
      <c r="M865" s="233"/>
      <c r="N865" s="233"/>
      <c r="O865" s="233"/>
      <c r="P865" s="233"/>
      <c r="Q865" s="233"/>
      <c r="R865" s="233"/>
      <c r="T865" s="233"/>
      <c r="U865" s="233"/>
      <c r="V865" s="233"/>
      <c r="W865" s="233"/>
      <c r="X865" s="233"/>
      <c r="Y865" s="233"/>
      <c r="Z865" s="233"/>
    </row>
    <row r="866" spans="1:26" ht="13.5" thickTop="1">
      <c r="A866" s="140"/>
      <c r="B866" s="140"/>
      <c r="D866" s="238" t="s">
        <v>310</v>
      </c>
      <c r="E866" s="239"/>
      <c r="F866" s="239"/>
      <c r="G866" s="239"/>
      <c r="H866" s="239"/>
      <c r="I866" s="239"/>
      <c r="J866" s="239"/>
      <c r="K866" s="239"/>
      <c r="L866" s="239"/>
      <c r="M866" s="239"/>
      <c r="N866" s="239"/>
      <c r="O866" s="239"/>
      <c r="P866" s="239"/>
      <c r="Q866" s="239"/>
      <c r="R866" s="240"/>
      <c r="T866" s="240"/>
      <c r="U866" s="240"/>
      <c r="V866" s="240"/>
      <c r="W866" s="240"/>
      <c r="X866" s="240"/>
      <c r="Y866" s="240"/>
      <c r="Z866" s="240"/>
    </row>
    <row r="867" spans="1:26" ht="18" customHeight="1">
      <c r="A867" s="140"/>
      <c r="B867" s="140"/>
      <c r="D867"/>
      <c r="E867"/>
      <c r="F867"/>
      <c r="G867"/>
      <c r="H867"/>
      <c r="I867" s="241" t="s">
        <v>311</v>
      </c>
      <c r="J867" s="462">
        <f ca="1">IFERROR(IF(J19="",0,J19)+IF(J69="",0,J69)+IF(J119="",0,J119)+IF(J169="",0,J169)+IF(J219="",0,J219)+IF(J269="",0,J269)+IF(J319="",0,J319)+IF(J369="",0,J369)+IF(J419="",0,J419)+IF(J469="",0,J469)+IF(J519="",0,J519)+IF(J569="",0,J569)+IF(J619="",0,J619),0)</f>
        <v>0</v>
      </c>
      <c r="K867" s="242"/>
      <c r="L867" s="176"/>
      <c r="M867" s="178"/>
      <c r="N867" s="139"/>
      <c r="O867" s="178"/>
      <c r="P867"/>
      <c r="Q867" s="173" t="s">
        <v>311</v>
      </c>
      <c r="R867" s="462">
        <f>IFERROR(IF(R19="",0,R19)+IF(R69="",0,R69)+IF(R119="",0,R119)+IF(R169="",0,R169)+IF(R219="",0,R219)+IF(R269="",0,R269)+IF(R319="",0,R319)+IF(R369="",0,R369)+IF(R419="",0,R419)+IF(R469="",0,R469)+IF(R519="",0,R519)+IF(R569="",0,R569)+IF(R619="",0,R619),0)</f>
        <v>0</v>
      </c>
      <c r="Y867" s="173" t="s">
        <v>311</v>
      </c>
      <c r="Z867" s="462">
        <f>IFERROR(IF(Z19="",0,Z19)+IF(Z69="",0,Z69)+IF(Z119="",0,Z119)+IF(Z169="",0,Z169)+IF(Z219="",0,Z219)+IF(Z269="",0,Z269)+IF(Z319="",0,Z319)+IF(Z369="",0,Z369)+IF(Z419="",0,Z419)+IF(Z469="",0,Z469)+IF(Z519="",0,Z519)+IF(Z569="",0,Z569)+IF(Z619="",0,Z619),0)</f>
        <v>0</v>
      </c>
    </row>
    <row r="868" spans="1:26" ht="18" customHeight="1">
      <c r="A868" s="140"/>
      <c r="B868" s="140"/>
      <c r="D868"/>
      <c r="E868"/>
      <c r="F868"/>
      <c r="G868"/>
      <c r="H868"/>
      <c r="I868" s="241" t="s">
        <v>312</v>
      </c>
      <c r="J868" s="462">
        <f ca="1">IFERROR(IF(J670="",0,J670)+IF(J680="",0,J680)+IF(J690="",0,J690)+IF(J700="",0,J700)+IF(J710="",0,J710)+IF(J720="",0,J720)+IF(J730="",0,J730)+IF(J740="",0,P740)+IF(J750="",0,P750)+IF(J760="",0,J760),0)</f>
        <v>0</v>
      </c>
      <c r="K868" s="242"/>
      <c r="L868" s="176"/>
      <c r="M868" s="178"/>
      <c r="N868" s="139"/>
      <c r="O868" s="178"/>
      <c r="P868"/>
      <c r="Q868" s="173" t="s">
        <v>312</v>
      </c>
      <c r="R868" s="462">
        <f ca="1">IFERROR(IF(R670="",0,R670)+IF(R680="",0,R680)+IF(R690="",0,R690)+IF(R700="",0,R700)+IF(R710="",0,R710)+IF(R720="",0,R720)+IF(R730="",0,R730)+IF(R740="",0,X740)+IF(R750="",0,X750)+IF(R760="",0,R760),0)</f>
        <v>0</v>
      </c>
      <c r="Y868" s="173" t="s">
        <v>312</v>
      </c>
      <c r="Z868" s="462">
        <f>IFERROR(IF(Z670="",0,Z670)+IF(Z680="",0,Z680)+IF(Z690="",0,Z690)+IF(Z700="",0,Z700)+IF(Z710="",0,Z710)+IF(Z720="",0,Z720)+IF(Z730="",0,Z730)+IF(Z740="",0,AF740)+IF(Z750="",0,AF750)+IF(Z760="",0,Z760),0)</f>
        <v>0</v>
      </c>
    </row>
    <row r="869" spans="1:26" ht="18" customHeight="1">
      <c r="A869" s="140"/>
      <c r="B869" s="140"/>
      <c r="D869"/>
      <c r="E869"/>
      <c r="F869"/>
      <c r="G869"/>
      <c r="H869"/>
      <c r="I869" s="241" t="s">
        <v>313</v>
      </c>
      <c r="J869" s="462">
        <f ca="1">IFERROR(IF(J771="",0,J771)+IF(J781="",0,J781)+IF(J791="",0,J791)+IF(J801="",0,J801)+IF(J811="",0,J811)+IF(J821="",0,J821)+IF(J831="",0,J831)+IF(J841="",0,J841)+IF(J851="",0,J851)+IF(J861="",0,J861),0)</f>
        <v>0</v>
      </c>
      <c r="K869" s="242"/>
      <c r="L869" s="176"/>
      <c r="M869" s="178"/>
      <c r="N869" s="139"/>
      <c r="O869" s="178"/>
      <c r="P869"/>
      <c r="Q869" s="173" t="s">
        <v>314</v>
      </c>
      <c r="R869" s="462">
        <f>IFERROR(IF(R771="",0,R771)+IF(R781="",0,R781)+IF(R791="",0,R791)+IF(R801="",0,R801)+IF(R811="",0,R811)+IF(R821="",0,R821)+IF(R831="",0,R831)+IF(R841="",0,R841)+IF(R851="",0,R851)+IF(R861="",0,R861),0)</f>
        <v>0</v>
      </c>
      <c r="Y869" s="173" t="s">
        <v>314</v>
      </c>
      <c r="Z869" s="462">
        <f>IFERROR(IF(Z771="",0,Z771)+IF(Z781="",0,Z781)+IF(Z791="",0,Z791)+IF(Z801="",0,Z801)+IF(Z811="",0,Z811)+IF(Z821="",0,Z821)+IF(Z831="",0,Z831)+IF(Z841="",0,Z841)+IF(Z851="",0,Z851)+IF(Z861="",0,Z861),0)</f>
        <v>0</v>
      </c>
    </row>
    <row r="870" spans="1:26" ht="18" customHeight="1">
      <c r="A870" s="140"/>
      <c r="B870" s="140"/>
      <c r="D870"/>
      <c r="E870"/>
      <c r="F870"/>
      <c r="G870"/>
      <c r="H870"/>
      <c r="I870" s="241" t="s">
        <v>315</v>
      </c>
      <c r="J870" s="11">
        <f ca="1">IFERROR(IF(E15="",0,E15)+IF(E16="",0,E16)+IF(E17="",0,E17)+IF(E18="",0,E18)+IF(E65="",0,E65)+IF(E66="",0,E66)+IF(E67="",0,E67)+IF(E68="",0,E68)+IF(E115="",0,E115)+IF(E116="",0,E116)+IF(E117="",0,E117)+IF(E118="",0,E118)+IF(E165="",0,E165)+IF(E166="",0,E166)+IF(E167="",0,E167)+IF(E168="",0,E168)+IF(E215="",0,E215)+IF(E216="",0,E216)+IF(E217="",0,E217)+IF(E218="",0,E218)+IF(E265="",0,E265)+IF(E266="",0,E266)+IF(E267="",0,E267)+IF(E268="",0,E268)+IF(E315="",0,E315)+IF(E316="",0,E316)+IF(E317="",0,E317)+IF(E318="",0,E318)+IF(E365="",0,E365)+IF(E366="",0,E366)+IF(E367="",0,E367)+IF(E368="",0,E368)+IF(E415="",0,E415)+IF(E416="",0,E416)+IF(E417="",0,E417)+IF(E418="",0,E418)+IF(E465="",0,E465)+IF(E466="",0,E466)+IF(E467="",0,E467)+IF(E468="",0,E468)+IF(E515="",0,E515)+IF(E516="",0,E516)+IF(E517="",0,E517)+IF(E518="",0,E518)+IF(E565="",0,E565)+IF(E566="",0,E566)+IF(E567="",0,E567)+IF(E568="",0,E568)+IF(E615="",0,E615)+IF(E616="",0,E616)+IF(E617="",0,E617)+IF(E618="",0,E618),0)</f>
        <v>0</v>
      </c>
      <c r="K870" s="242"/>
      <c r="L870" s="176"/>
      <c r="M870" s="178"/>
      <c r="N870" s="139"/>
      <c r="O870" s="178"/>
      <c r="P870"/>
      <c r="Q870" s="241" t="s">
        <v>315</v>
      </c>
      <c r="R870" s="11">
        <f ca="1">IFERROR(IF(M15="",0,M15)+IF(M16="",0,M16)+IF(M17="",0,M17)+IF(M18="",0,M18)+IF(M65="",0,M65)+IF(M66="",0,M66)+IF(M67="",0,M67)+IF(M68="",0,M68)+IF(M115="",0,M115)+IF(M116="",0,M116)+IF(M117="",0,M117)+IF(M118="",0,M118)+IF(M165="",0,M165)+IF(M166="",0,M166)+IF(M167="",0,M167)+IF(M168="",0,M168)+IF(M215="",0,M215)+IF(M216="",0,M216)+IF(M217="",0,M217)+IF(M218="",0,M218)+IF(M265="",0,M265)+IF(M266="",0,M266)+IF(M267="",0,M267)+IF(M268="",0,M268)+IF(M315="",0,M315)+IF(M316="",0,M316)+IF(M317="",0,M317)+IF(M318="",0,M318)+IF(M365="",0,M365)+IF(M366="",0,M366)+IF(M367="",0,M367)+IF(M368="",0,M368)+IF(M415="",0,M415)+IF(M416="",0,M416)+IF(M417="",0,M417)+IF(M418="",0,M418)+IF(M465="",0,M465)+IF(M466="",0,M466)+IF(M467="",0,M467)+IF(M468="",0,M468)+IF(M515="",0,M515)+IF(M516="",0,M516)+IF(M517="",0,M517)+IF(M518="",0,M518)+IF(M565="",0,M565)+IF(M566="",0,M566)+IF(M567="",0,M567)+IF(M568="",0,M568)+IF(M615="",0,M615)+IF(M616="",0,M616)+IF(M617="",0,M617)+IF(M618="",0,M618),0)</f>
        <v>0</v>
      </c>
      <c r="Y870" s="241" t="s">
        <v>315</v>
      </c>
      <c r="Z870" s="11">
        <f ca="1">IFERROR(IF(U15="",0,U15)+IF(U16="",0,U16)+IF(U17="",0,U17)+IF(U18="",0,U18)+IF(U65="",0,U65)+IF(U66="",0,U66)+IF(U67="",0,U67)+IF(U68="",0,U68)+IF(U115="",0,U115)+IF(U116="",0,U116)+IF(U117="",0,U117)+IF(U118="",0,U118)+IF(U165="",0,U165)+IF(U166="",0,U166)+IF(U167="",0,U167)+IF(U168="",0,U168)+IF(U215="",0,U215)+IF(U216="",0,U216)+IF(U217="",0,U217)+IF(U218="",0,U218)+IF(U265="",0,U265)+IF(U266="",0,U266)+IF(U267="",0,U267)+IF(U268="",0,U268)+IF(U315="",0,U315)+IF(U316="",0,U316)+IF(U317="",0,U317)+IF(U318="",0,U318)+IF(U365="",0,U365)+IF(U366="",0,U366)+IF(U367="",0,U367)+IF(U368="",0,U368)+IF(U415="",0,U415)+IF(U416="",0,U416)+IF(U417="",0,U417)+IF(U418="",0,U418)+IF(U465="",0,U465)+IF(U466="",0,U466)+IF(U467="",0,U467)+IF(U468="",0,U468)+IF(U515="",0,U515)+IF(U516="",0,U516)+IF(U517="",0,U517)+IF(U518="",0,U518)+IF(U565="",0,U565)+IF(U566="",0,U566)+IF(U567="",0,U567)+IF(U568="",0,U568)+IF(U615="",0,U615)+IF(U616="",0,U616)+IF(U617="",0,U617)+IF(U618="",0,U618),0)</f>
        <v>0</v>
      </c>
    </row>
    <row r="871" spans="1:26" ht="18" customHeight="1">
      <c r="A871" s="140"/>
      <c r="B871" s="140"/>
      <c r="D871"/>
      <c r="E871"/>
      <c r="F871"/>
      <c r="G871"/>
      <c r="H871"/>
      <c r="I871" s="241" t="s">
        <v>316</v>
      </c>
      <c r="J871" s="11">
        <f ca="1">IFERROR(IF(E666="",0,E666)+IF(E667="",0,E667)+IF(E668="",0,E668)+IF(E669="",0,E669)+IF(E676="",0,E676)+IF(E677="",0,E677)+IF(E678="",0,E678)+IF(E679="",0,E679)+IF(E686="",0,E686)+IF(E687="",0,E687)+IF(E688="",0,E688)+IF(E689="",0,E689)+IF(E696="",0,E696)+IF(E697="",0,E697)+IF(E698="",0,E698)+IF(E699="",0,E699)+IF(E706="",0,E706)+IF(E707="",0,E707)+IF(E708="",0,E708)+IF(E709="",0,E709)+IF(E716="",0,E716)+IF(E717="",0,E717)+IF(E718="",0,E718)+IF(E719="",0,E719)+IF(E726="",0,E726)+IF(E727="",0,E727)+IF(E728="",0,E728)+IF(E729="",0,E729)+IF(E736="",0,E736)+IF(E737="",0,E737)+IF(E738="",0,E738)+IF(E739="",0,E739)+IF(E746="",0,E746)+IF(E747="",0,E747)+IF(E748="",0,E748)+IF(E749="",0,E749)+IF(E756="",0,E756)+IF(E757="",0,E757)+IF(E758="",0,E758)+IF(E759="",0,E759),0)</f>
        <v>0</v>
      </c>
      <c r="K871" s="242"/>
      <c r="L871" s="176"/>
      <c r="M871" s="178"/>
      <c r="N871" s="139"/>
      <c r="O871" s="178"/>
      <c r="P871"/>
      <c r="Q871" s="241" t="s">
        <v>316</v>
      </c>
      <c r="R871" s="11">
        <f ca="1">IFERROR(IF(M666="",0,M666)+IF(M667="",0,M667)+IF(M668="",0,M668)+IF(M669="",0,M669)+IF(M676="",0,M676)+IF(M677="",0,M677)+IF(M678="",0,M678)+IF(M679="",0,M679)+IF(M686="",0,M686)+IF(M687="",0,M687)+IF(M688="",0,M688)+IF(M689="",0,M689)+IF(M696="",0,M696)+IF(M697="",0,M697)+IF(M698="",0,M698)+IF(M699="",0,M699)+IF(M706="",0,M706)+IF(M707="",0,M707)+IF(M708="",0,M708)+IF(M709="",0,M709)+IF(M716="",0,M716)+IF(M717="",0,M717)+IF(M718="",0,M718)+IF(M719="",0,M719)+IF(M726="",0,M726)+IF(M727="",0,M727)+IF(M728="",0,M728)+IF(M729="",0,M729)+IF(M736="",0,M736)+IF(M737="",0,M737)+IF(M738="",0,M738)+IF(M739="",0,M739)+IF(M746="",0,M746)+IF(M747="",0,M747)+IF(M748="",0,M748)+IF(M749="",0,M749)+IF(M756="",0,M756)+IF(M757="",0,M757)+IF(M758="",0,M758)+IF(M759="",0,M759),0)</f>
        <v>0</v>
      </c>
      <c r="Y871" s="241" t="s">
        <v>316</v>
      </c>
      <c r="Z871" s="11">
        <f ca="1">IFERROR(IF(U666="",0,U666)+IF(U667="",0,U667)+IF(U668="",0,U668)+IF(U669="",0,U669)+IF(U676="",0,U676)+IF(U677="",0,U677)+IF(U678="",0,U678)+IF(U679="",0,U679)+IF(U686="",0,U686)+IF(U687="",0,U687)+IF(U688="",0,U688)+IF(U689="",0,U689)+IF(U696="",0,U696)+IF(U697="",0,U697)+IF(U698="",0,U698)+IF(U699="",0,U699)+IF(U706="",0,U706)+IF(U707="",0,U707)+IF(U708="",0,U708)+IF(U709="",0,U709)+IF(U716="",0,U716)+IF(U717="",0,U717)+IF(U718="",0,U718)+IF(U719="",0,U719)+IF(U726="",0,U726)+IF(U727="",0,U727)+IF(U728="",0,U728)+IF(U729="",0,U729)+IF(U736="",0,U736)+IF(U737="",0,U737)+IF(U738="",0,U738)+IF(U739="",0,U739)+IF(U746="",0,U746)+IF(U747="",0,U747)+IF(U748="",0,U748)+IF(U749="",0,U749)+IF(U756="",0,U756)+IF(U757="",0,U757)+IF(U758="",0,U758)+IF(U759="",0,U759),0)</f>
        <v>0</v>
      </c>
    </row>
    <row r="872" spans="1:26" ht="18" customHeight="1">
      <c r="A872" s="140"/>
      <c r="B872" s="140"/>
      <c r="D872"/>
      <c r="E872"/>
      <c r="F872"/>
      <c r="G872"/>
      <c r="H872"/>
      <c r="I872" s="241" t="s">
        <v>317</v>
      </c>
      <c r="J872" s="11">
        <f ca="1">IFERROR(IF(E767="",0,E767)+IF(E768="",0,E768)+IF(E769="",0,E769)+IF(E770="",0,E770)+IF(E777="",0,E777)+IF(E778="",0,E778)+IF(E779="",0,E779)+IF(E780="",0,E780)+IF(E787="",0,E787)+IF(E788="",0,E788)+IF(E789="",0,E789)+IF(E790="",0,E790)+IF(E797="",0,E797)+IF(E798="",0,E798)+IF(E799="",0,E799)+IF(E800="",0,E800)+IF(E807="",0,E807)+IF(E808="",0,E808)+IF(E809="",0,E809)+IF(E810="",0,E810)+IF(E817="",0,E817)+IF(E818="",0,E818)+IF(E819="",0,E819)+IF(E820="",0,E820)+IF(E827="",0,E827)+IF(E828="",0,E828)+IF(E829="",0,E829)+IF(E830="",0,E830)+IF(E837="",0,E837)+IF(E838="",0,E838)+IF(E839="",0,E839)+IF(E840="",0,E840)+IF(E847="",0,E847)+IF(E848="",0,E848)+IF(E849="",0,E849)+IF(E850="",0,E850)+IF(E857="",0,E857)+IF(E858="",0,E858)+IF(E859="",0,E859)+IF(E860="",0,E860),0)</f>
        <v>0</v>
      </c>
      <c r="K872" s="242"/>
      <c r="L872" s="176"/>
      <c r="M872" s="178"/>
      <c r="N872" s="139"/>
      <c r="O872" s="178"/>
      <c r="P872"/>
      <c r="Q872" s="241" t="s">
        <v>317</v>
      </c>
      <c r="R872" s="11">
        <f ca="1">IFERROR(IF(M767="",0,M767)+IF(M768="",0,M768)+IF(M769="",0,M769)+IF(M770="",0,M770)+IF(M777="",0,M777)+IF(M778="",0,M778)+IF(M779="",0,M779)+IF(M780="",0,M780)+IF(M787="",0,M787)+IF(M788="",0,M788)+IF(M789="",0,M789)+IF(M790="",0,M790)+IF(M797="",0,M797)+IF(M798="",0,M798)+IF(M799="",0,M799)+IF(M800="",0,M800)+IF(M807="",0,M807)+IF(M808="",0,M808)+IF(M809="",0,M809)+IF(M810="",0,M810)+IF(M817="",0,M817)+IF(M818="",0,M818)+IF(M819="",0,M819)+IF(M820="",0,M820)+IF(M827="",0,M827)+IF(M828="",0,M828)+IF(M829="",0,M829)+IF(M830="",0,M830)+IF(M837="",0,M837)+IF(M838="",0,M838)+IF(M839="",0,M839)+IF(M840="",0,M840)+IF(M847="",0,M847)+IF(M848="",0,M848)+IF(M849="",0,M849)+IF(M850="",0,M850)+IF(M857="",0,M857)+IF(M858="",0,M858)+IF(M859="",0,M859)+IF(M860="",0,M860),0)</f>
        <v>0</v>
      </c>
      <c r="Y872" s="241" t="s">
        <v>317</v>
      </c>
      <c r="Z872" s="11">
        <f ca="1">IFERROR(IF(U767="",0,U767)+IF(U768="",0,U768)+IF(U769="",0,U769)+IF(U770="",0,U770)+IF(U777="",0,U777)+IF(U778="",0,U778)+IF(U779="",0,U779)+IF(U780="",0,U780)+IF(U787="",0,U787)+IF(U788="",0,U788)+IF(U789="",0,U789)+IF(U790="",0,U790)+IF(U797="",0,U797)+IF(U798="",0,U798)+IF(U799="",0,U799)+IF(U800="",0,U800)+IF(U807="",0,U807)+IF(U808="",0,U808)+IF(U809="",0,U809)+IF(U810="",0,U810)+IF(U817="",0,U817)+IF(U818="",0,U818)+IF(U819="",0,U819)+IF(U820="",0,U820)+IF(U827="",0,U827)+IF(U828="",0,U828)+IF(U829="",0,U829)+IF(U830="",0,U830)+IF(U837="",0,U837)+IF(U838="",0,U838)+IF(U839="",0,U839)+IF(U840="",0,U840)+IF(U847="",0,U847)+IF(U848="",0,U848)+IF(U849="",0,U849)+IF(U850="",0,U850)+IF(U857="",0,U857)+IF(U858="",0,U858)+IF(U859="",0,U859)+IF(U860="",0,U860),0)</f>
        <v>0</v>
      </c>
    </row>
    <row r="873" spans="1:140" s="162" customFormat="1" ht="18" customHeight="1" thickBot="1">
      <c r="A873" s="140"/>
      <c r="B873" s="140"/>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row>
    <row r="874" spans="1:27" ht="31.4" customHeight="1" thickBot="1">
      <c r="A874" s="153"/>
      <c r="B874" s="153"/>
      <c r="C874"/>
      <c r="D874" s="474" t="s">
        <v>318</v>
      </c>
      <c r="E874" s="475"/>
      <c r="F874" s="475"/>
      <c r="G874" s="475"/>
      <c r="H874" s="475"/>
      <c r="I874" s="475"/>
      <c r="J874" s="475"/>
      <c r="K874" s="475"/>
      <c r="L874" s="475"/>
      <c r="M874" s="475"/>
      <c r="N874" s="475"/>
      <c r="O874" s="475"/>
      <c r="P874" s="475"/>
      <c r="Q874" s="475"/>
      <c r="R874" s="476"/>
      <c r="S874" s="162"/>
      <c r="T874" s="474"/>
      <c r="U874" s="475"/>
      <c r="V874" s="475"/>
      <c r="W874" s="475"/>
      <c r="X874" s="475"/>
      <c r="Y874" s="475"/>
      <c r="Z874" s="476"/>
      <c r="AA874"/>
    </row>
    <row r="875" spans="1:27" ht="21.75" customHeight="1" thickBot="1">
      <c r="A875" s="140"/>
      <c r="B875" s="140"/>
      <c r="C875"/>
      <c r="D875" s="530" t="s">
        <v>456</v>
      </c>
      <c r="E875" s="531"/>
      <c r="F875" s="531"/>
      <c r="G875" s="531"/>
      <c r="H875" s="531"/>
      <c r="I875" s="531"/>
      <c r="J875" s="531"/>
      <c r="K875" s="531"/>
      <c r="L875" s="531"/>
      <c r="M875" s="531"/>
      <c r="N875" s="531"/>
      <c r="O875" s="531"/>
      <c r="P875" s="531"/>
      <c r="Q875" s="532"/>
      <c r="R875" s="246"/>
      <c r="AA875"/>
    </row>
    <row r="876" spans="1:27" ht="21.75" customHeight="1">
      <c r="A876" s="140"/>
      <c r="B876" s="140"/>
      <c r="C876"/>
      <c r="D876" s="516" t="s">
        <v>320</v>
      </c>
      <c r="E876" s="517"/>
      <c r="F876" s="464"/>
      <c r="G876" s="524"/>
      <c r="H876" s="525"/>
      <c r="I876" s="250" t="s">
        <v>441</v>
      </c>
      <c r="J876"/>
      <c r="K876" s="245"/>
      <c r="L876" s="526" t="s">
        <v>321</v>
      </c>
      <c r="M876" s="527"/>
      <c r="N876" s="528" t="s">
        <v>322</v>
      </c>
      <c r="O876" s="528"/>
      <c r="P876" s="529" t="s">
        <v>323</v>
      </c>
      <c r="Q876" s="529"/>
      <c r="R876" s="245"/>
      <c r="AA876"/>
    </row>
    <row r="877" spans="1:18" ht="21.75" customHeight="1">
      <c r="A877" s="140"/>
      <c r="B877" s="140" t="s">
        <v>38</v>
      </c>
      <c r="D877" s="505" t="s">
        <v>455</v>
      </c>
      <c r="E877" s="506"/>
      <c r="F877" s="509"/>
      <c r="G877" s="510"/>
      <c r="H877" s="511"/>
      <c r="I877"/>
      <c r="J877"/>
      <c r="K877" s="245"/>
      <c r="L877" s="520" t="s">
        <v>325</v>
      </c>
      <c r="M877" s="521"/>
      <c r="N877" s="512" t="str">
        <f>LTDSelect</f>
        <v>SELECT PLAN</v>
      </c>
      <c r="O877" s="512"/>
      <c r="P877" s="513" t="str">
        <f>IFERROR(VLOOKUP(N877,BEGIN_Renew_LTD_PlanID:END_RENEW_LTD,9,FALSE),"--")</f>
        <v>--</v>
      </c>
      <c r="Q877" s="513"/>
      <c r="R877" s="251" t="s">
        <v>446</v>
      </c>
    </row>
    <row r="878" spans="1:18" ht="21.75" customHeight="1">
      <c r="A878" s="140"/>
      <c r="B878" s="140" t="s">
        <v>38</v>
      </c>
      <c r="D878" s="505" t="s">
        <v>324</v>
      </c>
      <c r="E878" s="506"/>
      <c r="F878" s="465" t="s">
        <v>454</v>
      </c>
      <c r="G878" s="463"/>
      <c r="H878" s="463"/>
      <c r="I878"/>
      <c r="J878"/>
      <c r="K878" s="245"/>
      <c r="L878" s="520" t="s">
        <v>326</v>
      </c>
      <c r="M878" s="521"/>
      <c r="N878" s="512" t="str">
        <f>STDSelect</f>
        <v>SELECT PLAN</v>
      </c>
      <c r="O878" s="512"/>
      <c r="P878" s="513" t="str">
        <f>IFERROR(VLOOKUP(N878,BEGIN_Renew_STD_PlanID:END_RENEW_STD,9,FALSE),"--")</f>
        <v>--</v>
      </c>
      <c r="Q878" s="513"/>
      <c r="R878" s="251" t="s">
        <v>442</v>
      </c>
    </row>
    <row r="879" spans="1:18" ht="21.75" customHeight="1" thickBot="1">
      <c r="A879" s="140"/>
      <c r="B879" s="140" t="s">
        <v>38</v>
      </c>
      <c r="D879" s="522" t="s">
        <v>457</v>
      </c>
      <c r="E879" s="523"/>
      <c r="F879" s="466"/>
      <c r="G879" s="463">
        <v>3</v>
      </c>
      <c r="H879" s="463" t="str">
        <f>IFERROR(IF(G879="","","Per EE per Month"),"")</f>
        <v>Per EE per Month</v>
      </c>
      <c r="I879"/>
      <c r="J879"/>
      <c r="K879" s="245"/>
      <c r="L879" s="520" t="s">
        <v>327</v>
      </c>
      <c r="M879" s="521"/>
      <c r="N879" s="512" t="str">
        <f>LifeSelect</f>
        <v>SELECT PLAN</v>
      </c>
      <c r="O879" s="512"/>
      <c r="P879" s="513" t="str">
        <f>IFERROR(VLOOKUP(N879,BEGIN_Renew_LIFE_PlanID:END_RENEW_LIFE,9,FALSE),"--")</f>
        <v>--</v>
      </c>
      <c r="Q879" s="513"/>
      <c r="R879" s="251" t="s">
        <v>443</v>
      </c>
    </row>
    <row r="880" spans="1:20" ht="13">
      <c r="A880" s="140"/>
      <c r="B880" s="140"/>
      <c r="G880" s="253"/>
      <c r="H880" s="253"/>
      <c r="I880"/>
      <c r="J880"/>
      <c r="K880" s="245"/>
      <c r="L880"/>
      <c r="M880"/>
      <c r="N880"/>
      <c r="O880"/>
      <c r="P880"/>
      <c r="Q880"/>
      <c r="R880"/>
      <c r="S880"/>
      <c r="T880"/>
    </row>
    <row r="881" spans="1:8" ht="13">
      <c r="A881" s="140"/>
      <c r="B881" s="140"/>
      <c r="G881" s="253"/>
      <c r="H881" s="253"/>
    </row>
    <row r="882" spans="1:22" ht="13">
      <c r="A882" s="140"/>
      <c r="B882" s="140"/>
      <c r="G882" s="253"/>
      <c r="H882" s="253"/>
      <c r="I882" s="256"/>
      <c r="J882" s="253"/>
      <c r="K882" s="253"/>
      <c r="L882" s="253"/>
      <c r="M882" s="253"/>
      <c r="N882" s="255"/>
      <c r="O882" s="253"/>
      <c r="P882" s="253"/>
      <c r="Q882" s="253"/>
      <c r="R882" s="253"/>
      <c r="S882" s="257"/>
      <c r="T882" s="257"/>
      <c r="U882" s="257"/>
      <c r="V882" s="257"/>
    </row>
    <row r="883" spans="1:22" ht="13">
      <c r="A883" s="140"/>
      <c r="B883" s="140"/>
      <c r="G883" s="253"/>
      <c r="H883" s="253"/>
      <c r="I883" s="256"/>
      <c r="J883" s="253"/>
      <c r="K883" s="253"/>
      <c r="L883" s="253"/>
      <c r="M883" s="253"/>
      <c r="N883" s="255"/>
      <c r="O883" s="253"/>
      <c r="P883" s="253"/>
      <c r="Q883" s="253"/>
      <c r="R883" s="253"/>
      <c r="S883" s="257"/>
      <c r="T883" s="257"/>
      <c r="U883" s="257"/>
      <c r="V883" s="257"/>
    </row>
    <row r="884" spans="1:22" ht="13">
      <c r="A884" s="140"/>
      <c r="B884" s="140"/>
      <c r="G884" s="253"/>
      <c r="H884" s="253"/>
      <c r="I884" s="256"/>
      <c r="J884" s="253"/>
      <c r="K884" s="253"/>
      <c r="L884" s="253"/>
      <c r="M884" s="253"/>
      <c r="N884" s="255"/>
      <c r="O884" s="253"/>
      <c r="P884" s="253"/>
      <c r="Q884" s="253"/>
      <c r="R884" s="253"/>
      <c r="S884" s="257"/>
      <c r="T884" s="257"/>
      <c r="U884" s="257"/>
      <c r="V884" s="257"/>
    </row>
    <row r="885" spans="1:22" ht="13">
      <c r="A885" s="140"/>
      <c r="B885" s="140"/>
      <c r="G885" s="253"/>
      <c r="H885" s="253"/>
      <c r="I885" s="256"/>
      <c r="J885" s="253"/>
      <c r="K885" s="253"/>
      <c r="L885" s="253"/>
      <c r="M885" s="253"/>
      <c r="N885" s="255"/>
      <c r="O885" s="253"/>
      <c r="P885" s="253"/>
      <c r="Q885" s="253"/>
      <c r="R885" s="253"/>
      <c r="S885" s="257"/>
      <c r="T885" s="257"/>
      <c r="U885" s="257"/>
      <c r="V885" s="257"/>
    </row>
    <row r="886" spans="1:22" ht="13">
      <c r="A886" s="140"/>
      <c r="B886" s="140"/>
      <c r="G886" s="253"/>
      <c r="H886" s="253"/>
      <c r="I886" s="256"/>
      <c r="J886" s="253"/>
      <c r="K886" s="253"/>
      <c r="L886" s="253"/>
      <c r="M886" s="253"/>
      <c r="N886" s="255"/>
      <c r="O886" s="253"/>
      <c r="P886" s="253"/>
      <c r="Q886" s="253"/>
      <c r="R886" s="253"/>
      <c r="S886" s="257"/>
      <c r="T886" s="257"/>
      <c r="U886" s="257"/>
      <c r="V886" s="257"/>
    </row>
    <row r="887" spans="1:22" ht="13">
      <c r="A887" s="140"/>
      <c r="B887" s="140"/>
      <c r="G887" s="253"/>
      <c r="H887" s="253"/>
      <c r="I887" s="256"/>
      <c r="J887" s="253"/>
      <c r="K887" s="253"/>
      <c r="L887" s="253"/>
      <c r="M887" s="253"/>
      <c r="N887" s="255"/>
      <c r="O887" s="253"/>
      <c r="P887" s="253"/>
      <c r="Q887" s="253"/>
      <c r="R887" s="253"/>
      <c r="S887" s="257"/>
      <c r="T887" s="257"/>
      <c r="U887" s="257"/>
      <c r="V887" s="257"/>
    </row>
    <row r="888" spans="1:22" ht="13">
      <c r="A888" s="140"/>
      <c r="B888" s="140"/>
      <c r="G888" s="253"/>
      <c r="H888" s="253"/>
      <c r="I888" s="256"/>
      <c r="J888" s="253"/>
      <c r="K888" s="253"/>
      <c r="L888" s="253"/>
      <c r="M888" s="253"/>
      <c r="N888" s="255"/>
      <c r="O888" s="253"/>
      <c r="P888" s="253"/>
      <c r="Q888" s="253"/>
      <c r="R888" s="253"/>
      <c r="S888" s="257"/>
      <c r="T888" s="257"/>
      <c r="U888" s="257"/>
      <c r="V888" s="257"/>
    </row>
    <row r="889" spans="1:22" ht="13">
      <c r="A889" s="140"/>
      <c r="B889" s="140"/>
      <c r="G889" s="253"/>
      <c r="H889" s="253"/>
      <c r="I889" s="256"/>
      <c r="J889" s="253"/>
      <c r="K889" s="253"/>
      <c r="L889" s="253"/>
      <c r="M889" s="253"/>
      <c r="N889" s="255"/>
      <c r="O889" s="253"/>
      <c r="P889" s="253"/>
      <c r="Q889" s="253"/>
      <c r="R889" s="253"/>
      <c r="S889" s="257"/>
      <c r="T889" s="257"/>
      <c r="U889" s="257"/>
      <c r="V889" s="257"/>
    </row>
    <row r="890" spans="1:22" ht="13">
      <c r="A890" s="140"/>
      <c r="B890" s="140"/>
      <c r="G890" s="253"/>
      <c r="H890" s="253"/>
      <c r="I890" s="256"/>
      <c r="J890" s="253"/>
      <c r="K890" s="253"/>
      <c r="L890" s="253"/>
      <c r="M890" s="253"/>
      <c r="N890" s="255"/>
      <c r="O890" s="253"/>
      <c r="P890" s="253"/>
      <c r="Q890" s="253"/>
      <c r="R890" s="253"/>
      <c r="S890" s="257"/>
      <c r="T890" s="257"/>
      <c r="U890" s="257"/>
      <c r="V890" s="257"/>
    </row>
    <row r="891" spans="1:22" ht="13">
      <c r="A891" s="140"/>
      <c r="B891" s="140"/>
      <c r="G891" s="253"/>
      <c r="H891" s="253"/>
      <c r="I891" s="256"/>
      <c r="J891" s="253"/>
      <c r="K891" s="253"/>
      <c r="L891" s="253"/>
      <c r="M891" s="253"/>
      <c r="N891" s="255"/>
      <c r="O891" s="253"/>
      <c r="P891" s="253"/>
      <c r="Q891" s="253"/>
      <c r="R891" s="253"/>
      <c r="S891" s="257"/>
      <c r="T891" s="257"/>
      <c r="U891" s="257"/>
      <c r="V891" s="257"/>
    </row>
    <row r="892" spans="1:22" ht="13">
      <c r="A892" s="140"/>
      <c r="B892" s="140"/>
      <c r="G892" s="253"/>
      <c r="H892" s="253"/>
      <c r="I892" s="256"/>
      <c r="J892" s="253"/>
      <c r="K892" s="253"/>
      <c r="L892" s="253"/>
      <c r="M892" s="253"/>
      <c r="N892" s="255"/>
      <c r="O892" s="253"/>
      <c r="P892" s="253"/>
      <c r="Q892" s="253"/>
      <c r="R892" s="253"/>
      <c r="S892" s="257"/>
      <c r="T892" s="257"/>
      <c r="U892" s="257"/>
      <c r="V892" s="257"/>
    </row>
    <row r="893" spans="1:22" ht="13">
      <c r="A893" s="140"/>
      <c r="B893" s="140"/>
      <c r="G893" s="253"/>
      <c r="H893" s="253"/>
      <c r="I893" s="256"/>
      <c r="J893" s="253"/>
      <c r="K893" s="253"/>
      <c r="L893" s="253"/>
      <c r="M893" s="253"/>
      <c r="N893" s="255"/>
      <c r="O893" s="253"/>
      <c r="P893" s="253"/>
      <c r="Q893" s="253"/>
      <c r="R893" s="253"/>
      <c r="S893" s="257"/>
      <c r="T893" s="257"/>
      <c r="U893" s="257"/>
      <c r="V893" s="257"/>
    </row>
    <row r="894" spans="1:22" ht="13">
      <c r="A894" s="140"/>
      <c r="B894" s="140"/>
      <c r="G894" s="253"/>
      <c r="H894" s="253"/>
      <c r="I894" s="256"/>
      <c r="J894" s="253"/>
      <c r="K894" s="253"/>
      <c r="L894" s="253"/>
      <c r="M894" s="253"/>
      <c r="N894" s="255"/>
      <c r="O894" s="253"/>
      <c r="P894" s="253"/>
      <c r="Q894" s="253"/>
      <c r="R894" s="253"/>
      <c r="S894" s="257"/>
      <c r="T894" s="257"/>
      <c r="U894" s="257"/>
      <c r="V894" s="257"/>
    </row>
    <row r="895" spans="1:22" ht="13">
      <c r="A895" s="140"/>
      <c r="B895" s="140"/>
      <c r="G895" s="253"/>
      <c r="H895" s="253"/>
      <c r="I895" s="256"/>
      <c r="J895" s="253"/>
      <c r="K895" s="253"/>
      <c r="L895" s="253"/>
      <c r="M895" s="253"/>
      <c r="N895" s="255"/>
      <c r="O895" s="253"/>
      <c r="P895" s="253"/>
      <c r="Q895" s="253"/>
      <c r="R895" s="253"/>
      <c r="S895" s="257"/>
      <c r="T895" s="257"/>
      <c r="U895" s="257"/>
      <c r="V895" s="257"/>
    </row>
    <row r="896" spans="1:22" ht="13">
      <c r="A896" s="140"/>
      <c r="B896" s="140"/>
      <c r="G896" s="253"/>
      <c r="H896" s="253"/>
      <c r="I896" s="256"/>
      <c r="J896" s="253"/>
      <c r="K896" s="253"/>
      <c r="L896" s="253"/>
      <c r="M896" s="253"/>
      <c r="N896" s="255"/>
      <c r="O896" s="253"/>
      <c r="P896" s="253"/>
      <c r="Q896" s="253"/>
      <c r="R896" s="253"/>
      <c r="S896" s="257"/>
      <c r="T896" s="257"/>
      <c r="U896" s="257"/>
      <c r="V896" s="257"/>
    </row>
    <row r="897" spans="1:22" ht="13">
      <c r="A897" s="140"/>
      <c r="B897" s="140"/>
      <c r="G897" s="253"/>
      <c r="H897" s="253"/>
      <c r="I897" s="256"/>
      <c r="J897" s="253"/>
      <c r="K897" s="253"/>
      <c r="L897" s="253"/>
      <c r="M897" s="253"/>
      <c r="N897" s="255"/>
      <c r="O897" s="253"/>
      <c r="P897" s="253"/>
      <c r="Q897" s="253"/>
      <c r="R897" s="253"/>
      <c r="S897" s="257"/>
      <c r="T897" s="257"/>
      <c r="U897" s="257"/>
      <c r="V897" s="257"/>
    </row>
    <row r="898" spans="1:22" ht="13">
      <c r="A898" s="140"/>
      <c r="B898" s="140"/>
      <c r="G898" s="253"/>
      <c r="H898" s="253"/>
      <c r="I898" s="256"/>
      <c r="J898" s="253"/>
      <c r="K898" s="253"/>
      <c r="L898" s="253"/>
      <c r="M898" s="253"/>
      <c r="N898" s="255"/>
      <c r="O898" s="253"/>
      <c r="P898" s="253"/>
      <c r="Q898" s="253"/>
      <c r="R898" s="253"/>
      <c r="S898" s="257"/>
      <c r="T898" s="257"/>
      <c r="U898" s="257"/>
      <c r="V898" s="257"/>
    </row>
    <row r="899" spans="1:22" ht="13">
      <c r="A899" s="140"/>
      <c r="B899" s="140"/>
      <c r="G899" s="253"/>
      <c r="H899" s="253"/>
      <c r="I899" s="256"/>
      <c r="J899" s="253"/>
      <c r="K899" s="253"/>
      <c r="L899" s="253"/>
      <c r="M899" s="253"/>
      <c r="N899" s="255"/>
      <c r="O899" s="253"/>
      <c r="P899" s="253"/>
      <c r="Q899" s="253"/>
      <c r="R899" s="253"/>
      <c r="S899" s="257"/>
      <c r="T899" s="257"/>
      <c r="U899" s="257"/>
      <c r="V899" s="257"/>
    </row>
    <row r="900" spans="1:22" ht="13">
      <c r="A900" s="140"/>
      <c r="B900" s="140"/>
      <c r="G900" s="253"/>
      <c r="H900" s="253"/>
      <c r="I900" s="256"/>
      <c r="J900" s="253"/>
      <c r="K900" s="253"/>
      <c r="L900" s="253"/>
      <c r="M900" s="253"/>
      <c r="N900" s="255"/>
      <c r="O900" s="253"/>
      <c r="P900" s="253"/>
      <c r="Q900" s="253"/>
      <c r="R900" s="253"/>
      <c r="S900" s="257"/>
      <c r="T900" s="257"/>
      <c r="U900" s="257"/>
      <c r="V900" s="257"/>
    </row>
    <row r="901" spans="1:22" ht="13">
      <c r="A901" s="140"/>
      <c r="B901" s="140"/>
      <c r="G901" s="253"/>
      <c r="H901" s="253"/>
      <c r="I901" s="256"/>
      <c r="J901" s="253"/>
      <c r="K901" s="253"/>
      <c r="L901" s="253"/>
      <c r="M901" s="253"/>
      <c r="N901" s="255"/>
      <c r="O901" s="253"/>
      <c r="P901" s="253"/>
      <c r="Q901" s="253"/>
      <c r="R901" s="253"/>
      <c r="S901" s="257"/>
      <c r="T901" s="257"/>
      <c r="U901" s="257"/>
      <c r="V901" s="257"/>
    </row>
    <row r="902" spans="1:22" ht="13">
      <c r="A902" s="140"/>
      <c r="B902" s="140"/>
      <c r="G902" s="253"/>
      <c r="H902" s="253"/>
      <c r="I902" s="256"/>
      <c r="J902" s="253"/>
      <c r="K902" s="253"/>
      <c r="L902" s="253"/>
      <c r="M902" s="253"/>
      <c r="N902" s="255"/>
      <c r="O902" s="253"/>
      <c r="P902" s="253"/>
      <c r="Q902" s="253"/>
      <c r="R902" s="253"/>
      <c r="S902" s="257"/>
      <c r="T902" s="257"/>
      <c r="U902" s="257"/>
      <c r="V902" s="257"/>
    </row>
    <row r="903" spans="1:22" ht="13">
      <c r="A903" s="140"/>
      <c r="B903" s="140"/>
      <c r="G903" s="253"/>
      <c r="H903" s="253"/>
      <c r="I903" s="256"/>
      <c r="J903" s="253"/>
      <c r="K903" s="253"/>
      <c r="L903" s="253"/>
      <c r="M903" s="253"/>
      <c r="N903" s="255"/>
      <c r="O903" s="253"/>
      <c r="P903" s="253"/>
      <c r="Q903" s="253"/>
      <c r="R903" s="253"/>
      <c r="S903" s="257"/>
      <c r="T903" s="257"/>
      <c r="U903" s="257"/>
      <c r="V903" s="257"/>
    </row>
    <row r="904" spans="1:22" ht="13">
      <c r="A904" s="140"/>
      <c r="B904" s="140"/>
      <c r="G904" s="253"/>
      <c r="H904" s="253"/>
      <c r="I904" s="256"/>
      <c r="J904" s="253"/>
      <c r="K904" s="253"/>
      <c r="L904" s="253"/>
      <c r="M904" s="253"/>
      <c r="N904" s="255"/>
      <c r="O904" s="253"/>
      <c r="P904" s="253"/>
      <c r="Q904" s="253"/>
      <c r="R904" s="253"/>
      <c r="S904" s="257"/>
      <c r="T904" s="257"/>
      <c r="U904" s="257"/>
      <c r="V904" s="257"/>
    </row>
    <row r="905" spans="1:22" ht="13">
      <c r="A905" s="140"/>
      <c r="B905" s="140"/>
      <c r="G905" s="253"/>
      <c r="H905" s="253"/>
      <c r="I905" s="256"/>
      <c r="J905" s="253"/>
      <c r="K905" s="253"/>
      <c r="L905" s="253"/>
      <c r="M905" s="253"/>
      <c r="N905" s="255"/>
      <c r="O905" s="253"/>
      <c r="P905" s="253"/>
      <c r="Q905" s="253"/>
      <c r="R905" s="253"/>
      <c r="S905" s="257"/>
      <c r="T905" s="257"/>
      <c r="U905" s="257"/>
      <c r="V905" s="257"/>
    </row>
    <row r="906" spans="1:22" ht="13">
      <c r="A906" s="140"/>
      <c r="B906" s="140"/>
      <c r="G906" s="253"/>
      <c r="H906" s="253"/>
      <c r="I906" s="256"/>
      <c r="J906" s="253"/>
      <c r="K906" s="253"/>
      <c r="L906" s="253"/>
      <c r="M906" s="253"/>
      <c r="N906" s="255"/>
      <c r="O906" s="253"/>
      <c r="P906" s="253"/>
      <c r="Q906" s="253"/>
      <c r="R906" s="253"/>
      <c r="S906" s="257"/>
      <c r="T906" s="257"/>
      <c r="U906" s="257"/>
      <c r="V906" s="257"/>
    </row>
    <row r="907" spans="1:22" ht="13">
      <c r="A907" s="140"/>
      <c r="B907" s="140"/>
      <c r="G907" s="253"/>
      <c r="H907" s="253"/>
      <c r="I907" s="256"/>
      <c r="J907" s="253"/>
      <c r="K907" s="253"/>
      <c r="L907" s="253"/>
      <c r="M907" s="253"/>
      <c r="N907" s="255"/>
      <c r="O907" s="253"/>
      <c r="P907" s="253"/>
      <c r="Q907" s="253"/>
      <c r="R907" s="253"/>
      <c r="S907" s="257"/>
      <c r="T907" s="257"/>
      <c r="U907" s="257"/>
      <c r="V907" s="257"/>
    </row>
    <row r="908" spans="1:22" ht="13">
      <c r="A908" s="140"/>
      <c r="B908" s="140"/>
      <c r="G908" s="253"/>
      <c r="H908" s="253"/>
      <c r="I908" s="256"/>
      <c r="J908" s="253"/>
      <c r="K908" s="253"/>
      <c r="L908" s="253"/>
      <c r="M908" s="253"/>
      <c r="N908" s="255"/>
      <c r="O908" s="253"/>
      <c r="P908" s="253"/>
      <c r="Q908" s="253"/>
      <c r="R908" s="253"/>
      <c r="S908" s="257"/>
      <c r="T908" s="257"/>
      <c r="U908" s="257"/>
      <c r="V908" s="257"/>
    </row>
    <row r="909" spans="1:22" ht="13">
      <c r="A909" s="140"/>
      <c r="B909" s="140"/>
      <c r="I909" s="256"/>
      <c r="J909" s="253"/>
      <c r="K909" s="253"/>
      <c r="L909" s="253"/>
      <c r="M909" s="253"/>
      <c r="N909" s="255"/>
      <c r="O909" s="253"/>
      <c r="P909" s="253"/>
      <c r="Q909" s="253"/>
      <c r="R909" s="253"/>
      <c r="S909" s="257"/>
      <c r="T909" s="257"/>
      <c r="U909" s="257"/>
      <c r="V909" s="257"/>
    </row>
    <row r="910" spans="1:22" ht="13">
      <c r="A910" s="140"/>
      <c r="B910" s="140"/>
      <c r="I910" s="256"/>
      <c r="J910" s="253"/>
      <c r="K910" s="253"/>
      <c r="L910" s="253"/>
      <c r="M910" s="253"/>
      <c r="N910" s="255"/>
      <c r="O910" s="253"/>
      <c r="P910" s="253"/>
      <c r="Q910" s="253"/>
      <c r="R910" s="253"/>
      <c r="S910" s="257"/>
      <c r="T910" s="257"/>
      <c r="U910" s="257"/>
      <c r="V910" s="257"/>
    </row>
    <row r="911" spans="1:2" ht="13">
      <c r="A911" s="140"/>
      <c r="B911" s="140"/>
    </row>
    <row r="912" spans="1:2" ht="13">
      <c r="A912" s="140"/>
      <c r="B912" s="140"/>
    </row>
    <row r="913" spans="1:2" ht="13">
      <c r="A913" s="140"/>
      <c r="B913" s="140"/>
    </row>
    <row r="914" spans="1:2" ht="13">
      <c r="A914" s="140"/>
      <c r="B914" s="140"/>
    </row>
    <row r="915" spans="1:2" ht="13">
      <c r="A915" s="140"/>
      <c r="B915" s="140"/>
    </row>
    <row r="916" spans="1:2" ht="13">
      <c r="A916" s="140"/>
      <c r="B916" s="140"/>
    </row>
    <row r="917" spans="1:2" ht="13">
      <c r="A917" s="140"/>
      <c r="B917" s="140"/>
    </row>
    <row r="918" spans="1:2" ht="13">
      <c r="A918" s="140"/>
      <c r="B918" s="140"/>
    </row>
    <row r="919" spans="1:2" ht="13">
      <c r="A919" s="140"/>
      <c r="B919" s="140"/>
    </row>
    <row r="920" spans="1:2" ht="13">
      <c r="A920" s="140"/>
      <c r="B920" s="140"/>
    </row>
    <row r="921" spans="1:2" ht="13">
      <c r="A921" s="140"/>
      <c r="B921" s="140"/>
    </row>
    <row r="922" spans="1:2" ht="13">
      <c r="A922" s="140"/>
      <c r="B922" s="140"/>
    </row>
    <row r="923" spans="1:2" ht="13">
      <c r="A923" s="140"/>
      <c r="B923" s="140"/>
    </row>
    <row r="924" spans="1:2" ht="13">
      <c r="A924" s="140"/>
      <c r="B924" s="140"/>
    </row>
    <row r="925" spans="1:2" ht="13">
      <c r="A925" s="140"/>
      <c r="B925" s="140"/>
    </row>
    <row r="926" spans="1:2" ht="13">
      <c r="A926" s="140"/>
      <c r="B926" s="140"/>
    </row>
    <row r="927" spans="1:2" ht="13">
      <c r="A927" s="140"/>
      <c r="B927" s="140"/>
    </row>
    <row r="928" spans="1:2" ht="13">
      <c r="A928" s="140"/>
      <c r="B928" s="140"/>
    </row>
    <row r="929" spans="1:2" ht="13">
      <c r="A929" s="140"/>
      <c r="B929" s="140"/>
    </row>
    <row r="930" spans="1:2" ht="13">
      <c r="A930" s="140"/>
      <c r="B930" s="140"/>
    </row>
    <row r="931" spans="1:2" ht="13">
      <c r="A931" s="140"/>
      <c r="B931" s="140"/>
    </row>
    <row r="932" spans="1:2" ht="13">
      <c r="A932" s="140"/>
      <c r="B932" s="140"/>
    </row>
    <row r="933" spans="1:2" ht="13">
      <c r="A933" s="140"/>
      <c r="B933" s="140"/>
    </row>
    <row r="934" spans="1:2" ht="13">
      <c r="A934" s="140"/>
      <c r="B934" s="140"/>
    </row>
    <row r="935" spans="1:2" ht="13">
      <c r="A935" s="140"/>
      <c r="B935" s="140"/>
    </row>
    <row r="936" spans="1:2" ht="13">
      <c r="A936" s="140"/>
      <c r="B936" s="140"/>
    </row>
    <row r="937" spans="1:2" ht="13">
      <c r="A937" s="140"/>
      <c r="B937" s="140"/>
    </row>
    <row r="938" spans="1:2" ht="13">
      <c r="A938" s="140"/>
      <c r="B938" s="140"/>
    </row>
    <row r="939" spans="1:2" ht="13">
      <c r="A939" s="140"/>
      <c r="B939" s="140"/>
    </row>
    <row r="940" spans="1:2" ht="13">
      <c r="A940" s="140"/>
      <c r="B940" s="140"/>
    </row>
    <row r="941" spans="1:2" ht="13">
      <c r="A941" s="140"/>
      <c r="B941" s="140"/>
    </row>
    <row r="942" spans="1:2" ht="13">
      <c r="A942" s="140"/>
      <c r="B942" s="140"/>
    </row>
    <row r="943" spans="1:2" ht="13">
      <c r="A943" s="140"/>
      <c r="B943" s="140"/>
    </row>
    <row r="944" spans="1:2" ht="13">
      <c r="A944" s="140"/>
      <c r="B944" s="140"/>
    </row>
    <row r="945" spans="1:2" ht="13">
      <c r="A945" s="140"/>
      <c r="B945" s="140"/>
    </row>
    <row r="946" spans="1:2" ht="13">
      <c r="A946" s="140"/>
      <c r="B946" s="140"/>
    </row>
    <row r="947" spans="1:2" ht="13">
      <c r="A947" s="140"/>
      <c r="B947" s="140"/>
    </row>
    <row r="948" spans="1:2" ht="13">
      <c r="A948" s="140"/>
      <c r="B948" s="140"/>
    </row>
    <row r="949" spans="1:2" ht="13">
      <c r="A949" s="140"/>
      <c r="B949" s="140"/>
    </row>
    <row r="950" spans="1:2" ht="13">
      <c r="A950" s="140"/>
      <c r="B950" s="140"/>
    </row>
    <row r="951" spans="1:2" ht="13">
      <c r="A951" s="140"/>
      <c r="B951" s="140"/>
    </row>
    <row r="952" spans="1:2" ht="13">
      <c r="A952" s="140"/>
      <c r="B952" s="140"/>
    </row>
    <row r="953" spans="1:2" ht="13">
      <c r="A953" s="140"/>
      <c r="B953" s="140"/>
    </row>
    <row r="954" spans="1:2" ht="13">
      <c r="A954" s="140"/>
      <c r="B954" s="140"/>
    </row>
    <row r="955" spans="1:2" ht="13">
      <c r="A955" s="140"/>
      <c r="B955" s="140"/>
    </row>
    <row r="956" spans="1:2" ht="13">
      <c r="A956" s="140"/>
      <c r="B956" s="140"/>
    </row>
    <row r="957" spans="1:2" ht="13">
      <c r="A957" s="140"/>
      <c r="B957" s="140"/>
    </row>
    <row r="958" spans="1:2" ht="13">
      <c r="A958" s="140"/>
      <c r="B958" s="140"/>
    </row>
    <row r="959" spans="1:2" ht="13">
      <c r="A959" s="140"/>
      <c r="B959" s="140"/>
    </row>
    <row r="960" spans="1:2" ht="13">
      <c r="A960" s="140"/>
      <c r="B960" s="140"/>
    </row>
    <row r="961" spans="1:2" ht="13">
      <c r="A961" s="140"/>
      <c r="B961" s="140"/>
    </row>
    <row r="962" spans="1:2" ht="13">
      <c r="A962" s="140"/>
      <c r="B962" s="140"/>
    </row>
    <row r="963" spans="1:2" ht="13">
      <c r="A963" s="140"/>
      <c r="B963" s="140"/>
    </row>
    <row r="964" spans="1:2" ht="13">
      <c r="A964" s="140"/>
      <c r="B964" s="140"/>
    </row>
    <row r="965" spans="1:2" ht="13">
      <c r="A965" s="140"/>
      <c r="B965" s="140"/>
    </row>
    <row r="966" spans="1:2" ht="13">
      <c r="A966" s="140"/>
      <c r="B966" s="140"/>
    </row>
    <row r="967" spans="1:2" ht="13">
      <c r="A967" s="140"/>
      <c r="B967" s="140"/>
    </row>
    <row r="968" spans="1:2" ht="13">
      <c r="A968" s="140"/>
      <c r="B968" s="140"/>
    </row>
    <row r="969" spans="1:2" ht="13">
      <c r="A969" s="140"/>
      <c r="B969" s="140"/>
    </row>
    <row r="970" spans="1:2" ht="13">
      <c r="A970" s="140"/>
      <c r="B970" s="140"/>
    </row>
    <row r="971" spans="1:2" ht="13">
      <c r="A971" s="140"/>
      <c r="B971" s="140"/>
    </row>
    <row r="972" spans="1:2" ht="13">
      <c r="A972" s="140"/>
      <c r="B972" s="140"/>
    </row>
    <row r="973" spans="1:2" ht="13">
      <c r="A973" s="140"/>
      <c r="B973" s="140"/>
    </row>
    <row r="974" spans="1:2" ht="13">
      <c r="A974" s="140"/>
      <c r="B974" s="140"/>
    </row>
    <row r="975" spans="1:2" ht="13">
      <c r="A975" s="140"/>
      <c r="B975" s="140"/>
    </row>
    <row r="976" spans="1:2" ht="13">
      <c r="A976" s="140"/>
      <c r="B976" s="140"/>
    </row>
    <row r="977" spans="1:2" ht="13">
      <c r="A977" s="140"/>
      <c r="B977" s="140"/>
    </row>
    <row r="978" spans="1:2" ht="13">
      <c r="A978" s="140"/>
      <c r="B978" s="140"/>
    </row>
    <row r="979" spans="1:2" ht="13">
      <c r="A979" s="140"/>
      <c r="B979" s="140"/>
    </row>
    <row r="980" spans="1:2" ht="13">
      <c r="A980" s="140"/>
      <c r="B980" s="140"/>
    </row>
    <row r="981" spans="1:2" ht="13">
      <c r="A981" s="140"/>
      <c r="B981" s="140"/>
    </row>
    <row r="982" spans="1:2" ht="13">
      <c r="A982" s="140"/>
      <c r="B982" s="140"/>
    </row>
    <row r="983" spans="1:2" ht="13">
      <c r="A983" s="140"/>
      <c r="B983" s="140"/>
    </row>
    <row r="984" spans="1:2" ht="13">
      <c r="A984" s="140"/>
      <c r="B984" s="140"/>
    </row>
    <row r="985" spans="1:2" ht="13">
      <c r="A985" s="140"/>
      <c r="B985" s="140"/>
    </row>
    <row r="986" spans="1:2" ht="13">
      <c r="A986" s="140"/>
      <c r="B986" s="140"/>
    </row>
    <row r="987" spans="1:2" ht="13">
      <c r="A987" s="140"/>
      <c r="B987" s="140"/>
    </row>
    <row r="988" spans="1:2" ht="13">
      <c r="A988" s="140"/>
      <c r="B988" s="140"/>
    </row>
    <row r="989" spans="1:2" ht="13">
      <c r="A989" s="140"/>
      <c r="B989" s="140"/>
    </row>
    <row r="990" spans="1:2" ht="13">
      <c r="A990" s="140"/>
      <c r="B990" s="140"/>
    </row>
    <row r="991" spans="1:2" ht="13">
      <c r="A991" s="140"/>
      <c r="B991" s="140"/>
    </row>
    <row r="992" spans="1:2" ht="13">
      <c r="A992" s="140"/>
      <c r="B992" s="140"/>
    </row>
    <row r="993" spans="1:2" ht="13">
      <c r="A993" s="140"/>
      <c r="B993" s="140"/>
    </row>
    <row r="994" spans="1:2" ht="13">
      <c r="A994" s="140"/>
      <c r="B994" s="140"/>
    </row>
    <row r="995" spans="1:2" ht="13">
      <c r="A995" s="140"/>
      <c r="B995" s="140"/>
    </row>
    <row r="996" spans="1:2" ht="13">
      <c r="A996" s="140"/>
      <c r="B996" s="140"/>
    </row>
    <row r="997" spans="1:2" ht="13">
      <c r="A997" s="140"/>
      <c r="B997" s="140"/>
    </row>
    <row r="998" spans="1:2" ht="13">
      <c r="A998" s="140"/>
      <c r="B998" s="140"/>
    </row>
    <row r="999" spans="1:2" ht="13">
      <c r="A999" s="140"/>
      <c r="B999" s="140"/>
    </row>
    <row r="1000" spans="1:2" ht="13">
      <c r="A1000" s="140"/>
      <c r="B1000" s="140"/>
    </row>
    <row r="1001" spans="1:2" ht="13">
      <c r="A1001" s="140"/>
      <c r="B1001" s="140"/>
    </row>
    <row r="1002" spans="1:2" ht="13">
      <c r="A1002" s="140"/>
      <c r="B1002" s="140"/>
    </row>
    <row r="1003" spans="1:2" ht="13">
      <c r="A1003" s="140"/>
      <c r="B1003" s="140"/>
    </row>
    <row r="1004" spans="1:2" ht="13">
      <c r="A1004" s="140"/>
      <c r="B1004" s="140"/>
    </row>
    <row r="1005" spans="1:2" ht="13">
      <c r="A1005" s="140"/>
      <c r="B1005" s="140"/>
    </row>
    <row r="1006" spans="1:2" ht="13">
      <c r="A1006" s="140"/>
      <c r="B1006" s="140"/>
    </row>
    <row r="1007" spans="1:2" ht="13">
      <c r="A1007" s="140"/>
      <c r="B1007" s="140"/>
    </row>
    <row r="1008" spans="1:2" ht="13">
      <c r="A1008" s="140"/>
      <c r="B1008" s="140"/>
    </row>
    <row r="1009" spans="1:2" ht="13">
      <c r="A1009" s="140"/>
      <c r="B1009" s="140"/>
    </row>
    <row r="1010" spans="1:2" ht="13">
      <c r="A1010" s="140"/>
      <c r="B1010" s="140"/>
    </row>
    <row r="1011" spans="1:2" ht="13">
      <c r="A1011" s="140"/>
      <c r="B1011" s="140"/>
    </row>
    <row r="1012" spans="1:2" ht="13">
      <c r="A1012" s="140"/>
      <c r="B1012" s="140"/>
    </row>
    <row r="1013" spans="1:2" ht="13">
      <c r="A1013" s="140"/>
      <c r="B1013" s="140"/>
    </row>
    <row r="1014" spans="1:2" ht="13">
      <c r="A1014" s="140"/>
      <c r="B1014" s="140"/>
    </row>
    <row r="1015" spans="1:2" ht="13">
      <c r="A1015" s="140"/>
      <c r="B1015" s="140"/>
    </row>
    <row r="1016" spans="1:2" ht="13">
      <c r="A1016" s="140"/>
      <c r="B1016" s="140"/>
    </row>
    <row r="1017" spans="1:2" ht="13">
      <c r="A1017" s="140"/>
      <c r="B1017" s="140"/>
    </row>
    <row r="1018" spans="1:2" ht="13">
      <c r="A1018" s="140"/>
      <c r="B1018" s="140"/>
    </row>
    <row r="1019" spans="1:2" ht="13">
      <c r="A1019" s="140"/>
      <c r="B1019" s="140"/>
    </row>
    <row r="1020" spans="1:2" ht="13">
      <c r="A1020" s="140"/>
      <c r="B1020" s="140"/>
    </row>
    <row r="1021" spans="1:2" ht="13">
      <c r="A1021" s="140"/>
      <c r="B1021" s="140"/>
    </row>
    <row r="1022" spans="1:2" ht="13">
      <c r="A1022" s="140"/>
      <c r="B1022" s="140"/>
    </row>
    <row r="1023" spans="1:2" ht="13">
      <c r="A1023" s="140"/>
      <c r="B1023" s="140"/>
    </row>
    <row r="1024" spans="1:2" ht="13">
      <c r="A1024" s="140"/>
      <c r="B1024" s="140"/>
    </row>
    <row r="1025" spans="1:2" ht="13">
      <c r="A1025" s="140"/>
      <c r="B1025" s="140"/>
    </row>
    <row r="1026" spans="1:2" ht="13">
      <c r="A1026" s="140"/>
      <c r="B1026" s="140"/>
    </row>
    <row r="1027" spans="1:2" ht="13">
      <c r="A1027" s="140"/>
      <c r="B1027" s="140"/>
    </row>
    <row r="1028" spans="1:2" ht="13">
      <c r="A1028" s="140"/>
      <c r="B1028" s="140"/>
    </row>
    <row r="1029" spans="1:2" ht="13">
      <c r="A1029" s="140"/>
      <c r="B1029" s="140"/>
    </row>
    <row r="1030" spans="1:2" ht="13">
      <c r="A1030" s="140"/>
      <c r="B1030" s="140"/>
    </row>
    <row r="1031" spans="1:2" ht="13">
      <c r="A1031" s="140"/>
      <c r="B1031" s="140"/>
    </row>
    <row r="1032" spans="1:2" ht="13">
      <c r="A1032" s="140"/>
      <c r="B1032" s="140"/>
    </row>
    <row r="1033" spans="1:2" ht="13">
      <c r="A1033" s="140"/>
      <c r="B1033" s="140"/>
    </row>
    <row r="1034" spans="1:2" ht="13">
      <c r="A1034" s="140"/>
      <c r="B1034" s="140"/>
    </row>
    <row r="1035" spans="1:2" ht="13">
      <c r="A1035" s="140"/>
      <c r="B1035" s="140"/>
    </row>
    <row r="1036" spans="1:2" ht="13">
      <c r="A1036" s="140"/>
      <c r="B1036" s="140"/>
    </row>
    <row r="1037" spans="1:2" ht="13">
      <c r="A1037" s="140"/>
      <c r="B1037" s="140"/>
    </row>
    <row r="1038" spans="1:2" ht="13">
      <c r="A1038" s="140"/>
      <c r="B1038" s="140"/>
    </row>
    <row r="1039" spans="1:2" ht="13">
      <c r="A1039" s="140"/>
      <c r="B1039" s="140"/>
    </row>
    <row r="1040" spans="1:2" ht="13">
      <c r="A1040" s="140"/>
      <c r="B1040" s="140"/>
    </row>
    <row r="1041" spans="1:2" ht="13">
      <c r="A1041" s="140"/>
      <c r="B1041" s="140"/>
    </row>
    <row r="1042" spans="1:2" ht="13">
      <c r="A1042" s="140"/>
      <c r="B1042" s="140"/>
    </row>
    <row r="1043" spans="1:2" ht="13">
      <c r="A1043" s="140"/>
      <c r="B1043" s="140"/>
    </row>
    <row r="1044" spans="1:2" ht="13">
      <c r="A1044" s="140"/>
      <c r="B1044" s="140"/>
    </row>
    <row r="1045" spans="1:2" ht="13">
      <c r="A1045" s="140"/>
      <c r="B1045" s="140"/>
    </row>
    <row r="1046" spans="1:2" ht="13">
      <c r="A1046" s="140"/>
      <c r="B1046" s="140"/>
    </row>
    <row r="1047" spans="1:2" ht="13">
      <c r="A1047" s="140"/>
      <c r="B1047" s="140"/>
    </row>
    <row r="1048" spans="1:2" ht="13">
      <c r="A1048" s="140"/>
      <c r="B1048" s="140"/>
    </row>
    <row r="1049" spans="1:2" ht="13">
      <c r="A1049" s="140"/>
      <c r="B1049" s="140"/>
    </row>
    <row r="1050" spans="1:2" ht="13">
      <c r="A1050" s="140"/>
      <c r="B1050" s="140"/>
    </row>
    <row r="1051" spans="1:2" ht="13">
      <c r="A1051" s="140"/>
      <c r="B1051" s="140"/>
    </row>
    <row r="1052" spans="1:2" ht="13">
      <c r="A1052" s="140"/>
      <c r="B1052" s="140"/>
    </row>
    <row r="1053" spans="1:2" ht="13">
      <c r="A1053" s="140"/>
      <c r="B1053" s="140"/>
    </row>
    <row r="1054" spans="1:2" ht="13">
      <c r="A1054" s="140"/>
      <c r="B1054" s="140"/>
    </row>
    <row r="1055" spans="1:2" ht="13">
      <c r="A1055" s="140"/>
      <c r="B1055" s="140"/>
    </row>
    <row r="1056" spans="1:2" ht="13">
      <c r="A1056" s="140"/>
      <c r="B1056" s="140"/>
    </row>
    <row r="1057" spans="1:2" ht="13">
      <c r="A1057" s="140"/>
      <c r="B1057" s="140"/>
    </row>
    <row r="1058" spans="1:2" ht="13">
      <c r="A1058" s="140"/>
      <c r="B1058" s="140"/>
    </row>
    <row r="1059" spans="1:2" ht="13">
      <c r="A1059" s="140"/>
      <c r="B1059" s="140"/>
    </row>
    <row r="1060" spans="1:2" ht="13">
      <c r="A1060" s="140"/>
      <c r="B1060" s="140"/>
    </row>
    <row r="1061" spans="1:2" ht="13">
      <c r="A1061" s="140"/>
      <c r="B1061" s="140"/>
    </row>
    <row r="1062" spans="1:2" ht="13">
      <c r="A1062" s="140"/>
      <c r="B1062" s="140"/>
    </row>
    <row r="1063" spans="1:2" ht="13">
      <c r="A1063" s="140"/>
      <c r="B1063" s="140"/>
    </row>
    <row r="1064" spans="1:2" ht="13">
      <c r="A1064" s="140"/>
      <c r="B1064" s="140"/>
    </row>
    <row r="1065" spans="1:2" ht="13">
      <c r="A1065" s="140"/>
      <c r="B1065" s="140"/>
    </row>
    <row r="1066" spans="1:2" ht="13">
      <c r="A1066" s="140"/>
      <c r="B1066" s="140"/>
    </row>
    <row r="1067" spans="1:2" ht="13">
      <c r="A1067" s="140"/>
      <c r="B1067" s="140"/>
    </row>
    <row r="1068" spans="1:2" ht="13">
      <c r="A1068" s="140"/>
      <c r="B1068" s="140"/>
    </row>
    <row r="1069" spans="1:2" ht="13">
      <c r="A1069" s="140"/>
      <c r="B1069" s="140"/>
    </row>
    <row r="1070" spans="1:2" ht="13">
      <c r="A1070" s="140"/>
      <c r="B1070" s="140"/>
    </row>
    <row r="1071" spans="1:2" ht="13">
      <c r="A1071" s="140"/>
      <c r="B1071" s="140"/>
    </row>
    <row r="1072" spans="1:2" ht="13">
      <c r="A1072" s="140"/>
      <c r="B1072" s="140"/>
    </row>
    <row r="1073" spans="1:2" ht="13">
      <c r="A1073" s="140"/>
      <c r="B1073" s="140"/>
    </row>
    <row r="1074" spans="1:2" ht="13">
      <c r="A1074" s="140"/>
      <c r="B1074" s="140"/>
    </row>
    <row r="1075" spans="1:2" ht="13">
      <c r="A1075" s="140"/>
      <c r="B1075" s="140"/>
    </row>
    <row r="1076" spans="1:2" ht="13">
      <c r="A1076" s="140"/>
      <c r="B1076" s="140"/>
    </row>
    <row r="1077" spans="1:2" ht="13">
      <c r="A1077" s="140"/>
      <c r="B1077" s="140"/>
    </row>
    <row r="1078" spans="1:2" ht="13">
      <c r="A1078" s="140"/>
      <c r="B1078" s="140"/>
    </row>
    <row r="1079" spans="1:2" ht="13">
      <c r="A1079" s="140"/>
      <c r="B1079" s="140"/>
    </row>
    <row r="1080" spans="1:2" ht="13">
      <c r="A1080" s="140"/>
      <c r="B1080" s="140"/>
    </row>
    <row r="1081" spans="1:2" ht="13">
      <c r="A1081" s="140"/>
      <c r="B1081" s="140"/>
    </row>
    <row r="1082" spans="1:2" ht="13">
      <c r="A1082" s="140"/>
      <c r="B1082" s="140"/>
    </row>
    <row r="1083" spans="1:2" ht="13">
      <c r="A1083" s="140"/>
      <c r="B1083" s="140"/>
    </row>
    <row r="1084" spans="1:2" ht="13">
      <c r="A1084" s="140"/>
      <c r="B1084" s="140"/>
    </row>
    <row r="1085" spans="1:2" ht="13">
      <c r="A1085" s="140"/>
      <c r="B1085" s="140"/>
    </row>
    <row r="1086" spans="1:2" ht="13">
      <c r="A1086" s="140"/>
      <c r="B1086" s="140"/>
    </row>
    <row r="1087" spans="1:2" ht="13">
      <c r="A1087" s="140"/>
      <c r="B1087" s="140"/>
    </row>
    <row r="1088" spans="1:2" ht="13">
      <c r="A1088" s="140"/>
      <c r="B1088" s="140"/>
    </row>
    <row r="1089" spans="1:2" ht="13">
      <c r="A1089" s="140"/>
      <c r="B1089" s="140"/>
    </row>
    <row r="1090" spans="1:2" ht="13">
      <c r="A1090" s="140"/>
      <c r="B1090" s="140"/>
    </row>
    <row r="1091" spans="1:2" ht="13">
      <c r="A1091" s="140"/>
      <c r="B1091" s="140"/>
    </row>
    <row r="1092" spans="1:2" ht="13">
      <c r="A1092" s="140"/>
      <c r="B1092" s="140"/>
    </row>
    <row r="1093" spans="1:2" ht="13">
      <c r="A1093" s="140"/>
      <c r="B1093" s="140"/>
    </row>
    <row r="1094" spans="1:2" ht="13">
      <c r="A1094" s="140"/>
      <c r="B1094" s="140"/>
    </row>
    <row r="1095" spans="1:2" ht="13">
      <c r="A1095" s="140"/>
      <c r="B1095" s="140"/>
    </row>
    <row r="1096" spans="1:2" ht="13">
      <c r="A1096" s="140"/>
      <c r="B1096" s="140"/>
    </row>
    <row r="1097" spans="1:2" ht="13">
      <c r="A1097" s="140"/>
      <c r="B1097" s="140"/>
    </row>
    <row r="1098" spans="1:2" ht="13">
      <c r="A1098" s="140"/>
      <c r="B1098" s="140"/>
    </row>
    <row r="1099" spans="1:2" ht="13">
      <c r="A1099" s="140"/>
      <c r="B1099" s="140"/>
    </row>
    <row r="1100" spans="1:2" ht="13">
      <c r="A1100" s="140"/>
      <c r="B1100" s="140"/>
    </row>
    <row r="1101" spans="1:2" ht="13">
      <c r="A1101" s="140"/>
      <c r="B1101" s="140"/>
    </row>
    <row r="1102" spans="1:2" ht="13">
      <c r="A1102" s="140"/>
      <c r="B1102" s="140"/>
    </row>
    <row r="1103" spans="1:2" ht="13">
      <c r="A1103" s="140"/>
      <c r="B1103" s="140"/>
    </row>
    <row r="1104" spans="1:2" ht="13">
      <c r="A1104" s="140"/>
      <c r="B1104" s="140"/>
    </row>
    <row r="1105" spans="1:2" ht="13">
      <c r="A1105" s="140"/>
      <c r="B1105" s="140"/>
    </row>
    <row r="1106" spans="1:2" ht="13">
      <c r="A1106" s="140"/>
      <c r="B1106" s="140"/>
    </row>
    <row r="1107" spans="1:2" ht="13">
      <c r="A1107" s="140"/>
      <c r="B1107" s="140"/>
    </row>
    <row r="1108" spans="1:2" ht="13">
      <c r="A1108" s="140"/>
      <c r="B1108" s="140"/>
    </row>
    <row r="1109" spans="1:2" ht="13">
      <c r="A1109" s="140"/>
      <c r="B1109" s="140"/>
    </row>
    <row r="1110" spans="1:2" ht="13">
      <c r="A1110" s="140"/>
      <c r="B1110" s="140"/>
    </row>
    <row r="1111" spans="1:2" ht="13">
      <c r="A1111" s="140"/>
      <c r="B1111" s="140"/>
    </row>
    <row r="1112" spans="1:2" ht="13">
      <c r="A1112" s="140"/>
      <c r="B1112" s="140"/>
    </row>
    <row r="1113" spans="1:2" ht="13">
      <c r="A1113" s="140"/>
      <c r="B1113" s="140"/>
    </row>
    <row r="1114" spans="1:2" ht="13">
      <c r="A1114" s="140"/>
      <c r="B1114" s="140"/>
    </row>
    <row r="1115" spans="1:2" ht="13">
      <c r="A1115" s="140"/>
      <c r="B1115" s="140"/>
    </row>
    <row r="1116" spans="1:2" ht="13">
      <c r="A1116" s="140"/>
      <c r="B1116" s="140"/>
    </row>
    <row r="1117" spans="1:2" ht="13">
      <c r="A1117" s="140"/>
      <c r="B1117" s="140"/>
    </row>
    <row r="1118" spans="1:2" ht="13">
      <c r="A1118" s="140"/>
      <c r="B1118" s="140"/>
    </row>
    <row r="1119" spans="1:2" ht="13">
      <c r="A1119" s="140"/>
      <c r="B1119" s="140"/>
    </row>
    <row r="1120" spans="1:2" ht="13">
      <c r="A1120" s="140"/>
      <c r="B1120" s="140"/>
    </row>
    <row r="1121" spans="1:2" ht="13">
      <c r="A1121" s="140"/>
      <c r="B1121" s="140"/>
    </row>
    <row r="1122" spans="1:2" ht="13">
      <c r="A1122" s="140"/>
      <c r="B1122" s="140"/>
    </row>
    <row r="1123" spans="1:2" ht="13">
      <c r="A1123" s="140"/>
      <c r="B1123" s="140"/>
    </row>
    <row r="1124" spans="1:2" ht="13">
      <c r="A1124" s="140"/>
      <c r="B1124" s="140"/>
    </row>
    <row r="1125" spans="1:2" ht="13">
      <c r="A1125" s="140"/>
      <c r="B1125" s="140"/>
    </row>
    <row r="1126" spans="1:2" ht="13">
      <c r="A1126" s="140"/>
      <c r="B1126" s="140"/>
    </row>
    <row r="1127" spans="1:2" ht="13">
      <c r="A1127" s="140"/>
      <c r="B1127" s="140"/>
    </row>
    <row r="1128" spans="1:2" ht="13">
      <c r="A1128" s="140"/>
      <c r="B1128" s="140"/>
    </row>
    <row r="1129" spans="1:2" ht="13">
      <c r="A1129" s="140"/>
      <c r="B1129" s="140"/>
    </row>
    <row r="1130" spans="1:2" ht="13">
      <c r="A1130" s="140"/>
      <c r="B1130" s="140"/>
    </row>
    <row r="1131" spans="1:2" ht="13">
      <c r="A1131" s="140"/>
      <c r="B1131" s="140"/>
    </row>
    <row r="1132" spans="1:2" ht="13">
      <c r="A1132" s="140"/>
      <c r="B1132" s="140"/>
    </row>
    <row r="1133" spans="1:2" ht="13">
      <c r="A1133" s="140"/>
      <c r="B1133" s="140"/>
    </row>
    <row r="1134" spans="1:2" ht="13">
      <c r="A1134" s="140"/>
      <c r="B1134" s="140"/>
    </row>
    <row r="1135" spans="1:2" ht="13">
      <c r="A1135" s="140"/>
      <c r="B1135" s="140"/>
    </row>
    <row r="1136" spans="1:2" ht="13">
      <c r="A1136" s="140"/>
      <c r="B1136" s="140"/>
    </row>
    <row r="1137" spans="1:2" ht="13">
      <c r="A1137" s="140"/>
      <c r="B1137" s="140"/>
    </row>
    <row r="1138" spans="1:2" ht="13">
      <c r="A1138" s="140"/>
      <c r="B1138" s="140"/>
    </row>
    <row r="1139" spans="1:2" ht="13">
      <c r="A1139" s="140"/>
      <c r="B1139" s="140"/>
    </row>
    <row r="1140" spans="1:2" ht="13">
      <c r="A1140" s="140"/>
      <c r="B1140" s="140"/>
    </row>
    <row r="1141" spans="1:2" ht="13">
      <c r="A1141" s="140"/>
      <c r="B1141" s="140"/>
    </row>
    <row r="1142" spans="1:2" ht="13">
      <c r="A1142" s="140"/>
      <c r="B1142" s="140"/>
    </row>
    <row r="1143" spans="1:2" ht="13">
      <c r="A1143" s="140"/>
      <c r="B1143" s="140"/>
    </row>
    <row r="1144" spans="1:2" ht="13">
      <c r="A1144" s="140"/>
      <c r="B1144" s="140"/>
    </row>
    <row r="1145" spans="1:2" ht="13">
      <c r="A1145" s="140"/>
      <c r="B1145" s="140"/>
    </row>
    <row r="1146" spans="1:2" ht="13">
      <c r="A1146" s="140"/>
      <c r="B1146" s="140"/>
    </row>
    <row r="1147" spans="1:2" ht="13">
      <c r="A1147" s="140"/>
      <c r="B1147" s="140"/>
    </row>
    <row r="1148" spans="1:2" ht="13">
      <c r="A1148" s="140"/>
      <c r="B1148" s="140"/>
    </row>
    <row r="1149" spans="1:2" ht="13">
      <c r="A1149" s="140"/>
      <c r="B1149" s="140"/>
    </row>
    <row r="1150" spans="1:2" ht="13">
      <c r="A1150" s="140"/>
      <c r="B1150" s="140"/>
    </row>
    <row r="1151" spans="1:2" ht="13">
      <c r="A1151" s="140"/>
      <c r="B1151" s="140"/>
    </row>
    <row r="1152" spans="1:2" ht="13">
      <c r="A1152" s="140"/>
      <c r="B1152" s="140"/>
    </row>
    <row r="1153" spans="1:2" ht="13">
      <c r="A1153" s="140"/>
      <c r="B1153" s="140"/>
    </row>
    <row r="1154" spans="1:2" ht="13">
      <c r="A1154" s="140"/>
      <c r="B1154" s="140"/>
    </row>
    <row r="1155" spans="1:2" ht="13">
      <c r="A1155" s="140"/>
      <c r="B1155" s="140"/>
    </row>
    <row r="1156" spans="1:2" ht="13">
      <c r="A1156" s="140"/>
      <c r="B1156" s="140"/>
    </row>
    <row r="1157" spans="1:2" ht="13">
      <c r="A1157" s="140"/>
      <c r="B1157" s="140"/>
    </row>
    <row r="1158" spans="1:2" ht="13">
      <c r="A1158" s="140"/>
      <c r="B1158" s="140"/>
    </row>
    <row r="1159" spans="1:2" ht="13">
      <c r="A1159" s="140"/>
      <c r="B1159" s="140"/>
    </row>
    <row r="1160" spans="1:2" ht="13">
      <c r="A1160" s="140"/>
      <c r="B1160" s="140"/>
    </row>
    <row r="1161" spans="1:2" ht="13">
      <c r="A1161" s="140"/>
      <c r="B1161" s="140"/>
    </row>
    <row r="1162" spans="1:2" ht="13">
      <c r="A1162" s="140"/>
      <c r="B1162" s="140"/>
    </row>
    <row r="1163" spans="1:2" ht="13">
      <c r="A1163" s="140"/>
      <c r="B1163" s="140"/>
    </row>
    <row r="1164" spans="1:2" ht="13">
      <c r="A1164" s="140"/>
      <c r="B1164" s="140"/>
    </row>
    <row r="1165" spans="1:2" ht="13">
      <c r="A1165" s="140"/>
      <c r="B1165" s="140"/>
    </row>
    <row r="1166" spans="1:2" ht="13">
      <c r="A1166" s="140"/>
      <c r="B1166" s="140"/>
    </row>
    <row r="1167" spans="1:2" ht="13">
      <c r="A1167" s="140"/>
      <c r="B1167" s="140"/>
    </row>
    <row r="1168" spans="1:2" ht="13">
      <c r="A1168" s="140"/>
      <c r="B1168" s="140"/>
    </row>
    <row r="1169" spans="1:2" ht="13">
      <c r="A1169" s="140"/>
      <c r="B1169" s="140"/>
    </row>
    <row r="1170" spans="1:2" ht="13">
      <c r="A1170" s="140"/>
      <c r="B1170" s="140"/>
    </row>
    <row r="1171" spans="1:2" ht="13">
      <c r="A1171" s="140"/>
      <c r="B1171" s="140"/>
    </row>
    <row r="1172" spans="1:2" ht="13">
      <c r="A1172" s="140"/>
      <c r="B1172" s="140"/>
    </row>
    <row r="1173" spans="1:2" ht="13">
      <c r="A1173" s="140"/>
      <c r="B1173" s="140"/>
    </row>
    <row r="1174" spans="1:2" ht="13">
      <c r="A1174" s="140"/>
      <c r="B1174" s="140"/>
    </row>
    <row r="1175" spans="1:2" ht="13">
      <c r="A1175" s="140"/>
      <c r="B1175" s="140"/>
    </row>
    <row r="1176" spans="1:2" ht="13">
      <c r="A1176" s="140"/>
      <c r="B1176" s="140"/>
    </row>
    <row r="1177" spans="1:2" ht="13">
      <c r="A1177" s="140"/>
      <c r="B1177" s="140"/>
    </row>
    <row r="1178" spans="1:2" ht="13">
      <c r="A1178" s="140"/>
      <c r="B1178" s="140"/>
    </row>
    <row r="1179" spans="1:2" ht="13">
      <c r="A1179" s="140"/>
      <c r="B1179" s="140"/>
    </row>
    <row r="1180" spans="1:2" ht="13">
      <c r="A1180" s="140"/>
      <c r="B1180" s="140"/>
    </row>
    <row r="1181" spans="1:2" ht="13">
      <c r="A1181" s="140"/>
      <c r="B1181" s="140"/>
    </row>
    <row r="1182" spans="1:2" ht="13">
      <c r="A1182" s="140"/>
      <c r="B1182" s="140"/>
    </row>
    <row r="1183" spans="1:2" ht="13">
      <c r="A1183" s="140"/>
      <c r="B1183" s="140"/>
    </row>
    <row r="1184" spans="1:2" ht="13">
      <c r="A1184" s="140"/>
      <c r="B1184" s="140"/>
    </row>
    <row r="1185" spans="1:2" ht="13">
      <c r="A1185" s="140"/>
      <c r="B1185" s="140"/>
    </row>
    <row r="1186" spans="1:2" ht="13">
      <c r="A1186" s="140"/>
      <c r="B1186" s="140"/>
    </row>
    <row r="1187" spans="1:2" ht="13">
      <c r="A1187" s="140"/>
      <c r="B1187" s="140"/>
    </row>
    <row r="1188" spans="1:2" ht="13">
      <c r="A1188" s="140"/>
      <c r="B1188" s="140"/>
    </row>
    <row r="1189" spans="1:2" ht="13">
      <c r="A1189" s="140"/>
      <c r="B1189" s="140"/>
    </row>
    <row r="1190" spans="1:2" ht="13">
      <c r="A1190" s="140"/>
      <c r="B1190" s="140"/>
    </row>
    <row r="1191" spans="1:2" ht="13">
      <c r="A1191" s="140"/>
      <c r="B1191" s="140"/>
    </row>
    <row r="1192" spans="1:2" ht="13">
      <c r="A1192" s="140"/>
      <c r="B1192" s="140"/>
    </row>
    <row r="1193" spans="1:2" ht="13">
      <c r="A1193" s="140"/>
      <c r="B1193" s="140"/>
    </row>
    <row r="1194" spans="1:2" ht="13">
      <c r="A1194" s="140"/>
      <c r="B1194" s="140"/>
    </row>
    <row r="1195" spans="1:2" ht="13">
      <c r="A1195" s="140"/>
      <c r="B1195" s="140"/>
    </row>
    <row r="1196" spans="1:2" ht="13">
      <c r="A1196" s="140"/>
      <c r="B1196" s="140"/>
    </row>
    <row r="1197" spans="1:2" ht="13">
      <c r="A1197" s="140"/>
      <c r="B1197" s="140"/>
    </row>
    <row r="1198" spans="1:2" ht="13">
      <c r="A1198" s="140"/>
      <c r="B1198" s="140"/>
    </row>
    <row r="1199" spans="1:2" ht="13">
      <c r="A1199" s="140"/>
      <c r="B1199" s="140"/>
    </row>
    <row r="1200" spans="1:2" ht="13">
      <c r="A1200" s="140"/>
      <c r="B1200" s="140"/>
    </row>
    <row r="1201" spans="1:2" ht="13">
      <c r="A1201" s="140"/>
      <c r="B1201" s="140"/>
    </row>
    <row r="1202" spans="1:2" ht="13">
      <c r="A1202" s="140"/>
      <c r="B1202" s="140"/>
    </row>
    <row r="1203" spans="1:2" ht="13">
      <c r="A1203" s="140"/>
      <c r="B1203" s="140"/>
    </row>
    <row r="1204" spans="1:2" ht="13">
      <c r="A1204" s="140"/>
      <c r="B1204" s="140"/>
    </row>
    <row r="1205" spans="1:2" ht="13">
      <c r="A1205" s="140"/>
      <c r="B1205" s="140"/>
    </row>
    <row r="1206" spans="1:2" ht="13">
      <c r="A1206" s="140"/>
      <c r="B1206" s="140"/>
    </row>
    <row r="1207" spans="1:2" ht="13">
      <c r="A1207" s="140"/>
      <c r="B1207" s="140"/>
    </row>
    <row r="1208" spans="1:2" ht="13">
      <c r="A1208" s="140"/>
      <c r="B1208" s="140"/>
    </row>
    <row r="1209" spans="1:2" ht="13">
      <c r="A1209" s="140"/>
      <c r="B1209" s="140"/>
    </row>
    <row r="1210" spans="1:2" ht="13">
      <c r="A1210" s="140"/>
      <c r="B1210" s="140"/>
    </row>
    <row r="1211" spans="1:2" ht="13">
      <c r="A1211" s="140"/>
      <c r="B1211" s="140"/>
    </row>
    <row r="1212" spans="1:2" ht="13">
      <c r="A1212" s="140"/>
      <c r="B1212" s="140"/>
    </row>
    <row r="1213" spans="1:2" ht="13">
      <c r="A1213" s="140"/>
      <c r="B1213" s="140"/>
    </row>
    <row r="1214" spans="1:2" ht="13">
      <c r="A1214" s="140"/>
      <c r="B1214" s="140"/>
    </row>
    <row r="1215" spans="1:2" ht="13">
      <c r="A1215" s="140"/>
      <c r="B1215" s="140"/>
    </row>
    <row r="1216" spans="1:2" ht="13">
      <c r="A1216" s="140"/>
      <c r="B1216" s="140"/>
    </row>
    <row r="1217" spans="1:2" ht="13">
      <c r="A1217" s="140"/>
      <c r="B1217" s="140"/>
    </row>
    <row r="1218" spans="1:2" ht="13">
      <c r="A1218" s="140"/>
      <c r="B1218" s="140"/>
    </row>
    <row r="1219" spans="1:2" ht="13">
      <c r="A1219" s="140"/>
      <c r="B1219" s="140"/>
    </row>
    <row r="1220" spans="1:2" ht="13">
      <c r="A1220" s="140"/>
      <c r="B1220" s="140"/>
    </row>
    <row r="1221" spans="1:2" ht="13">
      <c r="A1221" s="140"/>
      <c r="B1221" s="140"/>
    </row>
    <row r="1222" spans="1:2" ht="13">
      <c r="A1222" s="140"/>
      <c r="B1222" s="140"/>
    </row>
    <row r="1223" spans="1:2" ht="13">
      <c r="A1223" s="140"/>
      <c r="B1223" s="140"/>
    </row>
    <row r="1224" spans="1:2" ht="13">
      <c r="A1224" s="140"/>
      <c r="B1224" s="140"/>
    </row>
    <row r="1225" spans="1:2" ht="13">
      <c r="A1225" s="140"/>
      <c r="B1225" s="140"/>
    </row>
    <row r="1226" spans="1:2" ht="13">
      <c r="A1226" s="140"/>
      <c r="B1226" s="140"/>
    </row>
    <row r="1227" spans="1:2" ht="13">
      <c r="A1227" s="140"/>
      <c r="B1227" s="140"/>
    </row>
    <row r="1228" spans="1:2" ht="13">
      <c r="A1228" s="140"/>
      <c r="B1228" s="140"/>
    </row>
    <row r="1229" spans="1:2" ht="13">
      <c r="A1229" s="140"/>
      <c r="B1229" s="140"/>
    </row>
    <row r="1230" spans="1:2" ht="13">
      <c r="A1230" s="140"/>
      <c r="B1230" s="140"/>
    </row>
    <row r="1231" spans="1:2" ht="13">
      <c r="A1231" s="140"/>
      <c r="B1231" s="140"/>
    </row>
    <row r="1232" spans="1:2" ht="13">
      <c r="A1232" s="140"/>
      <c r="B1232" s="140"/>
    </row>
    <row r="1233" spans="1:2" ht="13">
      <c r="A1233" s="140"/>
      <c r="B1233" s="140"/>
    </row>
    <row r="1234" spans="1:2" ht="13">
      <c r="A1234" s="140"/>
      <c r="B1234" s="140"/>
    </row>
    <row r="1235" spans="1:2" ht="13">
      <c r="A1235" s="140"/>
      <c r="B1235" s="140"/>
    </row>
    <row r="1236" spans="1:2" ht="13">
      <c r="A1236" s="140"/>
      <c r="B1236" s="140"/>
    </row>
    <row r="1237" spans="1:2" ht="13">
      <c r="A1237" s="140"/>
      <c r="B1237" s="140"/>
    </row>
    <row r="1238" spans="1:2" ht="13">
      <c r="A1238" s="140"/>
      <c r="B1238" s="140"/>
    </row>
    <row r="1239" spans="1:2" ht="13">
      <c r="A1239" s="140"/>
      <c r="B1239" s="140"/>
    </row>
    <row r="1240" spans="1:2" ht="13">
      <c r="A1240" s="140"/>
      <c r="B1240" s="140"/>
    </row>
    <row r="1241" spans="1:2" ht="13">
      <c r="A1241" s="140"/>
      <c r="B1241" s="140"/>
    </row>
    <row r="1242" spans="1:2" ht="13">
      <c r="A1242" s="140"/>
      <c r="B1242" s="140"/>
    </row>
    <row r="1243" spans="1:2" ht="13">
      <c r="A1243" s="140"/>
      <c r="B1243" s="140"/>
    </row>
    <row r="1244" spans="1:2" ht="13">
      <c r="A1244" s="140"/>
      <c r="B1244" s="140"/>
    </row>
    <row r="1245" spans="1:2" ht="13">
      <c r="A1245" s="140"/>
      <c r="B1245" s="140"/>
    </row>
    <row r="1246" spans="1:2" ht="13">
      <c r="A1246" s="140"/>
      <c r="B1246" s="140"/>
    </row>
    <row r="1247" spans="1:2" ht="13">
      <c r="A1247" s="140"/>
      <c r="B1247" s="140"/>
    </row>
    <row r="1248" spans="1:2" ht="13">
      <c r="A1248" s="140"/>
      <c r="B1248" s="140"/>
    </row>
    <row r="1249" spans="1:2" ht="13">
      <c r="A1249" s="140"/>
      <c r="B1249" s="140"/>
    </row>
    <row r="1250" spans="1:2" ht="13">
      <c r="A1250" s="140"/>
      <c r="B1250" s="140"/>
    </row>
    <row r="1251" spans="1:2" ht="13">
      <c r="A1251" s="140"/>
      <c r="B1251" s="140"/>
    </row>
    <row r="1252" spans="1:2" ht="13">
      <c r="A1252" s="140"/>
      <c r="B1252" s="140"/>
    </row>
    <row r="1253" spans="1:2" ht="13">
      <c r="A1253" s="140"/>
      <c r="B1253" s="140"/>
    </row>
    <row r="1254" spans="1:2" ht="13">
      <c r="A1254" s="140"/>
      <c r="B1254" s="140"/>
    </row>
    <row r="1255" spans="1:2" ht="13">
      <c r="A1255" s="140"/>
      <c r="B1255" s="140"/>
    </row>
    <row r="1256" spans="1:2" ht="13">
      <c r="A1256" s="140"/>
      <c r="B1256" s="140"/>
    </row>
    <row r="1257" spans="1:2" ht="13">
      <c r="A1257" s="140"/>
      <c r="B1257" s="140"/>
    </row>
    <row r="1258" spans="1:2" ht="13">
      <c r="A1258" s="140"/>
      <c r="B1258" s="140"/>
    </row>
    <row r="1259" spans="1:2" ht="13">
      <c r="A1259" s="140"/>
      <c r="B1259" s="140"/>
    </row>
    <row r="1260" spans="1:2" ht="13">
      <c r="A1260" s="140"/>
      <c r="B1260" s="140"/>
    </row>
    <row r="1261" spans="1:2" ht="13">
      <c r="A1261" s="140"/>
      <c r="B1261" s="140"/>
    </row>
    <row r="1262" spans="1:2" ht="13">
      <c r="A1262" s="140"/>
      <c r="B1262" s="140"/>
    </row>
    <row r="1263" spans="1:2" ht="13">
      <c r="A1263" s="140"/>
      <c r="B1263" s="140"/>
    </row>
    <row r="1264" spans="1:2" ht="13">
      <c r="A1264" s="140"/>
      <c r="B1264" s="140"/>
    </row>
    <row r="1265" spans="1:2" ht="13">
      <c r="A1265" s="140"/>
      <c r="B1265" s="140"/>
    </row>
    <row r="1266" spans="1:2" ht="13">
      <c r="A1266" s="140"/>
      <c r="B1266" s="140"/>
    </row>
    <row r="1267" spans="1:2" ht="13">
      <c r="A1267" s="140"/>
      <c r="B1267" s="140"/>
    </row>
    <row r="1268" spans="1:2" ht="13">
      <c r="A1268" s="140"/>
      <c r="B1268" s="140"/>
    </row>
    <row r="1269" spans="1:2" ht="13">
      <c r="A1269" s="140"/>
      <c r="B1269" s="140"/>
    </row>
    <row r="1270" spans="1:2" ht="13">
      <c r="A1270" s="140"/>
      <c r="B1270" s="140"/>
    </row>
    <row r="1271" spans="1:2" ht="13">
      <c r="A1271" s="140"/>
      <c r="B1271" s="140"/>
    </row>
    <row r="1272" spans="1:2" ht="13">
      <c r="A1272" s="140"/>
      <c r="B1272" s="140"/>
    </row>
    <row r="1273" spans="1:2" ht="13">
      <c r="A1273" s="140"/>
      <c r="B1273" s="140"/>
    </row>
    <row r="1274" spans="1:2" ht="13">
      <c r="A1274" s="140"/>
      <c r="B1274" s="140"/>
    </row>
    <row r="1275" spans="1:2" ht="13">
      <c r="A1275" s="140"/>
      <c r="B1275" s="140"/>
    </row>
    <row r="1276" spans="1:2" ht="13">
      <c r="A1276" s="140"/>
      <c r="B1276" s="140"/>
    </row>
    <row r="1277" spans="1:2" ht="13">
      <c r="A1277" s="140"/>
      <c r="B1277" s="140"/>
    </row>
    <row r="1278" spans="1:2" ht="13">
      <c r="A1278" s="140"/>
      <c r="B1278" s="140"/>
    </row>
    <row r="1279" spans="1:2" ht="13">
      <c r="A1279" s="140"/>
      <c r="B1279" s="140"/>
    </row>
    <row r="1280" spans="1:2" ht="13">
      <c r="A1280" s="140"/>
      <c r="B1280" s="140"/>
    </row>
    <row r="1281" spans="1:2" ht="13">
      <c r="A1281" s="140"/>
      <c r="B1281" s="140"/>
    </row>
    <row r="1282" spans="1:2" ht="13">
      <c r="A1282" s="140"/>
      <c r="B1282" s="140"/>
    </row>
    <row r="1283" spans="1:2" ht="13">
      <c r="A1283" s="140"/>
      <c r="B1283" s="140"/>
    </row>
    <row r="1284" spans="1:2" ht="13">
      <c r="A1284" s="140"/>
      <c r="B1284" s="140"/>
    </row>
    <row r="1285" spans="1:2" ht="13">
      <c r="A1285" s="140"/>
      <c r="B1285" s="140"/>
    </row>
    <row r="1286" spans="1:2" ht="13">
      <c r="A1286" s="140"/>
      <c r="B1286" s="140"/>
    </row>
    <row r="1287" spans="1:2" ht="13">
      <c r="A1287" s="140"/>
      <c r="B1287" s="140"/>
    </row>
    <row r="1288" spans="1:2" ht="13">
      <c r="A1288" s="140"/>
      <c r="B1288" s="140"/>
    </row>
    <row r="1289" spans="1:2" ht="13">
      <c r="A1289" s="140"/>
      <c r="B1289" s="140"/>
    </row>
    <row r="1290" spans="1:2" ht="13">
      <c r="A1290" s="140"/>
      <c r="B1290" s="140"/>
    </row>
    <row r="1291" spans="1:2" ht="13">
      <c r="A1291" s="140"/>
      <c r="B1291" s="140"/>
    </row>
    <row r="1292" spans="1:2" ht="13">
      <c r="A1292" s="140"/>
      <c r="B1292" s="140"/>
    </row>
    <row r="1293" spans="1:2" ht="13">
      <c r="A1293" s="140"/>
      <c r="B1293" s="140"/>
    </row>
    <row r="1294" spans="1:2" ht="13">
      <c r="A1294" s="140"/>
      <c r="B1294" s="140"/>
    </row>
    <row r="1295" spans="1:2" ht="13">
      <c r="A1295" s="140"/>
      <c r="B1295" s="140"/>
    </row>
    <row r="1296" spans="1:2" ht="13">
      <c r="A1296" s="140"/>
      <c r="B1296" s="140"/>
    </row>
    <row r="1297" spans="1:2" ht="13">
      <c r="A1297" s="140"/>
      <c r="B1297" s="140"/>
    </row>
    <row r="1298" spans="1:2" ht="13">
      <c r="A1298" s="140"/>
      <c r="B1298" s="140"/>
    </row>
    <row r="1299" spans="1:2" ht="13">
      <c r="A1299" s="140"/>
      <c r="B1299" s="140"/>
    </row>
    <row r="1300" spans="1:2" ht="13">
      <c r="A1300" s="140"/>
      <c r="B1300" s="140"/>
    </row>
    <row r="1301" spans="1:2" ht="13">
      <c r="A1301" s="140"/>
      <c r="B1301" s="140"/>
    </row>
    <row r="1302" spans="1:2" ht="13">
      <c r="A1302" s="140"/>
      <c r="B1302" s="140"/>
    </row>
    <row r="1303" spans="1:2" ht="13">
      <c r="A1303" s="140"/>
      <c r="B1303" s="140"/>
    </row>
    <row r="1304" spans="1:2" ht="13">
      <c r="A1304" s="140"/>
      <c r="B1304" s="140"/>
    </row>
    <row r="1305" spans="1:2" ht="13">
      <c r="A1305" s="140"/>
      <c r="B1305" s="140"/>
    </row>
    <row r="1306" spans="1:2" ht="13">
      <c r="A1306" s="140"/>
      <c r="B1306" s="140"/>
    </row>
    <row r="1307" spans="1:2" ht="13">
      <c r="A1307" s="140"/>
      <c r="B1307" s="140"/>
    </row>
    <row r="1308" spans="1:2" ht="13">
      <c r="A1308" s="140"/>
      <c r="B1308" s="140"/>
    </row>
    <row r="1309" spans="1:2" ht="13">
      <c r="A1309" s="140"/>
      <c r="B1309" s="140"/>
    </row>
    <row r="1310" spans="1:2" ht="13">
      <c r="A1310" s="140"/>
      <c r="B1310" s="140"/>
    </row>
    <row r="1311" spans="1:2" ht="13">
      <c r="A1311" s="140"/>
      <c r="B1311" s="140"/>
    </row>
    <row r="1312" spans="1:2" ht="13">
      <c r="A1312" s="140"/>
      <c r="B1312" s="140"/>
    </row>
    <row r="1313" spans="1:2" ht="13">
      <c r="A1313" s="140"/>
      <c r="B1313" s="140"/>
    </row>
    <row r="1314" spans="1:2" ht="13">
      <c r="A1314" s="140"/>
      <c r="B1314" s="140"/>
    </row>
    <row r="1315" spans="1:2" ht="13">
      <c r="A1315" s="140"/>
      <c r="B1315" s="140"/>
    </row>
    <row r="1316" spans="1:2" ht="13">
      <c r="A1316" s="140"/>
      <c r="B1316" s="140"/>
    </row>
    <row r="1317" spans="1:2" ht="13">
      <c r="A1317" s="140"/>
      <c r="B1317" s="140"/>
    </row>
    <row r="1318" spans="1:2" ht="13">
      <c r="A1318" s="140"/>
      <c r="B1318" s="140"/>
    </row>
    <row r="1319" spans="1:2" ht="13">
      <c r="A1319" s="140"/>
      <c r="B1319" s="140"/>
    </row>
    <row r="1320" spans="1:2" ht="13">
      <c r="A1320" s="140"/>
      <c r="B1320" s="140"/>
    </row>
    <row r="1321" spans="1:2" ht="13">
      <c r="A1321" s="140"/>
      <c r="B1321" s="140"/>
    </row>
    <row r="1322" spans="1:2" ht="13">
      <c r="A1322" s="140"/>
      <c r="B1322" s="140"/>
    </row>
    <row r="1323" spans="1:2" ht="13">
      <c r="A1323" s="140"/>
      <c r="B1323" s="140"/>
    </row>
    <row r="1324" spans="1:2" ht="13">
      <c r="A1324" s="140"/>
      <c r="B1324" s="140"/>
    </row>
    <row r="1325" spans="1:2" ht="13">
      <c r="A1325" s="140"/>
      <c r="B1325" s="140"/>
    </row>
    <row r="1326" spans="1:2" ht="13">
      <c r="A1326" s="140"/>
      <c r="B1326" s="140"/>
    </row>
    <row r="1327" spans="1:2" ht="13">
      <c r="A1327" s="140"/>
      <c r="B1327" s="140"/>
    </row>
    <row r="1328" spans="1:2" ht="13">
      <c r="A1328" s="140"/>
      <c r="B1328" s="140"/>
    </row>
    <row r="1329" spans="1:2" ht="13">
      <c r="A1329" s="140"/>
      <c r="B1329" s="140"/>
    </row>
    <row r="1330" spans="1:2" ht="13">
      <c r="A1330" s="140"/>
      <c r="B1330" s="140"/>
    </row>
    <row r="1331" spans="1:2" ht="13">
      <c r="A1331" s="140"/>
      <c r="B1331" s="140"/>
    </row>
    <row r="1332" spans="1:2" ht="13">
      <c r="A1332" s="140"/>
      <c r="B1332" s="140"/>
    </row>
    <row r="1333" spans="1:2" ht="13">
      <c r="A1333" s="140"/>
      <c r="B1333" s="140"/>
    </row>
    <row r="1334" spans="1:2" ht="13">
      <c r="A1334" s="140"/>
      <c r="B1334" s="140"/>
    </row>
    <row r="1335" spans="1:2" ht="13">
      <c r="A1335" s="140"/>
      <c r="B1335" s="140"/>
    </row>
    <row r="1336" spans="1:2" ht="13">
      <c r="A1336" s="140"/>
      <c r="B1336" s="140"/>
    </row>
    <row r="1337" spans="1:2" ht="13">
      <c r="A1337" s="140"/>
      <c r="B1337" s="140"/>
    </row>
    <row r="1338" spans="1:2" ht="13">
      <c r="A1338" s="140"/>
      <c r="B1338" s="140"/>
    </row>
    <row r="1339" spans="1:2" ht="13">
      <c r="A1339" s="140"/>
      <c r="B1339" s="140"/>
    </row>
    <row r="1340" spans="1:2" ht="13">
      <c r="A1340" s="140"/>
      <c r="B1340" s="140"/>
    </row>
    <row r="1341" spans="1:2" ht="13">
      <c r="A1341" s="140"/>
      <c r="B1341" s="140"/>
    </row>
    <row r="1342" spans="1:2" ht="13">
      <c r="A1342" s="140"/>
      <c r="B1342" s="140"/>
    </row>
    <row r="1343" spans="1:2" ht="13">
      <c r="A1343" s="140"/>
      <c r="B1343" s="140"/>
    </row>
    <row r="1344" spans="1:2" ht="13">
      <c r="A1344" s="140"/>
      <c r="B1344" s="140"/>
    </row>
    <row r="1345" spans="1:2" ht="13">
      <c r="A1345" s="140"/>
      <c r="B1345" s="140"/>
    </row>
    <row r="1346" spans="1:2" ht="13">
      <c r="A1346" s="140"/>
      <c r="B1346" s="140"/>
    </row>
    <row r="1347" spans="1:2" ht="13">
      <c r="A1347" s="140"/>
      <c r="B1347" s="140"/>
    </row>
    <row r="1348" spans="1:2" ht="13">
      <c r="A1348" s="140"/>
      <c r="B1348" s="140"/>
    </row>
    <row r="1349" spans="1:2" ht="13">
      <c r="A1349" s="140"/>
      <c r="B1349" s="140"/>
    </row>
    <row r="1350" spans="1:2" ht="13">
      <c r="A1350" s="140"/>
      <c r="B1350" s="140"/>
    </row>
    <row r="1351" spans="1:2" ht="13">
      <c r="A1351" s="140"/>
      <c r="B1351" s="140"/>
    </row>
    <row r="1352" spans="1:2" ht="13">
      <c r="A1352" s="140"/>
      <c r="B1352" s="140"/>
    </row>
    <row r="1353" spans="1:2" ht="13">
      <c r="A1353" s="140"/>
      <c r="B1353" s="140"/>
    </row>
    <row r="1354" spans="1:2" ht="13">
      <c r="A1354" s="140"/>
      <c r="B1354" s="140"/>
    </row>
    <row r="1355" spans="1:2" ht="13">
      <c r="A1355" s="140"/>
      <c r="B1355" s="140"/>
    </row>
    <row r="1356" spans="1:2" ht="13">
      <c r="A1356" s="140"/>
      <c r="B1356" s="140"/>
    </row>
    <row r="1357" spans="1:2" ht="13">
      <c r="A1357" s="140"/>
      <c r="B1357" s="140"/>
    </row>
    <row r="1358" spans="1:2" ht="13">
      <c r="A1358" s="140"/>
      <c r="B1358" s="140"/>
    </row>
    <row r="1359" spans="1:2" ht="13">
      <c r="A1359" s="140"/>
      <c r="B1359" s="140"/>
    </row>
    <row r="1360" spans="1:2" ht="13">
      <c r="A1360" s="140"/>
      <c r="B1360" s="140"/>
    </row>
    <row r="1361" spans="1:2" ht="13">
      <c r="A1361" s="140"/>
      <c r="B1361" s="140"/>
    </row>
    <row r="1362" spans="1:2" ht="13">
      <c r="A1362" s="140"/>
      <c r="B1362" s="140"/>
    </row>
    <row r="1363" spans="1:2" ht="13">
      <c r="A1363" s="140"/>
      <c r="B1363" s="140"/>
    </row>
    <row r="1364" spans="1:2" ht="13">
      <c r="A1364" s="140"/>
      <c r="B1364" s="140"/>
    </row>
    <row r="1365" spans="1:2" ht="13">
      <c r="A1365" s="140"/>
      <c r="B1365" s="140"/>
    </row>
    <row r="1366" spans="1:2" ht="13">
      <c r="A1366" s="140"/>
      <c r="B1366" s="140"/>
    </row>
    <row r="1367" spans="1:2" ht="13">
      <c r="A1367" s="140"/>
      <c r="B1367" s="140"/>
    </row>
    <row r="1368" spans="1:2" ht="13">
      <c r="A1368" s="140"/>
      <c r="B1368" s="140"/>
    </row>
    <row r="1369" spans="1:2" ht="13">
      <c r="A1369" s="140"/>
      <c r="B1369" s="140"/>
    </row>
    <row r="1370" spans="1:2" ht="13">
      <c r="A1370" s="140"/>
      <c r="B1370" s="140"/>
    </row>
    <row r="1371" spans="1:2" ht="13">
      <c r="A1371" s="140"/>
      <c r="B1371" s="140"/>
    </row>
    <row r="1372" spans="1:2" ht="13">
      <c r="A1372" s="140"/>
      <c r="B1372" s="140"/>
    </row>
    <row r="1373" spans="1:2" ht="13">
      <c r="A1373" s="140"/>
      <c r="B1373" s="140"/>
    </row>
    <row r="1374" spans="1:2" ht="13">
      <c r="A1374" s="140"/>
      <c r="B1374" s="140"/>
    </row>
    <row r="1375" spans="1:2" ht="13">
      <c r="A1375" s="140"/>
      <c r="B1375" s="140"/>
    </row>
    <row r="1376" spans="1:2" ht="13">
      <c r="A1376" s="140"/>
      <c r="B1376" s="140"/>
    </row>
    <row r="1377" spans="1:2" ht="13">
      <c r="A1377" s="140"/>
      <c r="B1377" s="140"/>
    </row>
    <row r="1378" spans="1:2" ht="13">
      <c r="A1378" s="140"/>
      <c r="B1378" s="140"/>
    </row>
    <row r="1379" spans="1:2" ht="13">
      <c r="A1379" s="140"/>
      <c r="B1379" s="140"/>
    </row>
    <row r="1380" spans="1:2" ht="13">
      <c r="A1380" s="140"/>
      <c r="B1380" s="140"/>
    </row>
    <row r="1381" spans="1:2" ht="13">
      <c r="A1381" s="140"/>
      <c r="B1381" s="140"/>
    </row>
    <row r="1382" spans="1:2" ht="13">
      <c r="A1382" s="140"/>
      <c r="B1382" s="140"/>
    </row>
    <row r="1383" spans="1:2" ht="13">
      <c r="A1383" s="140"/>
      <c r="B1383" s="140"/>
    </row>
    <row r="1384" spans="1:2" ht="13">
      <c r="A1384" s="140"/>
      <c r="B1384" s="140"/>
    </row>
    <row r="1385" spans="1:2" ht="13">
      <c r="A1385" s="140"/>
      <c r="B1385" s="140"/>
    </row>
    <row r="1386" spans="1:2" ht="13">
      <c r="A1386" s="140"/>
      <c r="B1386" s="140"/>
    </row>
    <row r="1387" spans="1:2" ht="13">
      <c r="A1387" s="140"/>
      <c r="B1387" s="140"/>
    </row>
    <row r="1388" spans="1:2" ht="13">
      <c r="A1388" s="140"/>
      <c r="B1388" s="140"/>
    </row>
    <row r="1389" spans="1:2" ht="13">
      <c r="A1389" s="140"/>
      <c r="B1389" s="140"/>
    </row>
    <row r="1390" spans="1:2" ht="13">
      <c r="A1390" s="140"/>
      <c r="B1390" s="140"/>
    </row>
    <row r="1391" spans="1:2" ht="13">
      <c r="A1391" s="140"/>
      <c r="B1391" s="140"/>
    </row>
    <row r="1392" spans="1:2" ht="13">
      <c r="A1392" s="140"/>
      <c r="B1392" s="140"/>
    </row>
    <row r="1393" spans="1:2" ht="13">
      <c r="A1393" s="140"/>
      <c r="B1393" s="140"/>
    </row>
    <row r="1394" spans="1:2" ht="13">
      <c r="A1394" s="140"/>
      <c r="B1394" s="140"/>
    </row>
    <row r="1395" spans="1:2" ht="13">
      <c r="A1395" s="140"/>
      <c r="B1395" s="140"/>
    </row>
    <row r="1396" spans="1:2" ht="13">
      <c r="A1396" s="140"/>
      <c r="B1396" s="140"/>
    </row>
    <row r="1397" spans="1:2" ht="13">
      <c r="A1397" s="140"/>
      <c r="B1397" s="140"/>
    </row>
    <row r="1398" spans="1:2" ht="13">
      <c r="A1398" s="140"/>
      <c r="B1398" s="140"/>
    </row>
    <row r="1399" spans="1:2" ht="13">
      <c r="A1399" s="140"/>
      <c r="B1399" s="140"/>
    </row>
    <row r="1400" spans="1:2" ht="13">
      <c r="A1400" s="140"/>
      <c r="B1400" s="140"/>
    </row>
    <row r="1401" spans="1:2" ht="13">
      <c r="A1401" s="140"/>
      <c r="B1401" s="140"/>
    </row>
    <row r="1402" spans="1:2" ht="13">
      <c r="A1402" s="140"/>
      <c r="B1402" s="140"/>
    </row>
    <row r="1403" spans="1:2" ht="13">
      <c r="A1403" s="140"/>
      <c r="B1403" s="140"/>
    </row>
    <row r="1404" spans="1:2" ht="13">
      <c r="A1404" s="140"/>
      <c r="B1404" s="140"/>
    </row>
    <row r="1405" spans="1:2" ht="13">
      <c r="A1405" s="140"/>
      <c r="B1405" s="140"/>
    </row>
    <row r="1406" spans="1:2" ht="13">
      <c r="A1406" s="140"/>
      <c r="B1406" s="140"/>
    </row>
    <row r="1407" spans="1:2" ht="13">
      <c r="A1407" s="140"/>
      <c r="B1407" s="140"/>
    </row>
    <row r="1408" spans="1:2" ht="13">
      <c r="A1408" s="140"/>
      <c r="B1408" s="140"/>
    </row>
    <row r="1409" spans="1:2" ht="13">
      <c r="A1409" s="140"/>
      <c r="B1409" s="140"/>
    </row>
    <row r="1410" spans="1:2" ht="13">
      <c r="A1410" s="140"/>
      <c r="B1410" s="140"/>
    </row>
    <row r="1411" spans="1:2" ht="13">
      <c r="A1411" s="140"/>
      <c r="B1411" s="140"/>
    </row>
    <row r="1412" spans="1:2" ht="13">
      <c r="A1412" s="140"/>
      <c r="B1412" s="140"/>
    </row>
    <row r="1413" spans="1:2" ht="13">
      <c r="A1413" s="140"/>
      <c r="B1413" s="140"/>
    </row>
    <row r="1414" spans="1:2" ht="13">
      <c r="A1414" s="140"/>
      <c r="B1414" s="140"/>
    </row>
    <row r="1415" spans="1:2" ht="13">
      <c r="A1415" s="140"/>
      <c r="B1415" s="140"/>
    </row>
    <row r="1416" spans="1:2" ht="13">
      <c r="A1416" s="140"/>
      <c r="B1416" s="140"/>
    </row>
    <row r="1417" spans="1:2" ht="13">
      <c r="A1417" s="140"/>
      <c r="B1417" s="140"/>
    </row>
    <row r="1418" spans="1:2" ht="13">
      <c r="A1418" s="140"/>
      <c r="B1418" s="140"/>
    </row>
    <row r="1419" spans="1:2" ht="13">
      <c r="A1419" s="140"/>
      <c r="B1419" s="140"/>
    </row>
    <row r="1420" spans="1:2" ht="13">
      <c r="A1420" s="140"/>
      <c r="B1420" s="140"/>
    </row>
    <row r="1421" spans="1:2" ht="13">
      <c r="A1421" s="140"/>
      <c r="B1421" s="140"/>
    </row>
    <row r="1422" spans="1:2" ht="13">
      <c r="A1422" s="140"/>
      <c r="B1422" s="140"/>
    </row>
    <row r="1423" spans="1:2" ht="13">
      <c r="A1423" s="140"/>
      <c r="B1423" s="140"/>
    </row>
    <row r="1424" spans="1:2" ht="13">
      <c r="A1424" s="140"/>
      <c r="B1424" s="140"/>
    </row>
    <row r="1425" spans="1:2" ht="13">
      <c r="A1425" s="140"/>
      <c r="B1425" s="140"/>
    </row>
    <row r="1426" spans="1:2" ht="13">
      <c r="A1426" s="140"/>
      <c r="B1426" s="140"/>
    </row>
    <row r="1427" spans="1:2" ht="13">
      <c r="A1427" s="140"/>
      <c r="B1427" s="140"/>
    </row>
    <row r="1428" spans="1:2" ht="13">
      <c r="A1428" s="140"/>
      <c r="B1428" s="140"/>
    </row>
    <row r="1429" spans="1:2" ht="13">
      <c r="A1429" s="140"/>
      <c r="B1429" s="140"/>
    </row>
    <row r="1430" spans="1:2" ht="13">
      <c r="A1430" s="140"/>
      <c r="B1430" s="140"/>
    </row>
    <row r="1431" spans="1:2" ht="13">
      <c r="A1431" s="140"/>
      <c r="B1431" s="140"/>
    </row>
    <row r="1432" spans="1:2" ht="13">
      <c r="A1432" s="140"/>
      <c r="B1432" s="140"/>
    </row>
    <row r="1433" spans="1:2" ht="13">
      <c r="A1433" s="140"/>
      <c r="B1433" s="140"/>
    </row>
    <row r="1434" spans="1:2" ht="13">
      <c r="A1434" s="140"/>
      <c r="B1434" s="140"/>
    </row>
    <row r="1435" spans="1:2" ht="13">
      <c r="A1435" s="140"/>
      <c r="B1435" s="140"/>
    </row>
    <row r="1436" spans="1:2" ht="13">
      <c r="A1436" s="140"/>
      <c r="B1436" s="140"/>
    </row>
    <row r="1437" spans="1:2" ht="13">
      <c r="A1437" s="140"/>
      <c r="B1437" s="140"/>
    </row>
    <row r="1438" spans="1:2" ht="13">
      <c r="A1438" s="140"/>
      <c r="B1438" s="140"/>
    </row>
    <row r="1439" spans="1:2" ht="13">
      <c r="A1439" s="140"/>
      <c r="B1439" s="140"/>
    </row>
    <row r="1440" spans="1:2" ht="13">
      <c r="A1440" s="140"/>
      <c r="B1440" s="140"/>
    </row>
    <row r="1441" spans="1:2" ht="13">
      <c r="A1441" s="140"/>
      <c r="B1441" s="140"/>
    </row>
    <row r="1442" spans="1:2" ht="13">
      <c r="A1442" s="140"/>
      <c r="B1442" s="140"/>
    </row>
    <row r="1443" spans="1:2" ht="13">
      <c r="A1443" s="140"/>
      <c r="B1443" s="140"/>
    </row>
    <row r="1444" spans="1:2" ht="13">
      <c r="A1444" s="140"/>
      <c r="B1444" s="140"/>
    </row>
    <row r="1445" spans="1:2" ht="13">
      <c r="A1445" s="140"/>
      <c r="B1445" s="140"/>
    </row>
    <row r="1446" spans="1:2" ht="13">
      <c r="A1446" s="140"/>
      <c r="B1446" s="140"/>
    </row>
    <row r="1447" spans="1:2" ht="13">
      <c r="A1447" s="140"/>
      <c r="B1447" s="140"/>
    </row>
    <row r="1448" spans="1:2" ht="13">
      <c r="A1448" s="140"/>
      <c r="B1448" s="140"/>
    </row>
    <row r="1449" spans="1:2" ht="13">
      <c r="A1449" s="140"/>
      <c r="B1449" s="140"/>
    </row>
    <row r="1450" spans="1:2" ht="13">
      <c r="A1450" s="140"/>
      <c r="B1450" s="140"/>
    </row>
    <row r="1451" spans="1:2" ht="13">
      <c r="A1451" s="140"/>
      <c r="B1451" s="140"/>
    </row>
    <row r="1452" spans="1:2" ht="13">
      <c r="A1452" s="140"/>
      <c r="B1452" s="140"/>
    </row>
    <row r="1453" spans="1:2" ht="13">
      <c r="A1453" s="140"/>
      <c r="B1453" s="140"/>
    </row>
    <row r="1454" spans="1:2" ht="13">
      <c r="A1454" s="140"/>
      <c r="B1454" s="140"/>
    </row>
    <row r="1455" spans="1:2" ht="13">
      <c r="A1455" s="140"/>
      <c r="B1455" s="140"/>
    </row>
    <row r="1456" spans="1:2" ht="13">
      <c r="A1456" s="140"/>
      <c r="B1456" s="140"/>
    </row>
    <row r="1457" spans="1:2" ht="13">
      <c r="A1457" s="140"/>
      <c r="B1457" s="140"/>
    </row>
    <row r="1458" spans="1:2" ht="13">
      <c r="A1458" s="140"/>
      <c r="B1458" s="140"/>
    </row>
    <row r="1459" spans="1:2" ht="13">
      <c r="A1459" s="140"/>
      <c r="B1459" s="140"/>
    </row>
    <row r="1460" spans="1:2" ht="13">
      <c r="A1460" s="140"/>
      <c r="B1460" s="140"/>
    </row>
    <row r="1461" spans="1:2" ht="13">
      <c r="A1461" s="140"/>
      <c r="B1461" s="140"/>
    </row>
    <row r="1462" spans="1:2" ht="13">
      <c r="A1462" s="140"/>
      <c r="B1462" s="140"/>
    </row>
    <row r="1463" spans="1:2" ht="13">
      <c r="A1463" s="140"/>
      <c r="B1463" s="140"/>
    </row>
    <row r="1464" spans="1:2" ht="13">
      <c r="A1464" s="140"/>
      <c r="B1464" s="140"/>
    </row>
    <row r="1465" spans="1:2" ht="13">
      <c r="A1465" s="140"/>
      <c r="B1465" s="140"/>
    </row>
    <row r="1466" spans="1:2" ht="13">
      <c r="A1466" s="140"/>
      <c r="B1466" s="140"/>
    </row>
    <row r="1467" spans="1:2" ht="13">
      <c r="A1467" s="140"/>
      <c r="B1467" s="140"/>
    </row>
    <row r="1468" spans="1:2" ht="13">
      <c r="A1468" s="140"/>
      <c r="B1468" s="140"/>
    </row>
    <row r="1469" spans="1:2" ht="13">
      <c r="A1469" s="140"/>
      <c r="B1469" s="140"/>
    </row>
    <row r="1470" spans="1:2" ht="13">
      <c r="A1470" s="140"/>
      <c r="B1470" s="140"/>
    </row>
    <row r="1471" spans="1:2" ht="13">
      <c r="A1471" s="140"/>
      <c r="B1471" s="140"/>
    </row>
    <row r="1472" spans="1:2" ht="13">
      <c r="A1472" s="140"/>
      <c r="B1472" s="140"/>
    </row>
    <row r="1473" spans="1:2" ht="13">
      <c r="A1473" s="140"/>
      <c r="B1473" s="140"/>
    </row>
    <row r="1474" spans="1:2" ht="13">
      <c r="A1474" s="140"/>
      <c r="B1474" s="140"/>
    </row>
    <row r="1475" spans="1:2" ht="13">
      <c r="A1475" s="140"/>
      <c r="B1475" s="140"/>
    </row>
    <row r="1476" spans="1:2" ht="13">
      <c r="A1476" s="140"/>
      <c r="B1476" s="140"/>
    </row>
    <row r="1477" spans="1:2" ht="13">
      <c r="A1477" s="140"/>
      <c r="B1477" s="140"/>
    </row>
    <row r="1478" spans="1:2" ht="13">
      <c r="A1478" s="140"/>
      <c r="B1478" s="140"/>
    </row>
    <row r="1479" spans="1:2" ht="13">
      <c r="A1479" s="140"/>
      <c r="B1479" s="140"/>
    </row>
    <row r="1480" spans="1:2" ht="13">
      <c r="A1480" s="140"/>
      <c r="B1480" s="140"/>
    </row>
    <row r="1481" spans="1:2" ht="13">
      <c r="A1481" s="140"/>
      <c r="B1481" s="140"/>
    </row>
    <row r="1482" spans="1:2" ht="13">
      <c r="A1482" s="140"/>
      <c r="B1482" s="140"/>
    </row>
    <row r="1483" spans="1:2" ht="13">
      <c r="A1483" s="140"/>
      <c r="B1483" s="140"/>
    </row>
    <row r="1484" spans="1:2" ht="13">
      <c r="A1484" s="140"/>
      <c r="B1484" s="140"/>
    </row>
    <row r="1485" spans="1:2" ht="13">
      <c r="A1485" s="140"/>
      <c r="B1485" s="140"/>
    </row>
    <row r="1486" spans="1:2" ht="13">
      <c r="A1486" s="140"/>
      <c r="B1486" s="140"/>
    </row>
    <row r="1487" spans="1:2" ht="13">
      <c r="A1487" s="140"/>
      <c r="B1487" s="140"/>
    </row>
    <row r="1488" spans="1:2" ht="13">
      <c r="A1488" s="140"/>
      <c r="B1488" s="140"/>
    </row>
    <row r="1489" spans="1:2" ht="13">
      <c r="A1489" s="140"/>
      <c r="B1489" s="140"/>
    </row>
    <row r="1490" spans="1:2" ht="13">
      <c r="A1490" s="140"/>
      <c r="B1490" s="140"/>
    </row>
    <row r="1491" spans="1:2" ht="13">
      <c r="A1491" s="140"/>
      <c r="B1491" s="140"/>
    </row>
    <row r="1492" spans="1:2" ht="13">
      <c r="A1492" s="140"/>
      <c r="B1492" s="140"/>
    </row>
    <row r="1493" spans="1:2" ht="13">
      <c r="A1493" s="140"/>
      <c r="B1493" s="140"/>
    </row>
    <row r="1494" spans="1:2" ht="13">
      <c r="A1494" s="140"/>
      <c r="B1494" s="140"/>
    </row>
    <row r="1495" spans="1:2" ht="13">
      <c r="A1495" s="140"/>
      <c r="B1495" s="140"/>
    </row>
    <row r="1496" spans="1:2" ht="13">
      <c r="A1496" s="140"/>
      <c r="B1496" s="140"/>
    </row>
    <row r="1497" spans="1:2" ht="13">
      <c r="A1497" s="140"/>
      <c r="B1497" s="140"/>
    </row>
    <row r="1498" spans="1:2" ht="13">
      <c r="A1498" s="140"/>
      <c r="B1498" s="140"/>
    </row>
    <row r="1499" spans="1:2" ht="13">
      <c r="A1499" s="140"/>
      <c r="B1499" s="140"/>
    </row>
    <row r="1500" spans="1:2" ht="13">
      <c r="A1500" s="140"/>
      <c r="B1500" s="140"/>
    </row>
    <row r="1501" spans="1:2" ht="13">
      <c r="A1501" s="140"/>
      <c r="B1501" s="140"/>
    </row>
    <row r="1502" spans="1:2" ht="13">
      <c r="A1502" s="140"/>
      <c r="B1502" s="140"/>
    </row>
    <row r="1503" spans="1:2" ht="13">
      <c r="A1503" s="140"/>
      <c r="B1503" s="140"/>
    </row>
    <row r="1504" spans="1:2" ht="13">
      <c r="A1504" s="140"/>
      <c r="B1504" s="140"/>
    </row>
    <row r="1505" spans="1:2" ht="13">
      <c r="A1505" s="140"/>
      <c r="B1505" s="140"/>
    </row>
    <row r="1506" spans="1:2" ht="13">
      <c r="A1506" s="140"/>
      <c r="B1506" s="140"/>
    </row>
    <row r="1507" spans="1:2" ht="13">
      <c r="A1507" s="140"/>
      <c r="B1507" s="140"/>
    </row>
    <row r="1508" spans="1:2" ht="13">
      <c r="A1508" s="140"/>
      <c r="B1508" s="140"/>
    </row>
    <row r="1509" spans="1:2" ht="13">
      <c r="A1509" s="140"/>
      <c r="B1509" s="140"/>
    </row>
    <row r="1510" spans="1:2" ht="13">
      <c r="A1510" s="140"/>
      <c r="B1510" s="140"/>
    </row>
    <row r="1511" spans="1:2" ht="13">
      <c r="A1511" s="140"/>
      <c r="B1511" s="140"/>
    </row>
    <row r="1512" spans="1:2" ht="13">
      <c r="A1512" s="140"/>
      <c r="B1512" s="140"/>
    </row>
    <row r="1513" spans="1:2" ht="13">
      <c r="A1513" s="140"/>
      <c r="B1513" s="140"/>
    </row>
    <row r="1514" spans="1:2" ht="13">
      <c r="A1514" s="140"/>
      <c r="B1514" s="140"/>
    </row>
    <row r="1515" spans="1:2" ht="13">
      <c r="A1515" s="140"/>
      <c r="B1515" s="140"/>
    </row>
    <row r="1516" spans="1:2" ht="13">
      <c r="A1516" s="140"/>
      <c r="B1516" s="140"/>
    </row>
    <row r="1517" spans="1:2" ht="13">
      <c r="A1517" s="140"/>
      <c r="B1517" s="140"/>
    </row>
    <row r="1518" spans="1:2" ht="13">
      <c r="A1518" s="140"/>
      <c r="B1518" s="140"/>
    </row>
    <row r="1519" spans="1:2" ht="13">
      <c r="A1519" s="140"/>
      <c r="B1519" s="140"/>
    </row>
    <row r="1520" spans="1:2" ht="13">
      <c r="A1520" s="140"/>
      <c r="B1520" s="140"/>
    </row>
    <row r="1521" spans="1:2" ht="13">
      <c r="A1521" s="140"/>
      <c r="B1521" s="140"/>
    </row>
    <row r="1522" spans="1:2" ht="13">
      <c r="A1522" s="140"/>
      <c r="B1522" s="140"/>
    </row>
    <row r="1523" spans="1:2" ht="13">
      <c r="A1523" s="140"/>
      <c r="B1523" s="140"/>
    </row>
    <row r="1524" spans="1:2" ht="13">
      <c r="A1524" s="140"/>
      <c r="B1524" s="140"/>
    </row>
    <row r="1525" spans="1:2" ht="13">
      <c r="A1525" s="140"/>
      <c r="B1525" s="140"/>
    </row>
    <row r="1526" spans="1:2" ht="13">
      <c r="A1526" s="140"/>
      <c r="B1526" s="140"/>
    </row>
    <row r="1527" spans="1:2" ht="13">
      <c r="A1527" s="140"/>
      <c r="B1527" s="140"/>
    </row>
    <row r="1528" spans="1:2" ht="13">
      <c r="A1528" s="140"/>
      <c r="B1528" s="140"/>
    </row>
    <row r="1529" spans="1:2" ht="13">
      <c r="A1529" s="140"/>
      <c r="B1529" s="140"/>
    </row>
    <row r="1530" spans="1:2" ht="13">
      <c r="A1530" s="140"/>
      <c r="B1530" s="140"/>
    </row>
    <row r="1531" spans="1:2" ht="13">
      <c r="A1531" s="140"/>
      <c r="B1531" s="140"/>
    </row>
    <row r="1532" spans="1:2" ht="13">
      <c r="A1532" s="140"/>
      <c r="B1532" s="140"/>
    </row>
    <row r="1533" spans="1:2" ht="13">
      <c r="A1533" s="140"/>
      <c r="B1533" s="140"/>
    </row>
    <row r="1534" spans="1:2" ht="13">
      <c r="A1534" s="140"/>
      <c r="B1534" s="140"/>
    </row>
    <row r="1535" spans="1:2" ht="13">
      <c r="A1535" s="140"/>
      <c r="B1535" s="140"/>
    </row>
    <row r="1536" spans="1:2" ht="13">
      <c r="A1536" s="140"/>
      <c r="B1536" s="140"/>
    </row>
    <row r="1537" spans="1:2" ht="13">
      <c r="A1537" s="140"/>
      <c r="B1537" s="140"/>
    </row>
    <row r="1538" spans="1:2" ht="13">
      <c r="A1538" s="140"/>
      <c r="B1538" s="140"/>
    </row>
    <row r="1539" spans="1:2" ht="13">
      <c r="A1539" s="140"/>
      <c r="B1539" s="140"/>
    </row>
    <row r="1540" spans="1:2" ht="13">
      <c r="A1540" s="140"/>
      <c r="B1540" s="140"/>
    </row>
    <row r="1541" spans="1:2" ht="13">
      <c r="A1541" s="140"/>
      <c r="B1541" s="140"/>
    </row>
    <row r="1542" spans="1:2" ht="13">
      <c r="A1542" s="140"/>
      <c r="B1542" s="140"/>
    </row>
    <row r="1543" spans="1:2" ht="13">
      <c r="A1543" s="140"/>
      <c r="B1543" s="140"/>
    </row>
    <row r="1544" spans="1:2" ht="13">
      <c r="A1544" s="140"/>
      <c r="B1544" s="140"/>
    </row>
    <row r="1545" spans="1:2" ht="13">
      <c r="A1545" s="140"/>
      <c r="B1545" s="140"/>
    </row>
    <row r="1546" spans="1:2" ht="13">
      <c r="A1546" s="140"/>
      <c r="B1546" s="140"/>
    </row>
    <row r="1547" spans="1:2" ht="13">
      <c r="A1547" s="140"/>
      <c r="B1547" s="140"/>
    </row>
    <row r="1548" spans="1:2" ht="13">
      <c r="A1548" s="140"/>
      <c r="B1548" s="140"/>
    </row>
    <row r="1549" spans="1:2" ht="13">
      <c r="A1549" s="140"/>
      <c r="B1549" s="140"/>
    </row>
    <row r="1550" spans="1:2" ht="13">
      <c r="A1550" s="140"/>
      <c r="B1550" s="140"/>
    </row>
    <row r="1551" spans="1:2" ht="13">
      <c r="A1551" s="140"/>
      <c r="B1551" s="140"/>
    </row>
    <row r="1552" spans="1:2" ht="13">
      <c r="A1552" s="140"/>
      <c r="B1552" s="140"/>
    </row>
    <row r="1553" spans="1:2" ht="13">
      <c r="A1553" s="140"/>
      <c r="B1553" s="140"/>
    </row>
    <row r="1554" spans="1:2" ht="13">
      <c r="A1554" s="140"/>
      <c r="B1554" s="140"/>
    </row>
    <row r="1555" spans="1:2" ht="13">
      <c r="A1555" s="140"/>
      <c r="B1555" s="140"/>
    </row>
    <row r="1556" spans="1:2" ht="13">
      <c r="A1556" s="140"/>
      <c r="B1556" s="140"/>
    </row>
    <row r="1557" spans="1:2" ht="13">
      <c r="A1557" s="140"/>
      <c r="B1557" s="140"/>
    </row>
    <row r="1558" spans="1:2" ht="13">
      <c r="A1558" s="140"/>
      <c r="B1558" s="140"/>
    </row>
    <row r="1559" spans="1:2" ht="13">
      <c r="A1559" s="140"/>
      <c r="B1559" s="140"/>
    </row>
    <row r="1560" spans="1:2" ht="13">
      <c r="A1560" s="140"/>
      <c r="B1560" s="140"/>
    </row>
    <row r="1561" spans="1:2" ht="13">
      <c r="A1561" s="140"/>
      <c r="B1561" s="140"/>
    </row>
    <row r="1562" spans="1:2" ht="13">
      <c r="A1562" s="140"/>
      <c r="B1562" s="140"/>
    </row>
    <row r="1563" spans="1:2" ht="13">
      <c r="A1563" s="140"/>
      <c r="B1563" s="140"/>
    </row>
    <row r="1564" spans="1:2" ht="13">
      <c r="A1564" s="140"/>
      <c r="B1564" s="140"/>
    </row>
    <row r="1565" spans="1:2" ht="13">
      <c r="A1565" s="140"/>
      <c r="B1565" s="140"/>
    </row>
    <row r="1566" spans="1:2" ht="13">
      <c r="A1566" s="140"/>
      <c r="B1566" s="140"/>
    </row>
    <row r="1567" spans="1:2" ht="13">
      <c r="A1567" s="140"/>
      <c r="B1567" s="140"/>
    </row>
    <row r="1568" spans="1:2" ht="13">
      <c r="A1568" s="140"/>
      <c r="B1568" s="140"/>
    </row>
    <row r="1569" spans="1:2" ht="13">
      <c r="A1569" s="140"/>
      <c r="B1569" s="140"/>
    </row>
    <row r="1570" spans="1:2" ht="13">
      <c r="A1570" s="140"/>
      <c r="B1570" s="140"/>
    </row>
    <row r="1571" spans="1:2" ht="13">
      <c r="A1571" s="140"/>
      <c r="B1571" s="140"/>
    </row>
    <row r="1572" spans="1:2" ht="13">
      <c r="A1572" s="140"/>
      <c r="B1572" s="140"/>
    </row>
    <row r="1573" spans="1:2" ht="13">
      <c r="A1573" s="140"/>
      <c r="B1573" s="140"/>
    </row>
    <row r="1574" spans="1:2" ht="13">
      <c r="A1574" s="140"/>
      <c r="B1574" s="140"/>
    </row>
    <row r="1575" spans="1:2" ht="13">
      <c r="A1575" s="140"/>
      <c r="B1575" s="140"/>
    </row>
    <row r="1576" spans="1:2" ht="13">
      <c r="A1576" s="140"/>
      <c r="B1576" s="140"/>
    </row>
    <row r="1577" spans="1:2" ht="13">
      <c r="A1577" s="140"/>
      <c r="B1577" s="140"/>
    </row>
    <row r="1578" spans="1:2" ht="13">
      <c r="A1578" s="140"/>
      <c r="B1578" s="140"/>
    </row>
    <row r="1579" spans="1:2" ht="13">
      <c r="A1579" s="140"/>
      <c r="B1579" s="140"/>
    </row>
    <row r="1580" spans="1:2" ht="13">
      <c r="A1580" s="140"/>
      <c r="B1580" s="140"/>
    </row>
    <row r="1581" spans="1:2" ht="13">
      <c r="A1581" s="140"/>
      <c r="B1581" s="140"/>
    </row>
    <row r="1582" spans="1:2" ht="13">
      <c r="A1582" s="140"/>
      <c r="B1582" s="140"/>
    </row>
    <row r="1583" spans="1:2" ht="13">
      <c r="A1583" s="140"/>
      <c r="B1583" s="140"/>
    </row>
    <row r="1584" spans="1:2" ht="13">
      <c r="A1584" s="140"/>
      <c r="B1584" s="140"/>
    </row>
    <row r="1585" spans="1:2" ht="13">
      <c r="A1585" s="140"/>
      <c r="B1585" s="140"/>
    </row>
    <row r="1586" spans="1:2" ht="13">
      <c r="A1586" s="140"/>
      <c r="B1586" s="140"/>
    </row>
    <row r="1587" spans="1:2" ht="13">
      <c r="A1587" s="140"/>
      <c r="B1587" s="140"/>
    </row>
    <row r="1588" spans="1:2" ht="13">
      <c r="A1588" s="140"/>
      <c r="B1588" s="140"/>
    </row>
    <row r="1589" spans="1:2" ht="13">
      <c r="A1589" s="140"/>
      <c r="B1589" s="140"/>
    </row>
    <row r="1590" spans="1:2" ht="13">
      <c r="A1590" s="140"/>
      <c r="B1590" s="140"/>
    </row>
    <row r="1591" spans="1:2" ht="13">
      <c r="A1591" s="140"/>
      <c r="B1591" s="140"/>
    </row>
    <row r="1592" spans="1:2" ht="13">
      <c r="A1592" s="140"/>
      <c r="B1592" s="140"/>
    </row>
    <row r="1593" spans="1:2" ht="13">
      <c r="A1593" s="140"/>
      <c r="B1593" s="140"/>
    </row>
    <row r="1594" spans="1:2" ht="13">
      <c r="A1594" s="140"/>
      <c r="B1594" s="140"/>
    </row>
    <row r="1595" spans="1:2" ht="13">
      <c r="A1595" s="140"/>
      <c r="B1595" s="140"/>
    </row>
    <row r="1596" spans="1:2" ht="13">
      <c r="A1596" s="140"/>
      <c r="B1596" s="140"/>
    </row>
    <row r="1597" spans="1:2" ht="13">
      <c r="A1597" s="140"/>
      <c r="B1597" s="140"/>
    </row>
    <row r="1598" spans="1:2" ht="13">
      <c r="A1598" s="140"/>
      <c r="B1598" s="140"/>
    </row>
    <row r="1599" spans="1:2" ht="13">
      <c r="A1599" s="140"/>
      <c r="B1599" s="140"/>
    </row>
    <row r="1600" spans="1:2" ht="13">
      <c r="A1600" s="140"/>
      <c r="B1600" s="140"/>
    </row>
    <row r="1601" spans="1:2" ht="13">
      <c r="A1601" s="140"/>
      <c r="B1601" s="140"/>
    </row>
    <row r="1602" spans="1:2" ht="13">
      <c r="A1602" s="140"/>
      <c r="B1602" s="140"/>
    </row>
    <row r="1603" spans="1:2" ht="13">
      <c r="A1603" s="140"/>
      <c r="B1603" s="140"/>
    </row>
    <row r="1604" spans="1:2" ht="13">
      <c r="A1604" s="140"/>
      <c r="B1604" s="140"/>
    </row>
    <row r="1605" spans="1:2" ht="13">
      <c r="A1605" s="140"/>
      <c r="B1605" s="140"/>
    </row>
    <row r="1606" spans="1:2" ht="13">
      <c r="A1606" s="140"/>
      <c r="B1606" s="140"/>
    </row>
    <row r="1607" spans="1:2" ht="13">
      <c r="A1607" s="140"/>
      <c r="B1607" s="140"/>
    </row>
    <row r="1608" spans="1:2" ht="13">
      <c r="A1608" s="140"/>
      <c r="B1608" s="140"/>
    </row>
    <row r="1609" spans="1:2" ht="13">
      <c r="A1609" s="140"/>
      <c r="B1609" s="140"/>
    </row>
    <row r="1610" spans="1:2" ht="13">
      <c r="A1610" s="140"/>
      <c r="B1610" s="140"/>
    </row>
    <row r="1611" spans="1:2" ht="13">
      <c r="A1611" s="140"/>
      <c r="B1611" s="140"/>
    </row>
    <row r="1612" spans="1:2" ht="13">
      <c r="A1612" s="140"/>
      <c r="B1612" s="140"/>
    </row>
    <row r="1613" spans="1:2" ht="13">
      <c r="A1613" s="140"/>
      <c r="B1613" s="140"/>
    </row>
    <row r="1614" spans="1:2" ht="13">
      <c r="A1614" s="140"/>
      <c r="B1614" s="140"/>
    </row>
    <row r="1615" spans="1:2" ht="13">
      <c r="A1615" s="140"/>
      <c r="B1615" s="140"/>
    </row>
    <row r="1616" spans="1:2" ht="13">
      <c r="A1616" s="140"/>
      <c r="B1616" s="140"/>
    </row>
    <row r="1617" spans="1:2" ht="13">
      <c r="A1617" s="140"/>
      <c r="B1617" s="140"/>
    </row>
    <row r="1618" spans="1:2" ht="13">
      <c r="A1618" s="140"/>
      <c r="B1618" s="140"/>
    </row>
    <row r="1619" spans="1:2" ht="13">
      <c r="A1619" s="140"/>
      <c r="B1619" s="140"/>
    </row>
    <row r="1620" spans="1:2" ht="13">
      <c r="A1620" s="140"/>
      <c r="B1620" s="140"/>
    </row>
    <row r="1621" spans="1:2" ht="13">
      <c r="A1621" s="140"/>
      <c r="B1621" s="140"/>
    </row>
    <row r="1622" spans="1:2" ht="13">
      <c r="A1622" s="140"/>
      <c r="B1622" s="140"/>
    </row>
    <row r="1623" spans="1:2" ht="13">
      <c r="A1623" s="140"/>
      <c r="B1623" s="140"/>
    </row>
    <row r="1624" spans="1:2" ht="13">
      <c r="A1624" s="140"/>
      <c r="B1624" s="140"/>
    </row>
    <row r="1625" spans="1:2" ht="13">
      <c r="A1625" s="140"/>
      <c r="B1625" s="140"/>
    </row>
    <row r="1626" spans="1:2" ht="13">
      <c r="A1626" s="140"/>
      <c r="B1626" s="140"/>
    </row>
    <row r="1627" spans="1:2" ht="13">
      <c r="A1627" s="140"/>
      <c r="B1627" s="140"/>
    </row>
    <row r="1628" spans="1:2" ht="13">
      <c r="A1628" s="140"/>
      <c r="B1628" s="140"/>
    </row>
    <row r="1629" spans="1:2" ht="13">
      <c r="A1629" s="140"/>
      <c r="B1629" s="140"/>
    </row>
    <row r="1630" spans="1:2" ht="13">
      <c r="A1630" s="140"/>
      <c r="B1630" s="140"/>
    </row>
    <row r="1631" spans="1:2" ht="13">
      <c r="A1631" s="140"/>
      <c r="B1631" s="140"/>
    </row>
    <row r="1632" spans="1:2" ht="13">
      <c r="A1632" s="140"/>
      <c r="B1632" s="140"/>
    </row>
    <row r="1633" spans="1:2" ht="13">
      <c r="A1633" s="140"/>
      <c r="B1633" s="140"/>
    </row>
    <row r="1634" spans="1:2" ht="13">
      <c r="A1634" s="140"/>
      <c r="B1634" s="140"/>
    </row>
    <row r="1635" spans="1:2" ht="13">
      <c r="A1635" s="140"/>
      <c r="B1635" s="140"/>
    </row>
    <row r="1636" spans="1:2" ht="13">
      <c r="A1636" s="140"/>
      <c r="B1636" s="140"/>
    </row>
    <row r="1637" spans="1:2" ht="13">
      <c r="A1637" s="140"/>
      <c r="B1637" s="140"/>
    </row>
    <row r="1638" spans="1:2" ht="13">
      <c r="A1638" s="140"/>
      <c r="B1638" s="140"/>
    </row>
    <row r="1639" spans="1:2" ht="13">
      <c r="A1639" s="140"/>
      <c r="B1639" s="140"/>
    </row>
    <row r="1640" spans="1:2" ht="13">
      <c r="A1640" s="140"/>
      <c r="B1640" s="140"/>
    </row>
    <row r="1641" spans="1:2" ht="13">
      <c r="A1641" s="140"/>
      <c r="B1641" s="140"/>
    </row>
    <row r="1642" spans="1:2" ht="13">
      <c r="A1642" s="140"/>
      <c r="B1642" s="140"/>
    </row>
    <row r="1643" spans="1:2" ht="13">
      <c r="A1643" s="140"/>
      <c r="B1643" s="140"/>
    </row>
    <row r="1644" spans="1:2" ht="13">
      <c r="A1644" s="140"/>
      <c r="B1644" s="140"/>
    </row>
    <row r="1645" spans="1:2" ht="13">
      <c r="A1645" s="140"/>
      <c r="B1645" s="140"/>
    </row>
    <row r="1646" spans="1:2" ht="13">
      <c r="A1646" s="140"/>
      <c r="B1646" s="140"/>
    </row>
    <row r="1647" spans="1:2" ht="13">
      <c r="A1647" s="140"/>
      <c r="B1647" s="140"/>
    </row>
    <row r="1648" spans="1:2" ht="13">
      <c r="A1648" s="140"/>
      <c r="B1648" s="140"/>
    </row>
    <row r="1649" spans="1:2" ht="13">
      <c r="A1649" s="140"/>
      <c r="B1649" s="140"/>
    </row>
    <row r="1650" spans="1:2" ht="13">
      <c r="A1650" s="140"/>
      <c r="B1650" s="140"/>
    </row>
    <row r="1651" spans="1:2" ht="13">
      <c r="A1651" s="140"/>
      <c r="B1651" s="140"/>
    </row>
    <row r="1652" spans="1:2" ht="13">
      <c r="A1652" s="140"/>
      <c r="B1652" s="140"/>
    </row>
    <row r="1653" spans="1:2" ht="13">
      <c r="A1653" s="140"/>
      <c r="B1653" s="140"/>
    </row>
    <row r="1654" spans="1:2" ht="13">
      <c r="A1654" s="140"/>
      <c r="B1654" s="140"/>
    </row>
    <row r="1655" spans="1:2" ht="13">
      <c r="A1655" s="140"/>
      <c r="B1655" s="140"/>
    </row>
    <row r="1656" spans="1:2" ht="13">
      <c r="A1656" s="140"/>
      <c r="B1656" s="140"/>
    </row>
    <row r="1657" spans="1:2" ht="13">
      <c r="A1657" s="140"/>
      <c r="B1657" s="140"/>
    </row>
    <row r="1658" spans="1:2" ht="13">
      <c r="A1658" s="140"/>
      <c r="B1658" s="140"/>
    </row>
    <row r="1659" spans="1:2" ht="13">
      <c r="A1659" s="140"/>
      <c r="B1659" s="140"/>
    </row>
    <row r="1660" spans="1:2" ht="13">
      <c r="A1660" s="140"/>
      <c r="B1660" s="140"/>
    </row>
    <row r="1661" spans="1:2" ht="13">
      <c r="A1661" s="140"/>
      <c r="B1661" s="140"/>
    </row>
    <row r="1662" spans="1:2" ht="13">
      <c r="A1662" s="140"/>
      <c r="B1662" s="140"/>
    </row>
    <row r="1663" spans="1:2" ht="13">
      <c r="A1663" s="140"/>
      <c r="B1663" s="140"/>
    </row>
    <row r="1664" spans="1:2" ht="13">
      <c r="A1664" s="140"/>
      <c r="B1664" s="140"/>
    </row>
    <row r="1665" spans="1:2" ht="13">
      <c r="A1665" s="140"/>
      <c r="B1665" s="140"/>
    </row>
    <row r="1666" spans="1:2" ht="13">
      <c r="A1666" s="140"/>
      <c r="B1666" s="140"/>
    </row>
    <row r="1667" spans="1:2" ht="13">
      <c r="A1667" s="140"/>
      <c r="B1667" s="140"/>
    </row>
    <row r="1668" spans="1:2" ht="13">
      <c r="A1668" s="140"/>
      <c r="B1668" s="140"/>
    </row>
    <row r="1669" spans="1:2" ht="13">
      <c r="A1669" s="140"/>
      <c r="B1669" s="140"/>
    </row>
    <row r="1670" spans="1:2" ht="13">
      <c r="A1670" s="140"/>
      <c r="B1670" s="140"/>
    </row>
    <row r="1671" spans="1:2" ht="13">
      <c r="A1671" s="140"/>
      <c r="B1671" s="140"/>
    </row>
    <row r="1672" spans="1:2" ht="13">
      <c r="A1672" s="140"/>
      <c r="B1672" s="140"/>
    </row>
    <row r="1673" spans="1:2" ht="13">
      <c r="A1673" s="140"/>
      <c r="B1673" s="140"/>
    </row>
    <row r="1674" spans="1:2" ht="13">
      <c r="A1674" s="140"/>
      <c r="B1674" s="140"/>
    </row>
    <row r="1675" spans="1:2" ht="13">
      <c r="A1675" s="140"/>
      <c r="B1675" s="140"/>
    </row>
    <row r="1676" spans="1:2" ht="13">
      <c r="A1676" s="140"/>
      <c r="B1676" s="140"/>
    </row>
    <row r="1677" spans="1:2" ht="13">
      <c r="A1677" s="140"/>
      <c r="B1677" s="140"/>
    </row>
    <row r="1678" spans="1:2" ht="13">
      <c r="A1678" s="140"/>
      <c r="B1678" s="140"/>
    </row>
    <row r="1679" spans="1:2" ht="13">
      <c r="A1679" s="140"/>
      <c r="B1679" s="140"/>
    </row>
    <row r="1680" spans="1:2" ht="13">
      <c r="A1680" s="140"/>
      <c r="B1680" s="140"/>
    </row>
    <row r="1681" spans="1:2" ht="13">
      <c r="A1681" s="140"/>
      <c r="B1681" s="140"/>
    </row>
    <row r="1682" spans="1:2" ht="13">
      <c r="A1682" s="140"/>
      <c r="B1682" s="140"/>
    </row>
    <row r="1683" spans="1:2" ht="13">
      <c r="A1683" s="140"/>
      <c r="B1683" s="140"/>
    </row>
    <row r="1684" spans="1:2" ht="13">
      <c r="A1684" s="140"/>
      <c r="B1684" s="140"/>
    </row>
    <row r="1685" spans="1:2" ht="13">
      <c r="A1685" s="140"/>
      <c r="B1685" s="140"/>
    </row>
    <row r="1686" spans="1:2" ht="13">
      <c r="A1686" s="140"/>
      <c r="B1686" s="140"/>
    </row>
    <row r="1687" spans="1:2" ht="13">
      <c r="A1687" s="140"/>
      <c r="B1687" s="140"/>
    </row>
    <row r="1688" spans="1:2" ht="13">
      <c r="A1688" s="140"/>
      <c r="B1688" s="140"/>
    </row>
    <row r="1689" spans="1:2" ht="13">
      <c r="A1689" s="140"/>
      <c r="B1689" s="140"/>
    </row>
    <row r="1690" spans="1:2" ht="13">
      <c r="A1690" s="140"/>
      <c r="B1690" s="140"/>
    </row>
    <row r="1691" spans="1:2" ht="13">
      <c r="A1691" s="140"/>
      <c r="B1691" s="140"/>
    </row>
    <row r="1692" spans="1:2" ht="13">
      <c r="A1692" s="140"/>
      <c r="B1692" s="140"/>
    </row>
    <row r="1693" spans="1:2" ht="13">
      <c r="A1693" s="140"/>
      <c r="B1693" s="140"/>
    </row>
    <row r="1694" spans="1:2" ht="13">
      <c r="A1694" s="140"/>
      <c r="B1694" s="140"/>
    </row>
    <row r="1695" spans="1:2" ht="13">
      <c r="A1695" s="140"/>
      <c r="B1695" s="140"/>
    </row>
    <row r="1696" spans="1:2" ht="13">
      <c r="A1696" s="140"/>
      <c r="B1696" s="140"/>
    </row>
    <row r="1697" spans="1:2" ht="13">
      <c r="A1697" s="140"/>
      <c r="B1697" s="140"/>
    </row>
    <row r="1698" spans="1:2" ht="13">
      <c r="A1698" s="140"/>
      <c r="B1698" s="140"/>
    </row>
    <row r="1699" spans="1:2" ht="13">
      <c r="A1699" s="140"/>
      <c r="B1699" s="140"/>
    </row>
    <row r="1700" spans="1:2" ht="13">
      <c r="A1700" s="140"/>
      <c r="B1700" s="140"/>
    </row>
    <row r="1701" spans="1:2" ht="13">
      <c r="A1701" s="140"/>
      <c r="B1701" s="140"/>
    </row>
    <row r="1702" spans="1:2" ht="13">
      <c r="A1702" s="140"/>
      <c r="B1702" s="140"/>
    </row>
    <row r="1703" spans="1:2" ht="13">
      <c r="A1703" s="140"/>
      <c r="B1703" s="140"/>
    </row>
    <row r="1704" spans="1:2" ht="13">
      <c r="A1704" s="140"/>
      <c r="B1704" s="140"/>
    </row>
    <row r="1705" spans="1:2" ht="13">
      <c r="A1705" s="140"/>
      <c r="B1705" s="140"/>
    </row>
    <row r="1706" spans="1:2" ht="13">
      <c r="A1706" s="140"/>
      <c r="B1706" s="140"/>
    </row>
    <row r="1707" spans="1:2" ht="13">
      <c r="A1707" s="140"/>
      <c r="B1707" s="140"/>
    </row>
    <row r="1708" spans="1:2" ht="13">
      <c r="A1708" s="140"/>
      <c r="B1708" s="140"/>
    </row>
    <row r="1709" spans="1:2" ht="13">
      <c r="A1709" s="140"/>
      <c r="B1709" s="140"/>
    </row>
    <row r="1710" spans="1:2" ht="13">
      <c r="A1710" s="140"/>
      <c r="B1710" s="140"/>
    </row>
    <row r="1711" spans="1:2" ht="13">
      <c r="A1711" s="140"/>
      <c r="B1711" s="140"/>
    </row>
    <row r="1712" spans="1:2" ht="13">
      <c r="A1712" s="140"/>
      <c r="B1712" s="140"/>
    </row>
    <row r="1713" spans="1:2" ht="13">
      <c r="A1713" s="140"/>
      <c r="B1713" s="140"/>
    </row>
    <row r="1714" spans="1:2" ht="13">
      <c r="A1714" s="140"/>
      <c r="B1714" s="140"/>
    </row>
    <row r="1715" spans="1:2" ht="13">
      <c r="A1715" s="140"/>
      <c r="B1715" s="140"/>
    </row>
    <row r="1716" spans="1:2" ht="13">
      <c r="A1716" s="140"/>
      <c r="B1716" s="140"/>
    </row>
    <row r="1717" spans="1:2" ht="13">
      <c r="A1717" s="140"/>
      <c r="B1717" s="140"/>
    </row>
    <row r="1718" spans="1:2" ht="13">
      <c r="A1718" s="140"/>
      <c r="B1718" s="140"/>
    </row>
    <row r="1719" spans="1:2" ht="13">
      <c r="A1719" s="140"/>
      <c r="B1719" s="140"/>
    </row>
    <row r="1720" spans="1:2" ht="13">
      <c r="A1720" s="140"/>
      <c r="B1720" s="140"/>
    </row>
    <row r="1721" spans="1:2" ht="13">
      <c r="A1721" s="140"/>
      <c r="B1721" s="140"/>
    </row>
    <row r="1722" spans="1:2" ht="13">
      <c r="A1722" s="140"/>
      <c r="B1722" s="140"/>
    </row>
    <row r="1723" spans="1:2" ht="13">
      <c r="A1723" s="140"/>
      <c r="B1723" s="140"/>
    </row>
    <row r="1724" spans="1:2" ht="13">
      <c r="A1724" s="140"/>
      <c r="B1724" s="140"/>
    </row>
    <row r="1725" spans="1:2" ht="13">
      <c r="A1725" s="140"/>
      <c r="B1725" s="140"/>
    </row>
    <row r="1726" spans="1:2" ht="13">
      <c r="A1726" s="140"/>
      <c r="B1726" s="140"/>
    </row>
    <row r="1727" spans="1:2" ht="13">
      <c r="A1727" s="140"/>
      <c r="B1727" s="140"/>
    </row>
    <row r="1728" spans="1:2" ht="13">
      <c r="A1728" s="140"/>
      <c r="B1728" s="140"/>
    </row>
    <row r="1729" spans="1:2" ht="13">
      <c r="A1729" s="140"/>
      <c r="B1729" s="140"/>
    </row>
    <row r="1730" spans="1:2" ht="13">
      <c r="A1730" s="140"/>
      <c r="B1730" s="140"/>
    </row>
    <row r="1731" spans="1:2" ht="13">
      <c r="A1731" s="140"/>
      <c r="B1731" s="140"/>
    </row>
    <row r="1732" spans="1:2" ht="13">
      <c r="A1732" s="140"/>
      <c r="B1732" s="140"/>
    </row>
    <row r="1733" spans="1:2" ht="13">
      <c r="A1733" s="140"/>
      <c r="B1733" s="140"/>
    </row>
    <row r="1734" spans="1:2" ht="13">
      <c r="A1734" s="140"/>
      <c r="B1734" s="140"/>
    </row>
    <row r="1735" spans="1:2" ht="13">
      <c r="A1735" s="140"/>
      <c r="B1735" s="140"/>
    </row>
    <row r="1736" spans="1:2" ht="13">
      <c r="A1736" s="140"/>
      <c r="B1736" s="140"/>
    </row>
    <row r="1737" spans="1:2" ht="13">
      <c r="A1737" s="140"/>
      <c r="B1737" s="140"/>
    </row>
    <row r="1738" spans="1:2" ht="13">
      <c r="A1738" s="140"/>
      <c r="B1738" s="140"/>
    </row>
    <row r="1739" spans="1:2" ht="13">
      <c r="A1739" s="140"/>
      <c r="B1739" s="140"/>
    </row>
    <row r="1740" spans="1:2" ht="13">
      <c r="A1740" s="140"/>
      <c r="B1740" s="140"/>
    </row>
    <row r="1741" spans="1:2" ht="13">
      <c r="A1741" s="140"/>
      <c r="B1741" s="140"/>
    </row>
    <row r="1742" spans="1:2" ht="13">
      <c r="A1742" s="140"/>
      <c r="B1742" s="140"/>
    </row>
    <row r="1743" spans="1:2" ht="13">
      <c r="A1743" s="140"/>
      <c r="B1743" s="140"/>
    </row>
    <row r="1744" spans="1:2" ht="13">
      <c r="A1744" s="140"/>
      <c r="B1744" s="140"/>
    </row>
    <row r="1745" spans="1:2" ht="13">
      <c r="A1745" s="140"/>
      <c r="B1745" s="140"/>
    </row>
    <row r="1746" spans="1:2" ht="13">
      <c r="A1746" s="140"/>
      <c r="B1746" s="140"/>
    </row>
    <row r="1747" spans="1:2" ht="13">
      <c r="A1747" s="140"/>
      <c r="B1747" s="140"/>
    </row>
    <row r="1748" spans="1:2" ht="13">
      <c r="A1748" s="140"/>
      <c r="B1748" s="140"/>
    </row>
    <row r="1749" spans="1:2" ht="13">
      <c r="A1749" s="140"/>
      <c r="B1749" s="140"/>
    </row>
    <row r="1750" spans="1:2" ht="13">
      <c r="A1750" s="140"/>
      <c r="B1750" s="140"/>
    </row>
    <row r="1751" spans="1:2" ht="13">
      <c r="A1751" s="140"/>
      <c r="B1751" s="140"/>
    </row>
    <row r="1752" spans="1:2" ht="13">
      <c r="A1752" s="140"/>
      <c r="B1752" s="140"/>
    </row>
    <row r="1753" spans="1:2" ht="13">
      <c r="A1753" s="140"/>
      <c r="B1753" s="140"/>
    </row>
    <row r="1754" spans="1:2" ht="13">
      <c r="A1754" s="140"/>
      <c r="B1754" s="140"/>
    </row>
    <row r="1755" spans="1:2" ht="13">
      <c r="A1755" s="140"/>
      <c r="B1755" s="140"/>
    </row>
    <row r="1756" spans="1:2" ht="13">
      <c r="A1756" s="140"/>
      <c r="B1756" s="140"/>
    </row>
    <row r="1757" spans="1:2" ht="13">
      <c r="A1757" s="140"/>
      <c r="B1757" s="140"/>
    </row>
    <row r="1758" spans="1:2" ht="13">
      <c r="A1758" s="140"/>
      <c r="B1758" s="140"/>
    </row>
    <row r="1759" spans="1:2" ht="13">
      <c r="A1759" s="140"/>
      <c r="B1759" s="140"/>
    </row>
    <row r="1760" spans="1:2" ht="13">
      <c r="A1760" s="140"/>
      <c r="B1760" s="140"/>
    </row>
    <row r="1761" spans="1:2" ht="13">
      <c r="A1761" s="140"/>
      <c r="B1761" s="140"/>
    </row>
    <row r="1762" spans="1:2" ht="13">
      <c r="A1762" s="140"/>
      <c r="B1762" s="140"/>
    </row>
    <row r="1763" spans="1:2" ht="13">
      <c r="A1763" s="140"/>
      <c r="B1763" s="140"/>
    </row>
    <row r="1764" spans="1:2" ht="13">
      <c r="A1764" s="140"/>
      <c r="B1764" s="140"/>
    </row>
    <row r="1765" spans="1:2" ht="13">
      <c r="A1765" s="140"/>
      <c r="B1765" s="140"/>
    </row>
    <row r="1766" spans="1:2" ht="13">
      <c r="A1766" s="140"/>
      <c r="B1766" s="140"/>
    </row>
    <row r="1767" spans="1:2" ht="13">
      <c r="A1767" s="140"/>
      <c r="B1767" s="140"/>
    </row>
    <row r="1768" spans="1:2" ht="13">
      <c r="A1768" s="140"/>
      <c r="B1768" s="140"/>
    </row>
    <row r="1769" spans="1:2" ht="13">
      <c r="A1769" s="140"/>
      <c r="B1769" s="140"/>
    </row>
    <row r="1770" spans="1:2" ht="13">
      <c r="A1770" s="140"/>
      <c r="B1770" s="140"/>
    </row>
    <row r="1771" spans="1:2" ht="13">
      <c r="A1771" s="140"/>
      <c r="B1771" s="140"/>
    </row>
    <row r="1772" spans="1:2" ht="13">
      <c r="A1772" s="140"/>
      <c r="B1772" s="140"/>
    </row>
    <row r="1773" spans="1:2" ht="13">
      <c r="A1773" s="140"/>
      <c r="B1773" s="140"/>
    </row>
    <row r="1774" spans="1:2" ht="13">
      <c r="A1774" s="140"/>
      <c r="B1774" s="140"/>
    </row>
    <row r="1775" spans="1:2" ht="13">
      <c r="A1775" s="140"/>
      <c r="B1775" s="140"/>
    </row>
    <row r="1776" spans="1:2" ht="13">
      <c r="A1776" s="140"/>
      <c r="B1776" s="140"/>
    </row>
    <row r="1777" spans="1:2" ht="13">
      <c r="A1777" s="140"/>
      <c r="B1777" s="140"/>
    </row>
    <row r="1778" spans="1:2" ht="13">
      <c r="A1778" s="140"/>
      <c r="B1778" s="140"/>
    </row>
    <row r="1779" spans="1:2" ht="13">
      <c r="A1779" s="140"/>
      <c r="B1779" s="140"/>
    </row>
    <row r="1780" spans="1:2" ht="13">
      <c r="A1780" s="140"/>
      <c r="B1780" s="140"/>
    </row>
    <row r="1781" spans="1:2" ht="13">
      <c r="A1781" s="140"/>
      <c r="B1781" s="140"/>
    </row>
    <row r="1782" spans="1:2" ht="13">
      <c r="A1782" s="140"/>
      <c r="B1782" s="140"/>
    </row>
    <row r="1783" spans="1:2" ht="13">
      <c r="A1783" s="140"/>
      <c r="B1783" s="140"/>
    </row>
    <row r="1784" spans="1:2" ht="13">
      <c r="A1784" s="140"/>
      <c r="B1784" s="140"/>
    </row>
    <row r="1785" spans="1:2" ht="13">
      <c r="A1785" s="140"/>
      <c r="B1785" s="140"/>
    </row>
    <row r="1786" spans="1:2" ht="13">
      <c r="A1786" s="140"/>
      <c r="B1786" s="140"/>
    </row>
    <row r="1787" spans="1:2" ht="13">
      <c r="A1787" s="140"/>
      <c r="B1787" s="140"/>
    </row>
    <row r="1788" spans="1:2" ht="13">
      <c r="A1788" s="140"/>
      <c r="B1788" s="140"/>
    </row>
    <row r="1789" spans="1:2" ht="13">
      <c r="A1789" s="140"/>
      <c r="B1789" s="140"/>
    </row>
    <row r="1790" spans="1:2" ht="13">
      <c r="A1790" s="140"/>
      <c r="B1790" s="140"/>
    </row>
    <row r="1791" spans="1:2" ht="13">
      <c r="A1791" s="140"/>
      <c r="B1791" s="140"/>
    </row>
    <row r="1792" spans="1:2" ht="13">
      <c r="A1792" s="140"/>
      <c r="B1792" s="140"/>
    </row>
    <row r="1793" spans="1:2" ht="13">
      <c r="A1793" s="140"/>
      <c r="B1793" s="140"/>
    </row>
    <row r="1794" spans="1:2" ht="13">
      <c r="A1794" s="140"/>
      <c r="B1794" s="140"/>
    </row>
    <row r="1795" spans="1:2" ht="13">
      <c r="A1795" s="140"/>
      <c r="B1795" s="140"/>
    </row>
    <row r="1796" spans="1:2" ht="13">
      <c r="A1796" s="140"/>
      <c r="B1796" s="140"/>
    </row>
    <row r="1797" spans="1:2" ht="13">
      <c r="A1797" s="140"/>
      <c r="B1797" s="140"/>
    </row>
    <row r="1798" spans="1:2" ht="13">
      <c r="A1798" s="140"/>
      <c r="B1798" s="140"/>
    </row>
    <row r="1799" spans="1:2" ht="13">
      <c r="A1799" s="140"/>
      <c r="B1799" s="140"/>
    </row>
    <row r="1800" spans="1:2" ht="13">
      <c r="A1800" s="140"/>
      <c r="B1800" s="140"/>
    </row>
    <row r="1801" spans="1:2" ht="13">
      <c r="A1801" s="140"/>
      <c r="B1801" s="140"/>
    </row>
    <row r="1802" spans="1:2" ht="13">
      <c r="A1802" s="140"/>
      <c r="B1802" s="140"/>
    </row>
    <row r="1803" spans="1:2" ht="13">
      <c r="A1803" s="140"/>
      <c r="B1803" s="140"/>
    </row>
    <row r="1804" spans="1:2" ht="13">
      <c r="A1804" s="140"/>
      <c r="B1804" s="140"/>
    </row>
    <row r="1805" spans="1:2" ht="13">
      <c r="A1805" s="140"/>
      <c r="B1805" s="140"/>
    </row>
    <row r="1806" spans="1:2" ht="13">
      <c r="A1806" s="140"/>
      <c r="B1806" s="140"/>
    </row>
    <row r="1807" spans="1:2" ht="13">
      <c r="A1807" s="140"/>
      <c r="B1807" s="140"/>
    </row>
    <row r="1808" spans="1:2" ht="13">
      <c r="A1808" s="140"/>
      <c r="B1808" s="140"/>
    </row>
    <row r="1809" spans="1:2" ht="13">
      <c r="A1809" s="140"/>
      <c r="B1809" s="140"/>
    </row>
    <row r="1810" spans="1:2" ht="13">
      <c r="A1810" s="140"/>
      <c r="B1810" s="140"/>
    </row>
    <row r="1811" spans="1:2" ht="13">
      <c r="A1811" s="140"/>
      <c r="B1811" s="140"/>
    </row>
    <row r="1812" spans="1:2" ht="13">
      <c r="A1812" s="140"/>
      <c r="B1812" s="140"/>
    </row>
    <row r="1813" spans="1:2" ht="13">
      <c r="A1813" s="140"/>
      <c r="B1813" s="140"/>
    </row>
    <row r="1814" spans="1:2" ht="13">
      <c r="A1814" s="140"/>
      <c r="B1814" s="140"/>
    </row>
    <row r="1815" spans="1:2" ht="13">
      <c r="A1815" s="140"/>
      <c r="B1815" s="140"/>
    </row>
    <row r="1816" spans="1:2" ht="13">
      <c r="A1816" s="140"/>
      <c r="B1816" s="140"/>
    </row>
    <row r="1817" spans="1:2" ht="13">
      <c r="A1817" s="140"/>
      <c r="B1817" s="140"/>
    </row>
    <row r="1818" spans="1:2" ht="13">
      <c r="A1818" s="140"/>
      <c r="B1818" s="140"/>
    </row>
    <row r="1819" spans="1:2" ht="13">
      <c r="A1819" s="140"/>
      <c r="B1819" s="140"/>
    </row>
    <row r="1820" spans="1:2" ht="13">
      <c r="A1820" s="140"/>
      <c r="B1820" s="140"/>
    </row>
    <row r="1821" spans="1:2" ht="13">
      <c r="A1821" s="140"/>
      <c r="B1821" s="140"/>
    </row>
    <row r="1822" spans="1:2" ht="13">
      <c r="A1822" s="140"/>
      <c r="B1822" s="140"/>
    </row>
    <row r="1823" spans="1:2" ht="13">
      <c r="A1823" s="140"/>
      <c r="B1823" s="140"/>
    </row>
    <row r="1824" spans="1:2" ht="13">
      <c r="A1824" s="140"/>
      <c r="B1824" s="140"/>
    </row>
    <row r="1825" spans="1:2" ht="13">
      <c r="A1825" s="140"/>
      <c r="B1825" s="140"/>
    </row>
    <row r="1826" spans="1:2" ht="13">
      <c r="A1826" s="140"/>
      <c r="B1826" s="140"/>
    </row>
    <row r="1827" spans="1:2" ht="13">
      <c r="A1827" s="140"/>
      <c r="B1827" s="140"/>
    </row>
    <row r="1828" spans="1:2" ht="13">
      <c r="A1828" s="140"/>
      <c r="B1828" s="140"/>
    </row>
    <row r="1829" spans="1:2" ht="13">
      <c r="A1829" s="140"/>
      <c r="B1829" s="140"/>
    </row>
    <row r="1830" spans="1:2" ht="13">
      <c r="A1830" s="140"/>
      <c r="B1830" s="140"/>
    </row>
    <row r="1831" spans="1:2" ht="13">
      <c r="A1831" s="140"/>
      <c r="B1831" s="140"/>
    </row>
    <row r="1832" spans="1:2" ht="13">
      <c r="A1832" s="140"/>
      <c r="B1832" s="140"/>
    </row>
    <row r="1833" spans="1:2" ht="13">
      <c r="A1833" s="140"/>
      <c r="B1833" s="140"/>
    </row>
    <row r="1834" spans="1:2" ht="13">
      <c r="A1834" s="140"/>
      <c r="B1834" s="140"/>
    </row>
  </sheetData>
  <sheetProtection sheet="1" formatColumns="0" formatRows="0"/>
  <mergeCells count="46">
    <mergeCell ref="D13:R13"/>
    <mergeCell ref="D664:R664"/>
    <mergeCell ref="L10:R10"/>
    <mergeCell ref="D765:R765"/>
    <mergeCell ref="E11:J11"/>
    <mergeCell ref="V6:W6"/>
    <mergeCell ref="V7:W7"/>
    <mergeCell ref="V8:W8"/>
    <mergeCell ref="T10:Z10"/>
    <mergeCell ref="L11:R11"/>
    <mergeCell ref="T11:Z11"/>
    <mergeCell ref="X6:Y6"/>
    <mergeCell ref="X7:Y7"/>
    <mergeCell ref="X8:Y8"/>
    <mergeCell ref="E6:R6"/>
    <mergeCell ref="E7:R7"/>
    <mergeCell ref="E3:R3"/>
    <mergeCell ref="E5:R5"/>
    <mergeCell ref="V4:W4"/>
    <mergeCell ref="V5:W5"/>
    <mergeCell ref="V3:Z3"/>
    <mergeCell ref="T3:U3"/>
    <mergeCell ref="X4:Y4"/>
    <mergeCell ref="X5:Y5"/>
    <mergeCell ref="E4:R4"/>
    <mergeCell ref="D874:R874"/>
    <mergeCell ref="T874:Z874"/>
    <mergeCell ref="D876:E876"/>
    <mergeCell ref="G876:H876"/>
    <mergeCell ref="L876:M876"/>
    <mergeCell ref="N876:O876"/>
    <mergeCell ref="P876:Q876"/>
    <mergeCell ref="D875:Q875"/>
    <mergeCell ref="D877:E877"/>
    <mergeCell ref="F877:H877"/>
    <mergeCell ref="L877:M877"/>
    <mergeCell ref="N877:O877"/>
    <mergeCell ref="P877:Q877"/>
    <mergeCell ref="D878:E878"/>
    <mergeCell ref="L878:M878"/>
    <mergeCell ref="N878:O878"/>
    <mergeCell ref="P878:Q878"/>
    <mergeCell ref="D879:E879"/>
    <mergeCell ref="L879:M879"/>
    <mergeCell ref="N879:O879"/>
    <mergeCell ref="P879:Q879"/>
  </mergeCells>
  <conditionalFormatting sqref="N62 V62 N112 V112 N162 V162 N212 V212 N262 V262 N312 V312 N362 V362 N412 V412 N462 V462 N512 V512 N562 V562 N612 V612 N662 V662">
    <cfRule type="expression" priority="2470" dxfId="2119">
      <formula>$N58="Drop Plan"</formula>
    </cfRule>
    <cfRule type="expression" priority="2482" dxfId="2118">
      <formula>$N58="Enter Percentages"</formula>
    </cfRule>
  </conditionalFormatting>
  <conditionalFormatting sqref="O62 W62 O112 W112 O162 W162 O212 W212 O262 W262 O312 W312 O362 W362 O412 W412 O462 W462 O512 W512 O562 W562 O612 W612 O662 W662">
    <cfRule type="expression" priority="2469" dxfId="2119">
      <formula>$N58="Drop Plan"</formula>
    </cfRule>
    <cfRule type="expression" priority="2477" dxfId="2118">
      <formula>$N58="Enter Dollar Amount"</formula>
    </cfRule>
  </conditionalFormatting>
  <conditionalFormatting sqref="O15:O18">
    <cfRule type="expression" priority="333" dxfId="2449">
      <formula>$N$14="Enter Percentages"</formula>
    </cfRule>
    <cfRule type="expression" priority="335" dxfId="2448">
      <formula>$N$14="Enter Dollar Amount"</formula>
    </cfRule>
  </conditionalFormatting>
  <conditionalFormatting sqref="N15:N18">
    <cfRule type="expression" priority="332" dxfId="2449">
      <formula>$N$14="Enter Dollar Amount"</formula>
    </cfRule>
    <cfRule type="expression" priority="334" dxfId="2448">
      <formula>$N$14="Enter Percentages"</formula>
    </cfRule>
  </conditionalFormatting>
  <conditionalFormatting sqref="N15:O18">
    <cfRule type="expression" priority="331" dxfId="2445">
      <formula>$N$14="Drop Plan"</formula>
    </cfRule>
  </conditionalFormatting>
  <conditionalFormatting sqref="W15:W18">
    <cfRule type="expression" priority="328" dxfId="2449">
      <formula>$V$14="Enter Percentages"</formula>
    </cfRule>
    <cfRule type="expression" priority="330" dxfId="2448">
      <formula>$V$14="Enter Dollar Amount"</formula>
    </cfRule>
  </conditionalFormatting>
  <conditionalFormatting sqref="V15:V18">
    <cfRule type="expression" priority="327" dxfId="2449">
      <formula>$V$14="Enter Dollar Amount"</formula>
    </cfRule>
    <cfRule type="expression" priority="329" dxfId="2448">
      <formula>$V$14="Enter Percentages"</formula>
    </cfRule>
  </conditionalFormatting>
  <conditionalFormatting sqref="V15:W18">
    <cfRule type="expression" priority="326" dxfId="2445">
      <formula>$V$14="Drop Plan"</formula>
    </cfRule>
  </conditionalFormatting>
  <conditionalFormatting sqref="O65:O68">
    <cfRule type="expression" priority="323" dxfId="2449">
      <formula>$N$64="Enter Percentages"</formula>
    </cfRule>
    <cfRule type="expression" priority="325" dxfId="2448">
      <formula>$N$64="Enter Dollar Amount"</formula>
    </cfRule>
  </conditionalFormatting>
  <conditionalFormatting sqref="N65:N68">
    <cfRule type="expression" priority="322" dxfId="2449">
      <formula>$N$64="Enter Dollar Amount"</formula>
    </cfRule>
    <cfRule type="expression" priority="324" dxfId="2448">
      <formula>$N$64="Enter Percentages"</formula>
    </cfRule>
  </conditionalFormatting>
  <conditionalFormatting sqref="N65:O68">
    <cfRule type="expression" priority="321" dxfId="2445">
      <formula>$N$64="Drop Plan"</formula>
    </cfRule>
  </conditionalFormatting>
  <conditionalFormatting sqref="W65:W68">
    <cfRule type="expression" priority="318" dxfId="2449">
      <formula>$V$64="Enter Percentages"</formula>
    </cfRule>
    <cfRule type="expression" priority="320" dxfId="2448">
      <formula>$V$64="Enter Dollar Amount"</formula>
    </cfRule>
  </conditionalFormatting>
  <conditionalFormatting sqref="V65:V68">
    <cfRule type="expression" priority="317" dxfId="2449">
      <formula>$V$64="Enter Dollar Amount"</formula>
    </cfRule>
    <cfRule type="expression" priority="319" dxfId="2448">
      <formula>$V$64="Enter Percentages"</formula>
    </cfRule>
  </conditionalFormatting>
  <conditionalFormatting sqref="V65:W68">
    <cfRule type="expression" priority="316" dxfId="2445">
      <formula>$V$64="Drop Plan"</formula>
    </cfRule>
  </conditionalFormatting>
  <conditionalFormatting sqref="O115:O118">
    <cfRule type="expression" priority="313" dxfId="2449">
      <formula>$N$114="Enter Percentages"</formula>
    </cfRule>
    <cfRule type="expression" priority="315" dxfId="2448">
      <formula>$N$114="Enter Dollar Amount"</formula>
    </cfRule>
  </conditionalFormatting>
  <conditionalFormatting sqref="N115:N118">
    <cfRule type="expression" priority="312" dxfId="2449">
      <formula>$N$114="Enter Dollar Amount"</formula>
    </cfRule>
    <cfRule type="expression" priority="314" dxfId="2448">
      <formula>$N$114="Enter Percentages"</formula>
    </cfRule>
  </conditionalFormatting>
  <conditionalFormatting sqref="N115:O118">
    <cfRule type="expression" priority="311" dxfId="2445">
      <formula>$N$114="Drop Plan"</formula>
    </cfRule>
  </conditionalFormatting>
  <conditionalFormatting sqref="W115:W118">
    <cfRule type="expression" priority="308" dxfId="2449">
      <formula>$V$114="Enter Percentages"</formula>
    </cfRule>
    <cfRule type="expression" priority="310" dxfId="2448">
      <formula>$V$114="Enter Dollar Amount"</formula>
    </cfRule>
  </conditionalFormatting>
  <conditionalFormatting sqref="V115:V118">
    <cfRule type="expression" priority="307" dxfId="2449">
      <formula>$V$114="Enter Dollar Amount"</formula>
    </cfRule>
    <cfRule type="expression" priority="309" dxfId="2448">
      <formula>$V$114="Enter Percentages"</formula>
    </cfRule>
  </conditionalFormatting>
  <conditionalFormatting sqref="V115:W118">
    <cfRule type="expression" priority="306" dxfId="2445">
      <formula>$V$114="Drop Plan"</formula>
    </cfRule>
  </conditionalFormatting>
  <conditionalFormatting sqref="O165:O168">
    <cfRule type="expression" priority="303" dxfId="2449">
      <formula>$N$164="Enter Percentages"</formula>
    </cfRule>
    <cfRule type="expression" priority="305" dxfId="2448">
      <formula>$N$164="Enter Dollar Amount"</formula>
    </cfRule>
  </conditionalFormatting>
  <conditionalFormatting sqref="N165:N168">
    <cfRule type="expression" priority="302" dxfId="2449">
      <formula>$N$164="Enter Dollar Amount"</formula>
    </cfRule>
    <cfRule type="expression" priority="304" dxfId="2448">
      <formula>$N$164="Enter Percentages"</formula>
    </cfRule>
  </conditionalFormatting>
  <conditionalFormatting sqref="N165:O168">
    <cfRule type="expression" priority="301" dxfId="2445">
      <formula>$N$164="Drop Plan"</formula>
    </cfRule>
  </conditionalFormatting>
  <conditionalFormatting sqref="W165:W168">
    <cfRule type="expression" priority="298" dxfId="2449">
      <formula>$V$164="Enter Percentages"</formula>
    </cfRule>
    <cfRule type="expression" priority="300" dxfId="2448">
      <formula>$V$164="Enter Dollar Amount"</formula>
    </cfRule>
  </conditionalFormatting>
  <conditionalFormatting sqref="V165:V168">
    <cfRule type="expression" priority="297" dxfId="2449">
      <formula>$V$164="Enter Dollar Amount"</formula>
    </cfRule>
    <cfRule type="expression" priority="299" dxfId="2448">
      <formula>$V$164="Enter Percentages"</formula>
    </cfRule>
  </conditionalFormatting>
  <conditionalFormatting sqref="V165:W168">
    <cfRule type="expression" priority="296" dxfId="2445">
      <formula>$V$164="Drop Plan"</formula>
    </cfRule>
  </conditionalFormatting>
  <conditionalFormatting sqref="O215:O218">
    <cfRule type="expression" priority="293" dxfId="2449">
      <formula>$N$214="Enter Percentages"</formula>
    </cfRule>
    <cfRule type="expression" priority="295" dxfId="2448">
      <formula>$N$214="Enter Dollar Amount"</formula>
    </cfRule>
  </conditionalFormatting>
  <conditionalFormatting sqref="N215:N218">
    <cfRule type="expression" priority="292" dxfId="2449">
      <formula>$N$214="Enter Dollar Amount"</formula>
    </cfRule>
    <cfRule type="expression" priority="294" dxfId="2448">
      <formula>$N$214="Enter Percentages"</formula>
    </cfRule>
  </conditionalFormatting>
  <conditionalFormatting sqref="N215:O218">
    <cfRule type="expression" priority="291" dxfId="2445">
      <formula>$N$214="Drop Plan"</formula>
    </cfRule>
  </conditionalFormatting>
  <conditionalFormatting sqref="W215:W218">
    <cfRule type="expression" priority="288" dxfId="2449">
      <formula>$V$214="Enter Percentages"</formula>
    </cfRule>
    <cfRule type="expression" priority="290" dxfId="2448">
      <formula>$V$214="Enter Dollar Amount"</formula>
    </cfRule>
  </conditionalFormatting>
  <conditionalFormatting sqref="V215:V218">
    <cfRule type="expression" priority="287" dxfId="2449">
      <formula>$V$214="Enter Dollar Amount"</formula>
    </cfRule>
    <cfRule type="expression" priority="289" dxfId="2448">
      <formula>$V$214="Enter Percentages"</formula>
    </cfRule>
  </conditionalFormatting>
  <conditionalFormatting sqref="V215:W218">
    <cfRule type="expression" priority="286" dxfId="2445">
      <formula>$V$214="Drop Plan"</formula>
    </cfRule>
  </conditionalFormatting>
  <conditionalFormatting sqref="O265:O268">
    <cfRule type="expression" priority="283" dxfId="2449">
      <formula>$N$264="Enter Percentages"</formula>
    </cfRule>
    <cfRule type="expression" priority="285" dxfId="2448">
      <formula>$N$264="Enter Dollar Amount"</formula>
    </cfRule>
  </conditionalFormatting>
  <conditionalFormatting sqref="N265:N268">
    <cfRule type="expression" priority="282" dxfId="2449">
      <formula>$N$264="Enter Dollar Amount"</formula>
    </cfRule>
    <cfRule type="expression" priority="284" dxfId="2448">
      <formula>$N$264="Enter Percentages"</formula>
    </cfRule>
  </conditionalFormatting>
  <conditionalFormatting sqref="N265:O268">
    <cfRule type="expression" priority="281" dxfId="2445">
      <formula>$N$264="Drop Plan"</formula>
    </cfRule>
  </conditionalFormatting>
  <conditionalFormatting sqref="W265:W268">
    <cfRule type="expression" priority="278" dxfId="2449">
      <formula>$V$264="Enter Percentages"</formula>
    </cfRule>
    <cfRule type="expression" priority="280" dxfId="2448">
      <formula>$V$264="Enter Dollar Amount"</formula>
    </cfRule>
  </conditionalFormatting>
  <conditionalFormatting sqref="V265:V268">
    <cfRule type="expression" priority="277" dxfId="2449">
      <formula>$V$264="Enter Dollar Amount"</formula>
    </cfRule>
    <cfRule type="expression" priority="279" dxfId="2448">
      <formula>$V$264="Enter Percentages"</formula>
    </cfRule>
  </conditionalFormatting>
  <conditionalFormatting sqref="V265:W268">
    <cfRule type="expression" priority="276" dxfId="2445">
      <formula>$V$264="Drop Plan"</formula>
    </cfRule>
  </conditionalFormatting>
  <conditionalFormatting sqref="O315:O318">
    <cfRule type="expression" priority="273" dxfId="2449">
      <formula>$N$314="Enter Percentages"</formula>
    </cfRule>
    <cfRule type="expression" priority="275" dxfId="2448">
      <formula>$N$314="Enter Dollar Amount"</formula>
    </cfRule>
  </conditionalFormatting>
  <conditionalFormatting sqref="N315:N318">
    <cfRule type="expression" priority="272" dxfId="2449">
      <formula>$N$314="Enter Dollar Amount"</formula>
    </cfRule>
    <cfRule type="expression" priority="274" dxfId="2448">
      <formula>$N$314="Enter Percentages"</formula>
    </cfRule>
  </conditionalFormatting>
  <conditionalFormatting sqref="N315:O318">
    <cfRule type="expression" priority="271" dxfId="2445">
      <formula>$N$314="Drop Plan"</formula>
    </cfRule>
  </conditionalFormatting>
  <conditionalFormatting sqref="W315:W318">
    <cfRule type="expression" priority="268" dxfId="2449">
      <formula>$V$314="Enter Percentages"</formula>
    </cfRule>
    <cfRule type="expression" priority="270" dxfId="2448">
      <formula>$V$314="Enter Dollar Amount"</formula>
    </cfRule>
  </conditionalFormatting>
  <conditionalFormatting sqref="V315:V318">
    <cfRule type="expression" priority="267" dxfId="2449">
      <formula>$V$314="Enter Dollar Amount"</formula>
    </cfRule>
    <cfRule type="expression" priority="269" dxfId="2448">
      <formula>$V$314="Enter Percentages"</formula>
    </cfRule>
  </conditionalFormatting>
  <conditionalFormatting sqref="V315:W318">
    <cfRule type="expression" priority="266" dxfId="2445">
      <formula>$V$314="Drop Plan"</formula>
    </cfRule>
  </conditionalFormatting>
  <conditionalFormatting sqref="O365:O368">
    <cfRule type="expression" priority="263" dxfId="2449">
      <formula>$N$364="Enter Percentages"</formula>
    </cfRule>
    <cfRule type="expression" priority="265" dxfId="2448">
      <formula>$N$364="Enter Dollar Amount"</formula>
    </cfRule>
  </conditionalFormatting>
  <conditionalFormatting sqref="N365:N368">
    <cfRule type="expression" priority="262" dxfId="2449">
      <formula>$N$364="Enter Dollar Amount"</formula>
    </cfRule>
    <cfRule type="expression" priority="264" dxfId="2448">
      <formula>$N$364="Enter Percentages"</formula>
    </cfRule>
  </conditionalFormatting>
  <conditionalFormatting sqref="N365:O368">
    <cfRule type="expression" priority="261" dxfId="2445">
      <formula>$N$364="Drop Plan"</formula>
    </cfRule>
  </conditionalFormatting>
  <conditionalFormatting sqref="W365:W368">
    <cfRule type="expression" priority="258" dxfId="2449">
      <formula>$V$364="Enter Percentages"</formula>
    </cfRule>
    <cfRule type="expression" priority="260" dxfId="2448">
      <formula>$V$364="Enter Dollar Amount"</formula>
    </cfRule>
  </conditionalFormatting>
  <conditionalFormatting sqref="V365:V368">
    <cfRule type="expression" priority="257" dxfId="2449">
      <formula>$V$364="Enter Dollar Amount"</formula>
    </cfRule>
    <cfRule type="expression" priority="259" dxfId="2448">
      <formula>$V$364="Enter Percentages"</formula>
    </cfRule>
  </conditionalFormatting>
  <conditionalFormatting sqref="V365:W368">
    <cfRule type="expression" priority="256" dxfId="2445">
      <formula>$V$364="Drop Plan"</formula>
    </cfRule>
  </conditionalFormatting>
  <conditionalFormatting sqref="O415:O418">
    <cfRule type="expression" priority="253" dxfId="2449">
      <formula>$N$414="Enter Percentages"</formula>
    </cfRule>
    <cfRule type="expression" priority="255" dxfId="2448">
      <formula>$N$414="Enter Dollar Amount"</formula>
    </cfRule>
  </conditionalFormatting>
  <conditionalFormatting sqref="N415:N418">
    <cfRule type="expression" priority="252" dxfId="2449">
      <formula>$N$414="Enter Dollar Amount"</formula>
    </cfRule>
    <cfRule type="expression" priority="254" dxfId="2448">
      <formula>$N$414="Enter Percentages"</formula>
    </cfRule>
  </conditionalFormatting>
  <conditionalFormatting sqref="N415:O418">
    <cfRule type="expression" priority="251" dxfId="2445">
      <formula>$N$414="Drop Plan"</formula>
    </cfRule>
  </conditionalFormatting>
  <conditionalFormatting sqref="W415:W418">
    <cfRule type="expression" priority="248" dxfId="2449">
      <formula>$V$414="Enter Percentages"</formula>
    </cfRule>
    <cfRule type="expression" priority="250" dxfId="2448">
      <formula>$V$414="Enter Dollar Amount"</formula>
    </cfRule>
  </conditionalFormatting>
  <conditionalFormatting sqref="V415:V418">
    <cfRule type="expression" priority="247" dxfId="2449">
      <formula>$V$414="Enter Dollar Amount"</formula>
    </cfRule>
    <cfRule type="expression" priority="249" dxfId="2448">
      <formula>$V$414="Enter Percentages"</formula>
    </cfRule>
  </conditionalFormatting>
  <conditionalFormatting sqref="V415:W418">
    <cfRule type="expression" priority="246" dxfId="2445">
      <formula>$V$414="Drop Plan"</formula>
    </cfRule>
  </conditionalFormatting>
  <conditionalFormatting sqref="O465:O468">
    <cfRule type="expression" priority="243" dxfId="2449">
      <formula>$N$464="Enter Percentages"</formula>
    </cfRule>
    <cfRule type="expression" priority="245" dxfId="2448">
      <formula>$N$464="Enter Dollar Amount"</formula>
    </cfRule>
  </conditionalFormatting>
  <conditionalFormatting sqref="N465:N468">
    <cfRule type="expression" priority="242" dxfId="2449">
      <formula>$N$464="Enter Dollar Amount"</formula>
    </cfRule>
    <cfRule type="expression" priority="244" dxfId="2448">
      <formula>$N$464="Enter Percentages"</formula>
    </cfRule>
  </conditionalFormatting>
  <conditionalFormatting sqref="N465:O468">
    <cfRule type="expression" priority="241" dxfId="2445">
      <formula>$N$464="Drop Plan"</formula>
    </cfRule>
  </conditionalFormatting>
  <conditionalFormatting sqref="W465:W468">
    <cfRule type="expression" priority="238" dxfId="2449">
      <formula>$V$464="Enter Percentages"</formula>
    </cfRule>
    <cfRule type="expression" priority="240" dxfId="2448">
      <formula>$V$464="Enter Dollar Amount"</formula>
    </cfRule>
  </conditionalFormatting>
  <conditionalFormatting sqref="V465:V468">
    <cfRule type="expression" priority="237" dxfId="2449">
      <formula>$V$464="Enter Dollar Amount"</formula>
    </cfRule>
    <cfRule type="expression" priority="239" dxfId="2448">
      <formula>$V$464="Enter Percentages"</formula>
    </cfRule>
  </conditionalFormatting>
  <conditionalFormatting sqref="V465:W468">
    <cfRule type="expression" priority="236" dxfId="2445">
      <formula>$V$464="Drop Plan"</formula>
    </cfRule>
  </conditionalFormatting>
  <conditionalFormatting sqref="O515:O518">
    <cfRule type="expression" priority="233" dxfId="2449">
      <formula>$N$514="Enter Percentages"</formula>
    </cfRule>
    <cfRule type="expression" priority="235" dxfId="2448">
      <formula>$N$514="Enter Dollar Amount"</formula>
    </cfRule>
  </conditionalFormatting>
  <conditionalFormatting sqref="N515:N518">
    <cfRule type="expression" priority="232" dxfId="2449">
      <formula>$N$514="Enter Dollar Amount"</formula>
    </cfRule>
    <cfRule type="expression" priority="234" dxfId="2448">
      <formula>$N$514="Enter Percentages"</formula>
    </cfRule>
  </conditionalFormatting>
  <conditionalFormatting sqref="N515:O518">
    <cfRule type="expression" priority="231" dxfId="2445">
      <formula>$N$514="Drop Plan"</formula>
    </cfRule>
  </conditionalFormatting>
  <conditionalFormatting sqref="W515:W518">
    <cfRule type="expression" priority="228" dxfId="2449">
      <formula>$V$514="Enter Percentages"</formula>
    </cfRule>
    <cfRule type="expression" priority="230" dxfId="2448">
      <formula>$V$514="Enter Dollar Amount"</formula>
    </cfRule>
  </conditionalFormatting>
  <conditionalFormatting sqref="V515:V518">
    <cfRule type="expression" priority="227" dxfId="2449">
      <formula>$V$514="Enter Dollar Amount"</formula>
    </cfRule>
    <cfRule type="expression" priority="229" dxfId="2448">
      <formula>$V$514="Enter Percentages"</formula>
    </cfRule>
  </conditionalFormatting>
  <conditionalFormatting sqref="V515:W518">
    <cfRule type="expression" priority="226" dxfId="2445">
      <formula>$V$514="Drop Plan"</formula>
    </cfRule>
  </conditionalFormatting>
  <conditionalFormatting sqref="O565:O568">
    <cfRule type="expression" priority="223" dxfId="2449">
      <formula>$N$564="Enter Percentages"</formula>
    </cfRule>
    <cfRule type="expression" priority="225" dxfId="2448">
      <formula>$N$564="Enter Dollar Amount"</formula>
    </cfRule>
  </conditionalFormatting>
  <conditionalFormatting sqref="N565:N568">
    <cfRule type="expression" priority="222" dxfId="2449">
      <formula>$N$564="Enter Dollar Amount"</formula>
    </cfRule>
    <cfRule type="expression" priority="224" dxfId="2448">
      <formula>$N$564="Enter Percentages"</formula>
    </cfRule>
  </conditionalFormatting>
  <conditionalFormatting sqref="N565:O568">
    <cfRule type="expression" priority="221" dxfId="2445">
      <formula>$N$564="Drop Plan"</formula>
    </cfRule>
  </conditionalFormatting>
  <conditionalFormatting sqref="W565:W568">
    <cfRule type="expression" priority="218" dxfId="2449">
      <formula>$V$564="Enter Percentages"</formula>
    </cfRule>
    <cfRule type="expression" priority="220" dxfId="2448">
      <formula>$V$564="Enter Dollar Amount"</formula>
    </cfRule>
  </conditionalFormatting>
  <conditionalFormatting sqref="V565:V568">
    <cfRule type="expression" priority="217" dxfId="2449">
      <formula>$V$564="Enter Dollar Amount"</formula>
    </cfRule>
    <cfRule type="expression" priority="219" dxfId="2448">
      <formula>$V$564="Enter Percentages"</formula>
    </cfRule>
  </conditionalFormatting>
  <conditionalFormatting sqref="V565:W568">
    <cfRule type="expression" priority="216" dxfId="2445">
      <formula>$V$564="Drop Plan"</formula>
    </cfRule>
  </conditionalFormatting>
  <conditionalFormatting sqref="O615:O618">
    <cfRule type="expression" priority="213" dxfId="2449">
      <formula>$N$614="Enter Percentages"</formula>
    </cfRule>
    <cfRule type="expression" priority="215" dxfId="2448">
      <formula>$N$614="Enter Dollar Amount"</formula>
    </cfRule>
  </conditionalFormatting>
  <conditionalFormatting sqref="N615:N618">
    <cfRule type="expression" priority="212" dxfId="2449">
      <formula>$N$614="Enter Dollar Amount"</formula>
    </cfRule>
    <cfRule type="expression" priority="214" dxfId="2448">
      <formula>$N$614="Enter Percentages"</formula>
    </cfRule>
  </conditionalFormatting>
  <conditionalFormatting sqref="N615:O618">
    <cfRule type="expression" priority="211" dxfId="2445">
      <formula>$N$614="Drop Plan"</formula>
    </cfRule>
  </conditionalFormatting>
  <conditionalFormatting sqref="W615:W618">
    <cfRule type="expression" priority="208" dxfId="2449">
      <formula>$V$614="Enter Percentages"</formula>
    </cfRule>
    <cfRule type="expression" priority="210" dxfId="2448">
      <formula>$V$614="Enter Dollar Amount"</formula>
    </cfRule>
  </conditionalFormatting>
  <conditionalFormatting sqref="V615:V618">
    <cfRule type="expression" priority="207" dxfId="2449">
      <formula>$V$614="Enter Dollar Amount"</formula>
    </cfRule>
    <cfRule type="expression" priority="209" dxfId="2448">
      <formula>$V$614="Enter Percentages"</formula>
    </cfRule>
  </conditionalFormatting>
  <conditionalFormatting sqref="V615:W618">
    <cfRule type="expression" priority="206" dxfId="2445">
      <formula>$V$614="Drop Plan"</formula>
    </cfRule>
  </conditionalFormatting>
  <conditionalFormatting sqref="O666:O669">
    <cfRule type="expression" priority="198" dxfId="2449">
      <formula>$N$665="Enter Percentages"</formula>
    </cfRule>
    <cfRule type="expression" priority="200" dxfId="2448">
      <formula>$N$665="Enter Dollar Amount"</formula>
    </cfRule>
  </conditionalFormatting>
  <conditionalFormatting sqref="N666:N669">
    <cfRule type="expression" priority="197" dxfId="2449">
      <formula>$N$665="Enter Dollar Amount"</formula>
    </cfRule>
    <cfRule type="expression" priority="199" dxfId="2448">
      <formula>$N$665="Enter Percentages"</formula>
    </cfRule>
  </conditionalFormatting>
  <conditionalFormatting sqref="N666:O669">
    <cfRule type="expression" priority="196" dxfId="2445">
      <formula>$N$665="Drop Plan"</formula>
    </cfRule>
  </conditionalFormatting>
  <conditionalFormatting sqref="W666:W669">
    <cfRule type="expression" priority="193" dxfId="2449">
      <formula>$V$665="Enter Percentages"</formula>
    </cfRule>
    <cfRule type="expression" priority="195" dxfId="2448">
      <formula>$V$665="Enter Dollar Amount"</formula>
    </cfRule>
  </conditionalFormatting>
  <conditionalFormatting sqref="V666:V669">
    <cfRule type="expression" priority="192" dxfId="2449">
      <formula>$V$665="Enter Dollar Amount"</formula>
    </cfRule>
    <cfRule type="expression" priority="194" dxfId="2448">
      <formula>$V$665="Enter Percentages"</formula>
    </cfRule>
  </conditionalFormatting>
  <conditionalFormatting sqref="V666:W669">
    <cfRule type="expression" priority="191" dxfId="2445">
      <formula>$V$665="Drop Plan"</formula>
    </cfRule>
  </conditionalFormatting>
  <conditionalFormatting sqref="O676:O679">
    <cfRule type="expression" priority="188" dxfId="2449">
      <formula>$N$675="Enter Percentages"</formula>
    </cfRule>
    <cfRule type="expression" priority="190" dxfId="2448">
      <formula>$N$675="Enter Dollar Amount"</formula>
    </cfRule>
  </conditionalFormatting>
  <conditionalFormatting sqref="N676:N679">
    <cfRule type="expression" priority="187" dxfId="2449">
      <formula>$N$675="Enter Dollar Amount"</formula>
    </cfRule>
    <cfRule type="expression" priority="189" dxfId="2448">
      <formula>$N$675="Enter Percentages"</formula>
    </cfRule>
  </conditionalFormatting>
  <conditionalFormatting sqref="N676:O679">
    <cfRule type="expression" priority="186" dxfId="2445">
      <formula>$N$675="Drop Plan"</formula>
    </cfRule>
  </conditionalFormatting>
  <conditionalFormatting sqref="W676:W679">
    <cfRule type="expression" priority="183" dxfId="2449">
      <formula>$V$675="Enter Percentages"</formula>
    </cfRule>
    <cfRule type="expression" priority="185" dxfId="2448">
      <formula>$V$675="Enter Dollar Amount"</formula>
    </cfRule>
  </conditionalFormatting>
  <conditionalFormatting sqref="V676:V679">
    <cfRule type="expression" priority="182" dxfId="2449">
      <formula>$V$675="Enter Dollar Amount"</formula>
    </cfRule>
    <cfRule type="expression" priority="184" dxfId="2448">
      <formula>$V$675="Enter Percentages"</formula>
    </cfRule>
  </conditionalFormatting>
  <conditionalFormatting sqref="V676:W679">
    <cfRule type="expression" priority="181" dxfId="2445">
      <formula>$V$675="Drop Plan"</formula>
    </cfRule>
  </conditionalFormatting>
  <conditionalFormatting sqref="O686:O689">
    <cfRule type="expression" priority="178" dxfId="2449">
      <formula>$N$685="Enter Percentages"</formula>
    </cfRule>
    <cfRule type="expression" priority="180" dxfId="2448">
      <formula>$N$685="Enter Dollar Amount"</formula>
    </cfRule>
  </conditionalFormatting>
  <conditionalFormatting sqref="N686:N689">
    <cfRule type="expression" priority="177" dxfId="2449">
      <formula>$N$685="Enter Dollar Amount"</formula>
    </cfRule>
    <cfRule type="expression" priority="179" dxfId="2448">
      <formula>$N$685="Enter Percentages"</formula>
    </cfRule>
  </conditionalFormatting>
  <conditionalFormatting sqref="N686:O689">
    <cfRule type="expression" priority="176" dxfId="2445">
      <formula>$N$685="Drop Plan"</formula>
    </cfRule>
  </conditionalFormatting>
  <conditionalFormatting sqref="W686:W689">
    <cfRule type="expression" priority="173" dxfId="2449">
      <formula>$V$685="Enter Percentages"</formula>
    </cfRule>
    <cfRule type="expression" priority="175" dxfId="2448">
      <formula>$V$685="Enter Dollar Amount"</formula>
    </cfRule>
  </conditionalFormatting>
  <conditionalFormatting sqref="V686:V689">
    <cfRule type="expression" priority="172" dxfId="2449">
      <formula>$V$685="Enter Dollar Amount"</formula>
    </cfRule>
    <cfRule type="expression" priority="174" dxfId="2448">
      <formula>$V$685="Enter Percentages"</formula>
    </cfRule>
  </conditionalFormatting>
  <conditionalFormatting sqref="V686:W689">
    <cfRule type="expression" priority="171" dxfId="2445">
      <formula>$V$685="Drop Plan"</formula>
    </cfRule>
  </conditionalFormatting>
  <conditionalFormatting sqref="O696:O699">
    <cfRule type="expression" priority="168" dxfId="2449">
      <formula>$N$695="Enter Percentages"</formula>
    </cfRule>
    <cfRule type="expression" priority="170" dxfId="2448">
      <formula>$N$695="Enter Dollar Amount"</formula>
    </cfRule>
  </conditionalFormatting>
  <conditionalFormatting sqref="N696:N699">
    <cfRule type="expression" priority="167" dxfId="2449">
      <formula>$N$695="Enter Dollar Amount"</formula>
    </cfRule>
    <cfRule type="expression" priority="169" dxfId="2448">
      <formula>$N$695="Enter Percentages"</formula>
    </cfRule>
  </conditionalFormatting>
  <conditionalFormatting sqref="N696:O699">
    <cfRule type="expression" priority="166" dxfId="2445">
      <formula>$N$695="Drop Plan"</formula>
    </cfRule>
  </conditionalFormatting>
  <conditionalFormatting sqref="W696:W699">
    <cfRule type="expression" priority="163" dxfId="2449">
      <formula>$V$695="Enter Percentages"</formula>
    </cfRule>
    <cfRule type="expression" priority="165" dxfId="2448">
      <formula>$V$695="Enter Dollar Amount"</formula>
    </cfRule>
  </conditionalFormatting>
  <conditionalFormatting sqref="V696:V699">
    <cfRule type="expression" priority="162" dxfId="2449">
      <formula>$V$695="Enter Dollar Amount"</formula>
    </cfRule>
    <cfRule type="expression" priority="164" dxfId="2448">
      <formula>$V$695="Enter Percentages"</formula>
    </cfRule>
  </conditionalFormatting>
  <conditionalFormatting sqref="V696:W699">
    <cfRule type="expression" priority="161" dxfId="2445">
      <formula>$V$695="Drop Plan"</formula>
    </cfRule>
  </conditionalFormatting>
  <conditionalFormatting sqref="O706:O709">
    <cfRule type="expression" priority="158" dxfId="2449">
      <formula>$N$705="Enter Percentages"</formula>
    </cfRule>
    <cfRule type="expression" priority="160" dxfId="2448">
      <formula>$N$705="Enter Dollar Amount"</formula>
    </cfRule>
  </conditionalFormatting>
  <conditionalFormatting sqref="N706:N709">
    <cfRule type="expression" priority="157" dxfId="2449">
      <formula>$N$705="Enter Dollar Amount"</formula>
    </cfRule>
    <cfRule type="expression" priority="159" dxfId="2448">
      <formula>$N$705="Enter Percentages"</formula>
    </cfRule>
  </conditionalFormatting>
  <conditionalFormatting sqref="N706:O709">
    <cfRule type="expression" priority="156" dxfId="2445">
      <formula>$N$705="Drop Plan"</formula>
    </cfRule>
  </conditionalFormatting>
  <conditionalFormatting sqref="W706:W709">
    <cfRule type="expression" priority="153" dxfId="2449">
      <formula>$V$705="Enter Percentages"</formula>
    </cfRule>
    <cfRule type="expression" priority="155" dxfId="2448">
      <formula>$V$705="Enter Dollar Amount"</formula>
    </cfRule>
  </conditionalFormatting>
  <conditionalFormatting sqref="V706:V709">
    <cfRule type="expression" priority="152" dxfId="2449">
      <formula>$V$705="Enter Dollar Amount"</formula>
    </cfRule>
    <cfRule type="expression" priority="154" dxfId="2448">
      <formula>$V$705="Enter Percentages"</formula>
    </cfRule>
  </conditionalFormatting>
  <conditionalFormatting sqref="V706:W709">
    <cfRule type="expression" priority="151" dxfId="2445">
      <formula>$V$705="Drop Plan"</formula>
    </cfRule>
  </conditionalFormatting>
  <conditionalFormatting sqref="O716:O719">
    <cfRule type="expression" priority="148" dxfId="2449">
      <formula>$N$715="Enter Percentages"</formula>
    </cfRule>
    <cfRule type="expression" priority="150" dxfId="2448">
      <formula>$N$715="Enter Dollar Amount"</formula>
    </cfRule>
  </conditionalFormatting>
  <conditionalFormatting sqref="N716:N719">
    <cfRule type="expression" priority="147" dxfId="2449">
      <formula>$N$715="Enter Dollar Amount"</formula>
    </cfRule>
    <cfRule type="expression" priority="149" dxfId="2448">
      <formula>$N$715="Enter Percentages"</formula>
    </cfRule>
  </conditionalFormatting>
  <conditionalFormatting sqref="N716:O719">
    <cfRule type="expression" priority="146" dxfId="2445">
      <formula>$N$715="Drop Plan"</formula>
    </cfRule>
  </conditionalFormatting>
  <conditionalFormatting sqref="W716:W719">
    <cfRule type="expression" priority="143" dxfId="2449">
      <formula>$V$715="Enter Percentages"</formula>
    </cfRule>
    <cfRule type="expression" priority="145" dxfId="2448">
      <formula>$V$715="Enter Dollar Amount"</formula>
    </cfRule>
  </conditionalFormatting>
  <conditionalFormatting sqref="V716:V719">
    <cfRule type="expression" priority="142" dxfId="2449">
      <formula>$V$715="Enter Dollar Amount"</formula>
    </cfRule>
    <cfRule type="expression" priority="144" dxfId="2448">
      <formula>$V$715="Enter Percentages"</formula>
    </cfRule>
  </conditionalFormatting>
  <conditionalFormatting sqref="V716:W719">
    <cfRule type="expression" priority="141" dxfId="2445">
      <formula>$V$715="Drop Plan"</formula>
    </cfRule>
  </conditionalFormatting>
  <conditionalFormatting sqref="O726:O729">
    <cfRule type="expression" priority="138" dxfId="2449">
      <formula>$N$725="Enter Percentages"</formula>
    </cfRule>
    <cfRule type="expression" priority="140" dxfId="2448">
      <formula>$N$725="Enter Dollar Amount"</formula>
    </cfRule>
  </conditionalFormatting>
  <conditionalFormatting sqref="N726:N729">
    <cfRule type="expression" priority="137" dxfId="2449">
      <formula>$N$725="Enter Dollar Amount"</formula>
    </cfRule>
    <cfRule type="expression" priority="139" dxfId="2448">
      <formula>$N$725="Enter Percentages"</formula>
    </cfRule>
  </conditionalFormatting>
  <conditionalFormatting sqref="N726:O729">
    <cfRule type="expression" priority="136" dxfId="2445">
      <formula>$N$725="Drop Plan"</formula>
    </cfRule>
  </conditionalFormatting>
  <conditionalFormatting sqref="W726:W729">
    <cfRule type="expression" priority="133" dxfId="2449">
      <formula>$V$725="Enter Percentages"</formula>
    </cfRule>
    <cfRule type="expression" priority="135" dxfId="2448">
      <formula>$V$725="Enter Dollar Amount"</formula>
    </cfRule>
  </conditionalFormatting>
  <conditionalFormatting sqref="V726:V729">
    <cfRule type="expression" priority="132" dxfId="2449">
      <formula>$V$725="Enter Dollar Amount"</formula>
    </cfRule>
    <cfRule type="expression" priority="134" dxfId="2448">
      <formula>$V$725="Enter Percentages"</formula>
    </cfRule>
  </conditionalFormatting>
  <conditionalFormatting sqref="V726:W729">
    <cfRule type="expression" priority="131" dxfId="2445">
      <formula>$V$725="Drop Plan"</formula>
    </cfRule>
  </conditionalFormatting>
  <conditionalFormatting sqref="O736:O739">
    <cfRule type="expression" priority="128" dxfId="2449">
      <formula>$N$735="Enter Percentages"</formula>
    </cfRule>
    <cfRule type="expression" priority="130" dxfId="2448">
      <formula>$N$735="Enter Dollar Amount"</formula>
    </cfRule>
  </conditionalFormatting>
  <conditionalFormatting sqref="N736:N739">
    <cfRule type="expression" priority="127" dxfId="2449">
      <formula>$N$735="Enter Dollar Amount"</formula>
    </cfRule>
    <cfRule type="expression" priority="129" dxfId="2448">
      <formula>$N$735="Enter Percentages"</formula>
    </cfRule>
  </conditionalFormatting>
  <conditionalFormatting sqref="N736:O739">
    <cfRule type="expression" priority="126" dxfId="2445">
      <formula>$N$735="Drop Plan"</formula>
    </cfRule>
  </conditionalFormatting>
  <conditionalFormatting sqref="W736:W739">
    <cfRule type="expression" priority="123" dxfId="2449">
      <formula>$V$735="Enter Percentages"</formula>
    </cfRule>
    <cfRule type="expression" priority="125" dxfId="2448">
      <formula>$V$735="Enter Dollar Amount"</formula>
    </cfRule>
  </conditionalFormatting>
  <conditionalFormatting sqref="V736:V739">
    <cfRule type="expression" priority="122" dxfId="2449">
      <formula>$V$735="Enter Dollar Amount"</formula>
    </cfRule>
    <cfRule type="expression" priority="124" dxfId="2448">
      <formula>$V$735="Enter Percentages"</formula>
    </cfRule>
  </conditionalFormatting>
  <conditionalFormatting sqref="V736:W739">
    <cfRule type="expression" priority="121" dxfId="2445">
      <formula>$V$735="Drop Plan"</formula>
    </cfRule>
  </conditionalFormatting>
  <conditionalFormatting sqref="O746:O749">
    <cfRule type="expression" priority="118" dxfId="2449">
      <formula>$N$745="Enter Percentages"</formula>
    </cfRule>
    <cfRule type="expression" priority="120" dxfId="2448">
      <formula>$N$745="Enter Dollar Amount"</formula>
    </cfRule>
  </conditionalFormatting>
  <conditionalFormatting sqref="N746:N749">
    <cfRule type="expression" priority="117" dxfId="2449">
      <formula>$N$745="Enter Dollar Amount"</formula>
    </cfRule>
    <cfRule type="expression" priority="119" dxfId="2448">
      <formula>$N$745="Enter Percentages"</formula>
    </cfRule>
  </conditionalFormatting>
  <conditionalFormatting sqref="N746:O749">
    <cfRule type="expression" priority="116" dxfId="2445">
      <formula>$N$745="Drop Plan"</formula>
    </cfRule>
  </conditionalFormatting>
  <conditionalFormatting sqref="W746:W749">
    <cfRule type="expression" priority="113" dxfId="2449">
      <formula>$V$745="Enter Percentages"</formula>
    </cfRule>
    <cfRule type="expression" priority="115" dxfId="2448">
      <formula>$V$745="Enter Dollar Amount"</formula>
    </cfRule>
  </conditionalFormatting>
  <conditionalFormatting sqref="V746:V749">
    <cfRule type="expression" priority="112" dxfId="2449">
      <formula>$V$745="Enter Dollar Amount"</formula>
    </cfRule>
    <cfRule type="expression" priority="114" dxfId="2448">
      <formula>$V$745="Enter Percentages"</formula>
    </cfRule>
  </conditionalFormatting>
  <conditionalFormatting sqref="V746:W749">
    <cfRule type="expression" priority="111" dxfId="2445">
      <formula>$V$745="Drop Plan"</formula>
    </cfRule>
  </conditionalFormatting>
  <conditionalFormatting sqref="O756:O759">
    <cfRule type="expression" priority="108" dxfId="2449">
      <formula>$N$755="Enter Percentages"</formula>
    </cfRule>
    <cfRule type="expression" priority="110" dxfId="2448">
      <formula>$N$755="Enter Dollar Amount"</formula>
    </cfRule>
  </conditionalFormatting>
  <conditionalFormatting sqref="N756:N759">
    <cfRule type="expression" priority="107" dxfId="2449">
      <formula>$N$755="Enter Dollar Amount"</formula>
    </cfRule>
    <cfRule type="expression" priority="109" dxfId="2448">
      <formula>$N$755="Enter Percentages"</formula>
    </cfRule>
  </conditionalFormatting>
  <conditionalFormatting sqref="N756:O759">
    <cfRule type="expression" priority="106" dxfId="2445">
      <formula>$N$755="Drop Plan"</formula>
    </cfRule>
  </conditionalFormatting>
  <conditionalFormatting sqref="W756:W759">
    <cfRule type="expression" priority="103" dxfId="2449">
      <formula>$V$755="Enter Percentages"</formula>
    </cfRule>
    <cfRule type="expression" priority="105" dxfId="2448">
      <formula>$V$755="Enter Dollar Amount"</formula>
    </cfRule>
  </conditionalFormatting>
  <conditionalFormatting sqref="V756:V759">
    <cfRule type="expression" priority="102" dxfId="2449">
      <formula>$V$755="Enter Dollar Amount"</formula>
    </cfRule>
    <cfRule type="expression" priority="104" dxfId="2448">
      <formula>$V$755="Enter Percentages"</formula>
    </cfRule>
  </conditionalFormatting>
  <conditionalFormatting sqref="V756:W759">
    <cfRule type="expression" priority="101" dxfId="2445">
      <formula>$V$755="Drop Plan"</formula>
    </cfRule>
  </conditionalFormatting>
  <conditionalFormatting sqref="O767:O770">
    <cfRule type="expression" priority="98" dxfId="2449">
      <formula>$N$766="Enter Percentages"</formula>
    </cfRule>
    <cfRule type="expression" priority="100" dxfId="2448">
      <formula>$N$766="Enter Dollar Amount"</formula>
    </cfRule>
  </conditionalFormatting>
  <conditionalFormatting sqref="N767:N770">
    <cfRule type="expression" priority="97" dxfId="2449">
      <formula>$N$766="Enter Dollar Amount"</formula>
    </cfRule>
    <cfRule type="expression" priority="99" dxfId="2448">
      <formula>$N$766="Enter Percentages"</formula>
    </cfRule>
  </conditionalFormatting>
  <conditionalFormatting sqref="N767:O770">
    <cfRule type="expression" priority="96" dxfId="2445">
      <formula>$N$766="Drop Plan"</formula>
    </cfRule>
  </conditionalFormatting>
  <conditionalFormatting sqref="W767:W770">
    <cfRule type="expression" priority="93" dxfId="2449">
      <formula>$V$766="Enter Percentages"</formula>
    </cfRule>
    <cfRule type="expression" priority="95" dxfId="2448">
      <formula>$V$766="Enter Dollar Amount"</formula>
    </cfRule>
  </conditionalFormatting>
  <conditionalFormatting sqref="V767:V770">
    <cfRule type="expression" priority="92" dxfId="2449">
      <formula>$V$766="Enter Dollar Amount"</formula>
    </cfRule>
    <cfRule type="expression" priority="94" dxfId="2448">
      <formula>$V$766="Enter Percentages"</formula>
    </cfRule>
  </conditionalFormatting>
  <conditionalFormatting sqref="V767:W770">
    <cfRule type="expression" priority="91" dxfId="2445">
      <formula>$V$766="Drop Plan"</formula>
    </cfRule>
  </conditionalFormatting>
  <conditionalFormatting sqref="O777:O780">
    <cfRule type="expression" priority="88" dxfId="2449">
      <formula>$N$776="Enter Percentages"</formula>
    </cfRule>
    <cfRule type="expression" priority="90" dxfId="2448">
      <formula>$N$776="Enter Dollar Amount"</formula>
    </cfRule>
  </conditionalFormatting>
  <conditionalFormatting sqref="N777:N780">
    <cfRule type="expression" priority="87" dxfId="2449">
      <formula>$N$776="Enter Dollar Amount"</formula>
    </cfRule>
    <cfRule type="expression" priority="89" dxfId="2448">
      <formula>$N$776="Enter Percentages"</formula>
    </cfRule>
  </conditionalFormatting>
  <conditionalFormatting sqref="N777:O780">
    <cfRule type="expression" priority="86" dxfId="2445">
      <formula>$N$776="Drop Plan"</formula>
    </cfRule>
  </conditionalFormatting>
  <conditionalFormatting sqref="W777:W780">
    <cfRule type="expression" priority="83" dxfId="2449">
      <formula>$V$776="Enter Percentages"</formula>
    </cfRule>
    <cfRule type="expression" priority="85" dxfId="2448">
      <formula>$V$776="Enter Dollar Amount"</formula>
    </cfRule>
  </conditionalFormatting>
  <conditionalFormatting sqref="V777:V780">
    <cfRule type="expression" priority="82" dxfId="2449">
      <formula>$V$776="Enter Dollar Amount"</formula>
    </cfRule>
    <cfRule type="expression" priority="84" dxfId="2448">
      <formula>$V$776="Enter Percentages"</formula>
    </cfRule>
  </conditionalFormatting>
  <conditionalFormatting sqref="V777:W780">
    <cfRule type="expression" priority="81" dxfId="2445">
      <formula>$V$776="Drop Plan"</formula>
    </cfRule>
  </conditionalFormatting>
  <conditionalFormatting sqref="O787:O790">
    <cfRule type="expression" priority="78" dxfId="2449">
      <formula>$N$786="Enter Percentages"</formula>
    </cfRule>
    <cfRule type="expression" priority="80" dxfId="2448">
      <formula>$N$786="Enter Dollar Amount"</formula>
    </cfRule>
  </conditionalFormatting>
  <conditionalFormatting sqref="N787:N790">
    <cfRule type="expression" priority="77" dxfId="2449">
      <formula>$N$786="Enter Dollar Amount"</formula>
    </cfRule>
    <cfRule type="expression" priority="79" dxfId="2448">
      <formula>$N$786="Enter Percentages"</formula>
    </cfRule>
  </conditionalFormatting>
  <conditionalFormatting sqref="N787:O790">
    <cfRule type="expression" priority="76" dxfId="2445">
      <formula>$N$786="Drop Plan"</formula>
    </cfRule>
  </conditionalFormatting>
  <conditionalFormatting sqref="W787:W790">
    <cfRule type="expression" priority="73" dxfId="2449">
      <formula>$V$786="Enter Percentages"</formula>
    </cfRule>
    <cfRule type="expression" priority="75" dxfId="2448">
      <formula>$V$786="Enter Dollar Amount"</formula>
    </cfRule>
  </conditionalFormatting>
  <conditionalFormatting sqref="V787:V790">
    <cfRule type="expression" priority="72" dxfId="2449">
      <formula>$V$786="Enter Dollar Amount"</formula>
    </cfRule>
    <cfRule type="expression" priority="74" dxfId="2448">
      <formula>$V$786="Enter Percentages"</formula>
    </cfRule>
  </conditionalFormatting>
  <conditionalFormatting sqref="V787:W790">
    <cfRule type="expression" priority="71" dxfId="2445">
      <formula>$V$786="Drop Plan"</formula>
    </cfRule>
  </conditionalFormatting>
  <conditionalFormatting sqref="O797:O800">
    <cfRule type="expression" priority="68" dxfId="2449">
      <formula>$N$796="Enter Percentages"</formula>
    </cfRule>
    <cfRule type="expression" priority="70" dxfId="2448">
      <formula>$N$796="Enter Dollar Amount"</formula>
    </cfRule>
  </conditionalFormatting>
  <conditionalFormatting sqref="N797:N800">
    <cfRule type="expression" priority="67" dxfId="2449">
      <formula>$N$796="Enter Dollar Amount"</formula>
    </cfRule>
    <cfRule type="expression" priority="69" dxfId="2448">
      <formula>$N$796="Enter Percentages"</formula>
    </cfRule>
  </conditionalFormatting>
  <conditionalFormatting sqref="N797:O800">
    <cfRule type="expression" priority="66" dxfId="2445">
      <formula>$N$796="Drop Plan"</formula>
    </cfRule>
  </conditionalFormatting>
  <conditionalFormatting sqref="W797:W800">
    <cfRule type="expression" priority="63" dxfId="2449">
      <formula>$V$796="Enter Percentages"</formula>
    </cfRule>
    <cfRule type="expression" priority="65" dxfId="2448">
      <formula>$V$796="Enter Dollar Amount"</formula>
    </cfRule>
  </conditionalFormatting>
  <conditionalFormatting sqref="V797:V800">
    <cfRule type="expression" priority="62" dxfId="2449">
      <formula>$V$796="Enter Dollar Amount"</formula>
    </cfRule>
    <cfRule type="expression" priority="64" dxfId="2448">
      <formula>$V$796="Enter Percentages"</formula>
    </cfRule>
  </conditionalFormatting>
  <conditionalFormatting sqref="V797:W800">
    <cfRule type="expression" priority="61" dxfId="2445">
      <formula>$V$796="Drop Plan"</formula>
    </cfRule>
  </conditionalFormatting>
  <conditionalFormatting sqref="O807:O810">
    <cfRule type="expression" priority="58" dxfId="2449">
      <formula>$N$806="Enter Percentages"</formula>
    </cfRule>
    <cfRule type="expression" priority="60" dxfId="2448">
      <formula>$N$806="Enter Dollar Amount"</formula>
    </cfRule>
  </conditionalFormatting>
  <conditionalFormatting sqref="N807:N810">
    <cfRule type="expression" priority="57" dxfId="2449">
      <formula>$N$806="Enter Dollar Amount"</formula>
    </cfRule>
    <cfRule type="expression" priority="59" dxfId="2448">
      <formula>$N$806="Enter Percentages"</formula>
    </cfRule>
  </conditionalFormatting>
  <conditionalFormatting sqref="N807:O810">
    <cfRule type="expression" priority="56" dxfId="2445">
      <formula>$N$806="Drop Plan"</formula>
    </cfRule>
  </conditionalFormatting>
  <conditionalFormatting sqref="W807:W810">
    <cfRule type="expression" priority="53" dxfId="2449">
      <formula>$V$806="Enter Percentages"</formula>
    </cfRule>
    <cfRule type="expression" priority="55" dxfId="2448">
      <formula>$V$806="Enter Dollar Amount"</formula>
    </cfRule>
  </conditionalFormatting>
  <conditionalFormatting sqref="V807:V810">
    <cfRule type="expression" priority="52" dxfId="2449">
      <formula>$V$806="Enter Dollar Amount"</formula>
    </cfRule>
    <cfRule type="expression" priority="54" dxfId="2448">
      <formula>$V$806="Enter Percentages"</formula>
    </cfRule>
  </conditionalFormatting>
  <conditionalFormatting sqref="V807:W810">
    <cfRule type="expression" priority="51" dxfId="2445">
      <formula>$V$806="Drop Plan"</formula>
    </cfRule>
  </conditionalFormatting>
  <conditionalFormatting sqref="O817:O820">
    <cfRule type="expression" priority="48" dxfId="2449">
      <formula>$N$816="Enter Percentages"</formula>
    </cfRule>
    <cfRule type="expression" priority="50" dxfId="2448">
      <formula>$N$816="Enter Dollar Amount"</formula>
    </cfRule>
  </conditionalFormatting>
  <conditionalFormatting sqref="N817:N820">
    <cfRule type="expression" priority="47" dxfId="2449">
      <formula>$N$816="Enter Dollar Amount"</formula>
    </cfRule>
    <cfRule type="expression" priority="49" dxfId="2448">
      <formula>$N$816="Enter Percentages"</formula>
    </cfRule>
  </conditionalFormatting>
  <conditionalFormatting sqref="N817:O820">
    <cfRule type="expression" priority="46" dxfId="2445">
      <formula>$N$816="Drop Plan"</formula>
    </cfRule>
  </conditionalFormatting>
  <conditionalFormatting sqref="W817:W820">
    <cfRule type="expression" priority="43" dxfId="2449">
      <formula>$V$816="Enter Percentages"</formula>
    </cfRule>
    <cfRule type="expression" priority="45" dxfId="2448">
      <formula>$V$816="Enter Dollar Amount"</formula>
    </cfRule>
  </conditionalFormatting>
  <conditionalFormatting sqref="V817:V820">
    <cfRule type="expression" priority="42" dxfId="2449">
      <formula>$V$816="Enter Dollar Amount"</formula>
    </cfRule>
    <cfRule type="expression" priority="44" dxfId="2448">
      <formula>$V$816="Enter Percentages"</formula>
    </cfRule>
  </conditionalFormatting>
  <conditionalFormatting sqref="V817:W820">
    <cfRule type="expression" priority="41" dxfId="2445">
      <formula>$V$816="Drop Plan"</formula>
    </cfRule>
  </conditionalFormatting>
  <conditionalFormatting sqref="O827:O830">
    <cfRule type="expression" priority="38" dxfId="2449">
      <formula>$N$826="Enter Percentages"</formula>
    </cfRule>
    <cfRule type="expression" priority="40" dxfId="2448">
      <formula>$N$826="Enter Dollar Amount"</formula>
    </cfRule>
  </conditionalFormatting>
  <conditionalFormatting sqref="N827:N830">
    <cfRule type="expression" priority="37" dxfId="2449">
      <formula>$N$826="Enter Dollar Amount"</formula>
    </cfRule>
    <cfRule type="expression" priority="39" dxfId="2448">
      <formula>$N$826="Enter Percentages"</formula>
    </cfRule>
  </conditionalFormatting>
  <conditionalFormatting sqref="N827:O830">
    <cfRule type="expression" priority="36" dxfId="2445">
      <formula>$N$826="Drop Plan"</formula>
    </cfRule>
  </conditionalFormatting>
  <conditionalFormatting sqref="W827:W830">
    <cfRule type="expression" priority="33" dxfId="2449">
      <formula>$V$826="Enter Percentages"</formula>
    </cfRule>
    <cfRule type="expression" priority="35" dxfId="2448">
      <formula>$V$826="Enter Dollar Amount"</formula>
    </cfRule>
  </conditionalFormatting>
  <conditionalFormatting sqref="V827:V830">
    <cfRule type="expression" priority="32" dxfId="2449">
      <formula>$V$826="Enter Dollar Amount"</formula>
    </cfRule>
    <cfRule type="expression" priority="34" dxfId="2448">
      <formula>$V$826="Enter Percentages"</formula>
    </cfRule>
  </conditionalFormatting>
  <conditionalFormatting sqref="V827:W830">
    <cfRule type="expression" priority="31" dxfId="2445">
      <formula>$V$826="Drop Plan"</formula>
    </cfRule>
  </conditionalFormatting>
  <conditionalFormatting sqref="O837:O840">
    <cfRule type="expression" priority="28" dxfId="2449">
      <formula>$N$836="Enter Percentages"</formula>
    </cfRule>
    <cfRule type="expression" priority="30" dxfId="2448">
      <formula>$N$836="Enter Dollar Amount"</formula>
    </cfRule>
  </conditionalFormatting>
  <conditionalFormatting sqref="N837:N840">
    <cfRule type="expression" priority="27" dxfId="2449">
      <formula>$N$836="Enter Dollar Amount"</formula>
    </cfRule>
    <cfRule type="expression" priority="29" dxfId="2448">
      <formula>$N$836="Enter Percentages"</formula>
    </cfRule>
  </conditionalFormatting>
  <conditionalFormatting sqref="N837:O840">
    <cfRule type="expression" priority="26" dxfId="2445">
      <formula>$N$836="Drop Plan"</formula>
    </cfRule>
  </conditionalFormatting>
  <conditionalFormatting sqref="W837:W840">
    <cfRule type="expression" priority="23" dxfId="2449">
      <formula>$V$836="Enter Percentages"</formula>
    </cfRule>
    <cfRule type="expression" priority="25" dxfId="2448">
      <formula>$V$836="Enter Dollar Amount"</formula>
    </cfRule>
  </conditionalFormatting>
  <conditionalFormatting sqref="V837:V840">
    <cfRule type="expression" priority="22" dxfId="2449">
      <formula>$V$836="Enter Dollar Amount"</formula>
    </cfRule>
    <cfRule type="expression" priority="24" dxfId="2448">
      <formula>$V$836="Enter Percentages"</formula>
    </cfRule>
  </conditionalFormatting>
  <conditionalFormatting sqref="V837:W840">
    <cfRule type="expression" priority="21" dxfId="2445">
      <formula>$V$836="Drop Plan"</formula>
    </cfRule>
  </conditionalFormatting>
  <conditionalFormatting sqref="O847:O850">
    <cfRule type="expression" priority="18" dxfId="2449">
      <formula>$N$846="Enter Percentages"</formula>
    </cfRule>
    <cfRule type="expression" priority="20" dxfId="2448">
      <formula>$N$846="Enter Dollar Amount"</formula>
    </cfRule>
  </conditionalFormatting>
  <conditionalFormatting sqref="N847:N850">
    <cfRule type="expression" priority="17" dxfId="2449">
      <formula>$N$846="Enter Dollar Amount"</formula>
    </cfRule>
    <cfRule type="expression" priority="19" dxfId="2448">
      <formula>$N$846="Enter Percentages"</formula>
    </cfRule>
  </conditionalFormatting>
  <conditionalFormatting sqref="N847:O850">
    <cfRule type="expression" priority="16" dxfId="2445">
      <formula>$N$846="Drop Plan"</formula>
    </cfRule>
  </conditionalFormatting>
  <conditionalFormatting sqref="W847:W850">
    <cfRule type="expression" priority="13" dxfId="2449">
      <formula>$V$846="Enter Percentages"</formula>
    </cfRule>
    <cfRule type="expression" priority="15" dxfId="2448">
      <formula>$V$846="Enter Dollar Amount"</formula>
    </cfRule>
  </conditionalFormatting>
  <conditionalFormatting sqref="V847:V850">
    <cfRule type="expression" priority="12" dxfId="2449">
      <formula>$V$846="Enter Dollar Amount"</formula>
    </cfRule>
    <cfRule type="expression" priority="14" dxfId="2448">
      <formula>$V$846="Enter Percentages"</formula>
    </cfRule>
  </conditionalFormatting>
  <conditionalFormatting sqref="V847:W850">
    <cfRule type="expression" priority="11" dxfId="2445">
      <formula>$V$846="Drop Plan"</formula>
    </cfRule>
  </conditionalFormatting>
  <conditionalFormatting sqref="O857:O860">
    <cfRule type="expression" priority="8" dxfId="2449">
      <formula>$N$856="Enter Percentages"</formula>
    </cfRule>
    <cfRule type="expression" priority="10" dxfId="2448">
      <formula>$N$856="Enter Dollar Amount"</formula>
    </cfRule>
  </conditionalFormatting>
  <conditionalFormatting sqref="N857:N860">
    <cfRule type="expression" priority="7" dxfId="2449">
      <formula>$N$856="Enter Dollar Amount"</formula>
    </cfRule>
    <cfRule type="expression" priority="9" dxfId="2448">
      <formula>$N$856="Enter Percentages"</formula>
    </cfRule>
  </conditionalFormatting>
  <conditionalFormatting sqref="N857:O860">
    <cfRule type="expression" priority="6" dxfId="2445">
      <formula>$N$856="Drop Plan"</formula>
    </cfRule>
  </conditionalFormatting>
  <conditionalFormatting sqref="W857:W860">
    <cfRule type="expression" priority="3" dxfId="2449">
      <formula>$V$856="Enter Percentages"</formula>
    </cfRule>
    <cfRule type="expression" priority="5" dxfId="2448">
      <formula>$V$856="Enter Dollar Amount"</formula>
    </cfRule>
  </conditionalFormatting>
  <conditionalFormatting sqref="V857:V860">
    <cfRule type="expression" priority="2" dxfId="2449">
      <formula>$V$856="Enter Dollar Amount"</formula>
    </cfRule>
    <cfRule type="expression" priority="4" dxfId="2448">
      <formula>$V$856="Enter Percentages"</formula>
    </cfRule>
  </conditionalFormatting>
  <conditionalFormatting sqref="V857:W860">
    <cfRule type="expression" priority="1" dxfId="2445">
      <formula>$V$856="Drop Plan"</formula>
    </cfRule>
  </conditionalFormatting>
  <dataValidations count="8">
    <dataValidation type="list" allowBlank="1" showInputMessage="1" showErrorMessage="1" sqref="N14 V14 N64 V64 N114 V114 N164 V164 N214 V214 N264 V264 N314 V314 N364 V364 N414 V414 N464 V464 N514 V514 N564 V564 N614 V614 N665 V665 N675 V675 N685 V685 N695 V695 N705 V705 N715 V715 N725 V725 N735 V735 N745 V745 N755 V755 N766 V766 N776 V776 N786 V786 N796 V796 N806 V806 N816 V816 N826 V826 N836 V836 N846 V846 N856 V856">
      <formula1>"[Contribution Methods],Keep Contribution Same,Keep Percentage Same,Enter Dollar Amount,Enter Percentages,Drop Plan"</formula1>
    </dataValidation>
    <dataValidation type="list" allowBlank="1" showInputMessage="1" showErrorMessage="1" sqref="F876 F878:F879">
      <formula1>"Yes,No"</formula1>
    </dataValidation>
    <dataValidation type="list" allowBlank="1" showInputMessage="1" showErrorMessage="1" sqref="L14 T14 L64 T64 L114 T114 L164 T164 L214 T214 L264 T264 L314 T314 L364 T364 L414 T414 L464 T464 L514 T514 L564 T564 L614 T614">
      <formula1>'Health Summary'!$B$5:$AK$5</formula1>
    </dataValidation>
    <dataValidation type="list" allowBlank="1" showInputMessage="1" showErrorMessage="1" sqref="L665 T665 L675 T675 L685 T685 L695 T695 L705 T705 L715 T715 L725 T725 L735 T735 L745 T745 L755 T755">
      <formula1>'Dental Summary'!$B$5:$AK$5</formula1>
    </dataValidation>
    <dataValidation type="list" allowBlank="1" showInputMessage="1" showErrorMessage="1" sqref="L766 T766 L776 T776 L786 T786 L796 T796 L806 T806 L816 T816 L826 T826 L836 T836 L846 T846 L856 T856">
      <formula1>'Vision Summary'!$B$5:$AK$5</formula1>
    </dataValidation>
    <dataValidation type="list" allowBlank="1" showInputMessage="1" showErrorMessage="1" sqref="N879:O879">
      <formula1>'Life Summary'!$B$6:$W$6</formula1>
    </dataValidation>
    <dataValidation type="list" allowBlank="1" showInputMessage="1" showErrorMessage="1" sqref="N877:O877">
      <formula1>'LTD Summary'!$B$5:$W$5</formula1>
    </dataValidation>
    <dataValidation type="list" allowBlank="1" showInputMessage="1" showErrorMessage="1" sqref="N878:O878">
      <formula1>'STD Summary'!$B$5:$W$5</formula1>
    </dataValidation>
  </dataValidations>
  <hyperlinks>
    <hyperlink ref="E4" location="Class1_Health_Section" display="Medical"/>
    <hyperlink ref="E5" location="Class3_HealthSection" display="Dental"/>
    <hyperlink ref="E4:R4" location="Class3_HealthSection" display="Medical"/>
    <hyperlink ref="E5:R5" location="Class3_DentalSection" display="Dental"/>
    <hyperlink ref="E6:R6" location="Class3_VisionSection" display="Vision"/>
    <hyperlink ref="E7:R7" location="Class3_LifeSection" display="Life / Disability"/>
  </hyperlinks>
  <pageMargins left="0.25" right="0.25" top="0.5" bottom="0.25" header="0.3" footer="0.3"/>
  <pageSetup fitToHeight="0" orientation="landscape" paperSize="1" scale="33" r:id="rId4"/>
  <drawing r:id="rId2"/>
  <legacyDrawing r:id="rId3"/>
  <mc:AlternateContent xmlns:mc="http://schemas.openxmlformats.org/markup-compatibility/2006">
    <mc:Choice Requires="x14">
      <controls>
        <mc:AlternateContent xmlns:mc="http://schemas.openxmlformats.org/markup-compatibility/2006">
          <mc:Choice Requires="x14">
            <control shapeId="10244" r:id="rId1" name="Button 4">
              <controlPr defaultSize="0" print="0" autoLine="0" autoPict="0" macro="[0]!Loc">
                <anchor moveWithCells="1" sizeWithCells="1">
                  <from>
                    <xdr:col>2</xdr:col>
                    <xdr:colOff>31750</xdr:colOff>
                    <xdr:row>9</xdr:row>
                    <xdr:rowOff>222250</xdr:rowOff>
                  </from>
                  <to>
                    <xdr:col>2</xdr:col>
                    <xdr:colOff>609600</xdr:colOff>
                    <xdr:row>11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222EE914-39D5-458E-BDCE-AB0A4B3484B8}">
  <sheetPr codeName="Sheet4">
    <pageSetUpPr fitToPage="1"/>
  </sheetPr>
  <dimension ref="A1:EJ1834"/>
  <sheetViews>
    <sheetView showGridLines="0" zoomScale="70" zoomScaleNormal="70" workbookViewId="0" topLeftCell="C1">
      <pane ySplit="12" topLeftCell="A13" activePane="bottomLeft" state="frozen"/>
      <selection pane="topLeft" activeCell="E15" sqref="E15"/>
      <selection pane="bottomLeft" activeCell="L15" sqref="L15"/>
    </sheetView>
  </sheetViews>
  <sheetFormatPr defaultColWidth="9.29333333333333" defaultRowHeight="13"/>
  <cols>
    <col min="1" max="2" width="3.33333333333333" style="1" hidden="1" customWidth="1"/>
    <col min="3" max="3" width="10.8333333333333" style="141" bestFit="1" customWidth="1"/>
    <col min="4" max="4" width="45.8333333333333" style="142" customWidth="1"/>
    <col min="5" max="5" width="18.8333333333333" style="142" customWidth="1"/>
    <col min="6" max="8" width="18.8333333333333" style="4" customWidth="1"/>
    <col min="9" max="9" width="18.8333333333333" style="254" customWidth="1"/>
    <col min="10" max="10" width="20.8333333333333" style="4" customWidth="1"/>
    <col min="11" max="11" width="1.66666666666667" style="4" customWidth="1"/>
    <col min="12" max="12" width="20.1666666666667" style="4" customWidth="1"/>
    <col min="13" max="13" width="18.8333333333333" style="4" customWidth="1"/>
    <col min="14" max="14" width="18.8333333333333" style="252" customWidth="1"/>
    <col min="15" max="17" width="18.8333333333333" style="4" customWidth="1"/>
    <col min="18" max="18" width="20.8333333333333" style="4" customWidth="1"/>
    <col min="19" max="19" width="1.16666666666667" style="1" customWidth="1"/>
    <col min="20" max="20" width="20.1666666666667" style="1" customWidth="1"/>
    <col min="21" max="25" width="18.8333333333333" style="1" customWidth="1"/>
    <col min="26" max="26" width="20.8333333333333" style="1" customWidth="1"/>
    <col min="27" max="27" width="2.5" style="1" customWidth="1"/>
    <col min="28" max="28" width="37.5" bestFit="1" customWidth="1"/>
    <col min="29" max="29" width="24.6666666666667" customWidth="1"/>
    <col min="30" max="31" width="1" customWidth="1"/>
    <col min="32" max="32" width="24.6666666666667" customWidth="1"/>
    <col min="33" max="33" width="0.333333333333333" customWidth="1"/>
    <col min="34" max="34" width="24.6666666666667" customWidth="1"/>
    <col min="141" max="16384" width="9.33333333333333" style="1"/>
  </cols>
  <sheetData>
    <row r="1" spans="1:25" ht="28.5" customHeight="1">
      <c r="A1" s="140"/>
      <c r="B1" s="140"/>
      <c r="E1"/>
      <c r="F1"/>
      <c r="G1"/>
      <c r="H1"/>
      <c r="I1"/>
      <c r="J1"/>
      <c r="K1"/>
      <c r="L1"/>
      <c r="M1"/>
      <c r="N1"/>
      <c r="O1"/>
      <c r="P1"/>
      <c r="Q1"/>
      <c r="R1"/>
      <c r="V1" s="118"/>
      <c r="W1" s="119"/>
      <c r="X1" s="118"/>
      <c r="Y1" s="118"/>
    </row>
    <row r="2" spans="1:25" ht="18" customHeight="1" thickBot="1">
      <c r="A2" s="140"/>
      <c r="B2" s="140"/>
      <c r="D2" s="143"/>
      <c r="E2"/>
      <c r="F2"/>
      <c r="G2"/>
      <c r="H2"/>
      <c r="I2"/>
      <c r="J2"/>
      <c r="K2"/>
      <c r="L2"/>
      <c r="M2"/>
      <c r="N2"/>
      <c r="O2"/>
      <c r="P2"/>
      <c r="Q2"/>
      <c r="R2"/>
      <c r="S2" s="144"/>
      <c r="V2" s="118"/>
      <c r="W2" s="119"/>
      <c r="X2" s="118"/>
      <c r="Y2" s="118"/>
    </row>
    <row r="3" spans="1:26" ht="25" customHeight="1" thickBot="1">
      <c r="A3" s="140"/>
      <c r="B3" s="140"/>
      <c r="D3" s="143"/>
      <c r="E3" s="504" t="str">
        <f>Client_Name&amp;" ("&amp;Client_Number&amp;") "&amp;Benefit_Year_Display&amp;" Renewal Rates"</f>
        <v>QUESTCO TEST (102) 2025 Renewal Rates</v>
      </c>
      <c r="F3" s="504"/>
      <c r="G3" s="504"/>
      <c r="H3" s="504"/>
      <c r="I3" s="504"/>
      <c r="J3" s="504"/>
      <c r="K3" s="504"/>
      <c r="L3" s="504"/>
      <c r="M3" s="504"/>
      <c r="N3" s="504"/>
      <c r="O3" s="504"/>
      <c r="P3" s="504"/>
      <c r="Q3" s="504"/>
      <c r="R3" s="504"/>
      <c r="S3" s="145"/>
      <c r="T3" s="498" t="s">
        <v>212</v>
      </c>
      <c r="U3" s="499"/>
      <c r="V3" s="496" t="s">
        <v>213</v>
      </c>
      <c r="W3" s="496"/>
      <c r="X3" s="496"/>
      <c r="Y3" s="496"/>
      <c r="Z3" s="497"/>
    </row>
    <row r="4" spans="1:26" ht="25.5" customHeight="1">
      <c r="A4" s="140"/>
      <c r="B4" s="140"/>
      <c r="D4" s="143"/>
      <c r="E4" s="533" t="s">
        <v>214</v>
      </c>
      <c r="F4" s="533"/>
      <c r="G4" s="533"/>
      <c r="H4" s="533"/>
      <c r="I4" s="533"/>
      <c r="J4" s="533"/>
      <c r="K4" s="533"/>
      <c r="L4" s="533"/>
      <c r="M4" s="533"/>
      <c r="N4" s="533"/>
      <c r="O4" s="533"/>
      <c r="P4" s="533"/>
      <c r="Q4" s="533"/>
      <c r="R4" s="533"/>
      <c r="S4" s="145"/>
      <c r="T4" s="393"/>
      <c r="U4" s="394"/>
      <c r="V4" s="492" t="s">
        <v>215</v>
      </c>
      <c r="W4" s="493"/>
      <c r="X4" s="500" t="s">
        <v>216</v>
      </c>
      <c r="Y4" s="501"/>
      <c r="Z4" s="395" t="s">
        <v>217</v>
      </c>
    </row>
    <row r="5" spans="1:26" ht="18" customHeight="1">
      <c r="A5" s="140"/>
      <c r="B5" s="140"/>
      <c r="D5" s="143"/>
      <c r="E5" s="533" t="s">
        <v>39</v>
      </c>
      <c r="F5" s="533"/>
      <c r="G5" s="533"/>
      <c r="H5" s="533"/>
      <c r="I5" s="533"/>
      <c r="J5" s="533"/>
      <c r="K5" s="533"/>
      <c r="L5" s="533"/>
      <c r="M5" s="533"/>
      <c r="N5" s="533"/>
      <c r="O5" s="533"/>
      <c r="P5" s="533"/>
      <c r="Q5" s="533"/>
      <c r="R5" s="533"/>
      <c r="T5" s="396" t="s">
        <v>218</v>
      </c>
      <c r="U5" s="397"/>
      <c r="V5" s="494">
        <f ca="1">IFERROR(IF(F20="",0,F20)+IF(F70="",0,F70)+IF(F120="",0,F120)+IF(F170="",0,F170)+IF(F220="",0,F220)+IF(F270="",0,F270)+IF(F320="",0,F320)+IF(F370="",0,F370)+IF(F420="",0,F420)+IF(F470="",0,F470)+IF(F520="",0,F520)+IF(F570="",0,F570)+IF(F620="",0,F620),"")</f>
        <v>0</v>
      </c>
      <c r="W5" s="495"/>
      <c r="X5" s="502">
        <f ca="1">IFERROR(IF(L20="",0,L20)+IF(L70="",0,L70)+IF(L120="",0,L120)+IF(L170="",0,L170)+IF(L220="",0,L220)+IF(L270="",0,L270)+IF(L320="",0,L320)+IF(L370="",0,L370)+IF(L420="",0,L420)+IF(L470="",0,L470)+IF(L520="",0,L520)+IF(L570="",0,L570)+IF(L620="",0,L620),"")</f>
        <v>0</v>
      </c>
      <c r="Y5" s="503"/>
      <c r="Z5" s="398">
        <f ca="1">IFERROR(IF(T20="",0,T20)+IF(T70="",0,T70)+IF(T120="",0,T120)+IF(T170="",0,T170)+IF(T220="",0,T220)+IF(T270="",0,T270)+IF(T320="",0,T320)+IF(T370="",0,T370)+IF(T420="",0,T420)+IF(T470="",0,T470)+IF(T520="",0,T520)+IF(T570="",0,T570)+IF(T620="",0,T620),"")</f>
        <v>0</v>
      </c>
    </row>
    <row r="6" spans="1:26" ht="18" customHeight="1">
      <c r="A6" s="140"/>
      <c r="B6" s="140"/>
      <c r="D6" s="143"/>
      <c r="E6" s="533" t="s">
        <v>40</v>
      </c>
      <c r="F6" s="533"/>
      <c r="G6" s="533"/>
      <c r="H6" s="533"/>
      <c r="I6" s="533"/>
      <c r="J6" s="533"/>
      <c r="K6" s="533"/>
      <c r="L6" s="533"/>
      <c r="M6" s="533"/>
      <c r="N6" s="533"/>
      <c r="O6" s="533"/>
      <c r="P6" s="533"/>
      <c r="Q6" s="533"/>
      <c r="R6" s="533"/>
      <c r="T6" s="399" t="s">
        <v>219</v>
      </c>
      <c r="U6" s="400"/>
      <c r="V6" s="477">
        <f ca="1">IFERROR(Current_Medical_EE_Count,"")</f>
        <v>0</v>
      </c>
      <c r="W6" s="478"/>
      <c r="X6" s="477">
        <f ca="1">IFERROR(Renewal_Medical_EE_Count,"")</f>
        <v>0</v>
      </c>
      <c r="Y6" s="478"/>
      <c r="Z6" s="401">
        <f ca="1">IFERROR(Alternate_Medical_EE_Count,"")</f>
        <v>0</v>
      </c>
    </row>
    <row r="7" spans="1:26" ht="18" customHeight="1">
      <c r="A7" s="140"/>
      <c r="B7" s="140"/>
      <c r="D7" s="143"/>
      <c r="E7" s="533" t="s">
        <v>220</v>
      </c>
      <c r="F7" s="533"/>
      <c r="G7" s="533"/>
      <c r="H7" s="533"/>
      <c r="I7" s="533"/>
      <c r="J7" s="533"/>
      <c r="K7" s="533"/>
      <c r="L7" s="533"/>
      <c r="M7" s="533"/>
      <c r="N7" s="533"/>
      <c r="O7" s="533"/>
      <c r="P7" s="533"/>
      <c r="Q7" s="533"/>
      <c r="R7" s="533"/>
      <c r="T7" s="402" t="s">
        <v>221</v>
      </c>
      <c r="U7" s="406"/>
      <c r="V7" s="487" t="s">
        <v>222</v>
      </c>
      <c r="W7" s="488"/>
      <c r="X7" s="479">
        <f ca="1">IFERROR(IF(V5="","",X5-V5),0)</f>
        <v>0</v>
      </c>
      <c r="Y7" s="480"/>
      <c r="Z7" s="398">
        <f ca="1">IFERROR(IF(V5="","",Z5-V5),0)</f>
        <v>0</v>
      </c>
    </row>
    <row r="8" spans="1:26" ht="18" customHeight="1" thickBot="1">
      <c r="A8" s="140"/>
      <c r="B8" s="140"/>
      <c r="D8" s="143"/>
      <c r="E8" s="143"/>
      <c r="F8" s="145"/>
      <c r="G8" s="145"/>
      <c r="H8" s="145"/>
      <c r="I8" s="145"/>
      <c r="J8" s="145"/>
      <c r="K8" s="145"/>
      <c r="L8" s="145"/>
      <c r="M8" s="145"/>
      <c r="N8" s="145"/>
      <c r="O8" s="145"/>
      <c r="P8" s="145"/>
      <c r="Q8" s="145"/>
      <c r="R8" s="145"/>
      <c r="T8" s="403" t="s">
        <v>223</v>
      </c>
      <c r="U8" s="404"/>
      <c r="V8" s="489" t="s">
        <v>222</v>
      </c>
      <c r="W8" s="490"/>
      <c r="X8" s="481">
        <f ca="1">IFERROR(IF(X5="","",(X5/V5)-1),0)</f>
        <v>0</v>
      </c>
      <c r="Y8" s="482"/>
      <c r="Z8" s="405">
        <f ca="1">IFERROR(IF(Z5="","",(Z5/V5)-1),0)</f>
        <v>0</v>
      </c>
    </row>
    <row r="9" spans="1:140" s="151" customFormat="1" ht="18" customHeight="1">
      <c r="A9" s="140"/>
      <c r="B9" s="140"/>
      <c r="C9" s="141"/>
      <c r="D9" s="143"/>
      <c r="E9" s="143"/>
      <c r="F9" s="145"/>
      <c r="G9" s="145"/>
      <c r="H9" s="145"/>
      <c r="I9" s="145"/>
      <c r="J9" s="145"/>
      <c r="K9" s="145"/>
      <c r="L9" s="145"/>
      <c r="M9" s="145"/>
      <c r="N9" s="145"/>
      <c r="O9" s="145"/>
      <c r="P9" s="145"/>
      <c r="Q9" s="145"/>
      <c r="R9" s="145"/>
      <c r="S9" s="1"/>
      <c r="T9" s="2"/>
      <c r="U9" s="146"/>
      <c r="V9" s="146"/>
      <c r="W9" s="147"/>
      <c r="X9" s="148"/>
      <c r="Y9" s="147"/>
      <c r="Z9" s="148"/>
      <c r="AA9" s="1"/>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row>
    <row r="10" spans="1:27" ht="18" customHeight="1">
      <c r="A10" s="149"/>
      <c r="B10" s="149"/>
      <c r="C10"/>
      <c r="D10"/>
      <c r="E10"/>
      <c r="F10"/>
      <c r="G10"/>
      <c r="H10"/>
      <c r="I10"/>
      <c r="J10"/>
      <c r="K10" s="150"/>
      <c r="L10" s="483"/>
      <c r="M10" s="483"/>
      <c r="N10" s="483"/>
      <c r="O10" s="483"/>
      <c r="P10" s="483"/>
      <c r="Q10" s="483"/>
      <c r="R10" s="483"/>
      <c r="S10" s="151"/>
      <c r="T10" s="483"/>
      <c r="U10" s="483"/>
      <c r="V10" s="483"/>
      <c r="W10" s="483"/>
      <c r="X10" s="483"/>
      <c r="Y10" s="483"/>
      <c r="Z10" s="483"/>
      <c r="AA10" s="151"/>
    </row>
    <row r="11" spans="1:140" s="159" customFormat="1" ht="18" customHeight="1">
      <c r="A11" s="140"/>
      <c r="B11" s="140"/>
      <c r="C11"/>
      <c r="D11"/>
      <c r="E11" s="483" t="s">
        <v>224</v>
      </c>
      <c r="F11" s="483"/>
      <c r="G11" s="483"/>
      <c r="H11" s="483"/>
      <c r="I11" s="483"/>
      <c r="J11" s="483"/>
      <c r="K11" s="152"/>
      <c r="L11" s="483" t="s">
        <v>225</v>
      </c>
      <c r="M11" s="483"/>
      <c r="N11" s="483"/>
      <c r="O11" s="483"/>
      <c r="P11" s="483"/>
      <c r="Q11" s="483"/>
      <c r="R11" s="483"/>
      <c r="S11" s="1"/>
      <c r="T11" s="483" t="s">
        <v>226</v>
      </c>
      <c r="U11" s="483"/>
      <c r="V11" s="483"/>
      <c r="W11" s="483"/>
      <c r="X11" s="483"/>
      <c r="Y11" s="483"/>
      <c r="Z11" s="483"/>
      <c r="AA11" s="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row>
    <row r="12" spans="1:140" s="162" customFormat="1" ht="60" customHeight="1" thickBot="1">
      <c r="A12" s="153"/>
      <c r="B12" s="153"/>
      <c r="C12" s="154" t="s">
        <v>227</v>
      </c>
      <c r="D12" s="467" t="str">
        <f>IF(Class4_Name=0,"",Class4_Name)</f>
        <v/>
      </c>
      <c r="E12" s="155" t="str">
        <f>"Employee Count (as of "&amp;TEXT(CountsAsOfDate,"MM/DD/YY")&amp;")"</f>
        <v>Employee Count (as of 08/01/24)</v>
      </c>
      <c r="F12" s="156" t="str">
        <f>"CurrentRates"&amp;Benefit_Year_Display-1</f>
        <v>CurrentRates2024</v>
      </c>
      <c r="G12" s="156" t="s">
        <v>228</v>
      </c>
      <c r="H12" s="156" t="s">
        <v>229</v>
      </c>
      <c r="I12" s="155" t="s">
        <v>230</v>
      </c>
      <c r="J12" s="156" t="s">
        <v>231</v>
      </c>
      <c r="K12" s="157"/>
      <c r="L12" s="158" t="str">
        <f>"Rates Effective 1/1/"&amp;Benefit_Year_Display</f>
        <v>Rates Effective 1/1/2025</v>
      </c>
      <c r="M12" s="158" t="s">
        <v>232</v>
      </c>
      <c r="N12" s="116" t="s">
        <v>233</v>
      </c>
      <c r="O12" s="116" t="s">
        <v>234</v>
      </c>
      <c r="P12" s="158" t="str">
        <f>"Employer Contribution "&amp;Benefit_Year_Display</f>
        <v>Employer Contribution 2025</v>
      </c>
      <c r="Q12" s="158" t="str">
        <f>"Employee Contribution "&amp;Benefit_Year_Display</f>
        <v>Employee Contribution 2025</v>
      </c>
      <c r="R12" s="158" t="s">
        <v>231</v>
      </c>
      <c r="S12" s="159"/>
      <c r="T12" s="160" t="str">
        <f>"Rates Effective 1/1/"&amp;Benefit_Year_Display</f>
        <v>Rates Effective 1/1/2025</v>
      </c>
      <c r="U12" s="160" t="s">
        <v>232</v>
      </c>
      <c r="V12" s="117" t="s">
        <v>233</v>
      </c>
      <c r="W12" s="117" t="s">
        <v>234</v>
      </c>
      <c r="X12" s="160" t="str">
        <f>"Employer Contribution "&amp;Benefit_Year_Display</f>
        <v>Employer Contribution 2025</v>
      </c>
      <c r="Y12" s="160" t="str">
        <f>"Employee Contribution "&amp;Benefit_Year_Display</f>
        <v>Employee Contribution 2025</v>
      </c>
      <c r="Z12" s="160" t="s">
        <v>231</v>
      </c>
      <c r="AA12" s="159"/>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row>
    <row r="13" spans="1:27" ht="38.25" customHeight="1" thickBot="1">
      <c r="A13" s="153"/>
      <c r="B13" s="153"/>
      <c r="C13" s="161"/>
      <c r="D13" s="474" t="s">
        <v>235</v>
      </c>
      <c r="E13" s="475"/>
      <c r="F13" s="475"/>
      <c r="G13" s="475"/>
      <c r="H13" s="475"/>
      <c r="I13" s="475"/>
      <c r="J13" s="475"/>
      <c r="K13" s="475"/>
      <c r="L13" s="475"/>
      <c r="M13" s="475"/>
      <c r="N13" s="475"/>
      <c r="O13" s="475"/>
      <c r="P13" s="475"/>
      <c r="Q13" s="475"/>
      <c r="R13" s="476"/>
      <c r="S13" s="162"/>
      <c r="T13" s="163"/>
      <c r="U13" s="163"/>
      <c r="V13" s="163"/>
      <c r="W13" s="163"/>
      <c r="X13" s="163"/>
      <c r="Y13" s="163"/>
      <c r="Z13" s="163"/>
      <c r="AA13" s="162"/>
    </row>
    <row r="14" spans="1:26" ht="50.15" customHeight="1">
      <c r="A14" s="140">
        <v>1</v>
      </c>
      <c r="B14" s="140" t="str">
        <f>IF(A14&gt;Class4_CurrentHealthCount,"DELETE",Class4_CurrentHealthStart+A14)</f>
        <v>DELETE</v>
      </c>
      <c r="C14" s="164" t="s">
        <v>236</v>
      </c>
      <c r="D14" s="273" t="str">
        <f>IF(B14="Delete","",VLOOKUP(F14,BEGIN_CURRENT_HEALTH:END_CURRENT_HEALTH,3,FALSE))</f>
        <v/>
      </c>
      <c r="E14" s="165"/>
      <c r="F14" s="320" t="str" cm="1">
        <f t="array" ca="1" aca="1" ref="F14">IF(B14="Delete","",INDIRECT("CurrentPlans!A"&amp;B14,TRUE))</f>
        <v/>
      </c>
      <c r="G14" s="166"/>
      <c r="H14" s="167"/>
      <c r="I14" s="168"/>
      <c r="J14" s="169"/>
      <c r="K14"/>
      <c r="L14" s="274" t="str">
        <f ca="1">_xlfn.IFNA(VLOOKUP(F14,BEGIN_RENEWEDFROM_HEALTH:ROW_RenewHealth_PlanID,3,FALSE),"SELECT PLAN")</f>
        <v>SELECT PLAN</v>
      </c>
      <c r="M14" s="170"/>
      <c r="N14" s="274" t="s">
        <v>237</v>
      </c>
      <c r="O14" s="171"/>
      <c r="P14" s="171"/>
      <c r="Q14" s="171"/>
      <c r="R14" s="169"/>
      <c r="T14" s="274" t="s">
        <v>38</v>
      </c>
      <c r="U14" s="170"/>
      <c r="V14" s="274" t="s">
        <v>237</v>
      </c>
      <c r="W14" s="171"/>
      <c r="X14" s="171"/>
      <c r="Y14" s="171"/>
      <c r="Z14" s="169"/>
    </row>
    <row r="15" spans="1:26" ht="18.75" customHeight="1">
      <c r="A15" s="140"/>
      <c r="B15" s="140"/>
      <c r="D15" s="172" t="s">
        <v>238</v>
      </c>
      <c r="E15" s="407" t="str">
        <f ca="1">_xlfn.IFNA(VLOOKUP(F14,BEGIN_CURRENT_HEALTH:END_CURRENT_HEALTH,CURRENT_COL_EO_count,FALSE),"")</f>
        <v/>
      </c>
      <c r="F15" s="408" t="str">
        <f ca="1">_xlfn.IFNA(VLOOKUP(F14,BEGIN_CURRENT_HEALTH:END_CURRENT_HEALTH,CURRENT_COL_EO,FALSE),"")</f>
        <v/>
      </c>
      <c r="G15" s="468" t="str">
        <f ca="1" t="shared" si="0" ref="G15:G18">IF(F15="","",H15/F15)</f>
        <v/>
      </c>
      <c r="H15" s="408" t="str">
        <f ca="1">_xlfn.IFNA(VLOOKUP(F14,BEGIN_CURRENT_HEALTH:END_CURRENT_HEALTH,CURRENT_COL_EOContrib,FALSE),"")</f>
        <v/>
      </c>
      <c r="I15" s="409" t="str">
        <f ca="1">IFERROR(F15-H15,"")</f>
        <v/>
      </c>
      <c r="J15" s="410" t="str">
        <f ca="1">IF(F15="","",H15*E15)</f>
        <v/>
      </c>
      <c r="K15" s="411"/>
      <c r="L15" s="408" t="str" cm="1">
        <f t="array" ca="1" aca="1" ref="L15">_xlfn.IFNA(VLOOKUP(INDIRECT("L"&amp;ROW()-1)&amp;"_"&amp;$D$12,BEGIN_RENEW_HEALTH:END_RENEW_HEALTH,RENEW_COL_EO,FALSE),"")</f>
        <v/>
      </c>
      <c r="M15" s="412" t="str">
        <f ca="1">IF(E15="","",E15)</f>
        <v/>
      </c>
      <c r="N15" s="413"/>
      <c r="O15" s="414"/>
      <c r="P15" s="415" t="str">
        <f>IFERROR(IF($N14="Keep Contribution Same",H15,IF($N14="Enter Percentages",IF(N15="","",N15*L15),IF($N14="Keep Percentage Same",IF(G15="","",G15*L15),IF($N14="Enter Dollar Amount",IF(O15="","",O15),"")))),"")</f>
        <v/>
      </c>
      <c r="Q15" s="408" t="str">
        <f ca="1">IFERROR(L15-P15,"")</f>
        <v/>
      </c>
      <c r="R15" s="410" t="str">
        <f>IFERROR(IF(P15="","",M15*P15),"")</f>
        <v/>
      </c>
      <c r="S15" s="411"/>
      <c r="T15" s="408" t="str" cm="1">
        <f t="array" ca="1" aca="1" ref="T15">_xlfn.IFNA(VLOOKUP(INDIRECT("T"&amp;ROW()-1)&amp;"_"&amp;$D$12,BEGIN_RENEW_HEALTH:END_RENEW_HEALTH,RENEW_COL_EO,FALSE),"")</f>
        <v/>
      </c>
      <c r="U15" s="412" t="str">
        <f ca="1">IF(E15="","",E15)</f>
        <v/>
      </c>
      <c r="V15" s="413"/>
      <c r="W15" s="414"/>
      <c r="X15" s="415" t="str">
        <f>IFERROR(IF($V14="Keep Contribution Same",H15,IF($V14="Enter Percentages",IF(V15="","",V15*T15),IF($V14="Keep Percentage Same",IF(G15="","",G15*T15),IF($V14="Enter Dollar Amount",IF(W15="","",W15),"")))),"")</f>
        <v/>
      </c>
      <c r="Y15" s="408" t="str">
        <f ca="1">IFERROR(T15-X15,"")</f>
        <v/>
      </c>
      <c r="Z15" s="410" t="str">
        <f>IFERROR(IF(X15="","",U15*X15),"")</f>
        <v/>
      </c>
    </row>
    <row r="16" spans="1:26" ht="18.75" customHeight="1">
      <c r="A16" s="140"/>
      <c r="B16" s="140"/>
      <c r="D16" s="172" t="s">
        <v>239</v>
      </c>
      <c r="E16" s="407" t="str">
        <f ca="1">_xlfn.IFNA(VLOOKUP(F14,BEGIN_CURRENT_HEALTH:END_CURRENT_HEALTH,CURRENT_COL_ES_count,FALSE),"")</f>
        <v/>
      </c>
      <c r="F16" s="408" t="str">
        <f ca="1">_xlfn.IFNA(VLOOKUP(F14,BEGIN_CURRENT_HEALTH:END_CURRENT_HEALTH,CURRENT_COL_ES,FALSE),"")</f>
        <v/>
      </c>
      <c r="G16" s="468" t="str">
        <f t="shared" ca="1" si="0"/>
        <v/>
      </c>
      <c r="H16" s="408" t="str">
        <f ca="1">_xlfn.IFNA(VLOOKUP(F14,BEGIN_CURRENT_HEALTH:END_CURRENT_HEALTH,CURRENT_COL_ESContrib,FALSE),"")</f>
        <v/>
      </c>
      <c r="I16" s="409" t="str">
        <f ca="1" t="shared" si="1" ref="I16:I18">IFERROR(F16-H16,"")</f>
        <v/>
      </c>
      <c r="J16" s="410" t="str">
        <f ca="1">IF(F16="","",H16*E16)</f>
        <v/>
      </c>
      <c r="K16" s="411"/>
      <c r="L16" s="408" t="str" cm="1">
        <f t="array" ca="1" aca="1" ref="L16">_xlfn.IFNA(VLOOKUP(INDIRECT("L"&amp;ROW()-2)&amp;"_"&amp;$D$12,BEGIN_RENEW_HEALTH:END_RENEW_HEALTH,RENEW_COL_ES,FALSE),"")</f>
        <v/>
      </c>
      <c r="M16" s="412" t="str">
        <f ca="1">IF(E16="","",E16)</f>
        <v/>
      </c>
      <c r="N16" s="413"/>
      <c r="O16" s="414"/>
      <c r="P16" s="415" t="str">
        <f>IFERROR(IF($N14="Keep Contribution Same",H16,IF($N14="Enter Percentages",IF(N16="","",N16*L16),IF($N14="Keep Percentage Same",IF(G16="","",G16*L16),IF($N14="Enter Dollar Amount",IF(O16="","",O16),"")))),"")</f>
        <v/>
      </c>
      <c r="Q16" s="408" t="str">
        <f ca="1">IFERROR(L16-P16,"")</f>
        <v/>
      </c>
      <c r="R16" s="410" t="str">
        <f>IFERROR(IF(P16="","",M16*P16),"")</f>
        <v/>
      </c>
      <c r="S16" s="411"/>
      <c r="T16" s="408" t="str" cm="1">
        <f t="array" ca="1" aca="1" ref="T16">_xlfn.IFNA(VLOOKUP(INDIRECT("T"&amp;ROW()-2)&amp;"_"&amp;$D$12,BEGIN_RENEW_HEALTH:END_RENEW_HEALTH,RENEW_COL_ES,FALSE),"")</f>
        <v/>
      </c>
      <c r="U16" s="412" t="str">
        <f ca="1" t="shared" si="2" ref="U16:U18">IF(E16="","",E16)</f>
        <v/>
      </c>
      <c r="V16" s="413"/>
      <c r="W16" s="414"/>
      <c r="X16" s="415" t="str">
        <f>IFERROR(IF($V14="Keep Contribution Same",H16,IF($V14="Enter Percentages",IF(V16="","",V16*T16),IF($V14="Keep Percentage Same",IF(G16="","",G16*T16),IF($V14="Enter Dollar Amount",IF(W16="","",W16),"")))),"")</f>
        <v/>
      </c>
      <c r="Y16" s="408" t="str">
        <f ca="1" t="shared" si="3" ref="Y16:Y18">IFERROR(T16-X16,"")</f>
        <v/>
      </c>
      <c r="Z16" s="410" t="str">
        <f t="shared" si="4" ref="Z16:Z18">IFERROR(IF(X16="","",U16*X16),"")</f>
        <v/>
      </c>
    </row>
    <row r="17" spans="1:26" ht="18.75" customHeight="1">
      <c r="A17" s="140"/>
      <c r="B17" s="140"/>
      <c r="D17" s="172" t="s">
        <v>240</v>
      </c>
      <c r="E17" s="407" t="str">
        <f ca="1">_xlfn.IFNA(VLOOKUP(F14,BEGIN_CURRENT_HEALTH:END_CURRENT_HEALTH,CURRENT_COL_EC_count,FALSE),"")</f>
        <v/>
      </c>
      <c r="F17" s="408" t="str">
        <f ca="1">_xlfn.IFNA(VLOOKUP(F14,BEGIN_CURRENT_HEALTH:END_CURRENT_HEALTH,CURRENT_COL_EC,FALSE),"")</f>
        <v/>
      </c>
      <c r="G17" s="468" t="str">
        <f t="shared" ca="1" si="0"/>
        <v/>
      </c>
      <c r="H17" s="408" t="str">
        <f ca="1">_xlfn.IFNA(VLOOKUP(F14,BEGIN_CURRENT_HEALTH:END_CURRENT_HEALTH,CURRENT_COL_ECContrib,FALSE),"")</f>
        <v/>
      </c>
      <c r="I17" s="409" t="str">
        <f t="shared" ca="1" si="1"/>
        <v/>
      </c>
      <c r="J17" s="410" t="str">
        <f ca="1">IF(F17="","",H17*E17)</f>
        <v/>
      </c>
      <c r="K17" s="411"/>
      <c r="L17" s="408" t="str" cm="1">
        <f t="array" ca="1" aca="1" ref="L17">_xlfn.IFNA(VLOOKUP(INDIRECT("L"&amp;ROW()-3)&amp;"_"&amp;$D$12,BEGIN_RENEW_HEALTH:END_RENEW_HEALTH,RENEW_COL_EC,FALSE),"")</f>
        <v/>
      </c>
      <c r="M17" s="412" t="str">
        <f ca="1">IF(E17="","",E17)</f>
        <v/>
      </c>
      <c r="N17" s="413"/>
      <c r="O17" s="414"/>
      <c r="P17" s="415" t="str">
        <f>IFERROR(IF($N14="Keep Contribution Same",H17,IF($N14="Enter Percentages",IF(N17="","",N17*L17),IF($N14="Keep Percentage Same",IF(G17="","",G17*L17),IF($N14="Enter Dollar Amount",IF(O17="","",O17),"")))),"")</f>
        <v/>
      </c>
      <c r="Q17" s="408" t="str">
        <f ca="1">IFERROR(L17-P17,"")</f>
        <v/>
      </c>
      <c r="R17" s="410" t="str">
        <f>IFERROR(IF(P17="","",M17*P17),"")</f>
        <v/>
      </c>
      <c r="S17" s="411"/>
      <c r="T17" s="408" t="str" cm="1">
        <f t="array" ca="1" aca="1" ref="T17">_xlfn.IFNA(VLOOKUP(INDIRECT("T"&amp;ROW()-3)&amp;"_"&amp;$D$12,BEGIN_RENEW_HEALTH:END_RENEW_HEALTH,RENEW_COL_EC,FALSE),"")</f>
        <v/>
      </c>
      <c r="U17" s="412" t="str">
        <f t="shared" ca="1" si="2"/>
        <v/>
      </c>
      <c r="V17" s="413"/>
      <c r="W17" s="414"/>
      <c r="X17" s="415" t="str">
        <f>IFERROR(IF($V14="Keep Contribution Same",H17,IF($V14="Enter Percentages",IF(V17="","",V17*T17),IF($V14="Keep Percentage Same",IF(G17="","",G17*T17),IF($V14="Enter Dollar Amount",IF(W17="","",W17),"")))),"")</f>
        <v/>
      </c>
      <c r="Y17" s="408" t="str">
        <f t="shared" ca="1" si="3"/>
        <v/>
      </c>
      <c r="Z17" s="410" t="str">
        <f t="shared" si="4"/>
        <v/>
      </c>
    </row>
    <row r="18" spans="1:26" ht="18.75" customHeight="1" thickBot="1">
      <c r="A18" s="140"/>
      <c r="B18" s="140"/>
      <c r="D18" s="174" t="s">
        <v>241</v>
      </c>
      <c r="E18" s="416" t="str">
        <f ca="1">_xlfn.IFNA(VLOOKUP(F14,BEGIN_CURRENT_HEALTH:END_CURRENT_HEALTH,CURRENT_COL_FAM_count,FALSE),"")</f>
        <v/>
      </c>
      <c r="F18" s="417" t="str">
        <f ca="1">_xlfn.IFNA(VLOOKUP(F14,BEGIN_CURRENT_HEALTH:END_CURRENT_HEALTH,CURRENT_COL_FAM,FALSE),"")</f>
        <v/>
      </c>
      <c r="G18" s="469" t="str">
        <f t="shared" ca="1" si="0"/>
        <v/>
      </c>
      <c r="H18" s="417" t="str">
        <f ca="1">_xlfn.IFNA(VLOOKUP(F14,BEGIN_CURRENT_HEALTH:END_CURRENT_HEALTH,CURRENT_COL_FAMContrib,FALSE),"")</f>
        <v/>
      </c>
      <c r="I18" s="418" t="str">
        <f t="shared" ca="1" si="1"/>
        <v/>
      </c>
      <c r="J18" s="419" t="str">
        <f ca="1">IF(F18="","",H18*E18)</f>
        <v/>
      </c>
      <c r="K18" s="411"/>
      <c r="L18" s="417" t="str" cm="1">
        <f t="array" ca="1" aca="1" ref="L18">_xlfn.IFNA(VLOOKUP(INDIRECT("L"&amp;ROW()-4)&amp;"_"&amp;$D$12,BEGIN_RENEW_HEALTH:END_RENEW_HEALTH,RENEW_COL_FAM,FALSE),"")</f>
        <v/>
      </c>
      <c r="M18" s="423" t="str">
        <f ca="1">IF(E18="","",E18)</f>
        <v/>
      </c>
      <c r="N18" s="420"/>
      <c r="O18" s="421"/>
      <c r="P18" s="422" t="str">
        <f>IFERROR(IF($N14="Keep Contribution Same",H18,IF($N14="Enter Percentages",IF(N18="","",N18*L18),IF($N14="Keep Percentage Same",IF(G18="","",G18*L18),IF($N14="Enter Dollar Amount",IF(O18="","",O18),"")))),"")</f>
        <v/>
      </c>
      <c r="Q18" s="417" t="str">
        <f ca="1">IFERROR(L18-P18,"")</f>
        <v/>
      </c>
      <c r="R18" s="419" t="str">
        <f>IFERROR(IF(P18="","",M18*P18),"")</f>
        <v/>
      </c>
      <c r="S18" s="411"/>
      <c r="T18" s="417" t="str" cm="1">
        <f t="array" ca="1" aca="1" ref="T18">_xlfn.IFNA(VLOOKUP(INDIRECT("T"&amp;ROW()-4)&amp;"_"&amp;$D$12,BEGIN_RENEW_HEALTH:END_RENEW_HEALTH,RENEW_COL_FAM,FALSE),"")</f>
        <v/>
      </c>
      <c r="U18" s="423" t="str">
        <f t="shared" ca="1" si="2"/>
        <v/>
      </c>
      <c r="V18" s="420"/>
      <c r="W18" s="421"/>
      <c r="X18" s="422" t="str">
        <f>IFERROR(IF($V14="Keep Contribution Same",H18,IF($V14="Enter Percentages",IF(V18="","",V18*T18),IF($V14="Keep Percentage Same",IF(G18="","",G18*T18),IF($V14="Enter Dollar Amount",IF(W18="","",W18),"")))),"")</f>
        <v/>
      </c>
      <c r="Y18" s="417" t="str">
        <f t="shared" ca="1" si="3"/>
        <v/>
      </c>
      <c r="Z18" s="419" t="str">
        <f t="shared" si="4"/>
        <v/>
      </c>
    </row>
    <row r="19" spans="1:26" ht="18.75" customHeight="1" thickTop="1">
      <c r="A19" s="140"/>
      <c r="B19" s="140"/>
      <c r="D19" s="175" t="s">
        <v>242</v>
      </c>
      <c r="E19" s="424"/>
      <c r="F19" s="447" t="str">
        <f ca="1">IFERROR((F15*E15)+(F16*E16)+(F17*E17)+(F18*E18),"")</f>
        <v/>
      </c>
      <c r="G19" s="426"/>
      <c r="H19" s="427"/>
      <c r="I19" s="428"/>
      <c r="J19" s="429" t="str">
        <f ca="1">IFERROR(IF(J15="","",SUM(J15:J18)),0)</f>
        <v/>
      </c>
      <c r="K19" s="1"/>
      <c r="L19" s="430" t="str">
        <f ca="1">IFERROR((M15*L15)+(M16*L16)+(M17*L17)+(M18*L18),"")</f>
        <v/>
      </c>
      <c r="M19" s="427"/>
      <c r="N19" s="426"/>
      <c r="O19" s="427"/>
      <c r="P19" s="431"/>
      <c r="Q19" s="432"/>
      <c r="R19" s="429" t="str">
        <f>IFERROR(IF(R15="","",SUM(R15:R18)),0)</f>
        <v/>
      </c>
      <c r="T19" s="430" t="str">
        <f ca="1">IFERROR((U15*T15)+(U16*T16)+(U17*T17)+(U18*T18),"")</f>
        <v/>
      </c>
      <c r="U19" s="427"/>
      <c r="V19" s="426"/>
      <c r="W19" s="427"/>
      <c r="X19" s="431"/>
      <c r="Y19" s="432"/>
      <c r="Z19" s="429" t="str">
        <f>IFERROR(IF(Z15="","",SUM(Z15:Z18)),0)</f>
        <v/>
      </c>
    </row>
    <row r="20" spans="1:26" ht="18.75" customHeight="1">
      <c r="A20" s="140"/>
      <c r="B20" s="140"/>
      <c r="D20" s="177" t="s">
        <v>243</v>
      </c>
      <c r="E20" s="433"/>
      <c r="F20" s="448" t="str">
        <f ca="1">IFERROR(F19*12,"")</f>
        <v/>
      </c>
      <c r="G20" s="435"/>
      <c r="H20" s="436"/>
      <c r="I20" s="432"/>
      <c r="J20" s="437" t="str">
        <f ca="1">IF(J19="","",J19*12)</f>
        <v/>
      </c>
      <c r="K20" s="1"/>
      <c r="L20" s="438" t="str">
        <f ca="1">IFERROR(L19*12,"")</f>
        <v/>
      </c>
      <c r="M20" s="436"/>
      <c r="N20" s="435"/>
      <c r="O20" s="436"/>
      <c r="P20" s="432"/>
      <c r="Q20" s="432"/>
      <c r="R20" s="437" t="str">
        <f>IF(R19="","",R19*12)</f>
        <v/>
      </c>
      <c r="T20" s="438" t="str">
        <f ca="1">IFERROR(T19*12,"")</f>
        <v/>
      </c>
      <c r="U20" s="436"/>
      <c r="V20" s="435"/>
      <c r="W20" s="436"/>
      <c r="X20" s="432"/>
      <c r="Y20" s="432"/>
      <c r="Z20" s="437" t="str">
        <f>IF(Z19="","",Z19*12)</f>
        <v/>
      </c>
    </row>
    <row r="21" spans="1:26" ht="18.75" customHeight="1">
      <c r="A21" s="140"/>
      <c r="B21" s="140"/>
      <c r="D21" s="177" t="s">
        <v>244</v>
      </c>
      <c r="E21" s="433"/>
      <c r="F21" s="436"/>
      <c r="G21" s="435"/>
      <c r="H21" s="436"/>
      <c r="I21" s="432"/>
      <c r="J21" s="437"/>
      <c r="K21" s="1"/>
      <c r="L21" s="434" t="str">
        <f ca="1">IFERROR(L20-F20,"")</f>
        <v/>
      </c>
      <c r="M21" s="436"/>
      <c r="N21" s="435"/>
      <c r="O21" s="436"/>
      <c r="P21" s="432"/>
      <c r="Q21" s="432"/>
      <c r="R21" s="437" t="str">
        <f ca="1">IFERROR(IF(J20="","",R20-J20),0)</f>
        <v/>
      </c>
      <c r="T21" s="434" t="str">
        <f ca="1">IFERROR(T20-F20,"")</f>
        <v/>
      </c>
      <c r="U21" s="436"/>
      <c r="V21" s="435"/>
      <c r="W21" s="436"/>
      <c r="X21" s="432"/>
      <c r="Y21" s="432"/>
      <c r="Z21" s="437" t="str">
        <f>IFERROR(IF(R20="","",Z20-R20),0)</f>
        <v/>
      </c>
    </row>
    <row r="22" spans="1:26" ht="18.75" customHeight="1" thickBot="1">
      <c r="A22" s="140"/>
      <c r="B22" s="140"/>
      <c r="D22" s="180" t="s">
        <v>245</v>
      </c>
      <c r="E22" s="439"/>
      <c r="F22" s="440"/>
      <c r="G22" s="441"/>
      <c r="H22" s="440"/>
      <c r="I22" s="442"/>
      <c r="J22" s="443"/>
      <c r="K22" s="1"/>
      <c r="L22" s="444" t="str">
        <f ca="1">IFERROR(L20/F20-1,"")</f>
        <v/>
      </c>
      <c r="M22" s="440"/>
      <c r="N22" s="441"/>
      <c r="O22" s="440"/>
      <c r="P22" s="445"/>
      <c r="Q22" s="445"/>
      <c r="R22" s="446" t="str">
        <f ca="1">IFERROR(IF(J20="","",(R20/J20)-1),0)</f>
        <v/>
      </c>
      <c r="T22" s="444" t="str">
        <f ca="1">IFERROR(T20/F20-1,"")</f>
        <v/>
      </c>
      <c r="U22" s="440"/>
      <c r="V22" s="441"/>
      <c r="W22" s="440"/>
      <c r="X22" s="445"/>
      <c r="Y22" s="445"/>
      <c r="Z22" s="446" t="str">
        <f>IFERROR(IF(R20="","",(Z20/R20)-1),0)</f>
        <v/>
      </c>
    </row>
    <row r="23" spans="1:26" ht="18.75" customHeight="1">
      <c r="A23" s="140"/>
      <c r="B23" s="140"/>
      <c r="D23" s="181" t="s">
        <v>246</v>
      </c>
      <c r="E23" s="182"/>
      <c r="F23" s="182"/>
      <c r="G23" s="182"/>
      <c r="H23" s="182"/>
      <c r="I23" s="182"/>
      <c r="J23" s="183"/>
      <c r="K23"/>
      <c r="L23" s="184"/>
      <c r="M23" s="182"/>
      <c r="N23" s="182"/>
      <c r="O23" s="182"/>
      <c r="P23" s="182"/>
      <c r="Q23" s="182"/>
      <c r="R23" s="183"/>
      <c r="T23" s="184"/>
      <c r="U23" s="182"/>
      <c r="V23" s="182"/>
      <c r="W23" s="182"/>
      <c r="X23" s="182"/>
      <c r="Y23" s="182"/>
      <c r="Z23" s="183"/>
    </row>
    <row r="24" spans="1:26" ht="18.75" customHeight="1" hidden="1">
      <c r="A24" s="140"/>
      <c r="B24" s="140"/>
      <c r="D24" s="185" t="s">
        <v>247</v>
      </c>
      <c r="E24" s="186"/>
      <c r="F24" s="186"/>
      <c r="G24" s="186"/>
      <c r="H24" s="186"/>
      <c r="I24" s="186"/>
      <c r="J24" s="187"/>
      <c r="K24"/>
      <c r="L24" s="188"/>
      <c r="M24" s="186"/>
      <c r="N24" s="186"/>
      <c r="O24" s="186"/>
      <c r="P24" s="186"/>
      <c r="Q24" s="186"/>
      <c r="R24" s="187"/>
      <c r="T24" s="188"/>
      <c r="U24" s="186"/>
      <c r="V24" s="186"/>
      <c r="W24" s="186"/>
      <c r="X24" s="186"/>
      <c r="Y24" s="186"/>
      <c r="Z24" s="187"/>
    </row>
    <row r="25" spans="1:26" ht="18.75" customHeight="1" hidden="1">
      <c r="A25" s="140"/>
      <c r="B25" s="140"/>
      <c r="D25" s="189" t="s">
        <v>248</v>
      </c>
      <c r="E25" s="190" t="str">
        <f>D14&amp;"_"&amp;D12</f>
        <v>_</v>
      </c>
      <c r="F25" s="191"/>
      <c r="G25" s="191"/>
      <c r="H25" s="191"/>
      <c r="I25" s="190"/>
      <c r="J25" s="192"/>
      <c r="K25"/>
      <c r="L25" s="193" t="str">
        <f ca="1">L14&amp;"_"&amp;D12</f>
        <v>SELECT PLAN_</v>
      </c>
      <c r="M25" s="191"/>
      <c r="N25" s="191"/>
      <c r="O25" s="191"/>
      <c r="P25" s="190"/>
      <c r="Q25" s="191"/>
      <c r="R25" s="192"/>
      <c r="T25" s="193" t="str">
        <f>T14&amp;"_"&amp;D12</f>
        <v>SELECT PLAN_</v>
      </c>
      <c r="U25" s="191"/>
      <c r="V25" s="191"/>
      <c r="W25" s="191"/>
      <c r="X25" s="190"/>
      <c r="Y25" s="191"/>
      <c r="Z25" s="192"/>
    </row>
    <row r="26" spans="1:26" ht="18.75" customHeight="1" hidden="1">
      <c r="A26" s="140"/>
      <c r="B26" s="140"/>
      <c r="D26" s="189" t="s">
        <v>249</v>
      </c>
      <c r="E26" s="191"/>
      <c r="F26" s="191"/>
      <c r="G26" s="191"/>
      <c r="H26" s="191"/>
      <c r="I26" s="191"/>
      <c r="J26" s="192"/>
      <c r="K26"/>
      <c r="L26" s="189"/>
      <c r="M26" s="191"/>
      <c r="N26" s="191"/>
      <c r="O26" s="191"/>
      <c r="P26" s="191"/>
      <c r="Q26" s="191"/>
      <c r="R26" s="192"/>
      <c r="T26" s="189"/>
      <c r="U26" s="191"/>
      <c r="V26" s="191"/>
      <c r="W26" s="191"/>
      <c r="X26" s="191"/>
      <c r="Y26" s="191"/>
      <c r="Z26" s="192"/>
    </row>
    <row r="27" spans="1:26" ht="18.75" customHeight="1" hidden="1">
      <c r="A27" s="140"/>
      <c r="B27" s="140"/>
      <c r="D27" s="194" t="s">
        <v>250</v>
      </c>
      <c r="E27" s="195"/>
      <c r="F27" s="195"/>
      <c r="G27" s="195"/>
      <c r="H27" s="195"/>
      <c r="I27" s="195"/>
      <c r="J27" s="196"/>
      <c r="K27"/>
      <c r="L27" s="197"/>
      <c r="M27" s="195"/>
      <c r="N27" s="195"/>
      <c r="O27" s="195"/>
      <c r="P27" s="195"/>
      <c r="Q27" s="195"/>
      <c r="R27" s="196"/>
      <c r="T27" s="197"/>
      <c r="U27" s="195"/>
      <c r="V27" s="195"/>
      <c r="W27" s="195"/>
      <c r="X27" s="195"/>
      <c r="Y27" s="195"/>
      <c r="Z27" s="196"/>
    </row>
    <row r="28" spans="1:26" ht="18.75" customHeight="1" hidden="1">
      <c r="A28" s="140"/>
      <c r="B28" s="140"/>
      <c r="D28" s="198" t="s">
        <v>251</v>
      </c>
      <c r="E28" s="199" t="str">
        <f>_xlfn.XLOOKUP(E25,CurrentPlans!B:B,CurrentPlans!X:X,"NA",0,1)</f>
        <v>NA</v>
      </c>
      <c r="F28" s="200"/>
      <c r="G28" s="200"/>
      <c r="H28" s="200"/>
      <c r="I28" s="199"/>
      <c r="J28" s="201"/>
      <c r="K28"/>
      <c r="L28" s="202" t="str">
        <f ca="1">_xlfn.XLOOKUP(L25,RenewalPlans!B:B,RenewalPlans!AA:AA,"NA",0,1)</f>
        <v>NA</v>
      </c>
      <c r="M28" s="200"/>
      <c r="N28" s="200"/>
      <c r="O28" s="200"/>
      <c r="P28" s="199"/>
      <c r="Q28" s="200"/>
      <c r="R28" s="201"/>
      <c r="T28" s="202" t="str">
        <f>_xlfn.XLOOKUP(T25,RenewalPlans!B:B,RenewalPlans!AA:AA,"NA",0,1)</f>
        <v>NA</v>
      </c>
      <c r="U28" s="200"/>
      <c r="V28" s="200"/>
      <c r="W28" s="200"/>
      <c r="X28" s="199"/>
      <c r="Y28" s="200"/>
      <c r="Z28" s="201"/>
    </row>
    <row r="29" spans="1:26" ht="18.75" customHeight="1" hidden="1">
      <c r="A29" s="140"/>
      <c r="B29" s="140"/>
      <c r="D29" s="198" t="s">
        <v>252</v>
      </c>
      <c r="E29" s="199" t="str">
        <f>_xlfn.XLOOKUP(E25,CurrentPlans!B:B,CurrentPlans!Y:Y,"NA",0,1)</f>
        <v>NA</v>
      </c>
      <c r="F29" s="200"/>
      <c r="G29" s="200"/>
      <c r="H29" s="200"/>
      <c r="I29" s="199"/>
      <c r="J29" s="201"/>
      <c r="K29"/>
      <c r="L29" s="202" t="str">
        <f ca="1">_xlfn.XLOOKUP(L25,RenewalPlans!B:B,RenewalPlans!AB:AB,"NA",0,1)</f>
        <v>NA</v>
      </c>
      <c r="M29" s="200"/>
      <c r="N29" s="200"/>
      <c r="O29" s="200"/>
      <c r="P29" s="199"/>
      <c r="Q29" s="200"/>
      <c r="R29" s="201"/>
      <c r="T29" s="202" t="str">
        <f>_xlfn.XLOOKUP(T25,RenewalPlans!B:B,RenewalPlans!AB:AB,"NA",0,1)</f>
        <v>NA</v>
      </c>
      <c r="U29" s="200"/>
      <c r="V29" s="200"/>
      <c r="W29" s="200"/>
      <c r="X29" s="199"/>
      <c r="Y29" s="200"/>
      <c r="Z29" s="201"/>
    </row>
    <row r="30" spans="1:26" ht="18.75" customHeight="1" hidden="1">
      <c r="A30" s="140"/>
      <c r="B30" s="140"/>
      <c r="D30" s="120" t="s">
        <v>253</v>
      </c>
      <c r="E30" s="121" t="str">
        <f>_xlfn.XLOOKUP(E25,CurrentPlans!B:B,CurrentPlans!W:W,"NA",0,1)</f>
        <v>NA</v>
      </c>
      <c r="F30" s="122"/>
      <c r="G30" s="122"/>
      <c r="H30" s="122"/>
      <c r="I30" s="121"/>
      <c r="J30" s="123"/>
      <c r="K30"/>
      <c r="L30" s="124" t="str">
        <f ca="1">_xlfn.XLOOKUP(L25,RenewalPlans!B:B,RenewalPlans!Z:Z,"NA",0,1)</f>
        <v>NA</v>
      </c>
      <c r="M30" s="122"/>
      <c r="N30" s="122"/>
      <c r="O30" s="122"/>
      <c r="P30" s="121"/>
      <c r="Q30" s="122"/>
      <c r="R30" s="123"/>
      <c r="T30" s="124" t="str">
        <f>_xlfn.XLOOKUP(T25,RenewalPlans!B:B,RenewalPlans!Z:Z,"NA",0,1)</f>
        <v>NA</v>
      </c>
      <c r="U30" s="122"/>
      <c r="V30" s="122"/>
      <c r="W30" s="122"/>
      <c r="X30" s="121"/>
      <c r="Y30" s="122"/>
      <c r="Z30" s="123"/>
    </row>
    <row r="31" spans="1:26" ht="18.75" customHeight="1" hidden="1">
      <c r="A31" s="140"/>
      <c r="B31" s="140"/>
      <c r="D31" s="203" t="s">
        <v>254</v>
      </c>
      <c r="E31" s="204"/>
      <c r="F31" s="205"/>
      <c r="G31" s="205"/>
      <c r="H31" s="205"/>
      <c r="I31" s="204"/>
      <c r="J31" s="206"/>
      <c r="K31"/>
      <c r="L31" s="207"/>
      <c r="M31" s="205"/>
      <c r="N31" s="205"/>
      <c r="O31" s="205"/>
      <c r="P31" s="204"/>
      <c r="Q31" s="205"/>
      <c r="R31" s="206"/>
      <c r="T31" s="207"/>
      <c r="U31" s="205"/>
      <c r="V31" s="205"/>
      <c r="W31" s="205"/>
      <c r="X31" s="204"/>
      <c r="Y31" s="205"/>
      <c r="Z31" s="206"/>
    </row>
    <row r="32" spans="1:26" ht="18.75" customHeight="1" hidden="1">
      <c r="A32" s="140"/>
      <c r="B32" s="140"/>
      <c r="D32" s="125" t="s">
        <v>255</v>
      </c>
      <c r="E32" s="126" t="str">
        <f>_xlfn.XLOOKUP(E25,CurrentPlans!B:B,CurrentPlans!Z:Z,"NA",0,1)</f>
        <v>NA</v>
      </c>
      <c r="F32" s="127"/>
      <c r="G32" s="127"/>
      <c r="H32" s="127"/>
      <c r="I32" s="126"/>
      <c r="J32" s="128"/>
      <c r="K32"/>
      <c r="L32" s="129" t="str">
        <f ca="1">_xlfn.XLOOKUP(L25,RenewalPlans!B:B,RenewalPlans!AC:AC,"NA",0,1)</f>
        <v>NA</v>
      </c>
      <c r="M32" s="127"/>
      <c r="N32" s="127"/>
      <c r="O32" s="127"/>
      <c r="P32" s="126"/>
      <c r="Q32" s="127"/>
      <c r="R32" s="128"/>
      <c r="T32" s="129" t="str">
        <f>_xlfn.XLOOKUP(T25,RenewalPlans!B:B,RenewalPlans!AC:AC,"NA",0,1)</f>
        <v>NA</v>
      </c>
      <c r="U32" s="127"/>
      <c r="V32" s="127"/>
      <c r="W32" s="127"/>
      <c r="X32" s="126"/>
      <c r="Y32" s="127"/>
      <c r="Z32" s="128"/>
    </row>
    <row r="33" spans="1:26" ht="18.75" customHeight="1" hidden="1">
      <c r="A33" s="140"/>
      <c r="B33" s="140"/>
      <c r="D33" s="198" t="s">
        <v>256</v>
      </c>
      <c r="E33" s="208" t="str">
        <f>_xlfn.XLOOKUP(E25,CurrentPlans!B:B,CurrentPlans!AA:AA,"NA",0,1)</f>
        <v>NA</v>
      </c>
      <c r="F33" s="200"/>
      <c r="G33" s="200"/>
      <c r="H33" s="200"/>
      <c r="I33" s="208"/>
      <c r="J33" s="201"/>
      <c r="K33"/>
      <c r="L33" s="209" t="str">
        <f ca="1">_xlfn.XLOOKUP(L25,RenewalPlans!B:B,RenewalPlans!AD:AD,"NA",0,1)</f>
        <v>NA</v>
      </c>
      <c r="M33" s="200"/>
      <c r="N33" s="200"/>
      <c r="O33" s="200"/>
      <c r="P33" s="208"/>
      <c r="Q33" s="200"/>
      <c r="R33" s="201"/>
      <c r="T33" s="209" t="str">
        <f>_xlfn.XLOOKUP(T25,RenewalPlans!B:B,RenewalPlans!AD:AD,"NA",0,1)</f>
        <v>NA</v>
      </c>
      <c r="U33" s="200"/>
      <c r="V33" s="200"/>
      <c r="W33" s="200"/>
      <c r="X33" s="208"/>
      <c r="Y33" s="200"/>
      <c r="Z33" s="201"/>
    </row>
    <row r="34" spans="1:26" ht="18.75" customHeight="1" hidden="1">
      <c r="A34" s="140"/>
      <c r="B34" s="140"/>
      <c r="D34" s="203" t="s">
        <v>257</v>
      </c>
      <c r="E34" s="204"/>
      <c r="F34" s="205"/>
      <c r="G34" s="205"/>
      <c r="H34" s="205"/>
      <c r="I34" s="204"/>
      <c r="J34" s="206"/>
      <c r="K34"/>
      <c r="L34" s="207"/>
      <c r="M34" s="205"/>
      <c r="N34" s="205"/>
      <c r="O34" s="205"/>
      <c r="P34" s="204"/>
      <c r="Q34" s="205"/>
      <c r="R34" s="206"/>
      <c r="T34" s="207"/>
      <c r="U34" s="205"/>
      <c r="V34" s="205"/>
      <c r="W34" s="205"/>
      <c r="X34" s="204"/>
      <c r="Y34" s="205"/>
      <c r="Z34" s="206"/>
    </row>
    <row r="35" spans="1:26" ht="18.75" customHeight="1" hidden="1">
      <c r="A35" s="140"/>
      <c r="B35" s="140"/>
      <c r="D35" s="198" t="s">
        <v>258</v>
      </c>
      <c r="E35" s="208" t="str">
        <f>_xlfn.XLOOKUP(E25,CurrentPlans!B:B,CurrentPlans!AB:AB,"NA",0,1)</f>
        <v>NA</v>
      </c>
      <c r="F35" s="200"/>
      <c r="G35" s="200"/>
      <c r="H35" s="200"/>
      <c r="I35" s="208"/>
      <c r="J35" s="201"/>
      <c r="K35"/>
      <c r="L35" s="209" t="str">
        <f ca="1">_xlfn.XLOOKUP(L25,RenewalPlans!B:B,RenewalPlans!AE:AE,"NA",0,1)</f>
        <v>NA</v>
      </c>
      <c r="M35" s="200"/>
      <c r="N35" s="200"/>
      <c r="O35" s="200"/>
      <c r="P35" s="208"/>
      <c r="Q35" s="200"/>
      <c r="R35" s="201"/>
      <c r="T35" s="209" t="str">
        <f>_xlfn.XLOOKUP(T25,RenewalPlans!B:B,RenewalPlans!AE:AE,"NA",0,1)</f>
        <v>NA</v>
      </c>
      <c r="U35" s="200"/>
      <c r="V35" s="200"/>
      <c r="W35" s="200"/>
      <c r="X35" s="208"/>
      <c r="Y35" s="200"/>
      <c r="Z35" s="201"/>
    </row>
    <row r="36" spans="1:26" ht="18.75" customHeight="1" hidden="1">
      <c r="A36" s="140"/>
      <c r="B36" s="140"/>
      <c r="D36" s="198" t="s">
        <v>259</v>
      </c>
      <c r="E36" s="208" t="str">
        <f>_xlfn.XLOOKUP(E25,CurrentPlans!B:B,CurrentPlans!AC:AC,"NA",0,1)</f>
        <v>NA</v>
      </c>
      <c r="F36" s="200"/>
      <c r="G36" s="200"/>
      <c r="H36" s="200"/>
      <c r="I36" s="208"/>
      <c r="J36" s="201"/>
      <c r="K36"/>
      <c r="L36" s="209" t="str">
        <f ca="1">_xlfn.XLOOKUP(L25,RenewalPlans!B:B,RenewalPlans!AF:AF,"NA",0,1)</f>
        <v>NA</v>
      </c>
      <c r="M36" s="200"/>
      <c r="N36" s="200"/>
      <c r="O36" s="200"/>
      <c r="P36" s="208"/>
      <c r="Q36" s="200"/>
      <c r="R36" s="201"/>
      <c r="T36" s="209" t="str">
        <f>_xlfn.XLOOKUP(T25,RenewalPlans!B:B,RenewalPlans!AF:AF,"NA",0,1)</f>
        <v>NA</v>
      </c>
      <c r="U36" s="200"/>
      <c r="V36" s="200"/>
      <c r="W36" s="200"/>
      <c r="X36" s="208"/>
      <c r="Y36" s="200"/>
      <c r="Z36" s="201"/>
    </row>
    <row r="37" spans="1:26" ht="18.75" customHeight="1" hidden="1">
      <c r="A37" s="140"/>
      <c r="B37" s="140"/>
      <c r="D37" s="210"/>
      <c r="E37" s="211"/>
      <c r="F37" s="211"/>
      <c r="G37" s="211"/>
      <c r="H37" s="211"/>
      <c r="I37" s="211"/>
      <c r="J37" s="212"/>
      <c r="K37"/>
      <c r="L37" s="210"/>
      <c r="M37" s="211"/>
      <c r="N37" s="211"/>
      <c r="O37" s="211"/>
      <c r="P37" s="211"/>
      <c r="Q37" s="211"/>
      <c r="R37" s="212"/>
      <c r="T37" s="210"/>
      <c r="U37" s="211"/>
      <c r="V37" s="211"/>
      <c r="W37" s="211"/>
      <c r="X37" s="211"/>
      <c r="Y37" s="211"/>
      <c r="Z37" s="212"/>
    </row>
    <row r="38" spans="1:26" ht="18.75" customHeight="1" hidden="1">
      <c r="A38" s="140"/>
      <c r="B38" s="140"/>
      <c r="D38" s="185" t="s">
        <v>260</v>
      </c>
      <c r="E38" s="186"/>
      <c r="F38" s="186"/>
      <c r="G38" s="186"/>
      <c r="H38" s="186"/>
      <c r="I38" s="186"/>
      <c r="J38" s="187"/>
      <c r="K38"/>
      <c r="L38" s="188"/>
      <c r="M38" s="186"/>
      <c r="N38" s="186"/>
      <c r="O38" s="186"/>
      <c r="P38" s="186"/>
      <c r="Q38" s="186"/>
      <c r="R38" s="187"/>
      <c r="T38" s="188"/>
      <c r="U38" s="186"/>
      <c r="V38" s="186"/>
      <c r="W38" s="186"/>
      <c r="X38" s="186"/>
      <c r="Y38" s="186"/>
      <c r="Z38" s="187"/>
    </row>
    <row r="39" spans="1:26" ht="18.75" customHeight="1" hidden="1">
      <c r="A39" s="140"/>
      <c r="B39" s="140"/>
      <c r="D39" s="213" t="s">
        <v>261</v>
      </c>
      <c r="E39" s="130" t="str">
        <f>_xlfn.XLOOKUP(E25,CurrentPlans!B:B,CurrentPlans!AJ:AJ,"NA",0,1)</f>
        <v>NA</v>
      </c>
      <c r="F39" s="214"/>
      <c r="G39" s="214"/>
      <c r="H39" s="214"/>
      <c r="I39" s="130"/>
      <c r="J39" s="215"/>
      <c r="K39"/>
      <c r="L39" s="131" t="str">
        <f ca="1">_xlfn.XLOOKUP(L25,RenewalPlans!B:B,RenewalPlans!AM:AM,"NA",0,1)</f>
        <v>NA</v>
      </c>
      <c r="M39" s="214"/>
      <c r="N39" s="214"/>
      <c r="O39" s="214"/>
      <c r="P39" s="130"/>
      <c r="Q39" s="214"/>
      <c r="R39" s="215"/>
      <c r="T39" s="131" t="str">
        <f>_xlfn.XLOOKUP(T25,RenewalPlans!B:B,RenewalPlans!AM:AM,"NA",0,1)</f>
        <v>NA</v>
      </c>
      <c r="U39" s="214"/>
      <c r="V39" s="214"/>
      <c r="W39" s="214"/>
      <c r="X39" s="130"/>
      <c r="Y39" s="214"/>
      <c r="Z39" s="215"/>
    </row>
    <row r="40" spans="1:26" ht="18.75" customHeight="1" hidden="1">
      <c r="A40" s="140"/>
      <c r="B40" s="140"/>
      <c r="D40" s="198" t="s">
        <v>262</v>
      </c>
      <c r="E40" s="130" t="str">
        <f>_xlfn.XLOOKUP(E25,CurrentPlans!B:B,CurrentPlans!AM:AM,"NA",0,1)</f>
        <v>NA</v>
      </c>
      <c r="F40" s="200"/>
      <c r="G40" s="200"/>
      <c r="H40" s="200"/>
      <c r="I40" s="130"/>
      <c r="J40" s="201"/>
      <c r="K40"/>
      <c r="L40" s="131" t="str">
        <f ca="1">_xlfn.XLOOKUP(L25,RenewalPlans!B:B,RenewalPlans!AP:AP,"NA",0,1)</f>
        <v>NA</v>
      </c>
      <c r="M40" s="200"/>
      <c r="N40" s="200"/>
      <c r="O40" s="200"/>
      <c r="P40" s="130"/>
      <c r="Q40" s="200"/>
      <c r="R40" s="201"/>
      <c r="T40" s="131" t="str">
        <f>_xlfn.XLOOKUP(T25,RenewalPlans!B:B,RenewalPlans!AP:AP,"NA",0,1)</f>
        <v>NA</v>
      </c>
      <c r="U40" s="200"/>
      <c r="V40" s="200"/>
      <c r="W40" s="200"/>
      <c r="X40" s="130"/>
      <c r="Y40" s="200"/>
      <c r="Z40" s="201"/>
    </row>
    <row r="41" spans="1:26" ht="18.75" customHeight="1" hidden="1">
      <c r="A41" s="140"/>
      <c r="B41" s="140"/>
      <c r="D41" s="198" t="s">
        <v>263</v>
      </c>
      <c r="E41" s="130" t="str">
        <f>_xlfn.XLOOKUP(E25,CurrentPlans!B:B,CurrentPlans!AI:AI,"NA",0,1)</f>
        <v>NA</v>
      </c>
      <c r="F41" s="200"/>
      <c r="G41" s="200"/>
      <c r="H41" s="200"/>
      <c r="I41" s="130"/>
      <c r="J41" s="201"/>
      <c r="K41"/>
      <c r="L41" s="131" t="str">
        <f ca="1">_xlfn.XLOOKUP(L25,RenewalPlans!B:B,RenewalPlans!AL:AL,"NA",0,1)</f>
        <v>NA</v>
      </c>
      <c r="M41" s="200"/>
      <c r="N41" s="200"/>
      <c r="O41" s="200"/>
      <c r="P41" s="130"/>
      <c r="Q41" s="200"/>
      <c r="R41" s="201"/>
      <c r="T41" s="131" t="str">
        <f>_xlfn.XLOOKUP(T25,RenewalPlans!B:B,RenewalPlans!AL:AL,"NA",0,1)</f>
        <v>NA</v>
      </c>
      <c r="U41" s="200"/>
      <c r="V41" s="200"/>
      <c r="W41" s="200"/>
      <c r="X41" s="130"/>
      <c r="Y41" s="200"/>
      <c r="Z41" s="201"/>
    </row>
    <row r="42" spans="1:26" ht="18.75" customHeight="1" hidden="1">
      <c r="A42" s="140"/>
      <c r="B42" s="140"/>
      <c r="D42" s="198" t="s">
        <v>264</v>
      </c>
      <c r="E42" s="208" t="str">
        <f>_xlfn.XLOOKUP(E25,CurrentPlans!B:B,CurrentPlans!AN:AN,"NA",0,1)</f>
        <v>NA</v>
      </c>
      <c r="F42" s="200"/>
      <c r="G42" s="200"/>
      <c r="H42" s="200"/>
      <c r="I42" s="208"/>
      <c r="J42" s="201"/>
      <c r="K42"/>
      <c r="L42" s="209" t="str">
        <f ca="1">_xlfn.XLOOKUP(L25,RenewalPlans!B:B,RenewalPlans!AQ:AQ,"NA",0,1)</f>
        <v>NA</v>
      </c>
      <c r="M42" s="200"/>
      <c r="N42" s="200"/>
      <c r="O42" s="200"/>
      <c r="P42" s="208"/>
      <c r="Q42" s="200"/>
      <c r="R42" s="201"/>
      <c r="T42" s="209" t="str">
        <f>_xlfn.XLOOKUP(T25,RenewalPlans!B:B,RenewalPlans!AQ:AQ,"NA",0,1)</f>
        <v>NA</v>
      </c>
      <c r="U42" s="200"/>
      <c r="V42" s="200"/>
      <c r="W42" s="200"/>
      <c r="X42" s="208"/>
      <c r="Y42" s="200"/>
      <c r="Z42" s="201"/>
    </row>
    <row r="43" spans="1:26" ht="18.75" customHeight="1" hidden="1">
      <c r="A43" s="140"/>
      <c r="B43" s="140"/>
      <c r="D43" s="210"/>
      <c r="E43" s="211"/>
      <c r="F43" s="211"/>
      <c r="G43" s="211"/>
      <c r="H43" s="211"/>
      <c r="I43" s="211"/>
      <c r="J43" s="212"/>
      <c r="K43"/>
      <c r="L43" s="210"/>
      <c r="M43" s="211"/>
      <c r="N43" s="211"/>
      <c r="O43" s="211"/>
      <c r="P43" s="211"/>
      <c r="Q43" s="211"/>
      <c r="R43" s="212"/>
      <c r="T43" s="210"/>
      <c r="U43" s="211"/>
      <c r="V43" s="211"/>
      <c r="W43" s="211"/>
      <c r="X43" s="211"/>
      <c r="Y43" s="211"/>
      <c r="Z43" s="212"/>
    </row>
    <row r="44" spans="1:26" ht="18.75" customHeight="1" hidden="1">
      <c r="A44" s="140"/>
      <c r="B44" s="140"/>
      <c r="D44" s="185" t="s">
        <v>265</v>
      </c>
      <c r="E44" s="186"/>
      <c r="F44" s="186"/>
      <c r="G44" s="186"/>
      <c r="H44" s="186"/>
      <c r="I44" s="186"/>
      <c r="J44" s="187"/>
      <c r="K44"/>
      <c r="L44" s="188"/>
      <c r="M44" s="186"/>
      <c r="N44" s="186"/>
      <c r="O44" s="186"/>
      <c r="P44" s="186"/>
      <c r="Q44" s="186"/>
      <c r="R44" s="187"/>
      <c r="T44" s="188"/>
      <c r="U44" s="186"/>
      <c r="V44" s="186"/>
      <c r="W44" s="186"/>
      <c r="X44" s="186"/>
      <c r="Y44" s="186"/>
      <c r="Z44" s="187"/>
    </row>
    <row r="45" spans="1:26" ht="18.75" customHeight="1" hidden="1">
      <c r="A45" s="140"/>
      <c r="B45" s="140"/>
      <c r="D45" s="132" t="s">
        <v>266</v>
      </c>
      <c r="E45" s="133" t="str">
        <f>_xlfn.XLOOKUP(E25,CurrentPlans!B:B,CurrentPlans!AE:AE,"NA",0,1)</f>
        <v>NA</v>
      </c>
      <c r="F45" s="134"/>
      <c r="G45" s="134"/>
      <c r="H45" s="134"/>
      <c r="I45" s="133"/>
      <c r="J45" s="135"/>
      <c r="K45"/>
      <c r="L45" s="136" t="str">
        <f ca="1">_xlfn.XLOOKUP(L25,RenewalPlans!B:B,RenewalPlans!AH:AH,"NA",0,1)</f>
        <v>NA</v>
      </c>
      <c r="M45" s="134"/>
      <c r="N45" s="134"/>
      <c r="O45" s="134"/>
      <c r="P45" s="133"/>
      <c r="Q45" s="134"/>
      <c r="R45" s="135"/>
      <c r="T45" s="136" t="str">
        <f>_xlfn.XLOOKUP(T25,RenewalPlans!B:B,RenewalPlans!AH:AH,"NA",0,1)</f>
        <v>NA</v>
      </c>
      <c r="U45" s="134"/>
      <c r="V45" s="134"/>
      <c r="W45" s="134"/>
      <c r="X45" s="133"/>
      <c r="Y45" s="134"/>
      <c r="Z45" s="135"/>
    </row>
    <row r="46" spans="1:26" ht="18.75" customHeight="1" hidden="1">
      <c r="A46" s="140"/>
      <c r="B46" s="140"/>
      <c r="D46" s="120" t="s">
        <v>267</v>
      </c>
      <c r="E46" s="130" t="str">
        <f>_xlfn.XLOOKUP(E25,CurrentPlans!B:B,CurrentPlans!AF:AF,"NA",0,1)</f>
        <v>NA</v>
      </c>
      <c r="F46" s="122"/>
      <c r="G46" s="122"/>
      <c r="H46" s="122"/>
      <c r="I46" s="130"/>
      <c r="J46" s="123"/>
      <c r="K46"/>
      <c r="L46" s="131" t="str">
        <f ca="1">_xlfn.XLOOKUP(L25,RenewalPlans!B:B,RenewalPlans!AI:AI,"NA",0,1)</f>
        <v>NA</v>
      </c>
      <c r="M46" s="122"/>
      <c r="N46" s="122"/>
      <c r="O46" s="122"/>
      <c r="P46" s="130"/>
      <c r="Q46" s="122"/>
      <c r="R46" s="123"/>
      <c r="T46" s="131" t="str">
        <f>_xlfn.XLOOKUP(T25,RenewalPlans!B:B,RenewalPlans!AI:AI,"NA",0,1)</f>
        <v>NA</v>
      </c>
      <c r="U46" s="122"/>
      <c r="V46" s="122"/>
      <c r="W46" s="122"/>
      <c r="X46" s="130"/>
      <c r="Y46" s="122"/>
      <c r="Z46" s="123"/>
    </row>
    <row r="47" spans="1:26" ht="18.75" customHeight="1" hidden="1">
      <c r="A47" s="140"/>
      <c r="B47" s="140"/>
      <c r="D47" s="198" t="s">
        <v>268</v>
      </c>
      <c r="E47" s="130" t="str">
        <f>_xlfn.XLOOKUP(E25,CurrentPlans!B:B,CurrentPlans!AH:AH,"NA",0,1)</f>
        <v>NA</v>
      </c>
      <c r="F47" s="200"/>
      <c r="G47" s="200"/>
      <c r="H47" s="200"/>
      <c r="I47" s="130"/>
      <c r="J47" s="201"/>
      <c r="K47"/>
      <c r="L47" s="131" t="str">
        <f ca="1">_xlfn.XLOOKUP(L25,RenewalPlans!B:B,RenewalPlans!AK:AK,"NA",0,1)</f>
        <v>NA</v>
      </c>
      <c r="M47" s="200"/>
      <c r="N47" s="200"/>
      <c r="O47" s="200"/>
      <c r="P47" s="130"/>
      <c r="Q47" s="200"/>
      <c r="R47" s="201"/>
      <c r="T47" s="131" t="str">
        <f>_xlfn.XLOOKUP(T25,RenewalPlans!B:B,RenewalPlans!AK:AK,"NA",0,1)</f>
        <v>NA</v>
      </c>
      <c r="U47" s="200"/>
      <c r="V47" s="200"/>
      <c r="W47" s="200"/>
      <c r="X47" s="130"/>
      <c r="Y47" s="200"/>
      <c r="Z47" s="201"/>
    </row>
    <row r="48" spans="1:26" ht="18.75" customHeight="1" hidden="1">
      <c r="A48" s="140"/>
      <c r="B48" s="140"/>
      <c r="D48" s="198" t="s">
        <v>269</v>
      </c>
      <c r="E48" s="130" t="str">
        <f>_xlfn.XLOOKUP(E25,CurrentPlans!B:B,CurrentPlans!AG:AG,"NA",0,1)</f>
        <v>NA</v>
      </c>
      <c r="F48" s="200"/>
      <c r="G48" s="200"/>
      <c r="H48" s="200"/>
      <c r="I48" s="130"/>
      <c r="J48" s="201"/>
      <c r="K48"/>
      <c r="L48" s="131" t="str">
        <f ca="1">_xlfn.XLOOKUP(L25,RenewalPlans!B:B,RenewalPlans!AJ:AJ,"NA",0,1)</f>
        <v>NA</v>
      </c>
      <c r="M48" s="200"/>
      <c r="N48" s="200"/>
      <c r="O48" s="200"/>
      <c r="P48" s="130"/>
      <c r="Q48" s="200"/>
      <c r="R48" s="201"/>
      <c r="T48" s="131" t="str">
        <f>_xlfn.XLOOKUP(T25,RenewalPlans!B:B,RenewalPlans!AJ:AJ,"NA",0,1)</f>
        <v>NA</v>
      </c>
      <c r="U48" s="200"/>
      <c r="V48" s="200"/>
      <c r="W48" s="200"/>
      <c r="X48" s="130"/>
      <c r="Y48" s="200"/>
      <c r="Z48" s="201"/>
    </row>
    <row r="49" spans="1:26" ht="18.75" customHeight="1" hidden="1">
      <c r="A49" s="140"/>
      <c r="B49" s="140"/>
      <c r="D49" s="213" t="s">
        <v>270</v>
      </c>
      <c r="E49" s="216" t="str">
        <f>_xlfn.XLOOKUP(E25,CurrentPlans!B:B,CurrentPlans!AU:AU,"NA",0,1)</f>
        <v>NA</v>
      </c>
      <c r="F49" s="214"/>
      <c r="G49" s="214"/>
      <c r="H49" s="214"/>
      <c r="I49" s="217"/>
      <c r="J49" s="215"/>
      <c r="K49"/>
      <c r="L49" s="218" t="str">
        <f ca="1">_xlfn.XLOOKUP(L25,RenewalPlans!B:B,RenewalPlans!AX:AX,"NA",0,1)</f>
        <v>NA</v>
      </c>
      <c r="M49" s="214"/>
      <c r="N49" s="214"/>
      <c r="O49" s="214"/>
      <c r="P49" s="217"/>
      <c r="Q49" s="214"/>
      <c r="R49" s="215"/>
      <c r="T49" s="218" t="str">
        <f>_xlfn.XLOOKUP(T25,RenewalPlans!B:B,RenewalPlans!AX:AX,"NA",0,1)</f>
        <v>NA</v>
      </c>
      <c r="U49" s="214"/>
      <c r="V49" s="214"/>
      <c r="W49" s="214"/>
      <c r="X49" s="217"/>
      <c r="Y49" s="214"/>
      <c r="Z49" s="215"/>
    </row>
    <row r="50" spans="1:26" ht="18.75" customHeight="1" hidden="1">
      <c r="A50" s="140"/>
      <c r="B50" s="140"/>
      <c r="D50" s="213" t="s">
        <v>271</v>
      </c>
      <c r="E50" s="216" t="str">
        <f>_xlfn.XLOOKUP(E25,CurrentPlans!B:B,CurrentPlans!AT:AT,"NA",0,1)</f>
        <v>NA</v>
      </c>
      <c r="F50" s="214"/>
      <c r="G50" s="214"/>
      <c r="H50" s="214"/>
      <c r="I50" s="217"/>
      <c r="J50" s="215"/>
      <c r="K50"/>
      <c r="L50" s="218" t="str">
        <f ca="1">_xlfn.XLOOKUP(L25,RenewalPlans!B:B,RenewalPlans!AW:AW,"NA",0,1)</f>
        <v>NA</v>
      </c>
      <c r="M50" s="214"/>
      <c r="N50" s="214"/>
      <c r="O50" s="214"/>
      <c r="P50" s="217"/>
      <c r="Q50" s="214"/>
      <c r="R50" s="215"/>
      <c r="T50" s="218" t="str">
        <f>_xlfn.XLOOKUP(T25,RenewalPlans!B:B,RenewalPlans!AW:AW,"NA",0,1)</f>
        <v>NA</v>
      </c>
      <c r="U50" s="214"/>
      <c r="V50" s="214"/>
      <c r="W50" s="214"/>
      <c r="X50" s="217"/>
      <c r="Y50" s="214"/>
      <c r="Z50" s="215"/>
    </row>
    <row r="51" spans="1:26" ht="18.75" customHeight="1" hidden="1">
      <c r="A51" s="140"/>
      <c r="B51" s="140"/>
      <c r="D51" s="198" t="s">
        <v>272</v>
      </c>
      <c r="E51" s="130" t="str">
        <f>_xlfn.XLOOKUP(E25,CurrentPlans!B:B,CurrentPlans!AD:AD,"NA",0,1)</f>
        <v>NA</v>
      </c>
      <c r="F51" s="200"/>
      <c r="G51" s="200"/>
      <c r="H51" s="200"/>
      <c r="I51" s="130"/>
      <c r="J51" s="201"/>
      <c r="K51"/>
      <c r="L51" s="131" t="str">
        <f ca="1">_xlfn.XLOOKUP(L25,RenewalPlans!B:B,RenewalPlans!AG:AG,"NA",0,1)</f>
        <v>NA</v>
      </c>
      <c r="M51" s="200"/>
      <c r="N51" s="200"/>
      <c r="O51" s="200"/>
      <c r="P51" s="130"/>
      <c r="Q51" s="200"/>
      <c r="R51" s="201"/>
      <c r="T51" s="131" t="str">
        <f>_xlfn.XLOOKUP(T25,RenewalPlans!B:B,RenewalPlans!AG:AG,"NA",0,1)</f>
        <v>NA</v>
      </c>
      <c r="U51" s="200"/>
      <c r="V51" s="200"/>
      <c r="W51" s="200"/>
      <c r="X51" s="130"/>
      <c r="Y51" s="200"/>
      <c r="Z51" s="201"/>
    </row>
    <row r="52" spans="1:26" ht="18.75" customHeight="1" hidden="1">
      <c r="A52" s="140"/>
      <c r="B52" s="140"/>
      <c r="D52" s="198" t="s">
        <v>273</v>
      </c>
      <c r="E52" s="200"/>
      <c r="F52" s="200"/>
      <c r="G52" s="200"/>
      <c r="H52" s="200"/>
      <c r="I52" s="200"/>
      <c r="J52" s="201"/>
      <c r="K52"/>
      <c r="L52" s="198"/>
      <c r="M52" s="200"/>
      <c r="N52" s="200"/>
      <c r="O52" s="200"/>
      <c r="P52" s="200"/>
      <c r="Q52" s="200"/>
      <c r="R52" s="201"/>
      <c r="T52" s="198"/>
      <c r="U52" s="200"/>
      <c r="V52" s="200"/>
      <c r="W52" s="200"/>
      <c r="X52" s="200"/>
      <c r="Y52" s="200"/>
      <c r="Z52" s="201"/>
    </row>
    <row r="53" spans="1:26" ht="18.75" customHeight="1" hidden="1">
      <c r="A53" s="140"/>
      <c r="B53" s="140"/>
      <c r="D53" s="210"/>
      <c r="E53" s="211"/>
      <c r="F53" s="211"/>
      <c r="G53" s="211"/>
      <c r="H53" s="211"/>
      <c r="I53" s="211"/>
      <c r="J53" s="212"/>
      <c r="K53"/>
      <c r="L53" s="210"/>
      <c r="M53" s="211"/>
      <c r="N53" s="211"/>
      <c r="O53" s="211"/>
      <c r="P53" s="211"/>
      <c r="Q53" s="211"/>
      <c r="R53" s="212"/>
      <c r="T53" s="210"/>
      <c r="U53" s="211"/>
      <c r="V53" s="211"/>
      <c r="W53" s="211"/>
      <c r="X53" s="211"/>
      <c r="Y53" s="211"/>
      <c r="Z53" s="212"/>
    </row>
    <row r="54" spans="1:26" ht="18.75" customHeight="1" hidden="1">
      <c r="A54" s="140"/>
      <c r="B54" s="140"/>
      <c r="D54" s="219" t="s">
        <v>274</v>
      </c>
      <c r="E54" s="220"/>
      <c r="F54" s="220"/>
      <c r="G54" s="220"/>
      <c r="H54" s="220"/>
      <c r="I54" s="220"/>
      <c r="J54" s="221"/>
      <c r="K54"/>
      <c r="L54" s="222"/>
      <c r="M54" s="220"/>
      <c r="N54" s="220"/>
      <c r="O54" s="220"/>
      <c r="P54" s="220"/>
      <c r="Q54" s="220"/>
      <c r="R54" s="221"/>
      <c r="T54" s="222"/>
      <c r="U54" s="220"/>
      <c r="V54" s="220"/>
      <c r="W54" s="220"/>
      <c r="X54" s="220"/>
      <c r="Y54" s="220"/>
      <c r="Z54" s="221"/>
    </row>
    <row r="55" spans="1:26" ht="18.75" customHeight="1" hidden="1">
      <c r="A55" s="140"/>
      <c r="B55" s="140"/>
      <c r="D55" s="223" t="s">
        <v>250</v>
      </c>
      <c r="E55" s="205"/>
      <c r="F55" s="205"/>
      <c r="G55" s="205"/>
      <c r="H55" s="205"/>
      <c r="I55" s="205"/>
      <c r="J55" s="206"/>
      <c r="K55"/>
      <c r="L55" s="203"/>
      <c r="M55" s="205"/>
      <c r="N55" s="205"/>
      <c r="O55" s="205"/>
      <c r="P55" s="205"/>
      <c r="Q55" s="205"/>
      <c r="R55" s="206"/>
      <c r="T55" s="203"/>
      <c r="U55" s="205"/>
      <c r="V55" s="205"/>
      <c r="W55" s="205"/>
      <c r="X55" s="205"/>
      <c r="Y55" s="205"/>
      <c r="Z55" s="206"/>
    </row>
    <row r="56" spans="1:26" ht="18.75" customHeight="1" hidden="1">
      <c r="A56" s="140"/>
      <c r="B56" s="140"/>
      <c r="D56" s="198" t="s">
        <v>251</v>
      </c>
      <c r="E56" s="130" t="str">
        <f>_xlfn.XLOOKUP(E25,CurrentPlans!B:B,CurrentPlans!AP:AP,"NA",0,1)</f>
        <v>NA</v>
      </c>
      <c r="F56" s="200"/>
      <c r="G56" s="200"/>
      <c r="H56" s="200"/>
      <c r="I56" s="130"/>
      <c r="J56" s="201"/>
      <c r="K56"/>
      <c r="L56" s="131" t="str">
        <f ca="1">_xlfn.XLOOKUP(L25,RenewalPlans!B:B,RenewalPlans!AS:AS,"NA",0,1)</f>
        <v>NA</v>
      </c>
      <c r="M56" s="200"/>
      <c r="N56" s="200"/>
      <c r="O56" s="200"/>
      <c r="P56" s="130"/>
      <c r="Q56" s="200"/>
      <c r="R56" s="201"/>
      <c r="T56" s="131" t="str">
        <f>_xlfn.XLOOKUP(T25,RenewalPlans!B:B,RenewalPlans!AS:AS,"NA",0,1)</f>
        <v>NA</v>
      </c>
      <c r="U56" s="200"/>
      <c r="V56" s="200"/>
      <c r="W56" s="200"/>
      <c r="X56" s="130"/>
      <c r="Y56" s="200"/>
      <c r="Z56" s="201"/>
    </row>
    <row r="57" spans="1:26" ht="18.75" customHeight="1" hidden="1">
      <c r="A57" s="140"/>
      <c r="B57" s="140"/>
      <c r="D57" s="198" t="s">
        <v>252</v>
      </c>
      <c r="E57" s="130" t="str">
        <f>_xlfn.XLOOKUP(E25,CurrentPlans!B:B,CurrentPlans!AQ:AQ,"NA",0,1)</f>
        <v>NA</v>
      </c>
      <c r="F57" s="200"/>
      <c r="G57" s="200"/>
      <c r="H57" s="200"/>
      <c r="I57" s="130"/>
      <c r="J57" s="201"/>
      <c r="K57"/>
      <c r="L57" s="131" t="str">
        <f ca="1">_xlfn.XLOOKUP(L25,RenewalPlans!B:B,RenewalPlans!AT:AT,"NA",0,1)</f>
        <v>NA</v>
      </c>
      <c r="M57" s="200"/>
      <c r="N57" s="200"/>
      <c r="O57" s="200"/>
      <c r="P57" s="130"/>
      <c r="Q57" s="200"/>
      <c r="R57" s="201"/>
      <c r="T57" s="131" t="str">
        <f>_xlfn.XLOOKUP(T25,RenewalPlans!B:B,RenewalPlans!AT:AT,"NA",0,1)</f>
        <v>NA</v>
      </c>
      <c r="U57" s="200"/>
      <c r="V57" s="200"/>
      <c r="W57" s="200"/>
      <c r="X57" s="130"/>
      <c r="Y57" s="200"/>
      <c r="Z57" s="201"/>
    </row>
    <row r="58" spans="1:26" ht="18.75" customHeight="1" hidden="1">
      <c r="A58" s="140"/>
      <c r="B58" s="140"/>
      <c r="D58" s="120" t="s">
        <v>253</v>
      </c>
      <c r="E58" s="133" t="str">
        <f>_xlfn.XLOOKUP(E25,CurrentPlans!B:B,CurrentPlans!AO:AO,"NA",0,1)</f>
        <v>NA</v>
      </c>
      <c r="F58" s="122"/>
      <c r="G58" s="122"/>
      <c r="H58" s="122"/>
      <c r="I58" s="133"/>
      <c r="J58" s="123"/>
      <c r="K58"/>
      <c r="L58" s="136" t="str">
        <f ca="1">_xlfn.XLOOKUP(L25,RenewalPlans!B:B,RenewalPlans!AR:AR,"NA",0,1)</f>
        <v>NA</v>
      </c>
      <c r="M58" s="122"/>
      <c r="N58" s="122"/>
      <c r="O58" s="122"/>
      <c r="P58" s="133"/>
      <c r="Q58" s="122"/>
      <c r="R58" s="123"/>
      <c r="T58" s="136" t="str">
        <f>_xlfn.XLOOKUP(T25,RenewalPlans!B:B,RenewalPlans!AR:AR,"NA",0,1)</f>
        <v>NA</v>
      </c>
      <c r="U58" s="122"/>
      <c r="V58" s="122"/>
      <c r="W58" s="122"/>
      <c r="X58" s="133"/>
      <c r="Y58" s="122"/>
      <c r="Z58" s="123"/>
    </row>
    <row r="59" spans="1:26" ht="18.75" customHeight="1" hidden="1">
      <c r="A59" s="140"/>
      <c r="B59" s="140"/>
      <c r="D59" s="223" t="s">
        <v>254</v>
      </c>
      <c r="E59" s="205"/>
      <c r="F59" s="205"/>
      <c r="G59" s="205"/>
      <c r="H59" s="205"/>
      <c r="I59" s="205"/>
      <c r="J59" s="206"/>
      <c r="K59"/>
      <c r="L59" s="203"/>
      <c r="M59" s="205"/>
      <c r="N59" s="205"/>
      <c r="O59" s="205"/>
      <c r="P59" s="205"/>
      <c r="Q59" s="205"/>
      <c r="R59" s="206"/>
      <c r="T59" s="203"/>
      <c r="U59" s="205"/>
      <c r="V59" s="205"/>
      <c r="W59" s="205"/>
      <c r="X59" s="205"/>
      <c r="Y59" s="205"/>
      <c r="Z59" s="206"/>
    </row>
    <row r="60" spans="1:26" ht="18.75" customHeight="1" hidden="1">
      <c r="A60" s="140"/>
      <c r="B60" s="140"/>
      <c r="D60" s="198" t="s">
        <v>255</v>
      </c>
      <c r="E60" s="130" t="str">
        <f>_xlfn.XLOOKUP(E25,CurrentPlans!B:B,CurrentPlans!AR:AR,"NA",0,1)</f>
        <v>NA</v>
      </c>
      <c r="F60" s="200"/>
      <c r="G60" s="200"/>
      <c r="H60" s="200"/>
      <c r="I60" s="130"/>
      <c r="J60" s="201"/>
      <c r="K60"/>
      <c r="L60" s="131" t="str">
        <f ca="1">_xlfn.XLOOKUP(L25,RenewalPlans!B:B,RenewalPlans!AU:AU,"NA",0,1)</f>
        <v>NA</v>
      </c>
      <c r="M60" s="200"/>
      <c r="N60" s="200"/>
      <c r="O60" s="200"/>
      <c r="P60" s="130"/>
      <c r="Q60" s="200"/>
      <c r="R60" s="201"/>
      <c r="T60" s="131" t="str">
        <f>_xlfn.XLOOKUP(T25,RenewalPlans!B:B,RenewalPlans!AU:AU,"NA",0,1)</f>
        <v>NA</v>
      </c>
      <c r="U60" s="200"/>
      <c r="V60" s="200"/>
      <c r="W60" s="200"/>
      <c r="X60" s="130"/>
      <c r="Y60" s="200"/>
      <c r="Z60" s="201"/>
    </row>
    <row r="61" spans="1:26" ht="18.75" customHeight="1" hidden="1" thickBot="1">
      <c r="A61" s="140"/>
      <c r="B61" s="140"/>
      <c r="D61" s="224" t="s">
        <v>256</v>
      </c>
      <c r="E61" s="137" t="str">
        <f>_xlfn.XLOOKUP(E25,CurrentPlans!B:B,CurrentPlans!AS:AS,"NA",0,1)</f>
        <v>NA</v>
      </c>
      <c r="F61" s="225"/>
      <c r="G61" s="225"/>
      <c r="H61" s="225"/>
      <c r="I61" s="137"/>
      <c r="J61" s="226"/>
      <c r="K61"/>
      <c r="L61" s="138" t="str">
        <f ca="1">_xlfn.XLOOKUP(L25,RenewalPlans!B:B,RenewalPlans!AV:AV,"NA",0,1)</f>
        <v>NA</v>
      </c>
      <c r="M61" s="225"/>
      <c r="N61" s="225"/>
      <c r="O61" s="225"/>
      <c r="P61" s="137"/>
      <c r="Q61" s="225"/>
      <c r="R61" s="226"/>
      <c r="T61" s="138" t="str">
        <f>_xlfn.XLOOKUP(T25,RenewalPlans!B:B,RenewalPlans!AV:AV,"NA",0,1)</f>
        <v>NA</v>
      </c>
      <c r="U61" s="225"/>
      <c r="V61" s="225"/>
      <c r="W61" s="225"/>
      <c r="X61" s="137"/>
      <c r="Y61" s="225"/>
      <c r="Z61" s="226"/>
    </row>
    <row r="62" spans="1:26" ht="18" customHeight="1">
      <c r="A62" s="140"/>
      <c r="B62" s="140"/>
      <c r="D62" s="227"/>
      <c r="E62" s="176"/>
      <c r="F62" s="178"/>
      <c r="G62" s="179"/>
      <c r="H62" s="178"/>
      <c r="I62" s="176"/>
      <c r="J62" s="228"/>
      <c r="K62"/>
      <c r="L62" s="178"/>
      <c r="M62" s="176"/>
      <c r="N62" s="139"/>
      <c r="O62" s="178"/>
      <c r="P62" s="178"/>
      <c r="Q62" s="178"/>
      <c r="R62" s="228"/>
      <c r="T62" s="178"/>
      <c r="U62" s="176"/>
      <c r="V62" s="139"/>
      <c r="W62" s="178"/>
      <c r="X62" s="178"/>
      <c r="Y62" s="178"/>
      <c r="Z62" s="228"/>
    </row>
    <row r="63" spans="1:26" ht="5.25" customHeight="1" thickBot="1">
      <c r="A63" s="140"/>
      <c r="B63" s="140"/>
      <c r="D63" s="229"/>
      <c r="E63" s="229"/>
      <c r="F63" s="230"/>
      <c r="G63" s="231"/>
      <c r="H63" s="232"/>
      <c r="I63" s="233"/>
      <c r="J63" s="233"/>
      <c r="K63"/>
      <c r="L63" s="233"/>
      <c r="M63" s="233"/>
      <c r="N63" s="233"/>
      <c r="O63" s="233"/>
      <c r="P63" s="233"/>
      <c r="Q63" s="233"/>
      <c r="R63" s="233"/>
      <c r="T63" s="233"/>
      <c r="U63" s="233"/>
      <c r="V63" s="233"/>
      <c r="W63" s="233"/>
      <c r="X63" s="233"/>
      <c r="Y63" s="233"/>
      <c r="Z63" s="233"/>
    </row>
    <row r="64" spans="1:26" ht="50.15" customHeight="1">
      <c r="A64" s="140">
        <v>2</v>
      </c>
      <c r="B64" s="140" t="str">
        <f>IF(A64&gt;Class4_CurrentHealthCount,"DELETE",Class4_CurrentHealthStart+A64)</f>
        <v>DELETE</v>
      </c>
      <c r="C64" s="164" t="s">
        <v>275</v>
      </c>
      <c r="D64" s="273" t="str">
        <f>IF(B64="Delete","",VLOOKUP(F64,BEGIN_CURRENT_HEALTH:END_CURRENT_HEALTH,3,FALSE))</f>
        <v/>
      </c>
      <c r="E64" s="165"/>
      <c r="F64" s="272" t="str" cm="1">
        <f t="array" ca="1" aca="1" ref="F64">IF(B64="Delete","",INDIRECT("CurrentPlans!A"&amp;B64,TRUE))</f>
        <v/>
      </c>
      <c r="G64" s="166"/>
      <c r="H64" s="167"/>
      <c r="I64" s="168"/>
      <c r="J64" s="169"/>
      <c r="K64"/>
      <c r="L64" s="274" t="str">
        <f ca="1">_xlfn.IFNA(VLOOKUP(F64,BEGIN_RENEWEDFROM_HEALTH:ROW_RenewHealth_PlanID,3,FALSE),"SELECT PLAN")</f>
        <v>SELECT PLAN</v>
      </c>
      <c r="M64" s="170"/>
      <c r="N64" s="274" t="s">
        <v>237</v>
      </c>
      <c r="O64" s="171"/>
      <c r="P64" s="171"/>
      <c r="Q64" s="171"/>
      <c r="R64" s="169"/>
      <c r="T64" s="274" t="s">
        <v>38</v>
      </c>
      <c r="U64" s="170"/>
      <c r="V64" s="274" t="s">
        <v>237</v>
      </c>
      <c r="W64" s="171"/>
      <c r="X64" s="171"/>
      <c r="Y64" s="171"/>
      <c r="Z64" s="169"/>
    </row>
    <row r="65" spans="1:26" ht="18.75" customHeight="1">
      <c r="A65" s="140"/>
      <c r="B65" s="140"/>
      <c r="D65" s="172" t="s">
        <v>238</v>
      </c>
      <c r="E65" s="407" t="str">
        <f ca="1">_xlfn.IFNA(VLOOKUP(F64,BEGIN_CURRENT_HEALTH:END_CURRENT_HEALTH,CURRENT_COL_EO_count,FALSE),"")</f>
        <v/>
      </c>
      <c r="F65" s="408" t="str">
        <f ca="1">_xlfn.IFNA(VLOOKUP(F64,BEGIN_CURRENT_HEALTH:END_CURRENT_HEALTH,CURRENT_COL_EO,FALSE),"")</f>
        <v/>
      </c>
      <c r="G65" s="468" t="str">
        <f ca="1" t="shared" si="5" ref="G65:G68">IF(F65="","",H65/F65)</f>
        <v/>
      </c>
      <c r="H65" s="408" t="str">
        <f ca="1">_xlfn.IFNA(VLOOKUP(F64,BEGIN_CURRENT_HEALTH:END_CURRENT_HEALTH,CURRENT_COL_EOContrib,FALSE),"")</f>
        <v/>
      </c>
      <c r="I65" s="409" t="str">
        <f ca="1">IFERROR(F65-H65,"")</f>
        <v/>
      </c>
      <c r="J65" s="410" t="str">
        <f ca="1">IF(F65="","",H65*E65)</f>
        <v/>
      </c>
      <c r="K65" s="411"/>
      <c r="L65" s="408" t="str" cm="1">
        <f t="array" ca="1" aca="1" ref="L65">_xlfn.IFNA(VLOOKUP(INDIRECT("L"&amp;ROW()-1)&amp;"_"&amp;$D$12,BEGIN_RENEW_HEALTH:END_RENEW_HEALTH,RENEW_COL_EO,FALSE),"")</f>
        <v/>
      </c>
      <c r="M65" s="412" t="str">
        <f ca="1">IF(E65="","",E65)</f>
        <v/>
      </c>
      <c r="N65" s="413"/>
      <c r="O65" s="414"/>
      <c r="P65" s="415" t="str">
        <f>IFERROR(IF($N64="Keep Contribution Same",H65,IF($N64="Enter Percentages",IF(N65="","",N65*L65),IF($N64="Keep Percentage Same",IF(G65="","",G65*L65),IF($N64="Enter Dollar Amount",IF(O65="","",O65),"")))),"")</f>
        <v/>
      </c>
      <c r="Q65" s="408" t="str">
        <f ca="1">IFERROR(L65-P65,"")</f>
        <v/>
      </c>
      <c r="R65" s="410" t="str">
        <f>IFERROR(IF(P65="","",M65*P65),"")</f>
        <v/>
      </c>
      <c r="S65" s="411"/>
      <c r="T65" s="408" t="str" cm="1">
        <f t="array" ca="1" aca="1" ref="T65">_xlfn.IFNA(VLOOKUP(INDIRECT("T"&amp;ROW()-1)&amp;"_"&amp;$D$12,BEGIN_RENEW_HEALTH:END_RENEW_HEALTH,RENEW_COL_EO,FALSE),"")</f>
        <v/>
      </c>
      <c r="U65" s="412" t="str">
        <f ca="1">IF(E65="","",E65)</f>
        <v/>
      </c>
      <c r="V65" s="413"/>
      <c r="W65" s="414"/>
      <c r="X65" s="415" t="str">
        <f>IFERROR(IF($V64="Keep Contribution Same",H65,IF($V64="Enter Percentages",IF(V65="","",V65*T65),IF($V64="Keep Percentage Same",IF(G65="","",G65*T65),IF($V64="Enter Dollar Amount",IF(W65="","",W65),"")))),"")</f>
        <v/>
      </c>
      <c r="Y65" s="408" t="str">
        <f ca="1">IFERROR(T65-X65,"")</f>
        <v/>
      </c>
      <c r="Z65" s="410" t="str">
        <f>IFERROR(IF(X65="","",U65*X65),"")</f>
        <v/>
      </c>
    </row>
    <row r="66" spans="1:26" ht="18.75" customHeight="1">
      <c r="A66" s="140"/>
      <c r="B66" s="140"/>
      <c r="D66" s="172" t="s">
        <v>239</v>
      </c>
      <c r="E66" s="407" t="str">
        <f ca="1">_xlfn.IFNA(VLOOKUP(F64,BEGIN_CURRENT_HEALTH:END_CURRENT_HEALTH,CURRENT_COL_ES_count,FALSE),"")</f>
        <v/>
      </c>
      <c r="F66" s="408" t="str">
        <f ca="1">_xlfn.IFNA(VLOOKUP(F64,BEGIN_CURRENT_HEALTH:END_CURRENT_HEALTH,CURRENT_COL_ES,FALSE),"")</f>
        <v/>
      </c>
      <c r="G66" s="468" t="str">
        <f t="shared" ca="1" si="5"/>
        <v/>
      </c>
      <c r="H66" s="408" t="str">
        <f ca="1">_xlfn.IFNA(VLOOKUP(F64,BEGIN_CURRENT_HEALTH:END_CURRENT_HEALTH,CURRENT_COL_ESContrib,FALSE),"")</f>
        <v/>
      </c>
      <c r="I66" s="409" t="str">
        <f ca="1" t="shared" si="6" ref="I66:I68">IFERROR(F66-H66,"")</f>
        <v/>
      </c>
      <c r="J66" s="410" t="str">
        <f ca="1">IF(F66="","",H66*E66)</f>
        <v/>
      </c>
      <c r="K66" s="411"/>
      <c r="L66" s="408" t="str" cm="1">
        <f t="array" ca="1" aca="1" ref="L66">_xlfn.IFNA(VLOOKUP(INDIRECT("L"&amp;ROW()-2)&amp;"_"&amp;$D$12,BEGIN_RENEW_HEALTH:END_RENEW_HEALTH,RENEW_COL_ES,FALSE),"")</f>
        <v/>
      </c>
      <c r="M66" s="412" t="str">
        <f ca="1">IF(E66="","",E66)</f>
        <v/>
      </c>
      <c r="N66" s="413"/>
      <c r="O66" s="414"/>
      <c r="P66" s="415" t="str">
        <f>IFERROR(IF($N64="Keep Contribution Same",H66,IF($N64="Enter Percentages",IF(N66="","",N66*L66),IF($N64="Keep Percentage Same",IF(G66="","",G66*L66),IF($N64="Enter Dollar Amount",IF(O66="","",O66),"")))),"")</f>
        <v/>
      </c>
      <c r="Q66" s="408" t="str">
        <f ca="1">IFERROR(L66-P66,"")</f>
        <v/>
      </c>
      <c r="R66" s="410" t="str">
        <f>IFERROR(IF(P66="","",M66*P66),"")</f>
        <v/>
      </c>
      <c r="S66" s="411"/>
      <c r="T66" s="408" t="str" cm="1">
        <f t="array" ca="1" aca="1" ref="T66">_xlfn.IFNA(VLOOKUP(INDIRECT("T"&amp;ROW()-2)&amp;"_"&amp;$D$12,BEGIN_RENEW_HEALTH:END_RENEW_HEALTH,RENEW_COL_ES,FALSE),"")</f>
        <v/>
      </c>
      <c r="U66" s="412" t="str">
        <f ca="1" t="shared" si="7" ref="U66:U68">IF(E66="","",E66)</f>
        <v/>
      </c>
      <c r="V66" s="413"/>
      <c r="W66" s="414"/>
      <c r="X66" s="415" t="str">
        <f>IFERROR(IF($V64="Keep Contribution Same",H66,IF($V64="Enter Percentages",IF(V66="","",V66*T66),IF($V64="Keep Percentage Same",IF(G66="","",G66*T66),IF($V64="Enter Dollar Amount",IF(W66="","",W66),"")))),"")</f>
        <v/>
      </c>
      <c r="Y66" s="408" t="str">
        <f ca="1" t="shared" si="8" ref="Y66:Y68">IFERROR(T66-X66,"")</f>
        <v/>
      </c>
      <c r="Z66" s="410" t="str">
        <f t="shared" si="9" ref="Z66:Z68">IFERROR(IF(X66="","",U66*X66),"")</f>
        <v/>
      </c>
    </row>
    <row r="67" spans="1:26" ht="18.75" customHeight="1">
      <c r="A67" s="140"/>
      <c r="B67" s="140"/>
      <c r="D67" s="172" t="s">
        <v>240</v>
      </c>
      <c r="E67" s="407" t="str">
        <f ca="1">_xlfn.IFNA(VLOOKUP(F64,BEGIN_CURRENT_HEALTH:END_CURRENT_HEALTH,CURRENT_COL_EC_count,FALSE),"")</f>
        <v/>
      </c>
      <c r="F67" s="408" t="str">
        <f ca="1">_xlfn.IFNA(VLOOKUP(F64,BEGIN_CURRENT_HEALTH:END_CURRENT_HEALTH,CURRENT_COL_EC,FALSE),"")</f>
        <v/>
      </c>
      <c r="G67" s="468" t="str">
        <f t="shared" ca="1" si="5"/>
        <v/>
      </c>
      <c r="H67" s="408" t="str">
        <f ca="1">_xlfn.IFNA(VLOOKUP(F64,BEGIN_CURRENT_HEALTH:END_CURRENT_HEALTH,CURRENT_COL_ECContrib,FALSE),"")</f>
        <v/>
      </c>
      <c r="I67" s="409" t="str">
        <f t="shared" ca="1" si="6"/>
        <v/>
      </c>
      <c r="J67" s="410" t="str">
        <f ca="1">IF(F67="","",H67*E67)</f>
        <v/>
      </c>
      <c r="K67" s="411"/>
      <c r="L67" s="408" t="str" cm="1">
        <f t="array" ca="1" aca="1" ref="L67">_xlfn.IFNA(VLOOKUP(INDIRECT("L"&amp;ROW()-3)&amp;"_"&amp;$D$12,BEGIN_RENEW_HEALTH:END_RENEW_HEALTH,RENEW_COL_EC,FALSE),"")</f>
        <v/>
      </c>
      <c r="M67" s="412" t="str">
        <f ca="1">IF(E67="","",E67)</f>
        <v/>
      </c>
      <c r="N67" s="413"/>
      <c r="O67" s="414"/>
      <c r="P67" s="415" t="str">
        <f>IFERROR(IF($N64="Keep Contribution Same",H67,IF($N64="Enter Percentages",IF(N67="","",N67*L67),IF($N64="Keep Percentage Same",IF(G67="","",G67*L67),IF($N64="Enter Dollar Amount",IF(O67="","",O67),"")))),"")</f>
        <v/>
      </c>
      <c r="Q67" s="408" t="str">
        <f ca="1">IFERROR(L67-P67,"")</f>
        <v/>
      </c>
      <c r="R67" s="410" t="str">
        <f>IFERROR(IF(P67="","",M67*P67),"")</f>
        <v/>
      </c>
      <c r="S67" s="411"/>
      <c r="T67" s="408" t="str" cm="1">
        <f t="array" ca="1" aca="1" ref="T67">_xlfn.IFNA(VLOOKUP(INDIRECT("T"&amp;ROW()-3)&amp;"_"&amp;$D$12,BEGIN_RENEW_HEALTH:END_RENEW_HEALTH,RENEW_COL_EC,FALSE),"")</f>
        <v/>
      </c>
      <c r="U67" s="412" t="str">
        <f t="shared" ca="1" si="7"/>
        <v/>
      </c>
      <c r="V67" s="413"/>
      <c r="W67" s="414"/>
      <c r="X67" s="415" t="str">
        <f>IFERROR(IF($V64="Keep Contribution Same",H67,IF($V64="Enter Percentages",IF(V67="","",V67*T67),IF($V64="Keep Percentage Same",IF(G67="","",G67*T67),IF($V64="Enter Dollar Amount",IF(W67="","",W67),"")))),"")</f>
        <v/>
      </c>
      <c r="Y67" s="408" t="str">
        <f t="shared" ca="1" si="8"/>
        <v/>
      </c>
      <c r="Z67" s="410" t="str">
        <f t="shared" si="9"/>
        <v/>
      </c>
    </row>
    <row r="68" spans="1:26" ht="18.75" customHeight="1" thickBot="1">
      <c r="A68" s="140"/>
      <c r="B68" s="140"/>
      <c r="D68" s="174" t="s">
        <v>241</v>
      </c>
      <c r="E68" s="416" t="str">
        <f ca="1">_xlfn.IFNA(VLOOKUP(F64,BEGIN_CURRENT_HEALTH:END_CURRENT_HEALTH,CURRENT_COL_FAM_count,FALSE),"")</f>
        <v/>
      </c>
      <c r="F68" s="417" t="str">
        <f ca="1">_xlfn.IFNA(VLOOKUP(F64,BEGIN_CURRENT_HEALTH:END_CURRENT_HEALTH,CURRENT_COL_FAM,FALSE),"")</f>
        <v/>
      </c>
      <c r="G68" s="469" t="str">
        <f t="shared" ca="1" si="5"/>
        <v/>
      </c>
      <c r="H68" s="417" t="str">
        <f ca="1">_xlfn.IFNA(VLOOKUP(F64,BEGIN_CURRENT_HEALTH:END_CURRENT_HEALTH,CURRENT_COL_FAMContrib,FALSE),"")</f>
        <v/>
      </c>
      <c r="I68" s="418" t="str">
        <f t="shared" ca="1" si="6"/>
        <v/>
      </c>
      <c r="J68" s="419" t="str">
        <f ca="1">IF(F68="","",H68*E68)</f>
        <v/>
      </c>
      <c r="K68" s="411"/>
      <c r="L68" s="417" t="str" cm="1">
        <f t="array" ca="1" aca="1" ref="L68">_xlfn.IFNA(VLOOKUP(INDIRECT("L"&amp;ROW()-4)&amp;"_"&amp;$D$12,BEGIN_RENEW_HEALTH:END_RENEW_HEALTH,RENEW_COL_FAM,FALSE),"")</f>
        <v/>
      </c>
      <c r="M68" s="423" t="str">
        <f ca="1">IF(E68="","",E68)</f>
        <v/>
      </c>
      <c r="N68" s="420"/>
      <c r="O68" s="421"/>
      <c r="P68" s="422" t="str">
        <f>IFERROR(IF($N64="Keep Contribution Same",H68,IF($N64="Enter Percentages",IF(N68="","",N68*L68),IF($N64="Keep Percentage Same",IF(G68="","",G68*L68),IF($N64="Enter Dollar Amount",IF(O68="","",O68),"")))),"")</f>
        <v/>
      </c>
      <c r="Q68" s="417" t="str">
        <f ca="1">IFERROR(L68-P68,"")</f>
        <v/>
      </c>
      <c r="R68" s="419" t="str">
        <f>IFERROR(IF(P68="","",M68*P68),"")</f>
        <v/>
      </c>
      <c r="S68" s="411"/>
      <c r="T68" s="417" t="str" cm="1">
        <f t="array" ca="1" aca="1" ref="T68">_xlfn.IFNA(VLOOKUP(INDIRECT("T"&amp;ROW()-4)&amp;"_"&amp;$D$12,BEGIN_RENEW_HEALTH:END_RENEW_HEALTH,RENEW_COL_FAM,FALSE),"")</f>
        <v/>
      </c>
      <c r="U68" s="423" t="str">
        <f t="shared" ca="1" si="7"/>
        <v/>
      </c>
      <c r="V68" s="420"/>
      <c r="W68" s="421"/>
      <c r="X68" s="422" t="str">
        <f>IFERROR(IF($V64="Keep Contribution Same",H68,IF($V64="Enter Percentages",IF(V68="","",V68*T68),IF($V64="Keep Percentage Same",IF(G68="","",G68*T68),IF($V64="Enter Dollar Amount",IF(W68="","",W68),"")))),"")</f>
        <v/>
      </c>
      <c r="Y68" s="417" t="str">
        <f t="shared" ca="1" si="8"/>
        <v/>
      </c>
      <c r="Z68" s="419" t="str">
        <f t="shared" si="9"/>
        <v/>
      </c>
    </row>
    <row r="69" spans="1:26" ht="18.75" customHeight="1" thickTop="1">
      <c r="A69" s="140"/>
      <c r="B69" s="140"/>
      <c r="D69" s="175" t="s">
        <v>242</v>
      </c>
      <c r="E69" s="424"/>
      <c r="F69" s="447" t="str">
        <f ca="1">IFERROR((F65*E65)+(F66*E66)+(F67*E67)+(F68*E68),"")</f>
        <v/>
      </c>
      <c r="G69" s="426"/>
      <c r="H69" s="427"/>
      <c r="I69" s="428"/>
      <c r="J69" s="429" t="str">
        <f ca="1">IFERROR(IF(J65="","",SUM(J65:J68)),0)</f>
        <v/>
      </c>
      <c r="K69" s="1"/>
      <c r="L69" s="430" t="str">
        <f ca="1">IFERROR((M65*L65)+(M66*L66)+(M67*L67)+(M68*L68),"")</f>
        <v/>
      </c>
      <c r="M69" s="427"/>
      <c r="N69" s="426"/>
      <c r="O69" s="427"/>
      <c r="P69" s="431"/>
      <c r="Q69" s="432"/>
      <c r="R69" s="429" t="str">
        <f>IFERROR(IF(R65="","",SUM(R65:R68)),0)</f>
        <v/>
      </c>
      <c r="T69" s="430" t="str">
        <f ca="1">IFERROR((U65*T65)+(U66*T66)+(U67*T67)+(U68*T68),"")</f>
        <v/>
      </c>
      <c r="U69" s="427"/>
      <c r="V69" s="426"/>
      <c r="W69" s="427"/>
      <c r="X69" s="431"/>
      <c r="Y69" s="432"/>
      <c r="Z69" s="429" t="str">
        <f>IFERROR(IF(Z65="","",SUM(Z65:Z68)),0)</f>
        <v/>
      </c>
    </row>
    <row r="70" spans="1:26" ht="18.75" customHeight="1">
      <c r="A70" s="140"/>
      <c r="B70" s="140"/>
      <c r="D70" s="177" t="s">
        <v>243</v>
      </c>
      <c r="E70" s="433"/>
      <c r="F70" s="448" t="str">
        <f ca="1">IFERROR(F69*12,"")</f>
        <v/>
      </c>
      <c r="G70" s="435"/>
      <c r="H70" s="436"/>
      <c r="I70" s="432"/>
      <c r="J70" s="437" t="str">
        <f ca="1">IF(J69="","",J69*12)</f>
        <v/>
      </c>
      <c r="K70" s="1"/>
      <c r="L70" s="438" t="str">
        <f ca="1">IFERROR(L69*12,"")</f>
        <v/>
      </c>
      <c r="M70" s="436"/>
      <c r="N70" s="435"/>
      <c r="O70" s="436"/>
      <c r="P70" s="432"/>
      <c r="Q70" s="432"/>
      <c r="R70" s="437" t="str">
        <f>IF(R69="","",R69*12)</f>
        <v/>
      </c>
      <c r="T70" s="438" t="str">
        <f ca="1">IFERROR(T69*12,"")</f>
        <v/>
      </c>
      <c r="U70" s="436"/>
      <c r="V70" s="435"/>
      <c r="W70" s="436"/>
      <c r="X70" s="432"/>
      <c r="Y70" s="432"/>
      <c r="Z70" s="437" t="str">
        <f>IF(Z69="","",Z69*12)</f>
        <v/>
      </c>
    </row>
    <row r="71" spans="1:26" ht="18.75" customHeight="1">
      <c r="A71" s="140"/>
      <c r="B71" s="140"/>
      <c r="D71" s="177" t="s">
        <v>244</v>
      </c>
      <c r="E71" s="433"/>
      <c r="F71" s="436"/>
      <c r="G71" s="435"/>
      <c r="H71" s="436"/>
      <c r="I71" s="432"/>
      <c r="J71" s="437"/>
      <c r="K71" s="1"/>
      <c r="L71" s="434" t="str">
        <f ca="1">IFERROR(L70-F70,"")</f>
        <v/>
      </c>
      <c r="M71" s="436"/>
      <c r="N71" s="435"/>
      <c r="O71" s="436"/>
      <c r="P71" s="432"/>
      <c r="Q71" s="432"/>
      <c r="R71" s="437" t="str">
        <f ca="1">IFERROR(IF(J70="","",R70-J70),0)</f>
        <v/>
      </c>
      <c r="T71" s="434" t="str">
        <f ca="1">IFERROR(T70-F70,"")</f>
        <v/>
      </c>
      <c r="U71" s="436"/>
      <c r="V71" s="435"/>
      <c r="W71" s="436"/>
      <c r="X71" s="432"/>
      <c r="Y71" s="432"/>
      <c r="Z71" s="437" t="str">
        <f>IFERROR(IF(R70="","",Z70-R70),0)</f>
        <v/>
      </c>
    </row>
    <row r="72" spans="1:26" ht="18.75" customHeight="1" thickBot="1">
      <c r="A72" s="140"/>
      <c r="B72" s="140"/>
      <c r="D72" s="180" t="s">
        <v>245</v>
      </c>
      <c r="E72" s="439"/>
      <c r="F72" s="440"/>
      <c r="G72" s="441"/>
      <c r="H72" s="440"/>
      <c r="I72" s="442"/>
      <c r="J72" s="443"/>
      <c r="K72" s="1"/>
      <c r="L72" s="444" t="str">
        <f ca="1">IFERROR(L70/F70-1,"")</f>
        <v/>
      </c>
      <c r="M72" s="440"/>
      <c r="N72" s="441"/>
      <c r="O72" s="440"/>
      <c r="P72" s="445"/>
      <c r="Q72" s="445"/>
      <c r="R72" s="446" t="str">
        <f ca="1">IFERROR(IF(J70="","",(R70/J70)-1),0)</f>
        <v/>
      </c>
      <c r="T72" s="444" t="str">
        <f ca="1">IFERROR(T70/F70-1,"")</f>
        <v/>
      </c>
      <c r="U72" s="440"/>
      <c r="V72" s="441"/>
      <c r="W72" s="440"/>
      <c r="X72" s="445"/>
      <c r="Y72" s="445"/>
      <c r="Z72" s="446" t="str">
        <f>IFERROR(IF(R70="","",(Z70/R70)-1),0)</f>
        <v/>
      </c>
    </row>
    <row r="73" spans="1:26" ht="18.75" customHeight="1">
      <c r="A73" s="140"/>
      <c r="B73" s="140"/>
      <c r="D73" s="181" t="s">
        <v>246</v>
      </c>
      <c r="E73" s="182"/>
      <c r="F73" s="182"/>
      <c r="G73" s="182"/>
      <c r="H73" s="182"/>
      <c r="I73" s="182"/>
      <c r="J73" s="183"/>
      <c r="K73"/>
      <c r="L73" s="184"/>
      <c r="M73" s="182"/>
      <c r="N73" s="182"/>
      <c r="O73" s="182"/>
      <c r="P73" s="182"/>
      <c r="Q73" s="182"/>
      <c r="R73" s="183"/>
      <c r="T73" s="184"/>
      <c r="U73" s="182"/>
      <c r="V73" s="182"/>
      <c r="W73" s="182"/>
      <c r="X73" s="182"/>
      <c r="Y73" s="182"/>
      <c r="Z73" s="183"/>
    </row>
    <row r="74" spans="1:26" ht="18.75" customHeight="1" hidden="1">
      <c r="A74" s="140"/>
      <c r="B74" s="140"/>
      <c r="D74" s="185" t="s">
        <v>247</v>
      </c>
      <c r="E74" s="186"/>
      <c r="F74" s="186"/>
      <c r="G74" s="186"/>
      <c r="H74" s="186"/>
      <c r="I74" s="186"/>
      <c r="J74" s="187"/>
      <c r="K74"/>
      <c r="L74" s="188"/>
      <c r="M74" s="186"/>
      <c r="N74" s="186"/>
      <c r="O74" s="186"/>
      <c r="P74" s="186"/>
      <c r="Q74" s="186"/>
      <c r="R74" s="187"/>
      <c r="T74" s="188"/>
      <c r="U74" s="186"/>
      <c r="V74" s="186"/>
      <c r="W74" s="186"/>
      <c r="X74" s="186"/>
      <c r="Y74" s="186"/>
      <c r="Z74" s="187"/>
    </row>
    <row r="75" spans="1:26" ht="18.75" customHeight="1" hidden="1">
      <c r="A75" s="140"/>
      <c r="B75" s="140"/>
      <c r="D75" s="189" t="s">
        <v>248</v>
      </c>
      <c r="E75" s="190" t="str">
        <f>D64&amp;"_"&amp;D12</f>
        <v>_</v>
      </c>
      <c r="F75" s="191"/>
      <c r="G75" s="191"/>
      <c r="H75" s="191"/>
      <c r="I75" s="190"/>
      <c r="J75" s="192"/>
      <c r="K75"/>
      <c r="L75" s="193" t="str">
        <f ca="1">L64&amp;"_"&amp;D12</f>
        <v>SELECT PLAN_</v>
      </c>
      <c r="M75" s="191"/>
      <c r="N75" s="191"/>
      <c r="O75" s="191"/>
      <c r="P75" s="190"/>
      <c r="Q75" s="191"/>
      <c r="R75" s="192"/>
      <c r="T75" s="193" t="str">
        <f>T64&amp;"_"&amp;D12</f>
        <v>SELECT PLAN_</v>
      </c>
      <c r="U75" s="191"/>
      <c r="V75" s="191"/>
      <c r="W75" s="191"/>
      <c r="X75" s="190"/>
      <c r="Y75" s="191"/>
      <c r="Z75" s="192"/>
    </row>
    <row r="76" spans="1:26" ht="18.75" customHeight="1" hidden="1">
      <c r="A76" s="140"/>
      <c r="B76" s="140"/>
      <c r="D76" s="189" t="s">
        <v>249</v>
      </c>
      <c r="E76" s="191"/>
      <c r="F76" s="191"/>
      <c r="G76" s="191"/>
      <c r="H76" s="191"/>
      <c r="I76" s="191"/>
      <c r="J76" s="192"/>
      <c r="K76"/>
      <c r="L76" s="189"/>
      <c r="M76" s="191"/>
      <c r="N76" s="191"/>
      <c r="O76" s="191"/>
      <c r="P76" s="191"/>
      <c r="Q76" s="191"/>
      <c r="R76" s="192"/>
      <c r="T76" s="189"/>
      <c r="U76" s="191"/>
      <c r="V76" s="191"/>
      <c r="W76" s="191"/>
      <c r="X76" s="191"/>
      <c r="Y76" s="191"/>
      <c r="Z76" s="192"/>
    </row>
    <row r="77" spans="1:26" ht="18.75" customHeight="1" hidden="1">
      <c r="A77" s="140"/>
      <c r="B77" s="140"/>
      <c r="D77" s="194" t="s">
        <v>250</v>
      </c>
      <c r="E77" s="195"/>
      <c r="F77" s="195"/>
      <c r="G77" s="195"/>
      <c r="H77" s="195"/>
      <c r="I77" s="195"/>
      <c r="J77" s="196"/>
      <c r="K77"/>
      <c r="L77" s="197"/>
      <c r="M77" s="195"/>
      <c r="N77" s="195"/>
      <c r="O77" s="195"/>
      <c r="P77" s="195"/>
      <c r="Q77" s="195"/>
      <c r="R77" s="196"/>
      <c r="T77" s="197"/>
      <c r="U77" s="195"/>
      <c r="V77" s="195"/>
      <c r="W77" s="195"/>
      <c r="X77" s="195"/>
      <c r="Y77" s="195"/>
      <c r="Z77" s="196"/>
    </row>
    <row r="78" spans="1:26" ht="18.75" customHeight="1" hidden="1">
      <c r="A78" s="140"/>
      <c r="B78" s="140"/>
      <c r="D78" s="198" t="s">
        <v>251</v>
      </c>
      <c r="E78" s="199" t="str">
        <f>_xlfn.XLOOKUP(E75,CurrentPlans!B:B,CurrentPlans!X:X,"NA",0,1)</f>
        <v>NA</v>
      </c>
      <c r="F78" s="200"/>
      <c r="G78" s="200"/>
      <c r="H78" s="200"/>
      <c r="I78" s="199"/>
      <c r="J78" s="201"/>
      <c r="K78"/>
      <c r="L78" s="202" t="str">
        <f ca="1">_xlfn.XLOOKUP(L75,RenewalPlans!B:B,RenewalPlans!AA:AA,"NA",0,1)</f>
        <v>NA</v>
      </c>
      <c r="M78" s="200"/>
      <c r="N78" s="200"/>
      <c r="O78" s="200"/>
      <c r="P78" s="199"/>
      <c r="Q78" s="200"/>
      <c r="R78" s="201"/>
      <c r="T78" s="202" t="str">
        <f>_xlfn.XLOOKUP(T75,RenewalPlans!B:B,RenewalPlans!AA:AA,"NA",0,1)</f>
        <v>NA</v>
      </c>
      <c r="U78" s="200"/>
      <c r="V78" s="200"/>
      <c r="W78" s="200"/>
      <c r="X78" s="199"/>
      <c r="Y78" s="200"/>
      <c r="Z78" s="201"/>
    </row>
    <row r="79" spans="1:26" ht="18.75" customHeight="1" hidden="1">
      <c r="A79" s="140"/>
      <c r="B79" s="140"/>
      <c r="D79" s="198" t="s">
        <v>252</v>
      </c>
      <c r="E79" s="199" t="str">
        <f>_xlfn.XLOOKUP(E75,CurrentPlans!B:B,CurrentPlans!Y:Y,"NA",0,1)</f>
        <v>NA</v>
      </c>
      <c r="F79" s="200"/>
      <c r="G79" s="200"/>
      <c r="H79" s="200"/>
      <c r="I79" s="199"/>
      <c r="J79" s="201"/>
      <c r="K79"/>
      <c r="L79" s="202" t="str">
        <f ca="1">_xlfn.XLOOKUP(L75,RenewalPlans!B:B,RenewalPlans!AB:AB,"NA",0,1)</f>
        <v>NA</v>
      </c>
      <c r="M79" s="200"/>
      <c r="N79" s="200"/>
      <c r="O79" s="200"/>
      <c r="P79" s="199"/>
      <c r="Q79" s="200"/>
      <c r="R79" s="201"/>
      <c r="T79" s="202" t="str">
        <f>_xlfn.XLOOKUP(T75,RenewalPlans!B:B,RenewalPlans!AB:AB,"NA",0,1)</f>
        <v>NA</v>
      </c>
      <c r="U79" s="200"/>
      <c r="V79" s="200"/>
      <c r="W79" s="200"/>
      <c r="X79" s="199"/>
      <c r="Y79" s="200"/>
      <c r="Z79" s="201"/>
    </row>
    <row r="80" spans="1:26" ht="18.75" customHeight="1" hidden="1">
      <c r="A80" s="140"/>
      <c r="B80" s="140"/>
      <c r="D80" s="120" t="s">
        <v>253</v>
      </c>
      <c r="E80" s="121" t="str">
        <f>_xlfn.XLOOKUP(E75,CurrentPlans!B:B,CurrentPlans!W:W,"NA",0,1)</f>
        <v>NA</v>
      </c>
      <c r="F80" s="122"/>
      <c r="G80" s="122"/>
      <c r="H80" s="122"/>
      <c r="I80" s="121"/>
      <c r="J80" s="123"/>
      <c r="K80"/>
      <c r="L80" s="124" t="str">
        <f ca="1">_xlfn.XLOOKUP(L75,RenewalPlans!B:B,RenewalPlans!Z:Z,"NA",0,1)</f>
        <v>NA</v>
      </c>
      <c r="M80" s="122"/>
      <c r="N80" s="122"/>
      <c r="O80" s="122"/>
      <c r="P80" s="121"/>
      <c r="Q80" s="122"/>
      <c r="R80" s="123"/>
      <c r="T80" s="124" t="str">
        <f>_xlfn.XLOOKUP(T75,RenewalPlans!B:B,RenewalPlans!Z:Z,"NA",0,1)</f>
        <v>NA</v>
      </c>
      <c r="U80" s="122"/>
      <c r="V80" s="122"/>
      <c r="W80" s="122"/>
      <c r="X80" s="121"/>
      <c r="Y80" s="122"/>
      <c r="Z80" s="123"/>
    </row>
    <row r="81" spans="1:26" ht="18.75" customHeight="1" hidden="1">
      <c r="A81" s="140"/>
      <c r="B81" s="140"/>
      <c r="D81" s="203" t="s">
        <v>254</v>
      </c>
      <c r="E81" s="204"/>
      <c r="F81" s="205"/>
      <c r="G81" s="205"/>
      <c r="H81" s="205"/>
      <c r="I81" s="204"/>
      <c r="J81" s="206"/>
      <c r="K81"/>
      <c r="L81" s="207"/>
      <c r="M81" s="205"/>
      <c r="N81" s="205"/>
      <c r="O81" s="205"/>
      <c r="P81" s="204"/>
      <c r="Q81" s="205"/>
      <c r="R81" s="206"/>
      <c r="T81" s="207"/>
      <c r="U81" s="205"/>
      <c r="V81" s="205"/>
      <c r="W81" s="205"/>
      <c r="X81" s="204"/>
      <c r="Y81" s="205"/>
      <c r="Z81" s="206"/>
    </row>
    <row r="82" spans="1:26" ht="18.75" customHeight="1" hidden="1">
      <c r="A82" s="140"/>
      <c r="B82" s="140"/>
      <c r="D82" s="125" t="s">
        <v>255</v>
      </c>
      <c r="E82" s="126" t="str">
        <f>_xlfn.XLOOKUP(E75,CurrentPlans!B:B,CurrentPlans!Z:Z,"NA",0,1)</f>
        <v>NA</v>
      </c>
      <c r="F82" s="127"/>
      <c r="G82" s="127"/>
      <c r="H82" s="127"/>
      <c r="I82" s="126"/>
      <c r="J82" s="128"/>
      <c r="K82"/>
      <c r="L82" s="129" t="str">
        <f ca="1">_xlfn.XLOOKUP(L75,RenewalPlans!B:B,RenewalPlans!AC:AC,"NA",0,1)</f>
        <v>NA</v>
      </c>
      <c r="M82" s="127"/>
      <c r="N82" s="127"/>
      <c r="O82" s="127"/>
      <c r="P82" s="126"/>
      <c r="Q82" s="127"/>
      <c r="R82" s="128"/>
      <c r="T82" s="129" t="str">
        <f>_xlfn.XLOOKUP(T75,RenewalPlans!B:B,RenewalPlans!AC:AC,"NA",0,1)</f>
        <v>NA</v>
      </c>
      <c r="U82" s="127"/>
      <c r="V82" s="127"/>
      <c r="W82" s="127"/>
      <c r="X82" s="126"/>
      <c r="Y82" s="127"/>
      <c r="Z82" s="128"/>
    </row>
    <row r="83" spans="1:26" ht="18.75" customHeight="1" hidden="1">
      <c r="A83" s="140"/>
      <c r="B83" s="140"/>
      <c r="D83" s="198" t="s">
        <v>256</v>
      </c>
      <c r="E83" s="208" t="str">
        <f>_xlfn.XLOOKUP(E75,CurrentPlans!B:B,CurrentPlans!AA:AA,"NA",0,1)</f>
        <v>NA</v>
      </c>
      <c r="F83" s="200"/>
      <c r="G83" s="200"/>
      <c r="H83" s="200"/>
      <c r="I83" s="208"/>
      <c r="J83" s="201"/>
      <c r="K83"/>
      <c r="L83" s="209" t="str">
        <f ca="1">_xlfn.XLOOKUP(L75,RenewalPlans!B:B,RenewalPlans!AD:AD,"NA",0,1)</f>
        <v>NA</v>
      </c>
      <c r="M83" s="200"/>
      <c r="N83" s="200"/>
      <c r="O83" s="200"/>
      <c r="P83" s="208"/>
      <c r="Q83" s="200"/>
      <c r="R83" s="201"/>
      <c r="T83" s="209" t="str">
        <f>_xlfn.XLOOKUP(T75,RenewalPlans!B:B,RenewalPlans!AD:AD,"NA",0,1)</f>
        <v>NA</v>
      </c>
      <c r="U83" s="200"/>
      <c r="V83" s="200"/>
      <c r="W83" s="200"/>
      <c r="X83" s="208"/>
      <c r="Y83" s="200"/>
      <c r="Z83" s="201"/>
    </row>
    <row r="84" spans="1:26" ht="18.75" customHeight="1" hidden="1">
      <c r="A84" s="140"/>
      <c r="B84" s="140"/>
      <c r="D84" s="203" t="s">
        <v>257</v>
      </c>
      <c r="E84" s="204"/>
      <c r="F84" s="205"/>
      <c r="G84" s="205"/>
      <c r="H84" s="205"/>
      <c r="I84" s="204"/>
      <c r="J84" s="206"/>
      <c r="K84"/>
      <c r="L84" s="207"/>
      <c r="M84" s="205"/>
      <c r="N84" s="205"/>
      <c r="O84" s="205"/>
      <c r="P84" s="204"/>
      <c r="Q84" s="205"/>
      <c r="R84" s="206"/>
      <c r="T84" s="207"/>
      <c r="U84" s="205"/>
      <c r="V84" s="205"/>
      <c r="W84" s="205"/>
      <c r="X84" s="204"/>
      <c r="Y84" s="205"/>
      <c r="Z84" s="206"/>
    </row>
    <row r="85" spans="1:26" ht="18.75" customHeight="1" hidden="1">
      <c r="A85" s="140"/>
      <c r="B85" s="140"/>
      <c r="D85" s="198" t="s">
        <v>258</v>
      </c>
      <c r="E85" s="208" t="str">
        <f>_xlfn.XLOOKUP(E75,CurrentPlans!B:B,CurrentPlans!AB:AB,"NA",0,1)</f>
        <v>NA</v>
      </c>
      <c r="F85" s="200"/>
      <c r="G85" s="200"/>
      <c r="H85" s="200"/>
      <c r="I85" s="208"/>
      <c r="J85" s="201"/>
      <c r="K85"/>
      <c r="L85" s="209" t="str">
        <f ca="1">_xlfn.XLOOKUP(L75,RenewalPlans!B:B,RenewalPlans!AE:AE,"NA",0,1)</f>
        <v>NA</v>
      </c>
      <c r="M85" s="200"/>
      <c r="N85" s="200"/>
      <c r="O85" s="200"/>
      <c r="P85" s="208"/>
      <c r="Q85" s="200"/>
      <c r="R85" s="201"/>
      <c r="T85" s="209" t="str">
        <f>_xlfn.XLOOKUP(T75,RenewalPlans!B:B,RenewalPlans!AE:AE,"NA",0,1)</f>
        <v>NA</v>
      </c>
      <c r="U85" s="200"/>
      <c r="V85" s="200"/>
      <c r="W85" s="200"/>
      <c r="X85" s="208"/>
      <c r="Y85" s="200"/>
      <c r="Z85" s="201"/>
    </row>
    <row r="86" spans="1:26" ht="18.75" customHeight="1" hidden="1">
      <c r="A86" s="140"/>
      <c r="B86" s="140"/>
      <c r="D86" s="198" t="s">
        <v>259</v>
      </c>
      <c r="E86" s="208" t="str">
        <f>_xlfn.XLOOKUP(E75,CurrentPlans!B:B,CurrentPlans!AC:AC,"NA",0,1)</f>
        <v>NA</v>
      </c>
      <c r="F86" s="200"/>
      <c r="G86" s="200"/>
      <c r="H86" s="200"/>
      <c r="I86" s="208"/>
      <c r="J86" s="201"/>
      <c r="K86"/>
      <c r="L86" s="209" t="str">
        <f ca="1">_xlfn.XLOOKUP(L75,RenewalPlans!B:B,RenewalPlans!AF:AF,"NA",0,1)</f>
        <v>NA</v>
      </c>
      <c r="M86" s="200"/>
      <c r="N86" s="200"/>
      <c r="O86" s="200"/>
      <c r="P86" s="208"/>
      <c r="Q86" s="200"/>
      <c r="R86" s="201"/>
      <c r="T86" s="209" t="str">
        <f>_xlfn.XLOOKUP(T75,RenewalPlans!B:B,RenewalPlans!AF:AF,"NA",0,1)</f>
        <v>NA</v>
      </c>
      <c r="U86" s="200"/>
      <c r="V86" s="200"/>
      <c r="W86" s="200"/>
      <c r="X86" s="208"/>
      <c r="Y86" s="200"/>
      <c r="Z86" s="201"/>
    </row>
    <row r="87" spans="1:26" ht="18.75" customHeight="1" hidden="1">
      <c r="A87" s="140"/>
      <c r="B87" s="140"/>
      <c r="D87" s="210"/>
      <c r="E87" s="211"/>
      <c r="F87" s="211"/>
      <c r="G87" s="211"/>
      <c r="H87" s="211"/>
      <c r="I87" s="211"/>
      <c r="J87" s="212"/>
      <c r="K87"/>
      <c r="L87" s="210"/>
      <c r="M87" s="211"/>
      <c r="N87" s="211"/>
      <c r="O87" s="211"/>
      <c r="P87" s="211"/>
      <c r="Q87" s="211"/>
      <c r="R87" s="212"/>
      <c r="T87" s="210"/>
      <c r="U87" s="211"/>
      <c r="V87" s="211"/>
      <c r="W87" s="211"/>
      <c r="X87" s="211"/>
      <c r="Y87" s="211"/>
      <c r="Z87" s="212"/>
    </row>
    <row r="88" spans="1:26" ht="18.75" customHeight="1" hidden="1">
      <c r="A88" s="140"/>
      <c r="B88" s="140"/>
      <c r="D88" s="185" t="s">
        <v>260</v>
      </c>
      <c r="E88" s="186"/>
      <c r="F88" s="186"/>
      <c r="G88" s="186"/>
      <c r="H88" s="186"/>
      <c r="I88" s="186"/>
      <c r="J88" s="187"/>
      <c r="K88"/>
      <c r="L88" s="188"/>
      <c r="M88" s="186"/>
      <c r="N88" s="186"/>
      <c r="O88" s="186"/>
      <c r="P88" s="186"/>
      <c r="Q88" s="186"/>
      <c r="R88" s="187"/>
      <c r="T88" s="188"/>
      <c r="U88" s="186"/>
      <c r="V88" s="186"/>
      <c r="W88" s="186"/>
      <c r="X88" s="186"/>
      <c r="Y88" s="186"/>
      <c r="Z88" s="187"/>
    </row>
    <row r="89" spans="1:26" ht="18.75" customHeight="1" hidden="1">
      <c r="A89" s="140"/>
      <c r="B89" s="140"/>
      <c r="D89" s="213" t="s">
        <v>261</v>
      </c>
      <c r="E89" s="130" t="str">
        <f>_xlfn.XLOOKUP(E75,CurrentPlans!B:B,CurrentPlans!AJ:AJ,"NA",0,1)</f>
        <v>NA</v>
      </c>
      <c r="F89" s="214"/>
      <c r="G89" s="214"/>
      <c r="H89" s="214"/>
      <c r="I89" s="130"/>
      <c r="J89" s="215"/>
      <c r="K89"/>
      <c r="L89" s="131" t="str">
        <f ca="1">_xlfn.XLOOKUP(L75,RenewalPlans!B:B,RenewalPlans!AM:AM,"NA",0,1)</f>
        <v>NA</v>
      </c>
      <c r="M89" s="214"/>
      <c r="N89" s="214"/>
      <c r="O89" s="214"/>
      <c r="P89" s="130"/>
      <c r="Q89" s="214"/>
      <c r="R89" s="215"/>
      <c r="T89" s="131" t="str">
        <f>_xlfn.XLOOKUP(T75,RenewalPlans!B:B,RenewalPlans!AM:AM,"NA",0,1)</f>
        <v>NA</v>
      </c>
      <c r="U89" s="214"/>
      <c r="V89" s="214"/>
      <c r="W89" s="214"/>
      <c r="X89" s="130"/>
      <c r="Y89" s="214"/>
      <c r="Z89" s="215"/>
    </row>
    <row r="90" spans="1:26" ht="18.75" customHeight="1" hidden="1">
      <c r="A90" s="140"/>
      <c r="B90" s="140"/>
      <c r="D90" s="198" t="s">
        <v>262</v>
      </c>
      <c r="E90" s="130" t="str">
        <f>_xlfn.XLOOKUP(E75,CurrentPlans!B:B,CurrentPlans!AM:AM,"NA",0,1)</f>
        <v>NA</v>
      </c>
      <c r="F90" s="200"/>
      <c r="G90" s="200"/>
      <c r="H90" s="200"/>
      <c r="I90" s="130"/>
      <c r="J90" s="201"/>
      <c r="K90"/>
      <c r="L90" s="131" t="str">
        <f ca="1">_xlfn.XLOOKUP(L75,RenewalPlans!B:B,RenewalPlans!AP:AP,"NA",0,1)</f>
        <v>NA</v>
      </c>
      <c r="M90" s="200"/>
      <c r="N90" s="200"/>
      <c r="O90" s="200"/>
      <c r="P90" s="130"/>
      <c r="Q90" s="200"/>
      <c r="R90" s="201"/>
      <c r="T90" s="131" t="str">
        <f>_xlfn.XLOOKUP(T75,RenewalPlans!B:B,RenewalPlans!AP:AP,"NA",0,1)</f>
        <v>NA</v>
      </c>
      <c r="U90" s="200"/>
      <c r="V90" s="200"/>
      <c r="W90" s="200"/>
      <c r="X90" s="130"/>
      <c r="Y90" s="200"/>
      <c r="Z90" s="201"/>
    </row>
    <row r="91" spans="1:26" ht="18.75" customHeight="1" hidden="1">
      <c r="A91" s="140"/>
      <c r="B91" s="140"/>
      <c r="D91" s="198" t="s">
        <v>263</v>
      </c>
      <c r="E91" s="130" t="str">
        <f>_xlfn.XLOOKUP(E75,CurrentPlans!B:B,CurrentPlans!AI:AI,"NA",0,1)</f>
        <v>NA</v>
      </c>
      <c r="F91" s="200"/>
      <c r="G91" s="200"/>
      <c r="H91" s="200"/>
      <c r="I91" s="130"/>
      <c r="J91" s="201"/>
      <c r="K91"/>
      <c r="L91" s="131" t="str">
        <f ca="1">_xlfn.XLOOKUP(L75,RenewalPlans!B:B,RenewalPlans!AL:AL,"NA",0,1)</f>
        <v>NA</v>
      </c>
      <c r="M91" s="200"/>
      <c r="N91" s="200"/>
      <c r="O91" s="200"/>
      <c r="P91" s="130"/>
      <c r="Q91" s="200"/>
      <c r="R91" s="201"/>
      <c r="T91" s="131" t="str">
        <f>_xlfn.XLOOKUP(T75,RenewalPlans!B:B,RenewalPlans!AL:AL,"NA",0,1)</f>
        <v>NA</v>
      </c>
      <c r="U91" s="200"/>
      <c r="V91" s="200"/>
      <c r="W91" s="200"/>
      <c r="X91" s="130"/>
      <c r="Y91" s="200"/>
      <c r="Z91" s="201"/>
    </row>
    <row r="92" spans="1:26" ht="18.75" customHeight="1" hidden="1">
      <c r="A92" s="140"/>
      <c r="B92" s="140"/>
      <c r="D92" s="198" t="s">
        <v>264</v>
      </c>
      <c r="E92" s="208" t="str">
        <f>_xlfn.XLOOKUP(E75,CurrentPlans!B:B,CurrentPlans!AN:AN,"NA",0,1)</f>
        <v>NA</v>
      </c>
      <c r="F92" s="200"/>
      <c r="G92" s="200"/>
      <c r="H92" s="200"/>
      <c r="I92" s="208"/>
      <c r="J92" s="201"/>
      <c r="K92"/>
      <c r="L92" s="209" t="str">
        <f ca="1">_xlfn.XLOOKUP(L75,RenewalPlans!B:B,RenewalPlans!AQ:AQ,"NA",0,1)</f>
        <v>NA</v>
      </c>
      <c r="M92" s="200"/>
      <c r="N92" s="200"/>
      <c r="O92" s="200"/>
      <c r="P92" s="208"/>
      <c r="Q92" s="200"/>
      <c r="R92" s="201"/>
      <c r="T92" s="209" t="str">
        <f>_xlfn.XLOOKUP(T75,RenewalPlans!B:B,RenewalPlans!AQ:AQ,"NA",0,1)</f>
        <v>NA</v>
      </c>
      <c r="U92" s="200"/>
      <c r="V92" s="200"/>
      <c r="W92" s="200"/>
      <c r="X92" s="208"/>
      <c r="Y92" s="200"/>
      <c r="Z92" s="201"/>
    </row>
    <row r="93" spans="1:26" ht="18.75" customHeight="1" hidden="1">
      <c r="A93" s="140"/>
      <c r="B93" s="140"/>
      <c r="D93" s="210"/>
      <c r="E93" s="211"/>
      <c r="F93" s="211"/>
      <c r="G93" s="211"/>
      <c r="H93" s="211"/>
      <c r="I93" s="211"/>
      <c r="J93" s="212"/>
      <c r="K93"/>
      <c r="L93" s="210"/>
      <c r="M93" s="211"/>
      <c r="N93" s="211"/>
      <c r="O93" s="211"/>
      <c r="P93" s="211"/>
      <c r="Q93" s="211"/>
      <c r="R93" s="212"/>
      <c r="T93" s="210"/>
      <c r="U93" s="211"/>
      <c r="V93" s="211"/>
      <c r="W93" s="211"/>
      <c r="X93" s="211"/>
      <c r="Y93" s="211"/>
      <c r="Z93" s="212"/>
    </row>
    <row r="94" spans="1:26" ht="18.75" customHeight="1" hidden="1">
      <c r="A94" s="140"/>
      <c r="B94" s="140"/>
      <c r="D94" s="185" t="s">
        <v>265</v>
      </c>
      <c r="E94" s="186"/>
      <c r="F94" s="186"/>
      <c r="G94" s="186"/>
      <c r="H94" s="186"/>
      <c r="I94" s="186"/>
      <c r="J94" s="187"/>
      <c r="K94"/>
      <c r="L94" s="188"/>
      <c r="M94" s="186"/>
      <c r="N94" s="186"/>
      <c r="O94" s="186"/>
      <c r="P94" s="186"/>
      <c r="Q94" s="186"/>
      <c r="R94" s="187"/>
      <c r="T94" s="188"/>
      <c r="U94" s="186"/>
      <c r="V94" s="186"/>
      <c r="W94" s="186"/>
      <c r="X94" s="186"/>
      <c r="Y94" s="186"/>
      <c r="Z94" s="187"/>
    </row>
    <row r="95" spans="1:26" ht="18.75" customHeight="1" hidden="1">
      <c r="A95" s="140"/>
      <c r="B95" s="140"/>
      <c r="D95" s="132" t="s">
        <v>266</v>
      </c>
      <c r="E95" s="133" t="str">
        <f>_xlfn.XLOOKUP(E75,CurrentPlans!B:B,CurrentPlans!AE:AE,"NA",0,1)</f>
        <v>NA</v>
      </c>
      <c r="F95" s="134"/>
      <c r="G95" s="134"/>
      <c r="H95" s="134"/>
      <c r="I95" s="133"/>
      <c r="J95" s="135"/>
      <c r="K95"/>
      <c r="L95" s="136" t="str">
        <f ca="1">_xlfn.XLOOKUP(L75,RenewalPlans!B:B,RenewalPlans!AH:AH,"NA",0,1)</f>
        <v>NA</v>
      </c>
      <c r="M95" s="134"/>
      <c r="N95" s="134"/>
      <c r="O95" s="134"/>
      <c r="P95" s="133"/>
      <c r="Q95" s="134"/>
      <c r="R95" s="135"/>
      <c r="T95" s="136" t="str">
        <f>_xlfn.XLOOKUP(T75,RenewalPlans!B:B,RenewalPlans!AH:AH,"NA",0,1)</f>
        <v>NA</v>
      </c>
      <c r="U95" s="134"/>
      <c r="V95" s="134"/>
      <c r="W95" s="134"/>
      <c r="X95" s="133"/>
      <c r="Y95" s="134"/>
      <c r="Z95" s="135"/>
    </row>
    <row r="96" spans="1:26" ht="18.75" customHeight="1" hidden="1">
      <c r="A96" s="140"/>
      <c r="B96" s="140"/>
      <c r="D96" s="120" t="s">
        <v>267</v>
      </c>
      <c r="E96" s="130" t="str">
        <f>_xlfn.XLOOKUP(E75,CurrentPlans!B:B,CurrentPlans!AF:AF,"NA",0,1)</f>
        <v>NA</v>
      </c>
      <c r="F96" s="122"/>
      <c r="G96" s="122"/>
      <c r="H96" s="122"/>
      <c r="I96" s="130"/>
      <c r="J96" s="123"/>
      <c r="K96"/>
      <c r="L96" s="131" t="str">
        <f ca="1">_xlfn.XLOOKUP(L75,RenewalPlans!B:B,RenewalPlans!AI:AI,"NA",0,1)</f>
        <v>NA</v>
      </c>
      <c r="M96" s="122"/>
      <c r="N96" s="122"/>
      <c r="O96" s="122"/>
      <c r="P96" s="130"/>
      <c r="Q96" s="122"/>
      <c r="R96" s="123"/>
      <c r="T96" s="131" t="str">
        <f>_xlfn.XLOOKUP(T75,RenewalPlans!B:B,RenewalPlans!AI:AI,"NA",0,1)</f>
        <v>NA</v>
      </c>
      <c r="U96" s="122"/>
      <c r="V96" s="122"/>
      <c r="W96" s="122"/>
      <c r="X96" s="130"/>
      <c r="Y96" s="122"/>
      <c r="Z96" s="123"/>
    </row>
    <row r="97" spans="1:26" ht="18.75" customHeight="1" hidden="1">
      <c r="A97" s="140"/>
      <c r="B97" s="140"/>
      <c r="D97" s="198" t="s">
        <v>268</v>
      </c>
      <c r="E97" s="130" t="str">
        <f>_xlfn.XLOOKUP(E75,CurrentPlans!B:B,CurrentPlans!AH:AH,"NA",0,1)</f>
        <v>NA</v>
      </c>
      <c r="F97" s="200"/>
      <c r="G97" s="200"/>
      <c r="H97" s="200"/>
      <c r="I97" s="130"/>
      <c r="J97" s="201"/>
      <c r="K97"/>
      <c r="L97" s="131" t="str">
        <f ca="1">_xlfn.XLOOKUP(L75,RenewalPlans!B:B,RenewalPlans!AK:AK,"NA",0,1)</f>
        <v>NA</v>
      </c>
      <c r="M97" s="200"/>
      <c r="N97" s="200"/>
      <c r="O97" s="200"/>
      <c r="P97" s="130"/>
      <c r="Q97" s="200"/>
      <c r="R97" s="201"/>
      <c r="T97" s="131" t="str">
        <f>_xlfn.XLOOKUP(T75,RenewalPlans!B:B,RenewalPlans!AK:AK,"NA",0,1)</f>
        <v>NA</v>
      </c>
      <c r="U97" s="200"/>
      <c r="V97" s="200"/>
      <c r="W97" s="200"/>
      <c r="X97" s="130"/>
      <c r="Y97" s="200"/>
      <c r="Z97" s="201"/>
    </row>
    <row r="98" spans="1:26" ht="18.75" customHeight="1" hidden="1">
      <c r="A98" s="140"/>
      <c r="B98" s="140"/>
      <c r="D98" s="198" t="s">
        <v>269</v>
      </c>
      <c r="E98" s="130" t="str">
        <f>_xlfn.XLOOKUP(E75,CurrentPlans!B:B,CurrentPlans!AG:AG,"NA",0,1)</f>
        <v>NA</v>
      </c>
      <c r="F98" s="200"/>
      <c r="G98" s="200"/>
      <c r="H98" s="200"/>
      <c r="I98" s="130"/>
      <c r="J98" s="201"/>
      <c r="K98"/>
      <c r="L98" s="131" t="str">
        <f ca="1">_xlfn.XLOOKUP(L75,RenewalPlans!B:B,RenewalPlans!AJ:AJ,"NA",0,1)</f>
        <v>NA</v>
      </c>
      <c r="M98" s="200"/>
      <c r="N98" s="200"/>
      <c r="O98" s="200"/>
      <c r="P98" s="130"/>
      <c r="Q98" s="200"/>
      <c r="R98" s="201"/>
      <c r="T98" s="131" t="str">
        <f>_xlfn.XLOOKUP(T75,RenewalPlans!B:B,RenewalPlans!AJ:AJ,"NA",0,1)</f>
        <v>NA</v>
      </c>
      <c r="U98" s="200"/>
      <c r="V98" s="200"/>
      <c r="W98" s="200"/>
      <c r="X98" s="130"/>
      <c r="Y98" s="200"/>
      <c r="Z98" s="201"/>
    </row>
    <row r="99" spans="1:26" ht="18.75" customHeight="1" hidden="1">
      <c r="A99" s="140"/>
      <c r="B99" s="140"/>
      <c r="D99" s="213" t="s">
        <v>270</v>
      </c>
      <c r="E99" s="216" t="str">
        <f>_xlfn.XLOOKUP(E75,CurrentPlans!B:B,CurrentPlans!AU:AU,"NA",0,1)</f>
        <v>NA</v>
      </c>
      <c r="F99" s="214"/>
      <c r="G99" s="214"/>
      <c r="H99" s="214"/>
      <c r="I99" s="217"/>
      <c r="J99" s="215"/>
      <c r="K99"/>
      <c r="L99" s="218" t="str">
        <f ca="1">_xlfn.XLOOKUP(L75,RenewalPlans!B:B,RenewalPlans!AX:AX,"NA",0,1)</f>
        <v>NA</v>
      </c>
      <c r="M99" s="214"/>
      <c r="N99" s="214"/>
      <c r="O99" s="214"/>
      <c r="P99" s="217"/>
      <c r="Q99" s="214"/>
      <c r="R99" s="215"/>
      <c r="T99" s="218" t="str">
        <f>_xlfn.XLOOKUP(T75,RenewalPlans!B:B,RenewalPlans!AX:AX,"NA",0,1)</f>
        <v>NA</v>
      </c>
      <c r="U99" s="214"/>
      <c r="V99" s="214"/>
      <c r="W99" s="214"/>
      <c r="X99" s="217"/>
      <c r="Y99" s="214"/>
      <c r="Z99" s="215"/>
    </row>
    <row r="100" spans="1:26" ht="18.75" customHeight="1" hidden="1">
      <c r="A100" s="140"/>
      <c r="B100" s="140"/>
      <c r="D100" s="213" t="s">
        <v>271</v>
      </c>
      <c r="E100" s="216" t="str">
        <f>_xlfn.XLOOKUP(E75,CurrentPlans!B:B,CurrentPlans!AT:AT,"NA",0,1)</f>
        <v>NA</v>
      </c>
      <c r="F100" s="214"/>
      <c r="G100" s="214"/>
      <c r="H100" s="214"/>
      <c r="I100" s="217"/>
      <c r="J100" s="215"/>
      <c r="K100"/>
      <c r="L100" s="218" t="str">
        <f ca="1">_xlfn.XLOOKUP(L75,RenewalPlans!B:B,RenewalPlans!AW:AW,"NA",0,1)</f>
        <v>NA</v>
      </c>
      <c r="M100" s="214"/>
      <c r="N100" s="214"/>
      <c r="O100" s="214"/>
      <c r="P100" s="217"/>
      <c r="Q100" s="214"/>
      <c r="R100" s="215"/>
      <c r="T100" s="218" t="str">
        <f>_xlfn.XLOOKUP(T75,RenewalPlans!B:B,RenewalPlans!AW:AW,"NA",0,1)</f>
        <v>NA</v>
      </c>
      <c r="U100" s="214"/>
      <c r="V100" s="214"/>
      <c r="W100" s="214"/>
      <c r="X100" s="217"/>
      <c r="Y100" s="214"/>
      <c r="Z100" s="215"/>
    </row>
    <row r="101" spans="1:26" ht="18.75" customHeight="1" hidden="1">
      <c r="A101" s="140"/>
      <c r="B101" s="140"/>
      <c r="D101" s="198" t="s">
        <v>272</v>
      </c>
      <c r="E101" s="130" t="str">
        <f>_xlfn.XLOOKUP(E75,CurrentPlans!B:B,CurrentPlans!AD:AD,"NA",0,1)</f>
        <v>NA</v>
      </c>
      <c r="F101" s="200"/>
      <c r="G101" s="200"/>
      <c r="H101" s="200"/>
      <c r="I101" s="130"/>
      <c r="J101" s="201"/>
      <c r="K101"/>
      <c r="L101" s="131" t="str">
        <f ca="1">_xlfn.XLOOKUP(L75,RenewalPlans!B:B,RenewalPlans!AG:AG,"NA",0,1)</f>
        <v>NA</v>
      </c>
      <c r="M101" s="200"/>
      <c r="N101" s="200"/>
      <c r="O101" s="200"/>
      <c r="P101" s="130"/>
      <c r="Q101" s="200"/>
      <c r="R101" s="201"/>
      <c r="T101" s="131" t="str">
        <f>_xlfn.XLOOKUP(T75,RenewalPlans!B:B,RenewalPlans!AG:AG,"NA",0,1)</f>
        <v>NA</v>
      </c>
      <c r="U101" s="200"/>
      <c r="V101" s="200"/>
      <c r="W101" s="200"/>
      <c r="X101" s="130"/>
      <c r="Y101" s="200"/>
      <c r="Z101" s="201"/>
    </row>
    <row r="102" spans="1:26" ht="18.75" customHeight="1" hidden="1">
      <c r="A102" s="140"/>
      <c r="B102" s="140"/>
      <c r="D102" s="198" t="s">
        <v>273</v>
      </c>
      <c r="E102" s="200"/>
      <c r="F102" s="200"/>
      <c r="G102" s="200"/>
      <c r="H102" s="200"/>
      <c r="I102" s="200"/>
      <c r="J102" s="201"/>
      <c r="K102"/>
      <c r="L102" s="198"/>
      <c r="M102" s="200"/>
      <c r="N102" s="200"/>
      <c r="O102" s="200"/>
      <c r="P102" s="200"/>
      <c r="Q102" s="200"/>
      <c r="R102" s="201"/>
      <c r="T102" s="198"/>
      <c r="U102" s="200"/>
      <c r="V102" s="200"/>
      <c r="W102" s="200"/>
      <c r="X102" s="200"/>
      <c r="Y102" s="200"/>
      <c r="Z102" s="201"/>
    </row>
    <row r="103" spans="1:26" ht="18.75" customHeight="1" hidden="1">
      <c r="A103" s="140"/>
      <c r="B103" s="140"/>
      <c r="D103" s="210"/>
      <c r="E103" s="211"/>
      <c r="F103" s="211"/>
      <c r="G103" s="211"/>
      <c r="H103" s="211"/>
      <c r="I103" s="211"/>
      <c r="J103" s="212"/>
      <c r="K103"/>
      <c r="L103" s="210"/>
      <c r="M103" s="211"/>
      <c r="N103" s="211"/>
      <c r="O103" s="211"/>
      <c r="P103" s="211"/>
      <c r="Q103" s="211"/>
      <c r="R103" s="212"/>
      <c r="T103" s="210"/>
      <c r="U103" s="211"/>
      <c r="V103" s="211"/>
      <c r="W103" s="211"/>
      <c r="X103" s="211"/>
      <c r="Y103" s="211"/>
      <c r="Z103" s="212"/>
    </row>
    <row r="104" spans="1:26" ht="18.75" customHeight="1" hidden="1">
      <c r="A104" s="140"/>
      <c r="B104" s="140"/>
      <c r="D104" s="219" t="s">
        <v>274</v>
      </c>
      <c r="E104" s="220"/>
      <c r="F104" s="220"/>
      <c r="G104" s="220"/>
      <c r="H104" s="220"/>
      <c r="I104" s="220"/>
      <c r="J104" s="221"/>
      <c r="K104"/>
      <c r="L104" s="222"/>
      <c r="M104" s="220"/>
      <c r="N104" s="220"/>
      <c r="O104" s="220"/>
      <c r="P104" s="220"/>
      <c r="Q104" s="220"/>
      <c r="R104" s="221"/>
      <c r="T104" s="222"/>
      <c r="U104" s="220"/>
      <c r="V104" s="220"/>
      <c r="W104" s="220"/>
      <c r="X104" s="220"/>
      <c r="Y104" s="220"/>
      <c r="Z104" s="221"/>
    </row>
    <row r="105" spans="1:26" ht="18.75" customHeight="1" hidden="1">
      <c r="A105" s="140"/>
      <c r="B105" s="140"/>
      <c r="D105" s="223" t="s">
        <v>250</v>
      </c>
      <c r="E105" s="205"/>
      <c r="F105" s="205"/>
      <c r="G105" s="205"/>
      <c r="H105" s="205"/>
      <c r="I105" s="205"/>
      <c r="J105" s="206"/>
      <c r="K105"/>
      <c r="L105" s="203"/>
      <c r="M105" s="205"/>
      <c r="N105" s="205"/>
      <c r="O105" s="205"/>
      <c r="P105" s="205"/>
      <c r="Q105" s="205"/>
      <c r="R105" s="206"/>
      <c r="T105" s="203"/>
      <c r="U105" s="205"/>
      <c r="V105" s="205"/>
      <c r="W105" s="205"/>
      <c r="X105" s="205"/>
      <c r="Y105" s="205"/>
      <c r="Z105" s="206"/>
    </row>
    <row r="106" spans="1:26" ht="18.75" customHeight="1" hidden="1">
      <c r="A106" s="140"/>
      <c r="B106" s="140"/>
      <c r="D106" s="198" t="s">
        <v>251</v>
      </c>
      <c r="E106" s="130" t="str">
        <f>_xlfn.XLOOKUP(E75,CurrentPlans!B:B,CurrentPlans!AP:AP,"NA",0,1)</f>
        <v>NA</v>
      </c>
      <c r="F106" s="200"/>
      <c r="G106" s="200"/>
      <c r="H106" s="200"/>
      <c r="I106" s="130"/>
      <c r="J106" s="201"/>
      <c r="K106"/>
      <c r="L106" s="131" t="str">
        <f ca="1">_xlfn.XLOOKUP(L75,RenewalPlans!B:B,RenewalPlans!AS:AS,"NA",0,1)</f>
        <v>NA</v>
      </c>
      <c r="M106" s="200"/>
      <c r="N106" s="200"/>
      <c r="O106" s="200"/>
      <c r="P106" s="130"/>
      <c r="Q106" s="200"/>
      <c r="R106" s="201"/>
      <c r="T106" s="131" t="str">
        <f>_xlfn.XLOOKUP(T75,RenewalPlans!B:B,RenewalPlans!AS:AS,"NA",0,1)</f>
        <v>NA</v>
      </c>
      <c r="U106" s="200"/>
      <c r="V106" s="200"/>
      <c r="W106" s="200"/>
      <c r="X106" s="130"/>
      <c r="Y106" s="200"/>
      <c r="Z106" s="201"/>
    </row>
    <row r="107" spans="1:26" ht="18.75" customHeight="1" hidden="1">
      <c r="A107" s="140"/>
      <c r="B107" s="140"/>
      <c r="D107" s="198" t="s">
        <v>252</v>
      </c>
      <c r="E107" s="130" t="str">
        <f>_xlfn.XLOOKUP(E75,CurrentPlans!B:B,CurrentPlans!AQ:AQ,"NA",0,1)</f>
        <v>NA</v>
      </c>
      <c r="F107" s="200"/>
      <c r="G107" s="200"/>
      <c r="H107" s="200"/>
      <c r="I107" s="130"/>
      <c r="J107" s="201"/>
      <c r="K107"/>
      <c r="L107" s="131" t="str">
        <f ca="1">_xlfn.XLOOKUP(L75,RenewalPlans!B:B,RenewalPlans!AT:AT,"NA",0,1)</f>
        <v>NA</v>
      </c>
      <c r="M107" s="200"/>
      <c r="N107" s="200"/>
      <c r="O107" s="200"/>
      <c r="P107" s="130"/>
      <c r="Q107" s="200"/>
      <c r="R107" s="201"/>
      <c r="T107" s="131" t="str">
        <f>_xlfn.XLOOKUP(T75,RenewalPlans!B:B,RenewalPlans!AT:AT,"NA",0,1)</f>
        <v>NA</v>
      </c>
      <c r="U107" s="200"/>
      <c r="V107" s="200"/>
      <c r="W107" s="200"/>
      <c r="X107" s="130"/>
      <c r="Y107" s="200"/>
      <c r="Z107" s="201"/>
    </row>
    <row r="108" spans="1:26" ht="18.75" customHeight="1" hidden="1">
      <c r="A108" s="140"/>
      <c r="B108" s="140"/>
      <c r="D108" s="120" t="s">
        <v>253</v>
      </c>
      <c r="E108" s="133" t="str">
        <f>_xlfn.XLOOKUP(E75,CurrentPlans!B:B,CurrentPlans!AO:AO,"NA",0,1)</f>
        <v>NA</v>
      </c>
      <c r="F108" s="122"/>
      <c r="G108" s="122"/>
      <c r="H108" s="122"/>
      <c r="I108" s="133"/>
      <c r="J108" s="123"/>
      <c r="K108"/>
      <c r="L108" s="136" t="str">
        <f ca="1">_xlfn.XLOOKUP(L75,RenewalPlans!B:B,RenewalPlans!AR:AR,"NA",0,1)</f>
        <v>NA</v>
      </c>
      <c r="M108" s="122"/>
      <c r="N108" s="122"/>
      <c r="O108" s="122"/>
      <c r="P108" s="133"/>
      <c r="Q108" s="122"/>
      <c r="R108" s="123"/>
      <c r="T108" s="136" t="str">
        <f>_xlfn.XLOOKUP(T75,RenewalPlans!B:B,RenewalPlans!AR:AR,"NA",0,1)</f>
        <v>NA</v>
      </c>
      <c r="U108" s="122"/>
      <c r="V108" s="122"/>
      <c r="W108" s="122"/>
      <c r="X108" s="133"/>
      <c r="Y108" s="122"/>
      <c r="Z108" s="123"/>
    </row>
    <row r="109" spans="1:26" ht="18.75" customHeight="1" hidden="1">
      <c r="A109" s="140"/>
      <c r="B109" s="140"/>
      <c r="D109" s="223" t="s">
        <v>254</v>
      </c>
      <c r="E109" s="205"/>
      <c r="F109" s="205"/>
      <c r="G109" s="205"/>
      <c r="H109" s="205"/>
      <c r="I109" s="205"/>
      <c r="J109" s="206"/>
      <c r="K109"/>
      <c r="L109" s="203"/>
      <c r="M109" s="205"/>
      <c r="N109" s="205"/>
      <c r="O109" s="205"/>
      <c r="P109" s="205"/>
      <c r="Q109" s="205"/>
      <c r="R109" s="206"/>
      <c r="T109" s="203"/>
      <c r="U109" s="205"/>
      <c r="V109" s="205"/>
      <c r="W109" s="205"/>
      <c r="X109" s="205"/>
      <c r="Y109" s="205"/>
      <c r="Z109" s="206"/>
    </row>
    <row r="110" spans="1:26" ht="18.75" customHeight="1" hidden="1">
      <c r="A110" s="140"/>
      <c r="B110" s="140"/>
      <c r="D110" s="198" t="s">
        <v>255</v>
      </c>
      <c r="E110" s="130" t="str">
        <f>_xlfn.XLOOKUP(E75,CurrentPlans!B:B,CurrentPlans!AR:AR,"NA",0,1)</f>
        <v>NA</v>
      </c>
      <c r="F110" s="200"/>
      <c r="G110" s="200"/>
      <c r="H110" s="200"/>
      <c r="I110" s="130"/>
      <c r="J110" s="201"/>
      <c r="K110"/>
      <c r="L110" s="131" t="str">
        <f ca="1">_xlfn.XLOOKUP(L75,RenewalPlans!B:B,RenewalPlans!AU:AU,"NA",0,1)</f>
        <v>NA</v>
      </c>
      <c r="M110" s="200"/>
      <c r="N110" s="200"/>
      <c r="O110" s="200"/>
      <c r="P110" s="130"/>
      <c r="Q110" s="200"/>
      <c r="R110" s="201"/>
      <c r="T110" s="131" t="str">
        <f>_xlfn.XLOOKUP(T75,RenewalPlans!B:B,RenewalPlans!AU:AU,"NA",0,1)</f>
        <v>NA</v>
      </c>
      <c r="U110" s="200"/>
      <c r="V110" s="200"/>
      <c r="W110" s="200"/>
      <c r="X110" s="130"/>
      <c r="Y110" s="200"/>
      <c r="Z110" s="201"/>
    </row>
    <row r="111" spans="1:26" ht="18" customHeight="1" hidden="1" thickBot="1">
      <c r="A111" s="140"/>
      <c r="B111" s="140"/>
      <c r="D111" s="224" t="s">
        <v>256</v>
      </c>
      <c r="E111" s="137" t="str">
        <f>_xlfn.XLOOKUP(E75,CurrentPlans!B:B,CurrentPlans!AS:AS,"NA",0,1)</f>
        <v>NA</v>
      </c>
      <c r="F111" s="225"/>
      <c r="G111" s="225"/>
      <c r="H111" s="225"/>
      <c r="I111" s="137"/>
      <c r="J111" s="226"/>
      <c r="K111"/>
      <c r="L111" s="138" t="str">
        <f ca="1">_xlfn.XLOOKUP(L75,RenewalPlans!B:B,RenewalPlans!AV:AV,"NA",0,1)</f>
        <v>NA</v>
      </c>
      <c r="M111" s="225"/>
      <c r="N111" s="225"/>
      <c r="O111" s="225"/>
      <c r="P111" s="137"/>
      <c r="Q111" s="225"/>
      <c r="R111" s="226"/>
      <c r="T111" s="138" t="str">
        <f>_xlfn.XLOOKUP(T75,RenewalPlans!B:B,RenewalPlans!AV:AV,"NA",0,1)</f>
        <v>NA</v>
      </c>
      <c r="U111" s="225"/>
      <c r="V111" s="225"/>
      <c r="W111" s="225"/>
      <c r="X111" s="137"/>
      <c r="Y111" s="225"/>
      <c r="Z111" s="226"/>
    </row>
    <row r="112" spans="1:26" ht="18" customHeight="1">
      <c r="A112" s="140"/>
      <c r="B112" s="140"/>
      <c r="D112" s="227"/>
      <c r="E112" s="176"/>
      <c r="F112" s="178"/>
      <c r="G112" s="179"/>
      <c r="H112" s="178"/>
      <c r="I112" s="176"/>
      <c r="J112" s="228"/>
      <c r="K112"/>
      <c r="L112" s="178"/>
      <c r="M112" s="176"/>
      <c r="N112" s="139"/>
      <c r="O112" s="178"/>
      <c r="P112" s="178"/>
      <c r="Q112" s="178"/>
      <c r="R112" s="228"/>
      <c r="T112" s="178"/>
      <c r="U112" s="176"/>
      <c r="V112" s="139"/>
      <c r="W112" s="178"/>
      <c r="X112" s="178"/>
      <c r="Y112" s="178"/>
      <c r="Z112" s="228"/>
    </row>
    <row r="113" spans="1:26" ht="5.25" customHeight="1" thickBot="1">
      <c r="A113" s="140"/>
      <c r="B113" s="140"/>
      <c r="D113" s="229"/>
      <c r="E113" s="229"/>
      <c r="F113" s="230"/>
      <c r="G113" s="231"/>
      <c r="H113" s="232"/>
      <c r="I113" s="233"/>
      <c r="J113" s="233"/>
      <c r="K113"/>
      <c r="L113" s="233"/>
      <c r="M113" s="233"/>
      <c r="N113" s="233"/>
      <c r="O113" s="233"/>
      <c r="P113" s="233"/>
      <c r="Q113" s="233"/>
      <c r="R113" s="233"/>
      <c r="T113" s="233"/>
      <c r="U113" s="233"/>
      <c r="V113" s="233"/>
      <c r="W113" s="233"/>
      <c r="X113" s="233"/>
      <c r="Y113" s="233"/>
      <c r="Z113" s="233"/>
    </row>
    <row r="114" spans="1:26" ht="50.15" customHeight="1">
      <c r="A114" s="140">
        <v>3</v>
      </c>
      <c r="B114" s="140" t="str">
        <f>IF(A114&gt;Class4_CurrentHealthCount,"DELETE",Class4_CurrentHealthStart+A114)</f>
        <v>DELETE</v>
      </c>
      <c r="C114" s="164" t="s">
        <v>276</v>
      </c>
      <c r="D114" s="273" t="str">
        <f>IF(B114="Delete","",VLOOKUP(F114,BEGIN_CURRENT_HEALTH:END_CURRENT_HEALTH,3,FALSE))</f>
        <v/>
      </c>
      <c r="E114" s="165"/>
      <c r="F114" s="272" t="str" cm="1">
        <f t="array" ca="1" aca="1" ref="F114">IF(B114="Delete","",INDIRECT("CurrentPlans!A"&amp;B114,TRUE))</f>
        <v/>
      </c>
      <c r="G114" s="166"/>
      <c r="H114" s="167"/>
      <c r="I114" s="168"/>
      <c r="J114" s="169"/>
      <c r="K114"/>
      <c r="L114" s="274" t="str">
        <f ca="1">_xlfn.IFNA(VLOOKUP(F114,BEGIN_RENEWEDFROM_HEALTH:ROW_RenewHealth_PlanID,3,FALSE),"SELECT PLAN")</f>
        <v>SELECT PLAN</v>
      </c>
      <c r="M114" s="170"/>
      <c r="N114" s="274" t="s">
        <v>237</v>
      </c>
      <c r="O114" s="171"/>
      <c r="P114" s="171"/>
      <c r="Q114" s="171"/>
      <c r="R114" s="169"/>
      <c r="T114" s="274" t="s">
        <v>38</v>
      </c>
      <c r="U114" s="170"/>
      <c r="V114" s="274" t="s">
        <v>237</v>
      </c>
      <c r="W114" s="171"/>
      <c r="X114" s="171"/>
      <c r="Y114" s="171"/>
      <c r="Z114" s="169"/>
    </row>
    <row r="115" spans="1:26" ht="18.75" customHeight="1">
      <c r="A115" s="140"/>
      <c r="B115" s="140"/>
      <c r="D115" s="172" t="s">
        <v>238</v>
      </c>
      <c r="E115" s="407" t="str">
        <f ca="1">_xlfn.IFNA(VLOOKUP(F114,BEGIN_CURRENT_HEALTH:END_CURRENT_HEALTH,CURRENT_COL_EO_count,FALSE),"")</f>
        <v/>
      </c>
      <c r="F115" s="408" t="str">
        <f ca="1">_xlfn.IFNA(VLOOKUP(F114,BEGIN_CURRENT_HEALTH:END_CURRENT_HEALTH,CURRENT_COL_EO,FALSE),"")</f>
        <v/>
      </c>
      <c r="G115" s="468" t="str">
        <f ca="1" t="shared" si="10" ref="G115:G118">IF(F115="","",H115/F115)</f>
        <v/>
      </c>
      <c r="H115" s="408" t="str">
        <f ca="1">_xlfn.IFNA(VLOOKUP(F114,BEGIN_CURRENT_HEALTH:END_CURRENT_HEALTH,CURRENT_COL_EOContrib,FALSE),"")</f>
        <v/>
      </c>
      <c r="I115" s="409" t="str">
        <f ca="1">IFERROR(F115-H115,"")</f>
        <v/>
      </c>
      <c r="J115" s="410" t="str">
        <f ca="1">IF(F115="","",H115*E115)</f>
        <v/>
      </c>
      <c r="K115" s="411"/>
      <c r="L115" s="408" t="str" cm="1">
        <f t="array" ca="1" aca="1" ref="L115">_xlfn.IFNA(VLOOKUP(INDIRECT("L"&amp;ROW()-1)&amp;"_"&amp;$D$12,BEGIN_RENEW_HEALTH:END_RENEW_HEALTH,RENEW_COL_EO,FALSE),"")</f>
        <v/>
      </c>
      <c r="M115" s="412" t="str">
        <f ca="1">IF(E115="","",E115)</f>
        <v/>
      </c>
      <c r="N115" s="413"/>
      <c r="O115" s="414"/>
      <c r="P115" s="415" t="str">
        <f>IFERROR(IF($N114="Keep Contribution Same",H115,IF($N114="Enter Percentages",IF(N115="","",N115*L115),IF($N114="Keep Percentage Same",IF(G115="","",G115*L115),IF($N114="Enter Dollar Amount",IF(O115="","",O115),"")))),"")</f>
        <v/>
      </c>
      <c r="Q115" s="408" t="str">
        <f ca="1">IFERROR(L115-P115,"")</f>
        <v/>
      </c>
      <c r="R115" s="410" t="str">
        <f>IFERROR(IF(P115="","",M115*P115),"")</f>
        <v/>
      </c>
      <c r="S115" s="411"/>
      <c r="T115" s="408" t="str" cm="1">
        <f t="array" ca="1" aca="1" ref="T115">_xlfn.IFNA(VLOOKUP(INDIRECT("T"&amp;ROW()-1)&amp;"_"&amp;$D$12,BEGIN_RENEW_HEALTH:END_RENEW_HEALTH,RENEW_COL_EO,FALSE),"")</f>
        <v/>
      </c>
      <c r="U115" s="412" t="str">
        <f ca="1">IF(E115="","",E115)</f>
        <v/>
      </c>
      <c r="V115" s="413"/>
      <c r="W115" s="414"/>
      <c r="X115" s="415" t="str">
        <f>IFERROR(IF($V114="Keep Contribution Same",H115,IF($V114="Enter Percentages",IF(V115="","",V115*T115),IF($V114="Keep Percentage Same",IF(G115="","",G115*T115),IF($V114="Enter Dollar Amount",IF(W115="","",W115),"")))),"")</f>
        <v/>
      </c>
      <c r="Y115" s="408" t="str">
        <f ca="1">IFERROR(T115-X115,"")</f>
        <v/>
      </c>
      <c r="Z115" s="410" t="str">
        <f>IFERROR(IF(X115="","",U115*X115),"")</f>
        <v/>
      </c>
    </row>
    <row r="116" spans="1:26" ht="18.75" customHeight="1">
      <c r="A116" s="140"/>
      <c r="B116" s="140"/>
      <c r="D116" s="172" t="s">
        <v>239</v>
      </c>
      <c r="E116" s="407" t="str">
        <f ca="1">_xlfn.IFNA(VLOOKUP(F114,BEGIN_CURRENT_HEALTH:END_CURRENT_HEALTH,CURRENT_COL_ES_count,FALSE),"")</f>
        <v/>
      </c>
      <c r="F116" s="408" t="str">
        <f ca="1">_xlfn.IFNA(VLOOKUP(F114,BEGIN_CURRENT_HEALTH:END_CURRENT_HEALTH,CURRENT_COL_ES,FALSE),"")</f>
        <v/>
      </c>
      <c r="G116" s="468" t="str">
        <f t="shared" ca="1" si="10"/>
        <v/>
      </c>
      <c r="H116" s="408" t="str">
        <f ca="1">_xlfn.IFNA(VLOOKUP(F114,BEGIN_CURRENT_HEALTH:END_CURRENT_HEALTH,CURRENT_COL_ESContrib,FALSE),"")</f>
        <v/>
      </c>
      <c r="I116" s="409" t="str">
        <f ca="1" t="shared" si="11" ref="I116:I118">IFERROR(F116-H116,"")</f>
        <v/>
      </c>
      <c r="J116" s="410" t="str">
        <f ca="1">IF(F116="","",H116*E116)</f>
        <v/>
      </c>
      <c r="K116" s="411"/>
      <c r="L116" s="408" t="str" cm="1">
        <f t="array" ca="1" aca="1" ref="L116">_xlfn.IFNA(VLOOKUP(INDIRECT("L"&amp;ROW()-2)&amp;"_"&amp;$D$12,BEGIN_RENEW_HEALTH:END_RENEW_HEALTH,RENEW_COL_ES,FALSE),"")</f>
        <v/>
      </c>
      <c r="M116" s="412" t="str">
        <f ca="1">IF(E116="","",E116)</f>
        <v/>
      </c>
      <c r="N116" s="413"/>
      <c r="O116" s="414"/>
      <c r="P116" s="415" t="str">
        <f>IFERROR(IF($N114="Keep Contribution Same",H116,IF($N114="Enter Percentages",IF(N116="","",N116*L116),IF($N114="Keep Percentage Same",IF(G116="","",G116*L116),IF($N114="Enter Dollar Amount",IF(O116="","",O116),"")))),"")</f>
        <v/>
      </c>
      <c r="Q116" s="408" t="str">
        <f ca="1">IFERROR(L116-P116,"")</f>
        <v/>
      </c>
      <c r="R116" s="410" t="str">
        <f>IFERROR(IF(P116="","",M116*P116),"")</f>
        <v/>
      </c>
      <c r="S116" s="411"/>
      <c r="T116" s="408" t="str" cm="1">
        <f t="array" ca="1" aca="1" ref="T116">_xlfn.IFNA(VLOOKUP(INDIRECT("T"&amp;ROW()-2)&amp;"_"&amp;$D$12,BEGIN_RENEW_HEALTH:END_RENEW_HEALTH,RENEW_COL_ES,FALSE),"")</f>
        <v/>
      </c>
      <c r="U116" s="412" t="str">
        <f ca="1" t="shared" si="12" ref="U116:U118">IF(E116="","",E116)</f>
        <v/>
      </c>
      <c r="V116" s="413"/>
      <c r="W116" s="414"/>
      <c r="X116" s="415" t="str">
        <f>IFERROR(IF($V114="Keep Contribution Same",H116,IF($V114="Enter Percentages",IF(V116="","",V116*T116),IF($V114="Keep Percentage Same",IF(G116="","",G116*T116),IF($V114="Enter Dollar Amount",IF(W116="","",W116),"")))),"")</f>
        <v/>
      </c>
      <c r="Y116" s="408" t="str">
        <f ca="1" t="shared" si="13" ref="Y116:Y118">IFERROR(T116-X116,"")</f>
        <v/>
      </c>
      <c r="Z116" s="410" t="str">
        <f t="shared" si="14" ref="Z116:Z118">IFERROR(IF(X116="","",U116*X116),"")</f>
        <v/>
      </c>
    </row>
    <row r="117" spans="1:26" ht="18.75" customHeight="1">
      <c r="A117" s="140"/>
      <c r="B117" s="140"/>
      <c r="D117" s="172" t="s">
        <v>240</v>
      </c>
      <c r="E117" s="407" t="str">
        <f ca="1">_xlfn.IFNA(VLOOKUP(F114,BEGIN_CURRENT_HEALTH:END_CURRENT_HEALTH,CURRENT_COL_EC_count,FALSE),"")</f>
        <v/>
      </c>
      <c r="F117" s="408" t="str">
        <f ca="1">_xlfn.IFNA(VLOOKUP(F114,BEGIN_CURRENT_HEALTH:END_CURRENT_HEALTH,CURRENT_COL_EC,FALSE),"")</f>
        <v/>
      </c>
      <c r="G117" s="468" t="str">
        <f t="shared" ca="1" si="10"/>
        <v/>
      </c>
      <c r="H117" s="408" t="str">
        <f ca="1">_xlfn.IFNA(VLOOKUP(F114,BEGIN_CURRENT_HEALTH:END_CURRENT_HEALTH,CURRENT_COL_ECContrib,FALSE),"")</f>
        <v/>
      </c>
      <c r="I117" s="409" t="str">
        <f t="shared" ca="1" si="11"/>
        <v/>
      </c>
      <c r="J117" s="410" t="str">
        <f ca="1">IF(F117="","",H117*E117)</f>
        <v/>
      </c>
      <c r="K117" s="411"/>
      <c r="L117" s="408" t="str" cm="1">
        <f t="array" ca="1" aca="1" ref="L117">_xlfn.IFNA(VLOOKUP(INDIRECT("L"&amp;ROW()-3)&amp;"_"&amp;$D$12,BEGIN_RENEW_HEALTH:END_RENEW_HEALTH,RENEW_COL_EC,FALSE),"")</f>
        <v/>
      </c>
      <c r="M117" s="412" t="str">
        <f ca="1">IF(E117="","",E117)</f>
        <v/>
      </c>
      <c r="N117" s="413"/>
      <c r="O117" s="414"/>
      <c r="P117" s="415" t="str">
        <f>IFERROR(IF($N114="Keep Contribution Same",H117,IF($N114="Enter Percentages",IF(N117="","",N117*L117),IF($N114="Keep Percentage Same",IF(G117="","",G117*L117),IF($N114="Enter Dollar Amount",IF(O117="","",O117),"")))),"")</f>
        <v/>
      </c>
      <c r="Q117" s="408" t="str">
        <f ca="1">IFERROR(L117-P117,"")</f>
        <v/>
      </c>
      <c r="R117" s="410" t="str">
        <f>IFERROR(IF(P117="","",M117*P117),"")</f>
        <v/>
      </c>
      <c r="S117" s="411"/>
      <c r="T117" s="408" t="str" cm="1">
        <f t="array" ca="1" aca="1" ref="T117">_xlfn.IFNA(VLOOKUP(INDIRECT("T"&amp;ROW()-3)&amp;"_"&amp;$D$12,BEGIN_RENEW_HEALTH:END_RENEW_HEALTH,RENEW_COL_EC,FALSE),"")</f>
        <v/>
      </c>
      <c r="U117" s="412" t="str">
        <f t="shared" ca="1" si="12"/>
        <v/>
      </c>
      <c r="V117" s="413"/>
      <c r="W117" s="414"/>
      <c r="X117" s="415" t="str">
        <f>IFERROR(IF($V114="Keep Contribution Same",H117,IF($V114="Enter Percentages",IF(V117="","",V117*T117),IF($V114="Keep Percentage Same",IF(G117="","",G117*T117),IF($V114="Enter Dollar Amount",IF(W117="","",W117),"")))),"")</f>
        <v/>
      </c>
      <c r="Y117" s="408" t="str">
        <f t="shared" ca="1" si="13"/>
        <v/>
      </c>
      <c r="Z117" s="410" t="str">
        <f t="shared" si="14"/>
        <v/>
      </c>
    </row>
    <row r="118" spans="1:26" ht="18.75" customHeight="1" thickBot="1">
      <c r="A118" s="140"/>
      <c r="B118" s="140"/>
      <c r="D118" s="174" t="s">
        <v>241</v>
      </c>
      <c r="E118" s="416" t="str">
        <f ca="1">_xlfn.IFNA(VLOOKUP(F114,BEGIN_CURRENT_HEALTH:END_CURRENT_HEALTH,CURRENT_COL_FAM_count,FALSE),"")</f>
        <v/>
      </c>
      <c r="F118" s="417" t="str">
        <f ca="1">_xlfn.IFNA(VLOOKUP(F114,BEGIN_CURRENT_HEALTH:END_CURRENT_HEALTH,CURRENT_COL_FAM,FALSE),"")</f>
        <v/>
      </c>
      <c r="G118" s="469" t="str">
        <f t="shared" ca="1" si="10"/>
        <v/>
      </c>
      <c r="H118" s="417" t="str">
        <f ca="1">_xlfn.IFNA(VLOOKUP(F114,BEGIN_CURRENT_HEALTH:END_CURRENT_HEALTH,CURRENT_COL_FAMContrib,FALSE),"")</f>
        <v/>
      </c>
      <c r="I118" s="418" t="str">
        <f t="shared" ca="1" si="11"/>
        <v/>
      </c>
      <c r="J118" s="419" t="str">
        <f ca="1">IF(F118="","",H118*E118)</f>
        <v/>
      </c>
      <c r="K118" s="411"/>
      <c r="L118" s="417" t="str" cm="1">
        <f t="array" ca="1" aca="1" ref="L118">_xlfn.IFNA(VLOOKUP(INDIRECT("L"&amp;ROW()-4)&amp;"_"&amp;$D$12,BEGIN_RENEW_HEALTH:END_RENEW_HEALTH,RENEW_COL_FAM,FALSE),"")</f>
        <v/>
      </c>
      <c r="M118" s="423" t="str">
        <f ca="1">IF(E118="","",E118)</f>
        <v/>
      </c>
      <c r="N118" s="420"/>
      <c r="O118" s="421"/>
      <c r="P118" s="422" t="str">
        <f>IFERROR(IF($N114="Keep Contribution Same",H118,IF($N114="Enter Percentages",IF(N118="","",N118*L118),IF($N114="Keep Percentage Same",IF(G118="","",G118*L118),IF($N114="Enter Dollar Amount",IF(O118="","",O118),"")))),"")</f>
        <v/>
      </c>
      <c r="Q118" s="417" t="str">
        <f ca="1">IFERROR(L118-P118,"")</f>
        <v/>
      </c>
      <c r="R118" s="419" t="str">
        <f>IFERROR(IF(P118="","",M118*P118),"")</f>
        <v/>
      </c>
      <c r="S118" s="411"/>
      <c r="T118" s="417" t="str" cm="1">
        <f t="array" ca="1" aca="1" ref="T118">_xlfn.IFNA(VLOOKUP(INDIRECT("T"&amp;ROW()-4)&amp;"_"&amp;$D$12,BEGIN_RENEW_HEALTH:END_RENEW_HEALTH,RENEW_COL_FAM,FALSE),"")</f>
        <v/>
      </c>
      <c r="U118" s="423" t="str">
        <f t="shared" ca="1" si="12"/>
        <v/>
      </c>
      <c r="V118" s="420"/>
      <c r="W118" s="421"/>
      <c r="X118" s="422" t="str">
        <f>IFERROR(IF($V114="Keep Contribution Same",H118,IF($V114="Enter Percentages",IF(V118="","",V118*T118),IF($V114="Keep Percentage Same",IF(G118="","",G118*T118),IF($V114="Enter Dollar Amount",IF(W118="","",W118),"")))),"")</f>
        <v/>
      </c>
      <c r="Y118" s="417" t="str">
        <f t="shared" ca="1" si="13"/>
        <v/>
      </c>
      <c r="Z118" s="419" t="str">
        <f t="shared" si="14"/>
        <v/>
      </c>
    </row>
    <row r="119" spans="1:26" ht="18.75" customHeight="1" thickTop="1">
      <c r="A119" s="140"/>
      <c r="B119" s="140"/>
      <c r="D119" s="175" t="s">
        <v>242</v>
      </c>
      <c r="E119" s="424"/>
      <c r="F119" s="447" t="str">
        <f ca="1">IFERROR((F115*E115)+(F116*E116)+(F117*E117)+(F118*E118),"")</f>
        <v/>
      </c>
      <c r="G119" s="426"/>
      <c r="H119" s="427"/>
      <c r="I119" s="428"/>
      <c r="J119" s="429" t="str">
        <f ca="1">IFERROR(IF(J115="","",SUM(J115:J118)),0)</f>
        <v/>
      </c>
      <c r="K119" s="1"/>
      <c r="L119" s="430" t="str">
        <f ca="1">IFERROR((M115*L115)+(M116*L116)+(M117*L117)+(M118*L118),"")</f>
        <v/>
      </c>
      <c r="M119" s="427"/>
      <c r="N119" s="426"/>
      <c r="O119" s="427"/>
      <c r="P119" s="431"/>
      <c r="Q119" s="432"/>
      <c r="R119" s="429" t="str">
        <f>IFERROR(IF(R115="","",SUM(R115:R118)),0)</f>
        <v/>
      </c>
      <c r="T119" s="430" t="str">
        <f ca="1">IFERROR((U115*T115)+(U116*T116)+(U117*T117)+(U118*T118),"")</f>
        <v/>
      </c>
      <c r="U119" s="427"/>
      <c r="V119" s="426"/>
      <c r="W119" s="427"/>
      <c r="X119" s="431"/>
      <c r="Y119" s="432"/>
      <c r="Z119" s="429" t="str">
        <f>IFERROR(IF(Z115="","",SUM(Z115:Z118)),0)</f>
        <v/>
      </c>
    </row>
    <row r="120" spans="1:26" ht="18.75" customHeight="1">
      <c r="A120" s="140"/>
      <c r="B120" s="140"/>
      <c r="D120" s="177" t="s">
        <v>243</v>
      </c>
      <c r="E120" s="433"/>
      <c r="F120" s="448" t="str">
        <f ca="1">IFERROR(F119*12,"")</f>
        <v/>
      </c>
      <c r="G120" s="435"/>
      <c r="H120" s="436"/>
      <c r="I120" s="432"/>
      <c r="J120" s="437" t="str">
        <f ca="1">IF(J119="","",J119*12)</f>
        <v/>
      </c>
      <c r="K120" s="1"/>
      <c r="L120" s="438" t="str">
        <f ca="1">IFERROR(L119*12,"")</f>
        <v/>
      </c>
      <c r="M120" s="436"/>
      <c r="N120" s="435"/>
      <c r="O120" s="436"/>
      <c r="P120" s="432"/>
      <c r="Q120" s="432"/>
      <c r="R120" s="437" t="str">
        <f>IF(R119="","",R119*12)</f>
        <v/>
      </c>
      <c r="T120" s="438" t="str">
        <f ca="1">IFERROR(T119*12,"")</f>
        <v/>
      </c>
      <c r="U120" s="436"/>
      <c r="V120" s="435"/>
      <c r="W120" s="436"/>
      <c r="X120" s="432"/>
      <c r="Y120" s="432"/>
      <c r="Z120" s="437" t="str">
        <f>IF(Z119="","",Z119*12)</f>
        <v/>
      </c>
    </row>
    <row r="121" spans="1:26" ht="18" customHeight="1">
      <c r="A121" s="140"/>
      <c r="B121" s="140"/>
      <c r="D121" s="177" t="s">
        <v>244</v>
      </c>
      <c r="E121" s="433"/>
      <c r="F121" s="436"/>
      <c r="G121" s="435"/>
      <c r="H121" s="436"/>
      <c r="I121" s="432"/>
      <c r="J121" s="437"/>
      <c r="K121" s="1"/>
      <c r="L121" s="434" t="str">
        <f ca="1">IFERROR(L120-F120,"")</f>
        <v/>
      </c>
      <c r="M121" s="436"/>
      <c r="N121" s="435"/>
      <c r="O121" s="436"/>
      <c r="P121" s="432"/>
      <c r="Q121" s="432"/>
      <c r="R121" s="437" t="str">
        <f ca="1">IFERROR(IF(J120="","",R120-J120),0)</f>
        <v/>
      </c>
      <c r="T121" s="434" t="str">
        <f ca="1">IFERROR(T120-F120,"")</f>
        <v/>
      </c>
      <c r="U121" s="436"/>
      <c r="V121" s="435"/>
      <c r="W121" s="436"/>
      <c r="X121" s="432"/>
      <c r="Y121" s="432"/>
      <c r="Z121" s="437" t="str">
        <f>IFERROR(IF(R120="","",Z120-R120),0)</f>
        <v/>
      </c>
    </row>
    <row r="122" spans="1:26" ht="18" customHeight="1" thickBot="1">
      <c r="A122" s="140"/>
      <c r="B122" s="140"/>
      <c r="D122" s="180" t="s">
        <v>245</v>
      </c>
      <c r="E122" s="439"/>
      <c r="F122" s="440"/>
      <c r="G122" s="441"/>
      <c r="H122" s="440"/>
      <c r="I122" s="442"/>
      <c r="J122" s="443"/>
      <c r="K122" s="1"/>
      <c r="L122" s="444" t="str">
        <f ca="1">IFERROR(L120/F120-1,"")</f>
        <v/>
      </c>
      <c r="M122" s="440"/>
      <c r="N122" s="441"/>
      <c r="O122" s="440"/>
      <c r="P122" s="445"/>
      <c r="Q122" s="445"/>
      <c r="R122" s="446" t="str">
        <f ca="1">IFERROR(IF(J120="","",(R120/J120)-1),0)</f>
        <v/>
      </c>
      <c r="T122" s="444" t="str">
        <f ca="1">IFERROR(T120/F120-1,"")</f>
        <v/>
      </c>
      <c r="U122" s="440"/>
      <c r="V122" s="441"/>
      <c r="W122" s="440"/>
      <c r="X122" s="445"/>
      <c r="Y122" s="445"/>
      <c r="Z122" s="446" t="str">
        <f>IFERROR(IF(R120="","",(Z120/R120)-1),0)</f>
        <v/>
      </c>
    </row>
    <row r="123" spans="1:26" ht="18" customHeight="1">
      <c r="A123" s="140"/>
      <c r="B123" s="140"/>
      <c r="D123" s="181" t="s">
        <v>246</v>
      </c>
      <c r="E123" s="182"/>
      <c r="F123" s="182"/>
      <c r="G123" s="182"/>
      <c r="H123" s="182"/>
      <c r="I123" s="182"/>
      <c r="J123" s="183"/>
      <c r="K123"/>
      <c r="L123" s="184"/>
      <c r="M123" s="182"/>
      <c r="N123" s="182"/>
      <c r="O123" s="182"/>
      <c r="P123" s="182"/>
      <c r="Q123" s="182"/>
      <c r="R123" s="183"/>
      <c r="T123" s="184"/>
      <c r="U123" s="182"/>
      <c r="V123" s="182"/>
      <c r="W123" s="182"/>
      <c r="X123" s="182"/>
      <c r="Y123" s="182"/>
      <c r="Z123" s="183"/>
    </row>
    <row r="124" spans="1:26" ht="18" customHeight="1" hidden="1">
      <c r="A124" s="140"/>
      <c r="B124" s="140"/>
      <c r="D124" s="185" t="s">
        <v>247</v>
      </c>
      <c r="E124" s="186"/>
      <c r="F124" s="186"/>
      <c r="G124" s="186"/>
      <c r="H124" s="186"/>
      <c r="I124" s="186"/>
      <c r="J124" s="187"/>
      <c r="K124"/>
      <c r="L124" s="188"/>
      <c r="M124" s="186"/>
      <c r="N124" s="186"/>
      <c r="O124" s="186"/>
      <c r="P124" s="186"/>
      <c r="Q124" s="186"/>
      <c r="R124" s="187"/>
      <c r="T124" s="188"/>
      <c r="U124" s="186"/>
      <c r="V124" s="186"/>
      <c r="W124" s="186"/>
      <c r="X124" s="186"/>
      <c r="Y124" s="186"/>
      <c r="Z124" s="187"/>
    </row>
    <row r="125" spans="1:26" ht="18" customHeight="1" hidden="1">
      <c r="A125" s="140"/>
      <c r="B125" s="140"/>
      <c r="D125" s="189" t="s">
        <v>248</v>
      </c>
      <c r="E125" s="190" t="str">
        <f>D114&amp;"_"&amp;D12</f>
        <v>_</v>
      </c>
      <c r="F125" s="191"/>
      <c r="G125" s="191"/>
      <c r="H125" s="191"/>
      <c r="I125" s="190"/>
      <c r="J125" s="192"/>
      <c r="K125"/>
      <c r="L125" s="193" t="str">
        <f ca="1">L114&amp;"_"&amp;D12</f>
        <v>SELECT PLAN_</v>
      </c>
      <c r="M125" s="191"/>
      <c r="N125" s="191"/>
      <c r="O125" s="191"/>
      <c r="P125" s="190"/>
      <c r="Q125" s="191"/>
      <c r="R125" s="192"/>
      <c r="T125" s="193" t="str">
        <f>T114&amp;"_"&amp;D12</f>
        <v>SELECT PLAN_</v>
      </c>
      <c r="U125" s="191"/>
      <c r="V125" s="191"/>
      <c r="W125" s="191"/>
      <c r="X125" s="190"/>
      <c r="Y125" s="191"/>
      <c r="Z125" s="192"/>
    </row>
    <row r="126" spans="1:26" ht="18" customHeight="1" hidden="1">
      <c r="A126" s="140"/>
      <c r="B126" s="140"/>
      <c r="D126" s="189" t="s">
        <v>249</v>
      </c>
      <c r="E126" s="191"/>
      <c r="F126" s="191"/>
      <c r="G126" s="191"/>
      <c r="H126" s="191"/>
      <c r="I126" s="191"/>
      <c r="J126" s="192"/>
      <c r="K126"/>
      <c r="L126" s="189"/>
      <c r="M126" s="191"/>
      <c r="N126" s="191"/>
      <c r="O126" s="191"/>
      <c r="P126" s="191"/>
      <c r="Q126" s="191"/>
      <c r="R126" s="192"/>
      <c r="T126" s="189"/>
      <c r="U126" s="191"/>
      <c r="V126" s="191"/>
      <c r="W126" s="191"/>
      <c r="X126" s="191"/>
      <c r="Y126" s="191"/>
      <c r="Z126" s="192"/>
    </row>
    <row r="127" spans="1:26" ht="18" customHeight="1" hidden="1">
      <c r="A127" s="140"/>
      <c r="B127" s="140"/>
      <c r="D127" s="194" t="s">
        <v>250</v>
      </c>
      <c r="E127" s="195"/>
      <c r="F127" s="195"/>
      <c r="G127" s="195"/>
      <c r="H127" s="195"/>
      <c r="I127" s="195"/>
      <c r="J127" s="196"/>
      <c r="K127"/>
      <c r="L127" s="197"/>
      <c r="M127" s="195"/>
      <c r="N127" s="195"/>
      <c r="O127" s="195"/>
      <c r="P127" s="195"/>
      <c r="Q127" s="195"/>
      <c r="R127" s="196"/>
      <c r="T127" s="197"/>
      <c r="U127" s="195"/>
      <c r="V127" s="195"/>
      <c r="W127" s="195"/>
      <c r="X127" s="195"/>
      <c r="Y127" s="195"/>
      <c r="Z127" s="196"/>
    </row>
    <row r="128" spans="1:26" ht="18" customHeight="1" hidden="1">
      <c r="A128" s="140"/>
      <c r="B128" s="140"/>
      <c r="D128" s="198" t="s">
        <v>251</v>
      </c>
      <c r="E128" s="199" t="str">
        <f>_xlfn.XLOOKUP(E125,CurrentPlans!B:B,CurrentPlans!X:X,"NA",0,1)</f>
        <v>NA</v>
      </c>
      <c r="F128" s="200"/>
      <c r="G128" s="200"/>
      <c r="H128" s="200"/>
      <c r="I128" s="199"/>
      <c r="J128" s="201"/>
      <c r="K128"/>
      <c r="L128" s="202" t="str">
        <f ca="1">_xlfn.XLOOKUP(L125,RenewalPlans!B:B,RenewalPlans!AA:AA,"NA",0,1)</f>
        <v>NA</v>
      </c>
      <c r="M128" s="200"/>
      <c r="N128" s="200"/>
      <c r="O128" s="200"/>
      <c r="P128" s="199"/>
      <c r="Q128" s="200"/>
      <c r="R128" s="201"/>
      <c r="T128" s="202" t="str">
        <f>_xlfn.XLOOKUP(T125,RenewalPlans!B:B,RenewalPlans!AA:AA,"NA",0,1)</f>
        <v>NA</v>
      </c>
      <c r="U128" s="200"/>
      <c r="V128" s="200"/>
      <c r="W128" s="200"/>
      <c r="X128" s="199"/>
      <c r="Y128" s="200"/>
      <c r="Z128" s="201"/>
    </row>
    <row r="129" spans="1:26" ht="18" customHeight="1" hidden="1">
      <c r="A129" s="140"/>
      <c r="B129" s="140"/>
      <c r="D129" s="198" t="s">
        <v>252</v>
      </c>
      <c r="E129" s="199" t="str">
        <f>_xlfn.XLOOKUP(E125,CurrentPlans!B:B,CurrentPlans!Y:Y,"NA",0,1)</f>
        <v>NA</v>
      </c>
      <c r="F129" s="200"/>
      <c r="G129" s="200"/>
      <c r="H129" s="200"/>
      <c r="I129" s="199"/>
      <c r="J129" s="201"/>
      <c r="K129"/>
      <c r="L129" s="202" t="str">
        <f ca="1">_xlfn.XLOOKUP(L125,RenewalPlans!B:B,RenewalPlans!AB:AB,"NA",0,1)</f>
        <v>NA</v>
      </c>
      <c r="M129" s="200"/>
      <c r="N129" s="200"/>
      <c r="O129" s="200"/>
      <c r="P129" s="199"/>
      <c r="Q129" s="200"/>
      <c r="R129" s="201"/>
      <c r="T129" s="202" t="str">
        <f>_xlfn.XLOOKUP(T125,RenewalPlans!B:B,RenewalPlans!AB:AB,"NA",0,1)</f>
        <v>NA</v>
      </c>
      <c r="U129" s="200"/>
      <c r="V129" s="200"/>
      <c r="W129" s="200"/>
      <c r="X129" s="199"/>
      <c r="Y129" s="200"/>
      <c r="Z129" s="201"/>
    </row>
    <row r="130" spans="1:26" ht="18" customHeight="1" hidden="1">
      <c r="A130" s="140"/>
      <c r="B130" s="140"/>
      <c r="D130" s="120" t="s">
        <v>253</v>
      </c>
      <c r="E130" s="121" t="str">
        <f>_xlfn.XLOOKUP(E125,CurrentPlans!B:B,CurrentPlans!W:W,"NA",0,1)</f>
        <v>NA</v>
      </c>
      <c r="F130" s="122"/>
      <c r="G130" s="122"/>
      <c r="H130" s="122"/>
      <c r="I130" s="121"/>
      <c r="J130" s="123"/>
      <c r="K130"/>
      <c r="L130" s="124" t="str">
        <f ca="1">_xlfn.XLOOKUP(L125,RenewalPlans!B:B,RenewalPlans!Z:Z,"NA",0,1)</f>
        <v>NA</v>
      </c>
      <c r="M130" s="122"/>
      <c r="N130" s="122"/>
      <c r="O130" s="122"/>
      <c r="P130" s="121"/>
      <c r="Q130" s="122"/>
      <c r="R130" s="123"/>
      <c r="T130" s="124" t="str">
        <f>_xlfn.XLOOKUP(T125,RenewalPlans!B:B,RenewalPlans!Z:Z,"NA",0,1)</f>
        <v>NA</v>
      </c>
      <c r="U130" s="122"/>
      <c r="V130" s="122"/>
      <c r="W130" s="122"/>
      <c r="X130" s="121"/>
      <c r="Y130" s="122"/>
      <c r="Z130" s="123"/>
    </row>
    <row r="131" spans="1:26" ht="18" customHeight="1" hidden="1">
      <c r="A131" s="140"/>
      <c r="B131" s="140"/>
      <c r="D131" s="203" t="s">
        <v>254</v>
      </c>
      <c r="E131" s="204"/>
      <c r="F131" s="205"/>
      <c r="G131" s="205"/>
      <c r="H131" s="205"/>
      <c r="I131" s="204"/>
      <c r="J131" s="206"/>
      <c r="K131"/>
      <c r="L131" s="207"/>
      <c r="M131" s="205"/>
      <c r="N131" s="205"/>
      <c r="O131" s="205"/>
      <c r="P131" s="204"/>
      <c r="Q131" s="205"/>
      <c r="R131" s="206"/>
      <c r="T131" s="207"/>
      <c r="U131" s="205"/>
      <c r="V131" s="205"/>
      <c r="W131" s="205"/>
      <c r="X131" s="204"/>
      <c r="Y131" s="205"/>
      <c r="Z131" s="206"/>
    </row>
    <row r="132" spans="1:26" ht="18" customHeight="1" hidden="1">
      <c r="A132" s="140"/>
      <c r="B132" s="140"/>
      <c r="D132" s="125" t="s">
        <v>255</v>
      </c>
      <c r="E132" s="126" t="str">
        <f>_xlfn.XLOOKUP(E125,CurrentPlans!B:B,CurrentPlans!Z:Z,"NA",0,1)</f>
        <v>NA</v>
      </c>
      <c r="F132" s="127"/>
      <c r="G132" s="127"/>
      <c r="H132" s="127"/>
      <c r="I132" s="126"/>
      <c r="J132" s="128"/>
      <c r="K132"/>
      <c r="L132" s="129" t="str">
        <f ca="1">_xlfn.XLOOKUP(L125,RenewalPlans!B:B,RenewalPlans!AC:AC,"NA",0,1)</f>
        <v>NA</v>
      </c>
      <c r="M132" s="127"/>
      <c r="N132" s="127"/>
      <c r="O132" s="127"/>
      <c r="P132" s="126"/>
      <c r="Q132" s="127"/>
      <c r="R132" s="128"/>
      <c r="T132" s="129" t="str">
        <f>_xlfn.XLOOKUP(T125,RenewalPlans!B:B,RenewalPlans!AC:AC,"NA",0,1)</f>
        <v>NA</v>
      </c>
      <c r="U132" s="127"/>
      <c r="V132" s="127"/>
      <c r="W132" s="127"/>
      <c r="X132" s="126"/>
      <c r="Y132" s="127"/>
      <c r="Z132" s="128"/>
    </row>
    <row r="133" spans="1:26" ht="18" customHeight="1" hidden="1">
      <c r="A133" s="140"/>
      <c r="B133" s="140"/>
      <c r="D133" s="198" t="s">
        <v>256</v>
      </c>
      <c r="E133" s="208" t="str">
        <f>_xlfn.XLOOKUP(E125,CurrentPlans!B:B,CurrentPlans!AA:AA,"NA",0,1)</f>
        <v>NA</v>
      </c>
      <c r="F133" s="200"/>
      <c r="G133" s="200"/>
      <c r="H133" s="200"/>
      <c r="I133" s="208"/>
      <c r="J133" s="201"/>
      <c r="K133"/>
      <c r="L133" s="209" t="str">
        <f ca="1">_xlfn.XLOOKUP(L125,RenewalPlans!B:B,RenewalPlans!AD:AD,"NA",0,1)</f>
        <v>NA</v>
      </c>
      <c r="M133" s="200"/>
      <c r="N133" s="200"/>
      <c r="O133" s="200"/>
      <c r="P133" s="208"/>
      <c r="Q133" s="200"/>
      <c r="R133" s="201"/>
      <c r="T133" s="209" t="str">
        <f>_xlfn.XLOOKUP(T125,RenewalPlans!B:B,RenewalPlans!AD:AD,"NA",0,1)</f>
        <v>NA</v>
      </c>
      <c r="U133" s="200"/>
      <c r="V133" s="200"/>
      <c r="W133" s="200"/>
      <c r="X133" s="208"/>
      <c r="Y133" s="200"/>
      <c r="Z133" s="201"/>
    </row>
    <row r="134" spans="1:26" ht="18" customHeight="1" hidden="1">
      <c r="A134" s="140"/>
      <c r="B134" s="140"/>
      <c r="D134" s="203" t="s">
        <v>257</v>
      </c>
      <c r="E134" s="204"/>
      <c r="F134" s="205"/>
      <c r="G134" s="205"/>
      <c r="H134" s="205"/>
      <c r="I134" s="204"/>
      <c r="J134" s="206"/>
      <c r="K134"/>
      <c r="L134" s="207"/>
      <c r="M134" s="205"/>
      <c r="N134" s="205"/>
      <c r="O134" s="205"/>
      <c r="P134" s="204"/>
      <c r="Q134" s="205"/>
      <c r="R134" s="206"/>
      <c r="T134" s="207"/>
      <c r="U134" s="205"/>
      <c r="V134" s="205"/>
      <c r="W134" s="205"/>
      <c r="X134" s="204"/>
      <c r="Y134" s="205"/>
      <c r="Z134" s="206"/>
    </row>
    <row r="135" spans="1:26" ht="18" customHeight="1" hidden="1">
      <c r="A135" s="140"/>
      <c r="B135" s="140"/>
      <c r="D135" s="198" t="s">
        <v>258</v>
      </c>
      <c r="E135" s="208" t="str">
        <f>_xlfn.XLOOKUP(E125,CurrentPlans!B:B,CurrentPlans!AB:AB,"NA",0,1)</f>
        <v>NA</v>
      </c>
      <c r="F135" s="200"/>
      <c r="G135" s="200"/>
      <c r="H135" s="200"/>
      <c r="I135" s="208"/>
      <c r="J135" s="201"/>
      <c r="K135"/>
      <c r="L135" s="209" t="str">
        <f ca="1">_xlfn.XLOOKUP(L125,RenewalPlans!B:B,RenewalPlans!AE:AE,"NA",0,1)</f>
        <v>NA</v>
      </c>
      <c r="M135" s="200"/>
      <c r="N135" s="200"/>
      <c r="O135" s="200"/>
      <c r="P135" s="208"/>
      <c r="Q135" s="200"/>
      <c r="R135" s="201"/>
      <c r="T135" s="209" t="str">
        <f>_xlfn.XLOOKUP(T125,RenewalPlans!B:B,RenewalPlans!AE:AE,"NA",0,1)</f>
        <v>NA</v>
      </c>
      <c r="U135" s="200"/>
      <c r="V135" s="200"/>
      <c r="W135" s="200"/>
      <c r="X135" s="208"/>
      <c r="Y135" s="200"/>
      <c r="Z135" s="201"/>
    </row>
    <row r="136" spans="1:26" ht="18" customHeight="1" hidden="1">
      <c r="A136" s="140"/>
      <c r="B136" s="140"/>
      <c r="D136" s="198" t="s">
        <v>259</v>
      </c>
      <c r="E136" s="208" t="str">
        <f>_xlfn.XLOOKUP(E125,CurrentPlans!B:B,CurrentPlans!AC:AC,"NA",0,1)</f>
        <v>NA</v>
      </c>
      <c r="F136" s="200"/>
      <c r="G136" s="200"/>
      <c r="H136" s="200"/>
      <c r="I136" s="208"/>
      <c r="J136" s="201"/>
      <c r="K136"/>
      <c r="L136" s="209" t="str">
        <f ca="1">_xlfn.XLOOKUP(L125,RenewalPlans!B:B,RenewalPlans!AF:AF,"NA",0,1)</f>
        <v>NA</v>
      </c>
      <c r="M136" s="200"/>
      <c r="N136" s="200"/>
      <c r="O136" s="200"/>
      <c r="P136" s="208"/>
      <c r="Q136" s="200"/>
      <c r="R136" s="201"/>
      <c r="T136" s="209" t="str">
        <f>_xlfn.XLOOKUP(T125,RenewalPlans!B:B,RenewalPlans!AF:AF,"NA",0,1)</f>
        <v>NA</v>
      </c>
      <c r="U136" s="200"/>
      <c r="V136" s="200"/>
      <c r="W136" s="200"/>
      <c r="X136" s="208"/>
      <c r="Y136" s="200"/>
      <c r="Z136" s="201"/>
    </row>
    <row r="137" spans="1:26" ht="18" customHeight="1" hidden="1">
      <c r="A137" s="140"/>
      <c r="B137" s="140"/>
      <c r="D137" s="210"/>
      <c r="E137" s="211"/>
      <c r="F137" s="211"/>
      <c r="G137" s="211"/>
      <c r="H137" s="211"/>
      <c r="I137" s="211"/>
      <c r="J137" s="212"/>
      <c r="K137"/>
      <c r="L137" s="210"/>
      <c r="M137" s="211"/>
      <c r="N137" s="211"/>
      <c r="O137" s="211"/>
      <c r="P137" s="211"/>
      <c r="Q137" s="211"/>
      <c r="R137" s="212"/>
      <c r="T137" s="210"/>
      <c r="U137" s="211"/>
      <c r="V137" s="211"/>
      <c r="W137" s="211"/>
      <c r="X137" s="211"/>
      <c r="Y137" s="211"/>
      <c r="Z137" s="212"/>
    </row>
    <row r="138" spans="1:26" ht="18" customHeight="1" hidden="1">
      <c r="A138" s="140"/>
      <c r="B138" s="140"/>
      <c r="D138" s="185" t="s">
        <v>260</v>
      </c>
      <c r="E138" s="186"/>
      <c r="F138" s="186"/>
      <c r="G138" s="186"/>
      <c r="H138" s="186"/>
      <c r="I138" s="186"/>
      <c r="J138" s="187"/>
      <c r="K138"/>
      <c r="L138" s="188"/>
      <c r="M138" s="186"/>
      <c r="N138" s="186"/>
      <c r="O138" s="186"/>
      <c r="P138" s="186"/>
      <c r="Q138" s="186"/>
      <c r="R138" s="187"/>
      <c r="T138" s="188"/>
      <c r="U138" s="186"/>
      <c r="V138" s="186"/>
      <c r="W138" s="186"/>
      <c r="X138" s="186"/>
      <c r="Y138" s="186"/>
      <c r="Z138" s="187"/>
    </row>
    <row r="139" spans="1:26" ht="18" customHeight="1" hidden="1">
      <c r="A139" s="140"/>
      <c r="B139" s="140"/>
      <c r="D139" s="213" t="s">
        <v>261</v>
      </c>
      <c r="E139" s="130" t="str">
        <f>_xlfn.XLOOKUP(E125,CurrentPlans!B:B,CurrentPlans!AJ:AJ,"NA",0,1)</f>
        <v>NA</v>
      </c>
      <c r="F139" s="214"/>
      <c r="G139" s="214"/>
      <c r="H139" s="214"/>
      <c r="I139" s="130"/>
      <c r="J139" s="215"/>
      <c r="K139"/>
      <c r="L139" s="131" t="str">
        <f ca="1">_xlfn.XLOOKUP(L125,RenewalPlans!B:B,RenewalPlans!AM:AM,"NA",0,1)</f>
        <v>NA</v>
      </c>
      <c r="M139" s="214"/>
      <c r="N139" s="214"/>
      <c r="O139" s="214"/>
      <c r="P139" s="130"/>
      <c r="Q139" s="214"/>
      <c r="R139" s="215"/>
      <c r="T139" s="131" t="str">
        <f>_xlfn.XLOOKUP(T125,RenewalPlans!B:B,RenewalPlans!AM:AM,"NA",0,1)</f>
        <v>NA</v>
      </c>
      <c r="U139" s="214"/>
      <c r="V139" s="214"/>
      <c r="W139" s="214"/>
      <c r="X139" s="130"/>
      <c r="Y139" s="214"/>
      <c r="Z139" s="215"/>
    </row>
    <row r="140" spans="1:26" ht="18" customHeight="1" hidden="1">
      <c r="A140" s="140"/>
      <c r="B140" s="140"/>
      <c r="D140" s="198" t="s">
        <v>262</v>
      </c>
      <c r="E140" s="130" t="str">
        <f>_xlfn.XLOOKUP(E125,CurrentPlans!B:B,CurrentPlans!AM:AM,"NA",0,1)</f>
        <v>NA</v>
      </c>
      <c r="F140" s="200"/>
      <c r="G140" s="200"/>
      <c r="H140" s="200"/>
      <c r="I140" s="130"/>
      <c r="J140" s="201"/>
      <c r="K140"/>
      <c r="L140" s="131" t="str">
        <f ca="1">_xlfn.XLOOKUP(L125,RenewalPlans!B:B,RenewalPlans!AP:AP,"NA",0,1)</f>
        <v>NA</v>
      </c>
      <c r="M140" s="200"/>
      <c r="N140" s="200"/>
      <c r="O140" s="200"/>
      <c r="P140" s="130"/>
      <c r="Q140" s="200"/>
      <c r="R140" s="201"/>
      <c r="T140" s="131" t="str">
        <f>_xlfn.XLOOKUP(T125,RenewalPlans!B:B,RenewalPlans!AP:AP,"NA",0,1)</f>
        <v>NA</v>
      </c>
      <c r="U140" s="200"/>
      <c r="V140" s="200"/>
      <c r="W140" s="200"/>
      <c r="X140" s="130"/>
      <c r="Y140" s="200"/>
      <c r="Z140" s="201"/>
    </row>
    <row r="141" spans="1:26" ht="18" customHeight="1" hidden="1">
      <c r="A141" s="140"/>
      <c r="B141" s="140"/>
      <c r="D141" s="198" t="s">
        <v>263</v>
      </c>
      <c r="E141" s="130" t="str">
        <f>_xlfn.XLOOKUP(E125,CurrentPlans!B:B,CurrentPlans!AI:AI,"NA",0,1)</f>
        <v>NA</v>
      </c>
      <c r="F141" s="200"/>
      <c r="G141" s="200"/>
      <c r="H141" s="200"/>
      <c r="I141" s="130"/>
      <c r="J141" s="201"/>
      <c r="K141"/>
      <c r="L141" s="131" t="str">
        <f ca="1">_xlfn.XLOOKUP(L125,RenewalPlans!B:B,RenewalPlans!AL:AL,"NA",0,1)</f>
        <v>NA</v>
      </c>
      <c r="M141" s="200"/>
      <c r="N141" s="200"/>
      <c r="O141" s="200"/>
      <c r="P141" s="130"/>
      <c r="Q141" s="200"/>
      <c r="R141" s="201"/>
      <c r="T141" s="131" t="str">
        <f>_xlfn.XLOOKUP(T125,RenewalPlans!B:B,RenewalPlans!AL:AL,"NA",0,1)</f>
        <v>NA</v>
      </c>
      <c r="U141" s="200"/>
      <c r="V141" s="200"/>
      <c r="W141" s="200"/>
      <c r="X141" s="130"/>
      <c r="Y141" s="200"/>
      <c r="Z141" s="201"/>
    </row>
    <row r="142" spans="1:26" ht="18" customHeight="1" hidden="1">
      <c r="A142" s="140"/>
      <c r="B142" s="140"/>
      <c r="D142" s="198" t="s">
        <v>264</v>
      </c>
      <c r="E142" s="208" t="str">
        <f>_xlfn.XLOOKUP(E125,CurrentPlans!B:B,CurrentPlans!AN:AN,"NA",0,1)</f>
        <v>NA</v>
      </c>
      <c r="F142" s="200"/>
      <c r="G142" s="200"/>
      <c r="H142" s="200"/>
      <c r="I142" s="208"/>
      <c r="J142" s="201"/>
      <c r="K142"/>
      <c r="L142" s="209" t="str">
        <f ca="1">_xlfn.XLOOKUP(L125,RenewalPlans!B:B,RenewalPlans!AQ:AQ,"NA",0,1)</f>
        <v>NA</v>
      </c>
      <c r="M142" s="200"/>
      <c r="N142" s="200"/>
      <c r="O142" s="200"/>
      <c r="P142" s="208"/>
      <c r="Q142" s="200"/>
      <c r="R142" s="201"/>
      <c r="T142" s="209" t="str">
        <f>_xlfn.XLOOKUP(T125,RenewalPlans!B:B,RenewalPlans!AQ:AQ,"NA",0,1)</f>
        <v>NA</v>
      </c>
      <c r="U142" s="200"/>
      <c r="V142" s="200"/>
      <c r="W142" s="200"/>
      <c r="X142" s="208"/>
      <c r="Y142" s="200"/>
      <c r="Z142" s="201"/>
    </row>
    <row r="143" spans="1:26" ht="18" customHeight="1" hidden="1">
      <c r="A143" s="140"/>
      <c r="B143" s="140"/>
      <c r="D143" s="210"/>
      <c r="E143" s="211"/>
      <c r="F143" s="211"/>
      <c r="G143" s="211"/>
      <c r="H143" s="211"/>
      <c r="I143" s="211"/>
      <c r="J143" s="212"/>
      <c r="K143"/>
      <c r="L143" s="210"/>
      <c r="M143" s="211"/>
      <c r="N143" s="211"/>
      <c r="O143" s="211"/>
      <c r="P143" s="211"/>
      <c r="Q143" s="211"/>
      <c r="R143" s="212"/>
      <c r="T143" s="210"/>
      <c r="U143" s="211"/>
      <c r="V143" s="211"/>
      <c r="W143" s="211"/>
      <c r="X143" s="211"/>
      <c r="Y143" s="211"/>
      <c r="Z143" s="212"/>
    </row>
    <row r="144" spans="1:26" ht="18" customHeight="1" hidden="1">
      <c r="A144" s="140"/>
      <c r="B144" s="140"/>
      <c r="D144" s="185" t="s">
        <v>265</v>
      </c>
      <c r="E144" s="186"/>
      <c r="F144" s="186"/>
      <c r="G144" s="186"/>
      <c r="H144" s="186"/>
      <c r="I144" s="186"/>
      <c r="J144" s="187"/>
      <c r="K144"/>
      <c r="L144" s="188"/>
      <c r="M144" s="186"/>
      <c r="N144" s="186"/>
      <c r="O144" s="186"/>
      <c r="P144" s="186"/>
      <c r="Q144" s="186"/>
      <c r="R144" s="187"/>
      <c r="T144" s="188"/>
      <c r="U144" s="186"/>
      <c r="V144" s="186"/>
      <c r="W144" s="186"/>
      <c r="X144" s="186"/>
      <c r="Y144" s="186"/>
      <c r="Z144" s="187"/>
    </row>
    <row r="145" spans="1:26" ht="18" customHeight="1" hidden="1">
      <c r="A145" s="140"/>
      <c r="B145" s="140"/>
      <c r="D145" s="132" t="s">
        <v>266</v>
      </c>
      <c r="E145" s="133" t="str">
        <f>_xlfn.XLOOKUP(E125,CurrentPlans!B:B,CurrentPlans!AE:AE,"NA",0,1)</f>
        <v>NA</v>
      </c>
      <c r="F145" s="134"/>
      <c r="G145" s="134"/>
      <c r="H145" s="134"/>
      <c r="I145" s="133"/>
      <c r="J145" s="135"/>
      <c r="K145"/>
      <c r="L145" s="136" t="str">
        <f ca="1">_xlfn.XLOOKUP(L125,RenewalPlans!B:B,RenewalPlans!AH:AH,"NA",0,1)</f>
        <v>NA</v>
      </c>
      <c r="M145" s="134"/>
      <c r="N145" s="134"/>
      <c r="O145" s="134"/>
      <c r="P145" s="133"/>
      <c r="Q145" s="134"/>
      <c r="R145" s="135"/>
      <c r="T145" s="136" t="str">
        <f>_xlfn.XLOOKUP(T125,RenewalPlans!B:B,RenewalPlans!AH:AH,"NA",0,1)</f>
        <v>NA</v>
      </c>
      <c r="U145" s="134"/>
      <c r="V145" s="134"/>
      <c r="W145" s="134"/>
      <c r="X145" s="133"/>
      <c r="Y145" s="134"/>
      <c r="Z145" s="135"/>
    </row>
    <row r="146" spans="1:26" ht="18" customHeight="1" hidden="1">
      <c r="A146" s="140"/>
      <c r="B146" s="140"/>
      <c r="D146" s="120" t="s">
        <v>267</v>
      </c>
      <c r="E146" s="130" t="str">
        <f>_xlfn.XLOOKUP(E125,CurrentPlans!B:B,CurrentPlans!AF:AF,"NA",0,1)</f>
        <v>NA</v>
      </c>
      <c r="F146" s="122"/>
      <c r="G146" s="122"/>
      <c r="H146" s="122"/>
      <c r="I146" s="130"/>
      <c r="J146" s="123"/>
      <c r="K146"/>
      <c r="L146" s="131" t="str">
        <f ca="1">_xlfn.XLOOKUP(L125,RenewalPlans!B:B,RenewalPlans!AI:AI,"NA",0,1)</f>
        <v>NA</v>
      </c>
      <c r="M146" s="122"/>
      <c r="N146" s="122"/>
      <c r="O146" s="122"/>
      <c r="P146" s="130"/>
      <c r="Q146" s="122"/>
      <c r="R146" s="123"/>
      <c r="T146" s="131" t="str">
        <f>_xlfn.XLOOKUP(T125,RenewalPlans!B:B,RenewalPlans!AI:AI,"NA",0,1)</f>
        <v>NA</v>
      </c>
      <c r="U146" s="122"/>
      <c r="V146" s="122"/>
      <c r="W146" s="122"/>
      <c r="X146" s="130"/>
      <c r="Y146" s="122"/>
      <c r="Z146" s="123"/>
    </row>
    <row r="147" spans="1:26" ht="18" customHeight="1" hidden="1">
      <c r="A147" s="140"/>
      <c r="B147" s="140"/>
      <c r="D147" s="198" t="s">
        <v>268</v>
      </c>
      <c r="E147" s="130" t="str">
        <f>_xlfn.XLOOKUP(E125,CurrentPlans!B:B,CurrentPlans!AH:AH,"NA",0,1)</f>
        <v>NA</v>
      </c>
      <c r="F147" s="200"/>
      <c r="G147" s="200"/>
      <c r="H147" s="200"/>
      <c r="I147" s="130"/>
      <c r="J147" s="201"/>
      <c r="K147"/>
      <c r="L147" s="131" t="str">
        <f ca="1">_xlfn.XLOOKUP(L125,RenewalPlans!B:B,RenewalPlans!AK:AK,"NA",0,1)</f>
        <v>NA</v>
      </c>
      <c r="M147" s="200"/>
      <c r="N147" s="200"/>
      <c r="O147" s="200"/>
      <c r="P147" s="130"/>
      <c r="Q147" s="200"/>
      <c r="R147" s="201"/>
      <c r="T147" s="131" t="str">
        <f>_xlfn.XLOOKUP(T125,RenewalPlans!B:B,RenewalPlans!AK:AK,"NA",0,1)</f>
        <v>NA</v>
      </c>
      <c r="U147" s="200"/>
      <c r="V147" s="200"/>
      <c r="W147" s="200"/>
      <c r="X147" s="130"/>
      <c r="Y147" s="200"/>
      <c r="Z147" s="201"/>
    </row>
    <row r="148" spans="1:26" ht="18" customHeight="1" hidden="1">
      <c r="A148" s="140"/>
      <c r="B148" s="140"/>
      <c r="D148" s="198" t="s">
        <v>269</v>
      </c>
      <c r="E148" s="130" t="str">
        <f>_xlfn.XLOOKUP(E125,CurrentPlans!B:B,CurrentPlans!AG:AG,"NA",0,1)</f>
        <v>NA</v>
      </c>
      <c r="F148" s="200"/>
      <c r="G148" s="200"/>
      <c r="H148" s="200"/>
      <c r="I148" s="130"/>
      <c r="J148" s="201"/>
      <c r="K148"/>
      <c r="L148" s="131" t="str">
        <f ca="1">_xlfn.XLOOKUP(L125,RenewalPlans!B:B,RenewalPlans!AJ:AJ,"NA",0,1)</f>
        <v>NA</v>
      </c>
      <c r="M148" s="200"/>
      <c r="N148" s="200"/>
      <c r="O148" s="200"/>
      <c r="P148" s="130"/>
      <c r="Q148" s="200"/>
      <c r="R148" s="201"/>
      <c r="T148" s="131" t="str">
        <f>_xlfn.XLOOKUP(T125,RenewalPlans!B:B,RenewalPlans!AJ:AJ,"NA",0,1)</f>
        <v>NA</v>
      </c>
      <c r="U148" s="200"/>
      <c r="V148" s="200"/>
      <c r="W148" s="200"/>
      <c r="X148" s="130"/>
      <c r="Y148" s="200"/>
      <c r="Z148" s="201"/>
    </row>
    <row r="149" spans="1:26" ht="18" customHeight="1" hidden="1">
      <c r="A149" s="140"/>
      <c r="B149" s="140"/>
      <c r="D149" s="213" t="s">
        <v>270</v>
      </c>
      <c r="E149" s="216" t="str">
        <f>_xlfn.XLOOKUP(E125,CurrentPlans!B:B,CurrentPlans!AU:AU,"NA",0,1)</f>
        <v>NA</v>
      </c>
      <c r="F149" s="214"/>
      <c r="G149" s="214"/>
      <c r="H149" s="214"/>
      <c r="I149" s="217"/>
      <c r="J149" s="215"/>
      <c r="K149"/>
      <c r="L149" s="218" t="str">
        <f ca="1">_xlfn.XLOOKUP(L125,RenewalPlans!B:B,RenewalPlans!AX:AX,"NA",0,1)</f>
        <v>NA</v>
      </c>
      <c r="M149" s="214"/>
      <c r="N149" s="214"/>
      <c r="O149" s="214"/>
      <c r="P149" s="217"/>
      <c r="Q149" s="214"/>
      <c r="R149" s="215"/>
      <c r="T149" s="218" t="str">
        <f>_xlfn.XLOOKUP(T125,RenewalPlans!B:B,RenewalPlans!AX:AX,"NA",0,1)</f>
        <v>NA</v>
      </c>
      <c r="U149" s="214"/>
      <c r="V149" s="214"/>
      <c r="W149" s="214"/>
      <c r="X149" s="217"/>
      <c r="Y149" s="214"/>
      <c r="Z149" s="215"/>
    </row>
    <row r="150" spans="1:26" ht="18" customHeight="1" hidden="1">
      <c r="A150" s="140"/>
      <c r="B150" s="140"/>
      <c r="D150" s="213" t="s">
        <v>271</v>
      </c>
      <c r="E150" s="216" t="str">
        <f>_xlfn.XLOOKUP(E125,CurrentPlans!B:B,CurrentPlans!AT:AT,"NA",0,1)</f>
        <v>NA</v>
      </c>
      <c r="F150" s="214"/>
      <c r="G150" s="214"/>
      <c r="H150" s="214"/>
      <c r="I150" s="217"/>
      <c r="J150" s="215"/>
      <c r="K150"/>
      <c r="L150" s="218" t="str">
        <f ca="1">_xlfn.XLOOKUP(L125,RenewalPlans!B:B,RenewalPlans!AW:AW,"NA",0,1)</f>
        <v>NA</v>
      </c>
      <c r="M150" s="214"/>
      <c r="N150" s="214"/>
      <c r="O150" s="214"/>
      <c r="P150" s="217"/>
      <c r="Q150" s="214"/>
      <c r="R150" s="215"/>
      <c r="T150" s="218" t="str">
        <f>_xlfn.XLOOKUP(T125,RenewalPlans!B:B,RenewalPlans!AW:AW,"NA",0,1)</f>
        <v>NA</v>
      </c>
      <c r="U150" s="214"/>
      <c r="V150" s="214"/>
      <c r="W150" s="214"/>
      <c r="X150" s="217"/>
      <c r="Y150" s="214"/>
      <c r="Z150" s="215"/>
    </row>
    <row r="151" spans="1:26" ht="18" customHeight="1" hidden="1">
      <c r="A151" s="140"/>
      <c r="B151" s="140"/>
      <c r="D151" s="198" t="s">
        <v>272</v>
      </c>
      <c r="E151" s="130" t="str">
        <f>_xlfn.XLOOKUP(E125,CurrentPlans!B:B,CurrentPlans!AD:AD,"NA",0,1)</f>
        <v>NA</v>
      </c>
      <c r="F151" s="200"/>
      <c r="G151" s="200"/>
      <c r="H151" s="200"/>
      <c r="I151" s="130"/>
      <c r="J151" s="201"/>
      <c r="K151"/>
      <c r="L151" s="131" t="str">
        <f ca="1">_xlfn.XLOOKUP(L125,RenewalPlans!B:B,RenewalPlans!AG:AG,"NA",0,1)</f>
        <v>NA</v>
      </c>
      <c r="M151" s="200"/>
      <c r="N151" s="200"/>
      <c r="O151" s="200"/>
      <c r="P151" s="130"/>
      <c r="Q151" s="200"/>
      <c r="R151" s="201"/>
      <c r="T151" s="131" t="str">
        <f>_xlfn.XLOOKUP(T125,RenewalPlans!B:B,RenewalPlans!AG:AG,"NA",0,1)</f>
        <v>NA</v>
      </c>
      <c r="U151" s="200"/>
      <c r="V151" s="200"/>
      <c r="W151" s="200"/>
      <c r="X151" s="130"/>
      <c r="Y151" s="200"/>
      <c r="Z151" s="201"/>
    </row>
    <row r="152" spans="1:26" ht="18" customHeight="1" hidden="1">
      <c r="A152" s="140"/>
      <c r="B152" s="140"/>
      <c r="D152" s="198" t="s">
        <v>273</v>
      </c>
      <c r="E152" s="200"/>
      <c r="F152" s="200"/>
      <c r="G152" s="200"/>
      <c r="H152" s="200"/>
      <c r="I152" s="200"/>
      <c r="J152" s="201"/>
      <c r="K152"/>
      <c r="L152" s="198"/>
      <c r="M152" s="200"/>
      <c r="N152" s="200"/>
      <c r="O152" s="200"/>
      <c r="P152" s="200"/>
      <c r="Q152" s="200"/>
      <c r="R152" s="201"/>
      <c r="T152" s="198"/>
      <c r="U152" s="200"/>
      <c r="V152" s="200"/>
      <c r="W152" s="200"/>
      <c r="X152" s="200"/>
      <c r="Y152" s="200"/>
      <c r="Z152" s="201"/>
    </row>
    <row r="153" spans="1:26" ht="18" customHeight="1" hidden="1">
      <c r="A153" s="140"/>
      <c r="B153" s="140"/>
      <c r="D153" s="210"/>
      <c r="E153" s="211"/>
      <c r="F153" s="211"/>
      <c r="G153" s="211"/>
      <c r="H153" s="211"/>
      <c r="I153" s="211"/>
      <c r="J153" s="212"/>
      <c r="K153"/>
      <c r="L153" s="210"/>
      <c r="M153" s="211"/>
      <c r="N153" s="211"/>
      <c r="O153" s="211"/>
      <c r="P153" s="211"/>
      <c r="Q153" s="211"/>
      <c r="R153" s="212"/>
      <c r="T153" s="210"/>
      <c r="U153" s="211"/>
      <c r="V153" s="211"/>
      <c r="W153" s="211"/>
      <c r="X153" s="211"/>
      <c r="Y153" s="211"/>
      <c r="Z153" s="212"/>
    </row>
    <row r="154" spans="1:26" ht="18" customHeight="1" hidden="1">
      <c r="A154" s="140"/>
      <c r="B154" s="140"/>
      <c r="D154" s="219" t="s">
        <v>274</v>
      </c>
      <c r="E154" s="220"/>
      <c r="F154" s="220"/>
      <c r="G154" s="220"/>
      <c r="H154" s="220"/>
      <c r="I154" s="220"/>
      <c r="J154" s="221"/>
      <c r="K154"/>
      <c r="L154" s="222"/>
      <c r="M154" s="220"/>
      <c r="N154" s="220"/>
      <c r="O154" s="220"/>
      <c r="P154" s="220"/>
      <c r="Q154" s="220"/>
      <c r="R154" s="221"/>
      <c r="T154" s="222"/>
      <c r="U154" s="220"/>
      <c r="V154" s="220"/>
      <c r="W154" s="220"/>
      <c r="X154" s="220"/>
      <c r="Y154" s="220"/>
      <c r="Z154" s="221"/>
    </row>
    <row r="155" spans="1:26" ht="18" customHeight="1" hidden="1">
      <c r="A155" s="140"/>
      <c r="B155" s="140"/>
      <c r="D155" s="223" t="s">
        <v>250</v>
      </c>
      <c r="E155" s="205"/>
      <c r="F155" s="205"/>
      <c r="G155" s="205"/>
      <c r="H155" s="205"/>
      <c r="I155" s="205"/>
      <c r="J155" s="206"/>
      <c r="K155"/>
      <c r="L155" s="203"/>
      <c r="M155" s="205"/>
      <c r="N155" s="205"/>
      <c r="O155" s="205"/>
      <c r="P155" s="205"/>
      <c r="Q155" s="205"/>
      <c r="R155" s="206"/>
      <c r="T155" s="203"/>
      <c r="U155" s="205"/>
      <c r="V155" s="205"/>
      <c r="W155" s="205"/>
      <c r="X155" s="205"/>
      <c r="Y155" s="205"/>
      <c r="Z155" s="206"/>
    </row>
    <row r="156" spans="1:26" ht="18" customHeight="1" hidden="1">
      <c r="A156" s="140"/>
      <c r="B156" s="140"/>
      <c r="D156" s="198" t="s">
        <v>251</v>
      </c>
      <c r="E156" s="130" t="str">
        <f>_xlfn.XLOOKUP(E125,CurrentPlans!B:B,CurrentPlans!AP:AP,"NA",0,1)</f>
        <v>NA</v>
      </c>
      <c r="F156" s="200"/>
      <c r="G156" s="200"/>
      <c r="H156" s="200"/>
      <c r="I156" s="130"/>
      <c r="J156" s="201"/>
      <c r="K156"/>
      <c r="L156" s="131" t="str">
        <f ca="1">_xlfn.XLOOKUP(L125,RenewalPlans!B:B,RenewalPlans!AS:AS,"NA",0,1)</f>
        <v>NA</v>
      </c>
      <c r="M156" s="200"/>
      <c r="N156" s="200"/>
      <c r="O156" s="200"/>
      <c r="P156" s="130"/>
      <c r="Q156" s="200"/>
      <c r="R156" s="201"/>
      <c r="T156" s="131" t="str">
        <f>_xlfn.XLOOKUP(T125,RenewalPlans!B:B,RenewalPlans!AS:AS,"NA",0,1)</f>
        <v>NA</v>
      </c>
      <c r="U156" s="200"/>
      <c r="V156" s="200"/>
      <c r="W156" s="200"/>
      <c r="X156" s="130"/>
      <c r="Y156" s="200"/>
      <c r="Z156" s="201"/>
    </row>
    <row r="157" spans="1:26" ht="18" customHeight="1" hidden="1">
      <c r="A157" s="140"/>
      <c r="B157" s="140"/>
      <c r="D157" s="198" t="s">
        <v>252</v>
      </c>
      <c r="E157" s="130" t="str">
        <f>_xlfn.XLOOKUP(E125,CurrentPlans!B:B,CurrentPlans!AQ:AQ,"NA",0,1)</f>
        <v>NA</v>
      </c>
      <c r="F157" s="200"/>
      <c r="G157" s="200"/>
      <c r="H157" s="200"/>
      <c r="I157" s="130"/>
      <c r="J157" s="201"/>
      <c r="K157"/>
      <c r="L157" s="131" t="str">
        <f ca="1">_xlfn.XLOOKUP(L125,RenewalPlans!B:B,RenewalPlans!AT:AT,"NA",0,1)</f>
        <v>NA</v>
      </c>
      <c r="M157" s="200"/>
      <c r="N157" s="200"/>
      <c r="O157" s="200"/>
      <c r="P157" s="130"/>
      <c r="Q157" s="200"/>
      <c r="R157" s="201"/>
      <c r="T157" s="131" t="str">
        <f>_xlfn.XLOOKUP(T125,RenewalPlans!B:B,RenewalPlans!AT:AT,"NA",0,1)</f>
        <v>NA</v>
      </c>
      <c r="U157" s="200"/>
      <c r="V157" s="200"/>
      <c r="W157" s="200"/>
      <c r="X157" s="130"/>
      <c r="Y157" s="200"/>
      <c r="Z157" s="201"/>
    </row>
    <row r="158" spans="1:26" ht="18" customHeight="1" hidden="1">
      <c r="A158" s="140"/>
      <c r="B158" s="140"/>
      <c r="D158" s="120" t="s">
        <v>253</v>
      </c>
      <c r="E158" s="133" t="str">
        <f>_xlfn.XLOOKUP(E125,CurrentPlans!B:B,CurrentPlans!AO:AO,"NA",0,1)</f>
        <v>NA</v>
      </c>
      <c r="F158" s="122"/>
      <c r="G158" s="122"/>
      <c r="H158" s="122"/>
      <c r="I158" s="133"/>
      <c r="J158" s="123"/>
      <c r="K158"/>
      <c r="L158" s="136" t="str">
        <f ca="1">_xlfn.XLOOKUP(L125,RenewalPlans!B:B,RenewalPlans!AR:AR,"NA",0,1)</f>
        <v>NA</v>
      </c>
      <c r="M158" s="122"/>
      <c r="N158" s="122"/>
      <c r="O158" s="122"/>
      <c r="P158" s="133"/>
      <c r="Q158" s="122"/>
      <c r="R158" s="123"/>
      <c r="T158" s="136" t="str">
        <f>_xlfn.XLOOKUP(T125,RenewalPlans!B:B,RenewalPlans!AR:AR,"NA",0,1)</f>
        <v>NA</v>
      </c>
      <c r="U158" s="122"/>
      <c r="V158" s="122"/>
      <c r="W158" s="122"/>
      <c r="X158" s="133"/>
      <c r="Y158" s="122"/>
      <c r="Z158" s="123"/>
    </row>
    <row r="159" spans="1:26" ht="18" customHeight="1" hidden="1">
      <c r="A159" s="140"/>
      <c r="B159" s="140"/>
      <c r="D159" s="223" t="s">
        <v>254</v>
      </c>
      <c r="E159" s="205"/>
      <c r="F159" s="205"/>
      <c r="G159" s="205"/>
      <c r="H159" s="205"/>
      <c r="I159" s="205"/>
      <c r="J159" s="206"/>
      <c r="K159"/>
      <c r="L159" s="203"/>
      <c r="M159" s="205"/>
      <c r="N159" s="205"/>
      <c r="O159" s="205"/>
      <c r="P159" s="205"/>
      <c r="Q159" s="205"/>
      <c r="R159" s="206"/>
      <c r="T159" s="203"/>
      <c r="U159" s="205"/>
      <c r="V159" s="205"/>
      <c r="W159" s="205"/>
      <c r="X159" s="205"/>
      <c r="Y159" s="205"/>
      <c r="Z159" s="206"/>
    </row>
    <row r="160" spans="1:26" ht="18" customHeight="1" hidden="1">
      <c r="A160" s="140"/>
      <c r="B160" s="140"/>
      <c r="D160" s="198" t="s">
        <v>255</v>
      </c>
      <c r="E160" s="130" t="str">
        <f>_xlfn.XLOOKUP(E125,CurrentPlans!B:B,CurrentPlans!AR:AR,"NA",0,1)</f>
        <v>NA</v>
      </c>
      <c r="F160" s="200"/>
      <c r="G160" s="200"/>
      <c r="H160" s="200"/>
      <c r="I160" s="130"/>
      <c r="J160" s="201"/>
      <c r="K160"/>
      <c r="L160" s="131" t="str">
        <f ca="1">_xlfn.XLOOKUP(L125,RenewalPlans!B:B,RenewalPlans!AU:AU,"NA",0,1)</f>
        <v>NA</v>
      </c>
      <c r="M160" s="200"/>
      <c r="N160" s="200"/>
      <c r="O160" s="200"/>
      <c r="P160" s="130"/>
      <c r="Q160" s="200"/>
      <c r="R160" s="201"/>
      <c r="T160" s="131" t="str">
        <f>_xlfn.XLOOKUP(T125,RenewalPlans!B:B,RenewalPlans!AU:AU,"NA",0,1)</f>
        <v>NA</v>
      </c>
      <c r="U160" s="200"/>
      <c r="V160" s="200"/>
      <c r="W160" s="200"/>
      <c r="X160" s="130"/>
      <c r="Y160" s="200"/>
      <c r="Z160" s="201"/>
    </row>
    <row r="161" spans="1:26" ht="18" customHeight="1" hidden="1" thickBot="1">
      <c r="A161" s="140"/>
      <c r="B161" s="140"/>
      <c r="D161" s="224" t="s">
        <v>256</v>
      </c>
      <c r="E161" s="137" t="str">
        <f>_xlfn.XLOOKUP(E125,CurrentPlans!B:B,CurrentPlans!AS:AS,"NA",0,1)</f>
        <v>NA</v>
      </c>
      <c r="F161" s="225"/>
      <c r="G161" s="225"/>
      <c r="H161" s="225"/>
      <c r="I161" s="137"/>
      <c r="J161" s="226"/>
      <c r="K161"/>
      <c r="L161" s="138" t="str">
        <f ca="1">_xlfn.XLOOKUP(L125,RenewalPlans!B:B,RenewalPlans!AV:AV,"NA",0,1)</f>
        <v>NA</v>
      </c>
      <c r="M161" s="225"/>
      <c r="N161" s="225"/>
      <c r="O161" s="225"/>
      <c r="P161" s="137"/>
      <c r="Q161" s="225"/>
      <c r="R161" s="226"/>
      <c r="T161" s="138" t="str">
        <f>_xlfn.XLOOKUP(T125,RenewalPlans!B:B,RenewalPlans!AV:AV,"NA",0,1)</f>
        <v>NA</v>
      </c>
      <c r="U161" s="225"/>
      <c r="V161" s="225"/>
      <c r="W161" s="225"/>
      <c r="X161" s="137"/>
      <c r="Y161" s="225"/>
      <c r="Z161" s="226"/>
    </row>
    <row r="162" spans="1:26" ht="18" customHeight="1">
      <c r="A162" s="140"/>
      <c r="B162" s="140"/>
      <c r="D162" s="227"/>
      <c r="E162" s="176"/>
      <c r="F162" s="178"/>
      <c r="G162" s="179"/>
      <c r="H162" s="178"/>
      <c r="I162" s="176"/>
      <c r="J162" s="228"/>
      <c r="K162"/>
      <c r="L162" s="178"/>
      <c r="M162" s="176"/>
      <c r="N162" s="139"/>
      <c r="O162" s="178"/>
      <c r="P162" s="178"/>
      <c r="Q162" s="178"/>
      <c r="R162" s="228"/>
      <c r="T162" s="178"/>
      <c r="U162" s="176"/>
      <c r="V162" s="139"/>
      <c r="W162" s="178"/>
      <c r="X162" s="178"/>
      <c r="Y162" s="178"/>
      <c r="Z162" s="228"/>
    </row>
    <row r="163" spans="1:26" ht="5.25" customHeight="1" thickBot="1">
      <c r="A163" s="140"/>
      <c r="B163" s="140"/>
      <c r="D163" s="229"/>
      <c r="E163" s="229"/>
      <c r="F163" s="230"/>
      <c r="G163" s="231"/>
      <c r="H163" s="232"/>
      <c r="I163" s="233"/>
      <c r="J163" s="233"/>
      <c r="K163"/>
      <c r="L163" s="233"/>
      <c r="M163" s="233"/>
      <c r="N163" s="233"/>
      <c r="O163" s="233"/>
      <c r="P163" s="233"/>
      <c r="Q163" s="233"/>
      <c r="R163" s="233"/>
      <c r="T163" s="233"/>
      <c r="U163" s="233"/>
      <c r="V163" s="233"/>
      <c r="W163" s="233"/>
      <c r="X163" s="233"/>
      <c r="Y163" s="233"/>
      <c r="Z163" s="233"/>
    </row>
    <row r="164" spans="1:26" ht="50.15" customHeight="1">
      <c r="A164" s="140">
        <v>4</v>
      </c>
      <c r="B164" s="140" t="str">
        <f>IF(A164&gt;Class4_CurrentHealthCount,"DELETE",Class4_CurrentHealthStart+A164)</f>
        <v>DELETE</v>
      </c>
      <c r="C164" s="164" t="s">
        <v>277</v>
      </c>
      <c r="D164" s="273" t="str">
        <f>IF(B164="Delete","",VLOOKUP(F164,BEGIN_CURRENT_HEALTH:END_CURRENT_HEALTH,3,FALSE))</f>
        <v/>
      </c>
      <c r="E164" s="165"/>
      <c r="F164" s="272" t="str" cm="1">
        <f t="array" ca="1" aca="1" ref="F164">IF(B164="Delete","",INDIRECT("CurrentPlans!A"&amp;B164,TRUE))</f>
        <v/>
      </c>
      <c r="G164" s="166"/>
      <c r="H164" s="167"/>
      <c r="I164" s="168"/>
      <c r="J164" s="169"/>
      <c r="K164"/>
      <c r="L164" s="274" t="str">
        <f ca="1">_xlfn.IFNA(VLOOKUP(F164,BEGIN_RENEWEDFROM_HEALTH:ROW_RenewHealth_PlanID,3,FALSE),"SELECT PLAN")</f>
        <v>SELECT PLAN</v>
      </c>
      <c r="M164" s="170"/>
      <c r="N164" s="274" t="s">
        <v>237</v>
      </c>
      <c r="O164" s="171"/>
      <c r="P164" s="171"/>
      <c r="Q164" s="171"/>
      <c r="R164" s="169"/>
      <c r="T164" s="274" t="s">
        <v>38</v>
      </c>
      <c r="U164" s="170"/>
      <c r="V164" s="274" t="s">
        <v>237</v>
      </c>
      <c r="W164" s="171"/>
      <c r="X164" s="171"/>
      <c r="Y164" s="171"/>
      <c r="Z164" s="169"/>
    </row>
    <row r="165" spans="1:26" ht="18.75" customHeight="1">
      <c r="A165" s="140"/>
      <c r="B165" s="140"/>
      <c r="D165" s="172" t="s">
        <v>238</v>
      </c>
      <c r="E165" s="407" t="str">
        <f ca="1">_xlfn.IFNA(VLOOKUP(F164,BEGIN_CURRENT_HEALTH:END_CURRENT_HEALTH,CURRENT_COL_EO_count,FALSE),"")</f>
        <v/>
      </c>
      <c r="F165" s="408" t="str">
        <f ca="1">_xlfn.IFNA(VLOOKUP(F164,BEGIN_CURRENT_HEALTH:END_CURRENT_HEALTH,CURRENT_COL_EO,FALSE),"")</f>
        <v/>
      </c>
      <c r="G165" s="468" t="str">
        <f ca="1" t="shared" si="15" ref="G165:G168">IF(F165="","",H165/F165)</f>
        <v/>
      </c>
      <c r="H165" s="408" t="str">
        <f ca="1">_xlfn.IFNA(VLOOKUP(F164,BEGIN_CURRENT_HEALTH:END_CURRENT_HEALTH,CURRENT_COL_EOContrib,FALSE),"")</f>
        <v/>
      </c>
      <c r="I165" s="409" t="str">
        <f ca="1">IFERROR(F165-H165,"")</f>
        <v/>
      </c>
      <c r="J165" s="410" t="str">
        <f ca="1">IF(F165="","",H165*E165)</f>
        <v/>
      </c>
      <c r="K165" s="411"/>
      <c r="L165" s="408" t="str" cm="1">
        <f t="array" ca="1" aca="1" ref="L165">_xlfn.IFNA(VLOOKUP(INDIRECT("L"&amp;ROW()-1)&amp;"_"&amp;$D$12,BEGIN_RENEW_HEALTH:END_RENEW_HEALTH,RENEW_COL_EO,FALSE),"")</f>
        <v/>
      </c>
      <c r="M165" s="412" t="str">
        <f ca="1">IF(E165="","",E165)</f>
        <v/>
      </c>
      <c r="N165" s="413"/>
      <c r="O165" s="414"/>
      <c r="P165" s="415" t="str">
        <f>IFERROR(IF($N164="Keep Contribution Same",H165,IF($N164="Enter Percentages",IF(N165="","",N165*L165),IF($N164="Keep Percentage Same",IF(G165="","",G165*L165),IF($N164="Enter Dollar Amount",IF(O165="","",O165),"")))),"")</f>
        <v/>
      </c>
      <c r="Q165" s="408" t="str">
        <f ca="1">IFERROR(L165-P165,"")</f>
        <v/>
      </c>
      <c r="R165" s="410" t="str">
        <f>IFERROR(IF(P165="","",M165*P165),"")</f>
        <v/>
      </c>
      <c r="S165" s="411"/>
      <c r="T165" s="408" t="str" cm="1">
        <f t="array" ca="1" aca="1" ref="T165">_xlfn.IFNA(VLOOKUP(INDIRECT("T"&amp;ROW()-1)&amp;"_"&amp;$D$12,BEGIN_RENEW_HEALTH:END_RENEW_HEALTH,RENEW_COL_EO,FALSE),"")</f>
        <v/>
      </c>
      <c r="U165" s="412" t="str">
        <f ca="1">IF(E165="","",E165)</f>
        <v/>
      </c>
      <c r="V165" s="413"/>
      <c r="W165" s="414"/>
      <c r="X165" s="415" t="str">
        <f>IFERROR(IF($V164="Keep Contribution Same",H165,IF($V164="Enter Percentages",IF(V165="","",V165*T165),IF($V164="Keep Percentage Same",IF(G165="","",G165*T165),IF($V164="Enter Dollar Amount",IF(W165="","",W165),"")))),"")</f>
        <v/>
      </c>
      <c r="Y165" s="408" t="str">
        <f ca="1">IFERROR(T165-X165,"")</f>
        <v/>
      </c>
      <c r="Z165" s="410" t="str">
        <f>IFERROR(IF(X165="","",U165*X165),"")</f>
        <v/>
      </c>
    </row>
    <row r="166" spans="1:26" ht="18.75" customHeight="1">
      <c r="A166" s="140"/>
      <c r="B166" s="140"/>
      <c r="D166" s="172" t="s">
        <v>239</v>
      </c>
      <c r="E166" s="407" t="str">
        <f ca="1">_xlfn.IFNA(VLOOKUP(F164,BEGIN_CURRENT_HEALTH:END_CURRENT_HEALTH,CURRENT_COL_ES_count,FALSE),"")</f>
        <v/>
      </c>
      <c r="F166" s="408" t="str">
        <f ca="1">_xlfn.IFNA(VLOOKUP(F164,BEGIN_CURRENT_HEALTH:END_CURRENT_HEALTH,CURRENT_COL_ES,FALSE),"")</f>
        <v/>
      </c>
      <c r="G166" s="468" t="str">
        <f t="shared" ca="1" si="15"/>
        <v/>
      </c>
      <c r="H166" s="408" t="str">
        <f ca="1">_xlfn.IFNA(VLOOKUP(F164,BEGIN_CURRENT_HEALTH:END_CURRENT_HEALTH,CURRENT_COL_ESContrib,FALSE),"")</f>
        <v/>
      </c>
      <c r="I166" s="409" t="str">
        <f ca="1" t="shared" si="16" ref="I166:I168">IFERROR(F166-H166,"")</f>
        <v/>
      </c>
      <c r="J166" s="410" t="str">
        <f ca="1">IF(F166="","",H166*E166)</f>
        <v/>
      </c>
      <c r="K166" s="411"/>
      <c r="L166" s="408" t="str" cm="1">
        <f t="array" ca="1" aca="1" ref="L166">_xlfn.IFNA(VLOOKUP(INDIRECT("L"&amp;ROW()-2)&amp;"_"&amp;$D$12,BEGIN_RENEW_HEALTH:END_RENEW_HEALTH,RENEW_COL_ES,FALSE),"")</f>
        <v/>
      </c>
      <c r="M166" s="412" t="str">
        <f ca="1">IF(E166="","",E166)</f>
        <v/>
      </c>
      <c r="N166" s="413"/>
      <c r="O166" s="414"/>
      <c r="P166" s="415" t="str">
        <f>IFERROR(IF($N164="Keep Contribution Same",H166,IF($N164="Enter Percentages",IF(N166="","",N166*L166),IF($N164="Keep Percentage Same",IF(G166="","",G166*L166),IF($N164="Enter Dollar Amount",IF(O166="","",O166),"")))),"")</f>
        <v/>
      </c>
      <c r="Q166" s="408" t="str">
        <f ca="1">IFERROR(L166-P166,"")</f>
        <v/>
      </c>
      <c r="R166" s="410" t="str">
        <f>IFERROR(IF(P166="","",M166*P166),"")</f>
        <v/>
      </c>
      <c r="S166" s="411"/>
      <c r="T166" s="408" t="str" cm="1">
        <f t="array" ca="1" aca="1" ref="T166">_xlfn.IFNA(VLOOKUP(INDIRECT("T"&amp;ROW()-2)&amp;"_"&amp;$D$12,BEGIN_RENEW_HEALTH:END_RENEW_HEALTH,RENEW_COL_ES,FALSE),"")</f>
        <v/>
      </c>
      <c r="U166" s="412" t="str">
        <f ca="1" t="shared" si="17" ref="U166:U168">IF(E166="","",E166)</f>
        <v/>
      </c>
      <c r="V166" s="413"/>
      <c r="W166" s="414"/>
      <c r="X166" s="415" t="str">
        <f>IFERROR(IF($V164="Keep Contribution Same",H166,IF($V164="Enter Percentages",IF(V166="","",V166*T166),IF($V164="Keep Percentage Same",IF(G166="","",G166*T166),IF($V164="Enter Dollar Amount",IF(W166="","",W166),"")))),"")</f>
        <v/>
      </c>
      <c r="Y166" s="408" t="str">
        <f ca="1" t="shared" si="18" ref="Y166:Y168">IFERROR(T166-X166,"")</f>
        <v/>
      </c>
      <c r="Z166" s="410" t="str">
        <f t="shared" si="19" ref="Z166:Z168">IFERROR(IF(X166="","",U166*X166),"")</f>
        <v/>
      </c>
    </row>
    <row r="167" spans="1:26" ht="18.75" customHeight="1">
      <c r="A167" s="140"/>
      <c r="B167" s="140"/>
      <c r="D167" s="172" t="s">
        <v>240</v>
      </c>
      <c r="E167" s="407" t="str">
        <f ca="1">_xlfn.IFNA(VLOOKUP(F164,BEGIN_CURRENT_HEALTH:END_CURRENT_HEALTH,CURRENT_COL_EC_count,FALSE),"")</f>
        <v/>
      </c>
      <c r="F167" s="408" t="str">
        <f ca="1">_xlfn.IFNA(VLOOKUP(F164,BEGIN_CURRENT_HEALTH:END_CURRENT_HEALTH,CURRENT_COL_EC,FALSE),"")</f>
        <v/>
      </c>
      <c r="G167" s="468" t="str">
        <f t="shared" ca="1" si="15"/>
        <v/>
      </c>
      <c r="H167" s="408" t="str">
        <f ca="1">_xlfn.IFNA(VLOOKUP(F164,BEGIN_CURRENT_HEALTH:END_CURRENT_HEALTH,CURRENT_COL_ECContrib,FALSE),"")</f>
        <v/>
      </c>
      <c r="I167" s="409" t="str">
        <f t="shared" ca="1" si="16"/>
        <v/>
      </c>
      <c r="J167" s="410" t="str">
        <f ca="1">IF(F167="","",H167*E167)</f>
        <v/>
      </c>
      <c r="K167" s="411"/>
      <c r="L167" s="408" t="str" cm="1">
        <f t="array" ca="1" aca="1" ref="L167">_xlfn.IFNA(VLOOKUP(INDIRECT("L"&amp;ROW()-3)&amp;"_"&amp;$D$12,BEGIN_RENEW_HEALTH:END_RENEW_HEALTH,RENEW_COL_EC,FALSE),"")</f>
        <v/>
      </c>
      <c r="M167" s="412" t="str">
        <f ca="1">IF(E167="","",E167)</f>
        <v/>
      </c>
      <c r="N167" s="413"/>
      <c r="O167" s="414"/>
      <c r="P167" s="415" t="str">
        <f>IFERROR(IF($N164="Keep Contribution Same",H167,IF($N164="Enter Percentages",IF(N167="","",N167*L167),IF($N164="Keep Percentage Same",IF(G167="","",G167*L167),IF($N164="Enter Dollar Amount",IF(O167="","",O167),"")))),"")</f>
        <v/>
      </c>
      <c r="Q167" s="408" t="str">
        <f ca="1">IFERROR(L167-P167,"")</f>
        <v/>
      </c>
      <c r="R167" s="410" t="str">
        <f>IFERROR(IF(P167="","",M167*P167),"")</f>
        <v/>
      </c>
      <c r="S167" s="411"/>
      <c r="T167" s="408" t="str" cm="1">
        <f t="array" ca="1" aca="1" ref="T167">_xlfn.IFNA(VLOOKUP(INDIRECT("T"&amp;ROW()-3)&amp;"_"&amp;$D$12,BEGIN_RENEW_HEALTH:END_RENEW_HEALTH,RENEW_COL_EC,FALSE),"")</f>
        <v/>
      </c>
      <c r="U167" s="412" t="str">
        <f t="shared" ca="1" si="17"/>
        <v/>
      </c>
      <c r="V167" s="413"/>
      <c r="W167" s="414"/>
      <c r="X167" s="415" t="str">
        <f>IFERROR(IF($V164="Keep Contribution Same",H167,IF($V164="Enter Percentages",IF(V167="","",V167*T167),IF($V164="Keep Percentage Same",IF(G167="","",G167*T167),IF($V164="Enter Dollar Amount",IF(W167="","",W167),"")))),"")</f>
        <v/>
      </c>
      <c r="Y167" s="408" t="str">
        <f t="shared" ca="1" si="18"/>
        <v/>
      </c>
      <c r="Z167" s="410" t="str">
        <f t="shared" si="19"/>
        <v/>
      </c>
    </row>
    <row r="168" spans="1:26" ht="18.75" customHeight="1" thickBot="1">
      <c r="A168" s="140"/>
      <c r="B168" s="140"/>
      <c r="D168" s="174" t="s">
        <v>241</v>
      </c>
      <c r="E168" s="416" t="str">
        <f ca="1">_xlfn.IFNA(VLOOKUP(F164,BEGIN_CURRENT_HEALTH:END_CURRENT_HEALTH,CURRENT_COL_FAM_count,FALSE),"")</f>
        <v/>
      </c>
      <c r="F168" s="417" t="str">
        <f ca="1">_xlfn.IFNA(VLOOKUP(F164,BEGIN_CURRENT_HEALTH:END_CURRENT_HEALTH,CURRENT_COL_FAM,FALSE),"")</f>
        <v/>
      </c>
      <c r="G168" s="469" t="str">
        <f t="shared" ca="1" si="15"/>
        <v/>
      </c>
      <c r="H168" s="417" t="str">
        <f ca="1">_xlfn.IFNA(VLOOKUP(F164,BEGIN_CURRENT_HEALTH:END_CURRENT_HEALTH,CURRENT_COL_FAMContrib,FALSE),"")</f>
        <v/>
      </c>
      <c r="I168" s="418" t="str">
        <f t="shared" ca="1" si="16"/>
        <v/>
      </c>
      <c r="J168" s="419" t="str">
        <f ca="1">IF(F168="","",H168*E168)</f>
        <v/>
      </c>
      <c r="K168" s="411"/>
      <c r="L168" s="417" t="str" cm="1">
        <f t="array" ca="1" aca="1" ref="L168">_xlfn.IFNA(VLOOKUP(INDIRECT("L"&amp;ROW()-4)&amp;"_"&amp;$D$12,BEGIN_RENEW_HEALTH:END_RENEW_HEALTH,RENEW_COL_FAM,FALSE),"")</f>
        <v/>
      </c>
      <c r="M168" s="423" t="str">
        <f ca="1">IF(E168="","",E168)</f>
        <v/>
      </c>
      <c r="N168" s="420"/>
      <c r="O168" s="421"/>
      <c r="P168" s="422" t="str">
        <f>IFERROR(IF($N164="Keep Contribution Same",H168,IF($N164="Enter Percentages",IF(N168="","",N168*L168),IF($N164="Keep Percentage Same",IF(G168="","",G168*L168),IF($N164="Enter Dollar Amount",IF(O168="","",O168),"")))),"")</f>
        <v/>
      </c>
      <c r="Q168" s="417" t="str">
        <f ca="1">IFERROR(L168-P168,"")</f>
        <v/>
      </c>
      <c r="R168" s="419" t="str">
        <f>IFERROR(IF(P168="","",M168*P168),"")</f>
        <v/>
      </c>
      <c r="S168" s="411"/>
      <c r="T168" s="417" t="str" cm="1">
        <f t="array" ca="1" aca="1" ref="T168">_xlfn.IFNA(VLOOKUP(INDIRECT("T"&amp;ROW()-4)&amp;"_"&amp;$D$12,BEGIN_RENEW_HEALTH:END_RENEW_HEALTH,RENEW_COL_FAM,FALSE),"")</f>
        <v/>
      </c>
      <c r="U168" s="423" t="str">
        <f t="shared" ca="1" si="17"/>
        <v/>
      </c>
      <c r="V168" s="420"/>
      <c r="W168" s="421"/>
      <c r="X168" s="422" t="str">
        <f>IFERROR(IF($V164="Keep Contribution Same",H168,IF($V164="Enter Percentages",IF(V168="","",V168*T168),IF($V164="Keep Percentage Same",IF(G168="","",G168*T168),IF($V164="Enter Dollar Amount",IF(W168="","",W168),"")))),"")</f>
        <v/>
      </c>
      <c r="Y168" s="417" t="str">
        <f t="shared" ca="1" si="18"/>
        <v/>
      </c>
      <c r="Z168" s="419" t="str">
        <f t="shared" si="19"/>
        <v/>
      </c>
    </row>
    <row r="169" spans="1:26" ht="18.75" customHeight="1" thickTop="1">
      <c r="A169" s="140"/>
      <c r="B169" s="140"/>
      <c r="D169" s="175" t="s">
        <v>242</v>
      </c>
      <c r="E169" s="424"/>
      <c r="F169" s="447" t="str">
        <f ca="1">IFERROR((F165*E165)+(F166*E166)+(F167*E167)+(F168*E168),"")</f>
        <v/>
      </c>
      <c r="G169" s="426"/>
      <c r="H169" s="427"/>
      <c r="I169" s="428"/>
      <c r="J169" s="429" t="str">
        <f ca="1">IFERROR(IF(J165="","",SUM(J165:J168)),0)</f>
        <v/>
      </c>
      <c r="K169" s="1"/>
      <c r="L169" s="430" t="str">
        <f ca="1">IFERROR((M165*L165)+(M166*L166)+(M167*L167)+(M168*L168),"")</f>
        <v/>
      </c>
      <c r="M169" s="427"/>
      <c r="N169" s="426"/>
      <c r="O169" s="427"/>
      <c r="P169" s="431"/>
      <c r="Q169" s="432"/>
      <c r="R169" s="429" t="str">
        <f>IFERROR(IF(R165="","",SUM(R165:R168)),0)</f>
        <v/>
      </c>
      <c r="T169" s="430" t="str">
        <f ca="1">IFERROR((U165*T165)+(U166*T166)+(U167*T167)+(U168*T168),"")</f>
        <v/>
      </c>
      <c r="U169" s="427"/>
      <c r="V169" s="426"/>
      <c r="W169" s="427"/>
      <c r="X169" s="431"/>
      <c r="Y169" s="432"/>
      <c r="Z169" s="429" t="str">
        <f>IFERROR(IF(Z165="","",SUM(Z165:Z168)),0)</f>
        <v/>
      </c>
    </row>
    <row r="170" spans="1:26" ht="18.75" customHeight="1">
      <c r="A170" s="140"/>
      <c r="B170" s="140"/>
      <c r="D170" s="177" t="s">
        <v>243</v>
      </c>
      <c r="E170" s="433"/>
      <c r="F170" s="448" t="str">
        <f ca="1">IFERROR(F169*12,"")</f>
        <v/>
      </c>
      <c r="G170" s="435"/>
      <c r="H170" s="436"/>
      <c r="I170" s="432"/>
      <c r="J170" s="437" t="str">
        <f ca="1">IF(J169="","",J169*12)</f>
        <v/>
      </c>
      <c r="K170" s="1"/>
      <c r="L170" s="438" t="str">
        <f ca="1">IFERROR(L169*12,"")</f>
        <v/>
      </c>
      <c r="M170" s="436"/>
      <c r="N170" s="435"/>
      <c r="O170" s="436"/>
      <c r="P170" s="432"/>
      <c r="Q170" s="432"/>
      <c r="R170" s="437" t="str">
        <f>IF(R169="","",R169*12)</f>
        <v/>
      </c>
      <c r="T170" s="438" t="str">
        <f ca="1">IFERROR(T169*12,"")</f>
        <v/>
      </c>
      <c r="U170" s="436"/>
      <c r="V170" s="435"/>
      <c r="W170" s="436"/>
      <c r="X170" s="432"/>
      <c r="Y170" s="432"/>
      <c r="Z170" s="437" t="str">
        <f>IF(Z169="","",Z169*12)</f>
        <v/>
      </c>
    </row>
    <row r="171" spans="1:26" ht="18" customHeight="1">
      <c r="A171" s="140"/>
      <c r="B171" s="140"/>
      <c r="D171" s="177" t="s">
        <v>244</v>
      </c>
      <c r="E171" s="433"/>
      <c r="F171" s="436"/>
      <c r="G171" s="435"/>
      <c r="H171" s="436"/>
      <c r="I171" s="432"/>
      <c r="J171" s="437"/>
      <c r="K171" s="1"/>
      <c r="L171" s="434" t="str">
        <f ca="1">IFERROR(L170-F170,"")</f>
        <v/>
      </c>
      <c r="M171" s="436"/>
      <c r="N171" s="435"/>
      <c r="O171" s="436"/>
      <c r="P171" s="432"/>
      <c r="Q171" s="432"/>
      <c r="R171" s="437" t="str">
        <f ca="1">IFERROR(IF(J170="","",R170-J170),0)</f>
        <v/>
      </c>
      <c r="T171" s="434" t="str">
        <f ca="1">IFERROR(T170-F170,"")</f>
        <v/>
      </c>
      <c r="U171" s="436"/>
      <c r="V171" s="435"/>
      <c r="W171" s="436"/>
      <c r="X171" s="432"/>
      <c r="Y171" s="432"/>
      <c r="Z171" s="437" t="str">
        <f>IFERROR(IF(R170="","",Z170-R170),0)</f>
        <v/>
      </c>
    </row>
    <row r="172" spans="1:26" ht="18" customHeight="1" thickBot="1">
      <c r="A172" s="140"/>
      <c r="B172" s="140"/>
      <c r="D172" s="180" t="s">
        <v>245</v>
      </c>
      <c r="E172" s="439"/>
      <c r="F172" s="440"/>
      <c r="G172" s="441"/>
      <c r="H172" s="440"/>
      <c r="I172" s="442"/>
      <c r="J172" s="443"/>
      <c r="K172" s="1"/>
      <c r="L172" s="444" t="str">
        <f ca="1">IFERROR(L170/F170-1,"")</f>
        <v/>
      </c>
      <c r="M172" s="440"/>
      <c r="N172" s="441"/>
      <c r="O172" s="440"/>
      <c r="P172" s="445"/>
      <c r="Q172" s="445"/>
      <c r="R172" s="446" t="str">
        <f ca="1">IFERROR(IF(J170="","",(R170/J170)-1),0)</f>
        <v/>
      </c>
      <c r="T172" s="444" t="str">
        <f ca="1">IFERROR(T170/F170-1,"")</f>
        <v/>
      </c>
      <c r="U172" s="440"/>
      <c r="V172" s="441"/>
      <c r="W172" s="440"/>
      <c r="X172" s="445"/>
      <c r="Y172" s="445"/>
      <c r="Z172" s="446" t="str">
        <f>IFERROR(IF(R170="","",(Z170/R170)-1),0)</f>
        <v/>
      </c>
    </row>
    <row r="173" spans="4:26" ht="18" customHeight="1">
      <c r="D173" s="181" t="s">
        <v>246</v>
      </c>
      <c r="E173" s="182"/>
      <c r="F173" s="182"/>
      <c r="G173" s="182"/>
      <c r="H173" s="182"/>
      <c r="I173" s="182"/>
      <c r="J173" s="183"/>
      <c r="K173"/>
      <c r="L173" s="184"/>
      <c r="M173" s="182"/>
      <c r="N173" s="182"/>
      <c r="O173" s="182"/>
      <c r="P173" s="182"/>
      <c r="Q173" s="182"/>
      <c r="R173" s="183"/>
      <c r="T173" s="184"/>
      <c r="U173" s="182"/>
      <c r="V173" s="182"/>
      <c r="W173" s="182"/>
      <c r="X173" s="182"/>
      <c r="Y173" s="182"/>
      <c r="Z173" s="183"/>
    </row>
    <row r="174" spans="4:26" ht="18" customHeight="1" hidden="1">
      <c r="D174" s="185" t="s">
        <v>247</v>
      </c>
      <c r="E174" s="186"/>
      <c r="F174" s="186"/>
      <c r="G174" s="186"/>
      <c r="H174" s="186"/>
      <c r="I174" s="186"/>
      <c r="J174" s="187"/>
      <c r="K174"/>
      <c r="L174" s="188"/>
      <c r="M174" s="186"/>
      <c r="N174" s="186"/>
      <c r="O174" s="186"/>
      <c r="P174" s="186"/>
      <c r="Q174" s="186"/>
      <c r="R174" s="187"/>
      <c r="T174" s="188"/>
      <c r="U174" s="186"/>
      <c r="V174" s="186"/>
      <c r="W174" s="186"/>
      <c r="X174" s="186"/>
      <c r="Y174" s="186"/>
      <c r="Z174" s="187"/>
    </row>
    <row r="175" spans="4:26" ht="18" customHeight="1" hidden="1">
      <c r="D175" s="189" t="s">
        <v>248</v>
      </c>
      <c r="E175" s="190" t="str">
        <f>D164&amp;"_"&amp;D12</f>
        <v>_</v>
      </c>
      <c r="F175" s="191"/>
      <c r="G175" s="191"/>
      <c r="H175" s="191"/>
      <c r="I175" s="190"/>
      <c r="J175" s="192"/>
      <c r="K175"/>
      <c r="L175" s="193" t="str">
        <f ca="1">L164&amp;"_"&amp;D12</f>
        <v>SELECT PLAN_</v>
      </c>
      <c r="M175" s="191"/>
      <c r="N175" s="191"/>
      <c r="O175" s="191"/>
      <c r="P175" s="190"/>
      <c r="Q175" s="191"/>
      <c r="R175" s="192"/>
      <c r="T175" s="193" t="str">
        <f>T164&amp;"_"&amp;D12</f>
        <v>SELECT PLAN_</v>
      </c>
      <c r="U175" s="191"/>
      <c r="V175" s="191"/>
      <c r="W175" s="191"/>
      <c r="X175" s="190"/>
      <c r="Y175" s="191"/>
      <c r="Z175" s="192"/>
    </row>
    <row r="176" spans="4:26" ht="18" customHeight="1" hidden="1">
      <c r="D176" s="189" t="s">
        <v>249</v>
      </c>
      <c r="E176" s="191"/>
      <c r="F176" s="191"/>
      <c r="G176" s="191"/>
      <c r="H176" s="191"/>
      <c r="I176" s="191"/>
      <c r="J176" s="192"/>
      <c r="K176"/>
      <c r="L176" s="189"/>
      <c r="M176" s="191"/>
      <c r="N176" s="191"/>
      <c r="O176" s="191"/>
      <c r="P176" s="191"/>
      <c r="Q176" s="191"/>
      <c r="R176" s="192"/>
      <c r="T176" s="189"/>
      <c r="U176" s="191"/>
      <c r="V176" s="191"/>
      <c r="W176" s="191"/>
      <c r="X176" s="191"/>
      <c r="Y176" s="191"/>
      <c r="Z176" s="192"/>
    </row>
    <row r="177" spans="4:26" ht="18" customHeight="1" hidden="1">
      <c r="D177" s="194" t="s">
        <v>250</v>
      </c>
      <c r="E177" s="195"/>
      <c r="F177" s="195"/>
      <c r="G177" s="195"/>
      <c r="H177" s="195"/>
      <c r="I177" s="195"/>
      <c r="J177" s="196"/>
      <c r="K177"/>
      <c r="L177" s="197"/>
      <c r="M177" s="195"/>
      <c r="N177" s="195"/>
      <c r="O177" s="195"/>
      <c r="P177" s="195"/>
      <c r="Q177" s="195"/>
      <c r="R177" s="196"/>
      <c r="T177" s="197"/>
      <c r="U177" s="195"/>
      <c r="V177" s="195"/>
      <c r="W177" s="195"/>
      <c r="X177" s="195"/>
      <c r="Y177" s="195"/>
      <c r="Z177" s="196"/>
    </row>
    <row r="178" spans="4:26" ht="18" customHeight="1" hidden="1">
      <c r="D178" s="198" t="s">
        <v>251</v>
      </c>
      <c r="E178" s="199" t="str">
        <f>_xlfn.XLOOKUP(E175,CurrentPlans!B:B,CurrentPlans!X:X,"NA",0,1)</f>
        <v>NA</v>
      </c>
      <c r="F178" s="200"/>
      <c r="G178" s="200"/>
      <c r="H178" s="200"/>
      <c r="I178" s="199"/>
      <c r="J178" s="201"/>
      <c r="K178"/>
      <c r="L178" s="202" t="str">
        <f ca="1">_xlfn.XLOOKUP(L175,RenewalPlans!B:B,RenewalPlans!AA:AA,"NA",0,1)</f>
        <v>NA</v>
      </c>
      <c r="M178" s="200"/>
      <c r="N178" s="200"/>
      <c r="O178" s="200"/>
      <c r="P178" s="199"/>
      <c r="Q178" s="200"/>
      <c r="R178" s="201"/>
      <c r="T178" s="202" t="str">
        <f>_xlfn.XLOOKUP(T175,RenewalPlans!B:B,RenewalPlans!AA:AA,"NA",0,1)</f>
        <v>NA</v>
      </c>
      <c r="U178" s="200"/>
      <c r="V178" s="200"/>
      <c r="W178" s="200"/>
      <c r="X178" s="199"/>
      <c r="Y178" s="200"/>
      <c r="Z178" s="201"/>
    </row>
    <row r="179" spans="4:26" ht="18" customHeight="1" hidden="1">
      <c r="D179" s="198" t="s">
        <v>252</v>
      </c>
      <c r="E179" s="199" t="str">
        <f>_xlfn.XLOOKUP(E175,CurrentPlans!B:B,CurrentPlans!Y:Y,"NA",0,1)</f>
        <v>NA</v>
      </c>
      <c r="F179" s="200"/>
      <c r="G179" s="200"/>
      <c r="H179" s="200"/>
      <c r="I179" s="199"/>
      <c r="J179" s="201"/>
      <c r="K179"/>
      <c r="L179" s="202" t="str">
        <f ca="1">_xlfn.XLOOKUP(L175,RenewalPlans!B:B,RenewalPlans!AB:AB,"NA",0,1)</f>
        <v>NA</v>
      </c>
      <c r="M179" s="200"/>
      <c r="N179" s="200"/>
      <c r="O179" s="200"/>
      <c r="P179" s="199"/>
      <c r="Q179" s="200"/>
      <c r="R179" s="201"/>
      <c r="T179" s="202" t="str">
        <f>_xlfn.XLOOKUP(T175,RenewalPlans!B:B,RenewalPlans!AB:AB,"NA",0,1)</f>
        <v>NA</v>
      </c>
      <c r="U179" s="200"/>
      <c r="V179" s="200"/>
      <c r="W179" s="200"/>
      <c r="X179" s="199"/>
      <c r="Y179" s="200"/>
      <c r="Z179" s="201"/>
    </row>
    <row r="180" spans="4:26" ht="18" customHeight="1" hidden="1">
      <c r="D180" s="120" t="s">
        <v>253</v>
      </c>
      <c r="E180" s="121" t="str">
        <f>_xlfn.XLOOKUP(E175,CurrentPlans!B:B,CurrentPlans!W:W,"NA",0,1)</f>
        <v>NA</v>
      </c>
      <c r="F180" s="122"/>
      <c r="G180" s="122"/>
      <c r="H180" s="122"/>
      <c r="I180" s="121"/>
      <c r="J180" s="123"/>
      <c r="K180"/>
      <c r="L180" s="124" t="str">
        <f ca="1">_xlfn.XLOOKUP(L175,RenewalPlans!B:B,RenewalPlans!Z:Z,"NA",0,1)</f>
        <v>NA</v>
      </c>
      <c r="M180" s="122"/>
      <c r="N180" s="122"/>
      <c r="O180" s="122"/>
      <c r="P180" s="121"/>
      <c r="Q180" s="122"/>
      <c r="R180" s="123"/>
      <c r="T180" s="124" t="str">
        <f>_xlfn.XLOOKUP(T175,RenewalPlans!B:B,RenewalPlans!Z:Z,"NA",0,1)</f>
        <v>NA</v>
      </c>
      <c r="U180" s="122"/>
      <c r="V180" s="122"/>
      <c r="W180" s="122"/>
      <c r="X180" s="121"/>
      <c r="Y180" s="122"/>
      <c r="Z180" s="123"/>
    </row>
    <row r="181" spans="4:26" ht="18" customHeight="1" hidden="1">
      <c r="D181" s="203" t="s">
        <v>254</v>
      </c>
      <c r="E181" s="204"/>
      <c r="F181" s="205"/>
      <c r="G181" s="205"/>
      <c r="H181" s="205"/>
      <c r="I181" s="204"/>
      <c r="J181" s="206"/>
      <c r="K181"/>
      <c r="L181" s="207"/>
      <c r="M181" s="205"/>
      <c r="N181" s="205"/>
      <c r="O181" s="205"/>
      <c r="P181" s="204"/>
      <c r="Q181" s="205"/>
      <c r="R181" s="206"/>
      <c r="T181" s="207"/>
      <c r="U181" s="205"/>
      <c r="V181" s="205"/>
      <c r="W181" s="205"/>
      <c r="X181" s="204"/>
      <c r="Y181" s="205"/>
      <c r="Z181" s="206"/>
    </row>
    <row r="182" spans="4:26" ht="18" customHeight="1" hidden="1">
      <c r="D182" s="125" t="s">
        <v>255</v>
      </c>
      <c r="E182" s="126" t="str">
        <f>_xlfn.XLOOKUP(E175,CurrentPlans!B:B,CurrentPlans!Z:Z,"NA",0,1)</f>
        <v>NA</v>
      </c>
      <c r="F182" s="127"/>
      <c r="G182" s="127"/>
      <c r="H182" s="127"/>
      <c r="I182" s="126"/>
      <c r="J182" s="128"/>
      <c r="K182"/>
      <c r="L182" s="129" t="str">
        <f ca="1">_xlfn.XLOOKUP(L175,RenewalPlans!B:B,RenewalPlans!AC:AC,"NA",0,1)</f>
        <v>NA</v>
      </c>
      <c r="M182" s="127"/>
      <c r="N182" s="127"/>
      <c r="O182" s="127"/>
      <c r="P182" s="126"/>
      <c r="Q182" s="127"/>
      <c r="R182" s="128"/>
      <c r="T182" s="129" t="str">
        <f>_xlfn.XLOOKUP(T175,RenewalPlans!B:B,RenewalPlans!AC:AC,"NA",0,1)</f>
        <v>NA</v>
      </c>
      <c r="U182" s="127"/>
      <c r="V182" s="127"/>
      <c r="W182" s="127"/>
      <c r="X182" s="126"/>
      <c r="Y182" s="127"/>
      <c r="Z182" s="128"/>
    </row>
    <row r="183" spans="4:26" ht="18" customHeight="1" hidden="1">
      <c r="D183" s="198" t="s">
        <v>256</v>
      </c>
      <c r="E183" s="208" t="str">
        <f>_xlfn.XLOOKUP(E175,CurrentPlans!B:B,CurrentPlans!AA:AA,"NA",0,1)</f>
        <v>NA</v>
      </c>
      <c r="F183" s="200"/>
      <c r="G183" s="200"/>
      <c r="H183" s="200"/>
      <c r="I183" s="208"/>
      <c r="J183" s="201"/>
      <c r="K183"/>
      <c r="L183" s="209" t="str">
        <f ca="1">_xlfn.XLOOKUP(L175,RenewalPlans!B:B,RenewalPlans!AD:AD,"NA",0,1)</f>
        <v>NA</v>
      </c>
      <c r="M183" s="200"/>
      <c r="N183" s="200"/>
      <c r="O183" s="200"/>
      <c r="P183" s="208"/>
      <c r="Q183" s="200"/>
      <c r="R183" s="201"/>
      <c r="T183" s="209" t="str">
        <f>_xlfn.XLOOKUP(T175,RenewalPlans!B:B,RenewalPlans!AD:AD,"NA",0,1)</f>
        <v>NA</v>
      </c>
      <c r="U183" s="200"/>
      <c r="V183" s="200"/>
      <c r="W183" s="200"/>
      <c r="X183" s="208"/>
      <c r="Y183" s="200"/>
      <c r="Z183" s="201"/>
    </row>
    <row r="184" spans="4:26" ht="18" customHeight="1" hidden="1">
      <c r="D184" s="203" t="s">
        <v>257</v>
      </c>
      <c r="E184" s="204"/>
      <c r="F184" s="205"/>
      <c r="G184" s="205"/>
      <c r="H184" s="205"/>
      <c r="I184" s="204"/>
      <c r="J184" s="206"/>
      <c r="K184"/>
      <c r="L184" s="207"/>
      <c r="M184" s="205"/>
      <c r="N184" s="205"/>
      <c r="O184" s="205"/>
      <c r="P184" s="204"/>
      <c r="Q184" s="205"/>
      <c r="R184" s="206"/>
      <c r="T184" s="207"/>
      <c r="U184" s="205"/>
      <c r="V184" s="205"/>
      <c r="W184" s="205"/>
      <c r="X184" s="204"/>
      <c r="Y184" s="205"/>
      <c r="Z184" s="206"/>
    </row>
    <row r="185" spans="4:26" ht="18" customHeight="1" hidden="1">
      <c r="D185" s="198" t="s">
        <v>258</v>
      </c>
      <c r="E185" s="208" t="str">
        <f>_xlfn.XLOOKUP(E175,CurrentPlans!B:B,CurrentPlans!AB:AB,"NA",0,1)</f>
        <v>NA</v>
      </c>
      <c r="F185" s="200"/>
      <c r="G185" s="200"/>
      <c r="H185" s="200"/>
      <c r="I185" s="208"/>
      <c r="J185" s="201"/>
      <c r="K185"/>
      <c r="L185" s="209" t="str">
        <f ca="1">_xlfn.XLOOKUP(L175,RenewalPlans!B:B,RenewalPlans!AE:AE,"NA",0,1)</f>
        <v>NA</v>
      </c>
      <c r="M185" s="200"/>
      <c r="N185" s="200"/>
      <c r="O185" s="200"/>
      <c r="P185" s="208"/>
      <c r="Q185" s="200"/>
      <c r="R185" s="201"/>
      <c r="T185" s="209" t="str">
        <f>_xlfn.XLOOKUP(T175,RenewalPlans!B:B,RenewalPlans!AE:AE,"NA",0,1)</f>
        <v>NA</v>
      </c>
      <c r="U185" s="200"/>
      <c r="V185" s="200"/>
      <c r="W185" s="200"/>
      <c r="X185" s="208"/>
      <c r="Y185" s="200"/>
      <c r="Z185" s="201"/>
    </row>
    <row r="186" spans="4:26" ht="18" customHeight="1" hidden="1">
      <c r="D186" s="198" t="s">
        <v>259</v>
      </c>
      <c r="E186" s="208" t="str">
        <f>_xlfn.XLOOKUP(E175,CurrentPlans!B:B,CurrentPlans!AC:AC,"NA",0,1)</f>
        <v>NA</v>
      </c>
      <c r="F186" s="200"/>
      <c r="G186" s="200"/>
      <c r="H186" s="200"/>
      <c r="I186" s="208"/>
      <c r="J186" s="201"/>
      <c r="K186"/>
      <c r="L186" s="209" t="str">
        <f ca="1">_xlfn.XLOOKUP(L175,RenewalPlans!B:B,RenewalPlans!AF:AF,"NA",0,1)</f>
        <v>NA</v>
      </c>
      <c r="M186" s="200"/>
      <c r="N186" s="200"/>
      <c r="O186" s="200"/>
      <c r="P186" s="208"/>
      <c r="Q186" s="200"/>
      <c r="R186" s="201"/>
      <c r="T186" s="209" t="str">
        <f>_xlfn.XLOOKUP(T175,RenewalPlans!B:B,RenewalPlans!AF:AF,"NA",0,1)</f>
        <v>NA</v>
      </c>
      <c r="U186" s="200"/>
      <c r="V186" s="200"/>
      <c r="W186" s="200"/>
      <c r="X186" s="208"/>
      <c r="Y186" s="200"/>
      <c r="Z186" s="201"/>
    </row>
    <row r="187" spans="4:26" ht="18" customHeight="1" hidden="1">
      <c r="D187" s="210"/>
      <c r="E187" s="211"/>
      <c r="F187" s="211"/>
      <c r="G187" s="211"/>
      <c r="H187" s="211"/>
      <c r="I187" s="211"/>
      <c r="J187" s="212"/>
      <c r="K187"/>
      <c r="L187" s="210"/>
      <c r="M187" s="211"/>
      <c r="N187" s="211"/>
      <c r="O187" s="211"/>
      <c r="P187" s="211"/>
      <c r="Q187" s="211"/>
      <c r="R187" s="212"/>
      <c r="T187" s="210"/>
      <c r="U187" s="211"/>
      <c r="V187" s="211"/>
      <c r="W187" s="211"/>
      <c r="X187" s="211"/>
      <c r="Y187" s="211"/>
      <c r="Z187" s="212"/>
    </row>
    <row r="188" spans="4:26" ht="18" customHeight="1" hidden="1">
      <c r="D188" s="185" t="s">
        <v>260</v>
      </c>
      <c r="E188" s="186"/>
      <c r="F188" s="186"/>
      <c r="G188" s="186"/>
      <c r="H188" s="186"/>
      <c r="I188" s="186"/>
      <c r="J188" s="187"/>
      <c r="K188"/>
      <c r="L188" s="188"/>
      <c r="M188" s="186"/>
      <c r="N188" s="186"/>
      <c r="O188" s="186"/>
      <c r="P188" s="186"/>
      <c r="Q188" s="186"/>
      <c r="R188" s="187"/>
      <c r="T188" s="188"/>
      <c r="U188" s="186"/>
      <c r="V188" s="186"/>
      <c r="W188" s="186"/>
      <c r="X188" s="186"/>
      <c r="Y188" s="186"/>
      <c r="Z188" s="187"/>
    </row>
    <row r="189" spans="4:26" ht="18" customHeight="1" hidden="1">
      <c r="D189" s="213" t="s">
        <v>261</v>
      </c>
      <c r="E189" s="130" t="str">
        <f>_xlfn.XLOOKUP(E175,CurrentPlans!B:B,CurrentPlans!AJ:AJ,"NA",0,1)</f>
        <v>NA</v>
      </c>
      <c r="F189" s="214"/>
      <c r="G189" s="214"/>
      <c r="H189" s="214"/>
      <c r="I189" s="130"/>
      <c r="J189" s="215"/>
      <c r="K189"/>
      <c r="L189" s="131" t="str">
        <f ca="1">_xlfn.XLOOKUP(L175,RenewalPlans!B:B,RenewalPlans!AM:AM,"NA",0,1)</f>
        <v>NA</v>
      </c>
      <c r="M189" s="214"/>
      <c r="N189" s="214"/>
      <c r="O189" s="214"/>
      <c r="P189" s="130"/>
      <c r="Q189" s="214"/>
      <c r="R189" s="215"/>
      <c r="T189" s="131" t="str">
        <f>_xlfn.XLOOKUP(T175,RenewalPlans!B:B,RenewalPlans!AM:AM,"NA",0,1)</f>
        <v>NA</v>
      </c>
      <c r="U189" s="214"/>
      <c r="V189" s="214"/>
      <c r="W189" s="214"/>
      <c r="X189" s="130"/>
      <c r="Y189" s="214"/>
      <c r="Z189" s="215"/>
    </row>
    <row r="190" spans="4:26" ht="18" customHeight="1" hidden="1">
      <c r="D190" s="198" t="s">
        <v>262</v>
      </c>
      <c r="E190" s="130" t="str">
        <f>_xlfn.XLOOKUP(E175,CurrentPlans!B:B,CurrentPlans!AM:AM,"NA",0,1)</f>
        <v>NA</v>
      </c>
      <c r="F190" s="200"/>
      <c r="G190" s="200"/>
      <c r="H190" s="200"/>
      <c r="I190" s="130"/>
      <c r="J190" s="201"/>
      <c r="K190"/>
      <c r="L190" s="131" t="str">
        <f ca="1">_xlfn.XLOOKUP(L175,RenewalPlans!B:B,RenewalPlans!AP:AP,"NA",0,1)</f>
        <v>NA</v>
      </c>
      <c r="M190" s="200"/>
      <c r="N190" s="200"/>
      <c r="O190" s="200"/>
      <c r="P190" s="130"/>
      <c r="Q190" s="200"/>
      <c r="R190" s="201"/>
      <c r="T190" s="131" t="str">
        <f>_xlfn.XLOOKUP(T175,RenewalPlans!B:B,RenewalPlans!AP:AP,"NA",0,1)</f>
        <v>NA</v>
      </c>
      <c r="U190" s="200"/>
      <c r="V190" s="200"/>
      <c r="W190" s="200"/>
      <c r="X190" s="130"/>
      <c r="Y190" s="200"/>
      <c r="Z190" s="201"/>
    </row>
    <row r="191" spans="4:26" ht="18" customHeight="1" hidden="1">
      <c r="D191" s="198" t="s">
        <v>263</v>
      </c>
      <c r="E191" s="130" t="str">
        <f>_xlfn.XLOOKUP(E175,CurrentPlans!B:B,CurrentPlans!AI:AI,"NA",0,1)</f>
        <v>NA</v>
      </c>
      <c r="F191" s="200"/>
      <c r="G191" s="200"/>
      <c r="H191" s="200"/>
      <c r="I191" s="130"/>
      <c r="J191" s="201"/>
      <c r="K191"/>
      <c r="L191" s="131" t="str">
        <f ca="1">_xlfn.XLOOKUP(L175,RenewalPlans!B:B,RenewalPlans!AL:AL,"NA",0,1)</f>
        <v>NA</v>
      </c>
      <c r="M191" s="200"/>
      <c r="N191" s="200"/>
      <c r="O191" s="200"/>
      <c r="P191" s="130"/>
      <c r="Q191" s="200"/>
      <c r="R191" s="201"/>
      <c r="T191" s="131" t="str">
        <f>_xlfn.XLOOKUP(T175,RenewalPlans!B:B,RenewalPlans!AL:AL,"NA",0,1)</f>
        <v>NA</v>
      </c>
      <c r="U191" s="200"/>
      <c r="V191" s="200"/>
      <c r="W191" s="200"/>
      <c r="X191" s="130"/>
      <c r="Y191" s="200"/>
      <c r="Z191" s="201"/>
    </row>
    <row r="192" spans="4:26" ht="18" customHeight="1" hidden="1">
      <c r="D192" s="198" t="s">
        <v>264</v>
      </c>
      <c r="E192" s="208" t="str">
        <f>_xlfn.XLOOKUP(E175,CurrentPlans!B:B,CurrentPlans!AN:AN,"NA",0,1)</f>
        <v>NA</v>
      </c>
      <c r="F192" s="200"/>
      <c r="G192" s="200"/>
      <c r="H192" s="200"/>
      <c r="I192" s="208"/>
      <c r="J192" s="201"/>
      <c r="K192"/>
      <c r="L192" s="209" t="str">
        <f ca="1">_xlfn.XLOOKUP(L175,RenewalPlans!B:B,RenewalPlans!AQ:AQ,"NA",0,1)</f>
        <v>NA</v>
      </c>
      <c r="M192" s="200"/>
      <c r="N192" s="200"/>
      <c r="O192" s="200"/>
      <c r="P192" s="208"/>
      <c r="Q192" s="200"/>
      <c r="R192" s="201"/>
      <c r="T192" s="209" t="str">
        <f>_xlfn.XLOOKUP(T175,RenewalPlans!B:B,RenewalPlans!AQ:AQ,"NA",0,1)</f>
        <v>NA</v>
      </c>
      <c r="U192" s="200"/>
      <c r="V192" s="200"/>
      <c r="W192" s="200"/>
      <c r="X192" s="208"/>
      <c r="Y192" s="200"/>
      <c r="Z192" s="201"/>
    </row>
    <row r="193" spans="4:26" ht="18" customHeight="1" hidden="1">
      <c r="D193" s="210"/>
      <c r="E193" s="211"/>
      <c r="F193" s="211"/>
      <c r="G193" s="211"/>
      <c r="H193" s="211"/>
      <c r="I193" s="211"/>
      <c r="J193" s="212"/>
      <c r="K193"/>
      <c r="L193" s="210"/>
      <c r="M193" s="211"/>
      <c r="N193" s="211"/>
      <c r="O193" s="211"/>
      <c r="P193" s="211"/>
      <c r="Q193" s="211"/>
      <c r="R193" s="212"/>
      <c r="T193" s="210"/>
      <c r="U193" s="211"/>
      <c r="V193" s="211"/>
      <c r="W193" s="211"/>
      <c r="X193" s="211"/>
      <c r="Y193" s="211"/>
      <c r="Z193" s="212"/>
    </row>
    <row r="194" spans="4:26" ht="18" customHeight="1" hidden="1">
      <c r="D194" s="185" t="s">
        <v>265</v>
      </c>
      <c r="E194" s="186"/>
      <c r="F194" s="186"/>
      <c r="G194" s="186"/>
      <c r="H194" s="186"/>
      <c r="I194" s="186"/>
      <c r="J194" s="187"/>
      <c r="K194"/>
      <c r="L194" s="188"/>
      <c r="M194" s="186"/>
      <c r="N194" s="186"/>
      <c r="O194" s="186"/>
      <c r="P194" s="186"/>
      <c r="Q194" s="186"/>
      <c r="R194" s="187"/>
      <c r="T194" s="188"/>
      <c r="U194" s="186"/>
      <c r="V194" s="186"/>
      <c r="W194" s="186"/>
      <c r="X194" s="186"/>
      <c r="Y194" s="186"/>
      <c r="Z194" s="187"/>
    </row>
    <row r="195" spans="4:26" ht="18" customHeight="1" hidden="1">
      <c r="D195" s="132" t="s">
        <v>266</v>
      </c>
      <c r="E195" s="133" t="str">
        <f>_xlfn.XLOOKUP(E175,CurrentPlans!B:B,CurrentPlans!AE:AE,"NA",0,1)</f>
        <v>NA</v>
      </c>
      <c r="F195" s="134"/>
      <c r="G195" s="134"/>
      <c r="H195" s="134"/>
      <c r="I195" s="133"/>
      <c r="J195" s="135"/>
      <c r="K195"/>
      <c r="L195" s="136" t="str">
        <f ca="1">_xlfn.XLOOKUP(L175,RenewalPlans!B:B,RenewalPlans!AH:AH,"NA",0,1)</f>
        <v>NA</v>
      </c>
      <c r="M195" s="134"/>
      <c r="N195" s="134"/>
      <c r="O195" s="134"/>
      <c r="P195" s="133"/>
      <c r="Q195" s="134"/>
      <c r="R195" s="135"/>
      <c r="T195" s="136" t="str">
        <f>_xlfn.XLOOKUP(T175,RenewalPlans!B:B,RenewalPlans!AH:AH,"NA",0,1)</f>
        <v>NA</v>
      </c>
      <c r="U195" s="134"/>
      <c r="V195" s="134"/>
      <c r="W195" s="134"/>
      <c r="X195" s="133"/>
      <c r="Y195" s="134"/>
      <c r="Z195" s="135"/>
    </row>
    <row r="196" spans="4:26" ht="18" customHeight="1" hidden="1">
      <c r="D196" s="120" t="s">
        <v>267</v>
      </c>
      <c r="E196" s="130" t="str">
        <f>_xlfn.XLOOKUP(E175,CurrentPlans!B:B,CurrentPlans!AF:AF,"NA",0,1)</f>
        <v>NA</v>
      </c>
      <c r="F196" s="122"/>
      <c r="G196" s="122"/>
      <c r="H196" s="122"/>
      <c r="I196" s="130"/>
      <c r="J196" s="123"/>
      <c r="K196"/>
      <c r="L196" s="131" t="str">
        <f ca="1">_xlfn.XLOOKUP(L175,RenewalPlans!B:B,RenewalPlans!AI:AI,"NA",0,1)</f>
        <v>NA</v>
      </c>
      <c r="M196" s="122"/>
      <c r="N196" s="122"/>
      <c r="O196" s="122"/>
      <c r="P196" s="130"/>
      <c r="Q196" s="122"/>
      <c r="R196" s="123"/>
      <c r="T196" s="131" t="str">
        <f>_xlfn.XLOOKUP(T175,RenewalPlans!B:B,RenewalPlans!AI:AI,"NA",0,1)</f>
        <v>NA</v>
      </c>
      <c r="U196" s="122"/>
      <c r="V196" s="122"/>
      <c r="W196" s="122"/>
      <c r="X196" s="130"/>
      <c r="Y196" s="122"/>
      <c r="Z196" s="123"/>
    </row>
    <row r="197" spans="4:26" ht="18" customHeight="1" hidden="1">
      <c r="D197" s="198" t="s">
        <v>268</v>
      </c>
      <c r="E197" s="130" t="str">
        <f>_xlfn.XLOOKUP(E175,CurrentPlans!B:B,CurrentPlans!AH:AH,"NA",0,1)</f>
        <v>NA</v>
      </c>
      <c r="F197" s="200"/>
      <c r="G197" s="200"/>
      <c r="H197" s="200"/>
      <c r="I197" s="130"/>
      <c r="J197" s="201"/>
      <c r="K197"/>
      <c r="L197" s="131" t="str">
        <f ca="1">_xlfn.XLOOKUP(L175,RenewalPlans!B:B,RenewalPlans!AK:AK,"NA",0,1)</f>
        <v>NA</v>
      </c>
      <c r="M197" s="200"/>
      <c r="N197" s="200"/>
      <c r="O197" s="200"/>
      <c r="P197" s="130"/>
      <c r="Q197" s="200"/>
      <c r="R197" s="201"/>
      <c r="T197" s="131" t="str">
        <f>_xlfn.XLOOKUP(T175,RenewalPlans!B:B,RenewalPlans!AK:AK,"NA",0,1)</f>
        <v>NA</v>
      </c>
      <c r="U197" s="200"/>
      <c r="V197" s="200"/>
      <c r="W197" s="200"/>
      <c r="X197" s="130"/>
      <c r="Y197" s="200"/>
      <c r="Z197" s="201"/>
    </row>
    <row r="198" spans="4:26" ht="18" customHeight="1" hidden="1">
      <c r="D198" s="198" t="s">
        <v>269</v>
      </c>
      <c r="E198" s="130" t="str">
        <f>_xlfn.XLOOKUP(E175,CurrentPlans!B:B,CurrentPlans!AG:AG,"NA",0,1)</f>
        <v>NA</v>
      </c>
      <c r="F198" s="200"/>
      <c r="G198" s="200"/>
      <c r="H198" s="200"/>
      <c r="I198" s="130"/>
      <c r="J198" s="201"/>
      <c r="K198"/>
      <c r="L198" s="131" t="str">
        <f ca="1">_xlfn.XLOOKUP(L175,RenewalPlans!B:B,RenewalPlans!AJ:AJ,"NA",0,1)</f>
        <v>NA</v>
      </c>
      <c r="M198" s="200"/>
      <c r="N198" s="200"/>
      <c r="O198" s="200"/>
      <c r="P198" s="130"/>
      <c r="Q198" s="200"/>
      <c r="R198" s="201"/>
      <c r="T198" s="131" t="str">
        <f>_xlfn.XLOOKUP(T175,RenewalPlans!B:B,RenewalPlans!AJ:AJ,"NA",0,1)</f>
        <v>NA</v>
      </c>
      <c r="U198" s="200"/>
      <c r="V198" s="200"/>
      <c r="W198" s="200"/>
      <c r="X198" s="130"/>
      <c r="Y198" s="200"/>
      <c r="Z198" s="201"/>
    </row>
    <row r="199" spans="4:26" ht="18" customHeight="1" hidden="1">
      <c r="D199" s="213" t="s">
        <v>270</v>
      </c>
      <c r="E199" s="216" t="str">
        <f>_xlfn.XLOOKUP(E175,CurrentPlans!B:B,CurrentPlans!AU:AU,"NA",0,1)</f>
        <v>NA</v>
      </c>
      <c r="F199" s="214"/>
      <c r="G199" s="214"/>
      <c r="H199" s="214"/>
      <c r="I199" s="217"/>
      <c r="J199" s="215"/>
      <c r="K199"/>
      <c r="L199" s="218" t="str">
        <f ca="1">_xlfn.XLOOKUP(L175,RenewalPlans!B:B,RenewalPlans!AX:AX,"NA",0,1)</f>
        <v>NA</v>
      </c>
      <c r="M199" s="214"/>
      <c r="N199" s="214"/>
      <c r="O199" s="214"/>
      <c r="P199" s="217"/>
      <c r="Q199" s="214"/>
      <c r="R199" s="215"/>
      <c r="T199" s="218" t="str">
        <f>_xlfn.XLOOKUP(T175,RenewalPlans!B:B,RenewalPlans!AX:AX,"NA",0,1)</f>
        <v>NA</v>
      </c>
      <c r="U199" s="214"/>
      <c r="V199" s="214"/>
      <c r="W199" s="214"/>
      <c r="X199" s="217"/>
      <c r="Y199" s="214"/>
      <c r="Z199" s="215"/>
    </row>
    <row r="200" spans="4:26" ht="18" customHeight="1" hidden="1">
      <c r="D200" s="213" t="s">
        <v>271</v>
      </c>
      <c r="E200" s="216" t="str">
        <f>_xlfn.XLOOKUP(E175,CurrentPlans!B:B,CurrentPlans!AT:AT,"NA",0,1)</f>
        <v>NA</v>
      </c>
      <c r="F200" s="214"/>
      <c r="G200" s="214"/>
      <c r="H200" s="214"/>
      <c r="I200" s="217"/>
      <c r="J200" s="215"/>
      <c r="K200"/>
      <c r="L200" s="218" t="str">
        <f ca="1">_xlfn.XLOOKUP(L175,RenewalPlans!B:B,RenewalPlans!AW:AW,"NA",0,1)</f>
        <v>NA</v>
      </c>
      <c r="M200" s="214"/>
      <c r="N200" s="214"/>
      <c r="O200" s="214"/>
      <c r="P200" s="217"/>
      <c r="Q200" s="214"/>
      <c r="R200" s="215"/>
      <c r="T200" s="218" t="str">
        <f>_xlfn.XLOOKUP(T175,RenewalPlans!B:B,RenewalPlans!AW:AW,"NA",0,1)</f>
        <v>NA</v>
      </c>
      <c r="U200" s="214"/>
      <c r="V200" s="214"/>
      <c r="W200" s="214"/>
      <c r="X200" s="217"/>
      <c r="Y200" s="214"/>
      <c r="Z200" s="215"/>
    </row>
    <row r="201" spans="4:26" ht="18" customHeight="1" hidden="1">
      <c r="D201" s="198" t="s">
        <v>272</v>
      </c>
      <c r="E201" s="130" t="str">
        <f>_xlfn.XLOOKUP(E175,CurrentPlans!B:B,CurrentPlans!AD:AD,"NA",0,1)</f>
        <v>NA</v>
      </c>
      <c r="F201" s="200"/>
      <c r="G201" s="200"/>
      <c r="H201" s="200"/>
      <c r="I201" s="130"/>
      <c r="J201" s="201"/>
      <c r="K201"/>
      <c r="L201" s="131" t="str">
        <f ca="1">_xlfn.XLOOKUP(L175,RenewalPlans!B:B,RenewalPlans!AG:AG,"NA",0,1)</f>
        <v>NA</v>
      </c>
      <c r="M201" s="200"/>
      <c r="N201" s="200"/>
      <c r="O201" s="200"/>
      <c r="P201" s="130"/>
      <c r="Q201" s="200"/>
      <c r="R201" s="201"/>
      <c r="T201" s="131" t="str">
        <f>_xlfn.XLOOKUP(T175,RenewalPlans!B:B,RenewalPlans!AG:AG,"NA",0,1)</f>
        <v>NA</v>
      </c>
      <c r="U201" s="200"/>
      <c r="V201" s="200"/>
      <c r="W201" s="200"/>
      <c r="X201" s="130"/>
      <c r="Y201" s="200"/>
      <c r="Z201" s="201"/>
    </row>
    <row r="202" spans="4:26" ht="18" customHeight="1" hidden="1">
      <c r="D202" s="198" t="s">
        <v>273</v>
      </c>
      <c r="E202" s="200"/>
      <c r="F202" s="200"/>
      <c r="G202" s="200"/>
      <c r="H202" s="200"/>
      <c r="I202" s="200"/>
      <c r="J202" s="201"/>
      <c r="K202"/>
      <c r="L202" s="198"/>
      <c r="M202" s="200"/>
      <c r="N202" s="200"/>
      <c r="O202" s="200"/>
      <c r="P202" s="200"/>
      <c r="Q202" s="200"/>
      <c r="R202" s="201"/>
      <c r="T202" s="198"/>
      <c r="U202" s="200"/>
      <c r="V202" s="200"/>
      <c r="W202" s="200"/>
      <c r="X202" s="200"/>
      <c r="Y202" s="200"/>
      <c r="Z202" s="201"/>
    </row>
    <row r="203" spans="4:26" ht="18" customHeight="1" hidden="1">
      <c r="D203" s="210"/>
      <c r="E203" s="211"/>
      <c r="F203" s="211"/>
      <c r="G203" s="211"/>
      <c r="H203" s="211"/>
      <c r="I203" s="211"/>
      <c r="J203" s="212"/>
      <c r="K203"/>
      <c r="L203" s="210"/>
      <c r="M203" s="211"/>
      <c r="N203" s="211"/>
      <c r="O203" s="211"/>
      <c r="P203" s="211"/>
      <c r="Q203" s="211"/>
      <c r="R203" s="212"/>
      <c r="T203" s="210"/>
      <c r="U203" s="211"/>
      <c r="V203" s="211"/>
      <c r="W203" s="211"/>
      <c r="X203" s="211"/>
      <c r="Y203" s="211"/>
      <c r="Z203" s="212"/>
    </row>
    <row r="204" spans="4:26" ht="18" customHeight="1" hidden="1">
      <c r="D204" s="219" t="s">
        <v>274</v>
      </c>
      <c r="E204" s="220"/>
      <c r="F204" s="220"/>
      <c r="G204" s="220"/>
      <c r="H204" s="220"/>
      <c r="I204" s="220"/>
      <c r="J204" s="221"/>
      <c r="K204"/>
      <c r="L204" s="222"/>
      <c r="M204" s="220"/>
      <c r="N204" s="220"/>
      <c r="O204" s="220"/>
      <c r="P204" s="220"/>
      <c r="Q204" s="220"/>
      <c r="R204" s="221"/>
      <c r="T204" s="222"/>
      <c r="U204" s="220"/>
      <c r="V204" s="220"/>
      <c r="W204" s="220"/>
      <c r="X204" s="220"/>
      <c r="Y204" s="220"/>
      <c r="Z204" s="221"/>
    </row>
    <row r="205" spans="4:26" ht="18" customHeight="1" hidden="1">
      <c r="D205" s="223" t="s">
        <v>250</v>
      </c>
      <c r="E205" s="205"/>
      <c r="F205" s="205"/>
      <c r="G205" s="205"/>
      <c r="H205" s="205"/>
      <c r="I205" s="205"/>
      <c r="J205" s="206"/>
      <c r="K205"/>
      <c r="L205" s="203"/>
      <c r="M205" s="205"/>
      <c r="N205" s="205"/>
      <c r="O205" s="205"/>
      <c r="P205" s="205"/>
      <c r="Q205" s="205"/>
      <c r="R205" s="206"/>
      <c r="T205" s="203"/>
      <c r="U205" s="205"/>
      <c r="V205" s="205"/>
      <c r="W205" s="205"/>
      <c r="X205" s="205"/>
      <c r="Y205" s="205"/>
      <c r="Z205" s="206"/>
    </row>
    <row r="206" spans="4:26" ht="18" customHeight="1" hidden="1">
      <c r="D206" s="198" t="s">
        <v>251</v>
      </c>
      <c r="E206" s="130" t="str">
        <f>_xlfn.XLOOKUP(E175,CurrentPlans!B:B,CurrentPlans!AP:AP,"NA",0,1)</f>
        <v>NA</v>
      </c>
      <c r="F206" s="200"/>
      <c r="G206" s="200"/>
      <c r="H206" s="200"/>
      <c r="I206" s="130"/>
      <c r="J206" s="201"/>
      <c r="K206"/>
      <c r="L206" s="131" t="str">
        <f ca="1">_xlfn.XLOOKUP(L175,RenewalPlans!B:B,RenewalPlans!AS:AS,"NA",0,1)</f>
        <v>NA</v>
      </c>
      <c r="M206" s="200"/>
      <c r="N206" s="200"/>
      <c r="O206" s="200"/>
      <c r="P206" s="130"/>
      <c r="Q206" s="200"/>
      <c r="R206" s="201"/>
      <c r="T206" s="131" t="str">
        <f>_xlfn.XLOOKUP(T175,RenewalPlans!B:B,RenewalPlans!AS:AS,"NA",0,1)</f>
        <v>NA</v>
      </c>
      <c r="U206" s="200"/>
      <c r="V206" s="200"/>
      <c r="W206" s="200"/>
      <c r="X206" s="130"/>
      <c r="Y206" s="200"/>
      <c r="Z206" s="201"/>
    </row>
    <row r="207" spans="4:26" ht="18" customHeight="1" hidden="1">
      <c r="D207" s="198" t="s">
        <v>252</v>
      </c>
      <c r="E207" s="130" t="str">
        <f>_xlfn.XLOOKUP(E175,CurrentPlans!B:B,CurrentPlans!AQ:AQ,"NA",0,1)</f>
        <v>NA</v>
      </c>
      <c r="F207" s="200"/>
      <c r="G207" s="200"/>
      <c r="H207" s="200"/>
      <c r="I207" s="130"/>
      <c r="J207" s="201"/>
      <c r="K207"/>
      <c r="L207" s="131" t="str">
        <f ca="1">_xlfn.XLOOKUP(L175,RenewalPlans!B:B,RenewalPlans!AT:AT,"NA",0,1)</f>
        <v>NA</v>
      </c>
      <c r="M207" s="200"/>
      <c r="N207" s="200"/>
      <c r="O207" s="200"/>
      <c r="P207" s="130"/>
      <c r="Q207" s="200"/>
      <c r="R207" s="201"/>
      <c r="T207" s="131" t="str">
        <f>_xlfn.XLOOKUP(T175,RenewalPlans!B:B,RenewalPlans!AT:AT,"NA",0,1)</f>
        <v>NA</v>
      </c>
      <c r="U207" s="200"/>
      <c r="V207" s="200"/>
      <c r="W207" s="200"/>
      <c r="X207" s="130"/>
      <c r="Y207" s="200"/>
      <c r="Z207" s="201"/>
    </row>
    <row r="208" spans="4:26" ht="18" customHeight="1" hidden="1">
      <c r="D208" s="120" t="s">
        <v>253</v>
      </c>
      <c r="E208" s="133" t="str">
        <f>_xlfn.XLOOKUP(E175,CurrentPlans!B:B,CurrentPlans!AO:AO,"NA",0,1)</f>
        <v>NA</v>
      </c>
      <c r="F208" s="122"/>
      <c r="G208" s="122"/>
      <c r="H208" s="122"/>
      <c r="I208" s="133"/>
      <c r="J208" s="123"/>
      <c r="K208"/>
      <c r="L208" s="136" t="str">
        <f ca="1">_xlfn.XLOOKUP(L175,RenewalPlans!B:B,RenewalPlans!AR:AR,"NA",0,1)</f>
        <v>NA</v>
      </c>
      <c r="M208" s="122"/>
      <c r="N208" s="122"/>
      <c r="O208" s="122"/>
      <c r="P208" s="133"/>
      <c r="Q208" s="122"/>
      <c r="R208" s="123"/>
      <c r="T208" s="136" t="str">
        <f>_xlfn.XLOOKUP(T175,RenewalPlans!B:B,RenewalPlans!AR:AR,"NA",0,1)</f>
        <v>NA</v>
      </c>
      <c r="U208" s="122"/>
      <c r="V208" s="122"/>
      <c r="W208" s="122"/>
      <c r="X208" s="133"/>
      <c r="Y208" s="122"/>
      <c r="Z208" s="123"/>
    </row>
    <row r="209" spans="4:26" ht="18" customHeight="1" hidden="1">
      <c r="D209" s="223" t="s">
        <v>254</v>
      </c>
      <c r="E209" s="205"/>
      <c r="F209" s="205"/>
      <c r="G209" s="205"/>
      <c r="H209" s="205"/>
      <c r="I209" s="205"/>
      <c r="J209" s="206"/>
      <c r="K209"/>
      <c r="L209" s="203"/>
      <c r="M209" s="205"/>
      <c r="N209" s="205"/>
      <c r="O209" s="205"/>
      <c r="P209" s="205"/>
      <c r="Q209" s="205"/>
      <c r="R209" s="206"/>
      <c r="T209" s="203"/>
      <c r="U209" s="205"/>
      <c r="V209" s="205"/>
      <c r="W209" s="205"/>
      <c r="X209" s="205"/>
      <c r="Y209" s="205"/>
      <c r="Z209" s="206"/>
    </row>
    <row r="210" spans="4:26" ht="18" customHeight="1" hidden="1">
      <c r="D210" s="198" t="s">
        <v>255</v>
      </c>
      <c r="E210" s="130" t="str">
        <f>_xlfn.XLOOKUP(E175,CurrentPlans!B:B,CurrentPlans!AR:AR,"NA",0,1)</f>
        <v>NA</v>
      </c>
      <c r="F210" s="200"/>
      <c r="G210" s="200"/>
      <c r="H210" s="200"/>
      <c r="I210" s="130"/>
      <c r="J210" s="201"/>
      <c r="K210"/>
      <c r="L210" s="131" t="str">
        <f ca="1">_xlfn.XLOOKUP(L175,RenewalPlans!B:B,RenewalPlans!AU:AU,"NA",0,1)</f>
        <v>NA</v>
      </c>
      <c r="M210" s="200"/>
      <c r="N210" s="200"/>
      <c r="O210" s="200"/>
      <c r="P210" s="130"/>
      <c r="Q210" s="200"/>
      <c r="R210" s="201"/>
      <c r="T210" s="131" t="str">
        <f>_xlfn.XLOOKUP(T175,RenewalPlans!B:B,RenewalPlans!AU:AU,"NA",0,1)</f>
        <v>NA</v>
      </c>
      <c r="U210" s="200"/>
      <c r="V210" s="200"/>
      <c r="W210" s="200"/>
      <c r="X210" s="130"/>
      <c r="Y210" s="200"/>
      <c r="Z210" s="201"/>
    </row>
    <row r="211" spans="4:26" ht="18" customHeight="1" hidden="1" thickBot="1">
      <c r="D211" s="224" t="s">
        <v>256</v>
      </c>
      <c r="E211" s="137" t="str">
        <f>_xlfn.XLOOKUP(E175,CurrentPlans!B:B,CurrentPlans!AS:AS,"NA",0,1)</f>
        <v>NA</v>
      </c>
      <c r="F211" s="225"/>
      <c r="G211" s="225"/>
      <c r="H211" s="225"/>
      <c r="I211" s="137"/>
      <c r="J211" s="226"/>
      <c r="K211"/>
      <c r="L211" s="138" t="str">
        <f ca="1">_xlfn.XLOOKUP(L175,RenewalPlans!B:B,RenewalPlans!AV:AV,"NA",0,1)</f>
        <v>NA</v>
      </c>
      <c r="M211" s="225"/>
      <c r="N211" s="225"/>
      <c r="O211" s="225"/>
      <c r="P211" s="137"/>
      <c r="Q211" s="225"/>
      <c r="R211" s="226"/>
      <c r="T211" s="138" t="str">
        <f>_xlfn.XLOOKUP(T175,RenewalPlans!B:B,RenewalPlans!AV:AV,"NA",0,1)</f>
        <v>NA</v>
      </c>
      <c r="U211" s="225"/>
      <c r="V211" s="225"/>
      <c r="W211" s="225"/>
      <c r="X211" s="137"/>
      <c r="Y211" s="225"/>
      <c r="Z211" s="226"/>
    </row>
    <row r="212" spans="1:26" ht="18" customHeight="1">
      <c r="A212" s="140"/>
      <c r="B212" s="140"/>
      <c r="D212" s="227"/>
      <c r="E212" s="176"/>
      <c r="F212" s="178"/>
      <c r="G212" s="179"/>
      <c r="H212" s="178"/>
      <c r="I212" s="176"/>
      <c r="J212" s="228"/>
      <c r="K212"/>
      <c r="L212" s="178"/>
      <c r="M212" s="176"/>
      <c r="N212" s="139"/>
      <c r="O212" s="178"/>
      <c r="P212" s="178"/>
      <c r="Q212" s="178"/>
      <c r="R212" s="228"/>
      <c r="T212" s="178"/>
      <c r="U212" s="176"/>
      <c r="V212" s="139"/>
      <c r="W212" s="178"/>
      <c r="X212" s="178"/>
      <c r="Y212" s="178"/>
      <c r="Z212" s="228"/>
    </row>
    <row r="213" spans="1:26" ht="5.25" customHeight="1" thickBot="1">
      <c r="A213" s="140"/>
      <c r="B213" s="140"/>
      <c r="D213" s="229"/>
      <c r="E213" s="229"/>
      <c r="F213" s="230"/>
      <c r="G213" s="231"/>
      <c r="H213" s="232"/>
      <c r="I213" s="233"/>
      <c r="J213" s="233"/>
      <c r="K213"/>
      <c r="L213" s="233"/>
      <c r="M213" s="233"/>
      <c r="N213" s="233"/>
      <c r="O213" s="233"/>
      <c r="P213" s="233"/>
      <c r="Q213" s="233"/>
      <c r="R213" s="233"/>
      <c r="T213" s="233"/>
      <c r="U213" s="233"/>
      <c r="V213" s="233"/>
      <c r="W213" s="233"/>
      <c r="X213" s="233"/>
      <c r="Y213" s="233"/>
      <c r="Z213" s="233"/>
    </row>
    <row r="214" spans="1:26" ht="50.15" customHeight="1">
      <c r="A214" s="140">
        <v>5</v>
      </c>
      <c r="B214" s="140" t="str">
        <f>IF(A214&gt;Class4_CurrentHealthCount,"DELETE",Class4_CurrentHealthStart+A214)</f>
        <v>DELETE</v>
      </c>
      <c r="C214" s="164" t="s">
        <v>278</v>
      </c>
      <c r="D214" s="273" t="str">
        <f>IF(B214="Delete","",VLOOKUP(F214,BEGIN_CURRENT_HEALTH:END_CURRENT_HEALTH,3,FALSE))</f>
        <v/>
      </c>
      <c r="E214" s="165"/>
      <c r="F214" s="272" t="str" cm="1">
        <f t="array" ca="1" aca="1" ref="F214">IF(B214="Delete","",INDIRECT("CurrentPlans!A"&amp;B214,TRUE))</f>
        <v/>
      </c>
      <c r="G214" s="166"/>
      <c r="H214" s="167"/>
      <c r="I214" s="168"/>
      <c r="J214" s="169"/>
      <c r="K214"/>
      <c r="L214" s="274" t="str">
        <f ca="1">_xlfn.IFNA(VLOOKUP(F214,BEGIN_RENEWEDFROM_HEALTH:ROW_RenewHealth_PlanID,3,FALSE),"SELECT PLAN")</f>
        <v>SELECT PLAN</v>
      </c>
      <c r="M214" s="170"/>
      <c r="N214" s="274" t="s">
        <v>237</v>
      </c>
      <c r="O214" s="171"/>
      <c r="P214" s="171"/>
      <c r="Q214" s="171"/>
      <c r="R214" s="169"/>
      <c r="T214" s="274" t="s">
        <v>38</v>
      </c>
      <c r="U214" s="170"/>
      <c r="V214" s="274" t="s">
        <v>237</v>
      </c>
      <c r="W214" s="171"/>
      <c r="X214" s="171"/>
      <c r="Y214" s="171"/>
      <c r="Z214" s="169"/>
    </row>
    <row r="215" spans="1:26" ht="18.75" customHeight="1">
      <c r="A215" s="140"/>
      <c r="B215" s="140"/>
      <c r="D215" s="172" t="s">
        <v>238</v>
      </c>
      <c r="E215" s="407" t="str">
        <f ca="1">_xlfn.IFNA(VLOOKUP(F214,BEGIN_CURRENT_HEALTH:END_CURRENT_HEALTH,CURRENT_COL_EO_count,FALSE),"")</f>
        <v/>
      </c>
      <c r="F215" s="408" t="str">
        <f ca="1">_xlfn.IFNA(VLOOKUP(F214,BEGIN_CURRENT_HEALTH:END_CURRENT_HEALTH,CURRENT_COL_EO,FALSE),"")</f>
        <v/>
      </c>
      <c r="G215" s="468" t="str">
        <f ca="1" t="shared" si="20" ref="G215:G218">IF(F215="","",H215/F215)</f>
        <v/>
      </c>
      <c r="H215" s="408" t="str">
        <f ca="1">_xlfn.IFNA(VLOOKUP(F214,BEGIN_CURRENT_HEALTH:END_CURRENT_HEALTH,CURRENT_COL_EOContrib,FALSE),"")</f>
        <v/>
      </c>
      <c r="I215" s="409" t="str">
        <f ca="1">IFERROR(F215-H215,"")</f>
        <v/>
      </c>
      <c r="J215" s="410" t="str">
        <f ca="1">IF(F215="","",H215*E215)</f>
        <v/>
      </c>
      <c r="K215" s="411"/>
      <c r="L215" s="408" t="str" cm="1">
        <f t="array" ca="1" aca="1" ref="L215">_xlfn.IFNA(VLOOKUP(INDIRECT("L"&amp;ROW()-1)&amp;"_"&amp;$D$12,BEGIN_RENEW_HEALTH:END_RENEW_HEALTH,RENEW_COL_EO,FALSE),"")</f>
        <v/>
      </c>
      <c r="M215" s="412" t="str">
        <f ca="1">IF(E215="","",E215)</f>
        <v/>
      </c>
      <c r="N215" s="413"/>
      <c r="O215" s="414"/>
      <c r="P215" s="415" t="str">
        <f>IFERROR(IF($N214="Keep Contribution Same",H215,IF($N214="Enter Percentages",IF(N215="","",N215*L215),IF($N214="Keep Percentage Same",IF(G215="","",G215*L215),IF($N214="Enter Dollar Amount",IF(O215="","",O215),"")))),"")</f>
        <v/>
      </c>
      <c r="Q215" s="408" t="str">
        <f ca="1">IFERROR(L215-P215,"")</f>
        <v/>
      </c>
      <c r="R215" s="410" t="str">
        <f>IFERROR(IF(P215="","",M215*P215),"")</f>
        <v/>
      </c>
      <c r="S215" s="411"/>
      <c r="T215" s="408" t="str" cm="1">
        <f t="array" ca="1" aca="1" ref="T215">_xlfn.IFNA(VLOOKUP(INDIRECT("T"&amp;ROW()-1)&amp;"_"&amp;$D$12,BEGIN_RENEW_HEALTH:END_RENEW_HEALTH,RENEW_COL_EO,FALSE),"")</f>
        <v/>
      </c>
      <c r="U215" s="412" t="str">
        <f ca="1">IF(E215="","",E215)</f>
        <v/>
      </c>
      <c r="V215" s="413"/>
      <c r="W215" s="414"/>
      <c r="X215" s="415" t="str">
        <f>IFERROR(IF($V214="Keep Contribution Same",H215,IF($V214="Enter Percentages",IF(V215="","",V215*T215),IF($V214="Keep Percentage Same",IF(G215="","",G215*T215),IF($V214="Enter Dollar Amount",IF(W215="","",W215),"")))),"")</f>
        <v/>
      </c>
      <c r="Y215" s="408" t="str">
        <f ca="1">IFERROR(T215-X215,"")</f>
        <v/>
      </c>
      <c r="Z215" s="410" t="str">
        <f>IFERROR(IF(X215="","",U215*X215),"")</f>
        <v/>
      </c>
    </row>
    <row r="216" spans="1:26" ht="18.75" customHeight="1">
      <c r="A216" s="140"/>
      <c r="B216" s="140"/>
      <c r="D216" s="172" t="s">
        <v>239</v>
      </c>
      <c r="E216" s="407" t="str">
        <f ca="1">_xlfn.IFNA(VLOOKUP(F214,BEGIN_CURRENT_HEALTH:END_CURRENT_HEALTH,CURRENT_COL_ES_count,FALSE),"")</f>
        <v/>
      </c>
      <c r="F216" s="408" t="str">
        <f ca="1">_xlfn.IFNA(VLOOKUP(F214,BEGIN_CURRENT_HEALTH:END_CURRENT_HEALTH,CURRENT_COL_ES,FALSE),"")</f>
        <v/>
      </c>
      <c r="G216" s="468" t="str">
        <f t="shared" ca="1" si="20"/>
        <v/>
      </c>
      <c r="H216" s="408" t="str">
        <f ca="1">_xlfn.IFNA(VLOOKUP(F214,BEGIN_CURRENT_HEALTH:END_CURRENT_HEALTH,CURRENT_COL_ESContrib,FALSE),"")</f>
        <v/>
      </c>
      <c r="I216" s="409" t="str">
        <f ca="1" t="shared" si="21" ref="I216:I218">IFERROR(F216-H216,"")</f>
        <v/>
      </c>
      <c r="J216" s="410" t="str">
        <f ca="1">IF(F216="","",H216*E216)</f>
        <v/>
      </c>
      <c r="K216" s="411"/>
      <c r="L216" s="408" t="str" cm="1">
        <f t="array" ca="1" aca="1" ref="L216">_xlfn.IFNA(VLOOKUP(INDIRECT("L"&amp;ROW()-2)&amp;"_"&amp;$D$12,BEGIN_RENEW_HEALTH:END_RENEW_HEALTH,RENEW_COL_ES,FALSE),"")</f>
        <v/>
      </c>
      <c r="M216" s="412" t="str">
        <f ca="1">IF(E216="","",E216)</f>
        <v/>
      </c>
      <c r="N216" s="413"/>
      <c r="O216" s="414"/>
      <c r="P216" s="415" t="str">
        <f>IFERROR(IF($N214="Keep Contribution Same",H216,IF($N214="Enter Percentages",IF(N216="","",N216*L216),IF($N214="Keep Percentage Same",IF(G216="","",G216*L216),IF($N214="Enter Dollar Amount",IF(O216="","",O216),"")))),"")</f>
        <v/>
      </c>
      <c r="Q216" s="408" t="str">
        <f ca="1">IFERROR(L216-P216,"")</f>
        <v/>
      </c>
      <c r="R216" s="410" t="str">
        <f>IFERROR(IF(P216="","",M216*P216),"")</f>
        <v/>
      </c>
      <c r="S216" s="411"/>
      <c r="T216" s="408" t="str" cm="1">
        <f t="array" ca="1" aca="1" ref="T216">_xlfn.IFNA(VLOOKUP(INDIRECT("T"&amp;ROW()-2)&amp;"_"&amp;$D$12,BEGIN_RENEW_HEALTH:END_RENEW_HEALTH,RENEW_COL_ES,FALSE),"")</f>
        <v/>
      </c>
      <c r="U216" s="412" t="str">
        <f ca="1" t="shared" si="22" ref="U216:U218">IF(E216="","",E216)</f>
        <v/>
      </c>
      <c r="V216" s="413"/>
      <c r="W216" s="414"/>
      <c r="X216" s="415" t="str">
        <f>IFERROR(IF($V214="Keep Contribution Same",H216,IF($V214="Enter Percentages",IF(V216="","",V216*T216),IF($V214="Keep Percentage Same",IF(G216="","",G216*T216),IF($V214="Enter Dollar Amount",IF(W216="","",W216),"")))),"")</f>
        <v/>
      </c>
      <c r="Y216" s="408" t="str">
        <f ca="1" t="shared" si="23" ref="Y216:Y218">IFERROR(T216-X216,"")</f>
        <v/>
      </c>
      <c r="Z216" s="410" t="str">
        <f t="shared" si="24" ref="Z216:Z218">IFERROR(IF(X216="","",U216*X216),"")</f>
        <v/>
      </c>
    </row>
    <row r="217" spans="1:26" ht="18.75" customHeight="1">
      <c r="A217" s="140"/>
      <c r="B217" s="140"/>
      <c r="D217" s="172" t="s">
        <v>240</v>
      </c>
      <c r="E217" s="407" t="str">
        <f ca="1">_xlfn.IFNA(VLOOKUP(F214,BEGIN_CURRENT_HEALTH:END_CURRENT_HEALTH,CURRENT_COL_EC_count,FALSE),"")</f>
        <v/>
      </c>
      <c r="F217" s="408" t="str">
        <f ca="1">_xlfn.IFNA(VLOOKUP(F214,BEGIN_CURRENT_HEALTH:END_CURRENT_HEALTH,CURRENT_COL_EC,FALSE),"")</f>
        <v/>
      </c>
      <c r="G217" s="468" t="str">
        <f t="shared" ca="1" si="20"/>
        <v/>
      </c>
      <c r="H217" s="408" t="str">
        <f ca="1">_xlfn.IFNA(VLOOKUP(F214,BEGIN_CURRENT_HEALTH:END_CURRENT_HEALTH,CURRENT_COL_ECContrib,FALSE),"")</f>
        <v/>
      </c>
      <c r="I217" s="409" t="str">
        <f t="shared" ca="1" si="21"/>
        <v/>
      </c>
      <c r="J217" s="410" t="str">
        <f ca="1">IF(F217="","",H217*E217)</f>
        <v/>
      </c>
      <c r="K217" s="411"/>
      <c r="L217" s="408" t="str" cm="1">
        <f t="array" ca="1" aca="1" ref="L217">_xlfn.IFNA(VLOOKUP(INDIRECT("L"&amp;ROW()-3)&amp;"_"&amp;$D$12,BEGIN_RENEW_HEALTH:END_RENEW_HEALTH,RENEW_COL_EC,FALSE),"")</f>
        <v/>
      </c>
      <c r="M217" s="412" t="str">
        <f ca="1">IF(E217="","",E217)</f>
        <v/>
      </c>
      <c r="N217" s="413"/>
      <c r="O217" s="414"/>
      <c r="P217" s="415" t="str">
        <f>IFERROR(IF($N214="Keep Contribution Same",H217,IF($N214="Enter Percentages",IF(N217="","",N217*L217),IF($N214="Keep Percentage Same",IF(G217="","",G217*L217),IF($N214="Enter Dollar Amount",IF(O217="","",O217),"")))),"")</f>
        <v/>
      </c>
      <c r="Q217" s="408" t="str">
        <f ca="1">IFERROR(L217-P217,"")</f>
        <v/>
      </c>
      <c r="R217" s="410" t="str">
        <f>IFERROR(IF(P217="","",M217*P217),"")</f>
        <v/>
      </c>
      <c r="S217" s="411"/>
      <c r="T217" s="408" t="str" cm="1">
        <f t="array" ca="1" aca="1" ref="T217">_xlfn.IFNA(VLOOKUP(INDIRECT("T"&amp;ROW()-3)&amp;"_"&amp;$D$12,BEGIN_RENEW_HEALTH:END_RENEW_HEALTH,RENEW_COL_EC,FALSE),"")</f>
        <v/>
      </c>
      <c r="U217" s="412" t="str">
        <f t="shared" ca="1" si="22"/>
        <v/>
      </c>
      <c r="V217" s="413"/>
      <c r="W217" s="414"/>
      <c r="X217" s="415" t="str">
        <f>IFERROR(IF($V214="Keep Contribution Same",H217,IF($V214="Enter Percentages",IF(V217="","",V217*T217),IF($V214="Keep Percentage Same",IF(G217="","",G217*T217),IF($V214="Enter Dollar Amount",IF(W217="","",W217),"")))),"")</f>
        <v/>
      </c>
      <c r="Y217" s="408" t="str">
        <f t="shared" ca="1" si="23"/>
        <v/>
      </c>
      <c r="Z217" s="410" t="str">
        <f t="shared" si="24"/>
        <v/>
      </c>
    </row>
    <row r="218" spans="1:26" ht="18.75" customHeight="1" thickBot="1">
      <c r="A218" s="140"/>
      <c r="B218" s="140"/>
      <c r="D218" s="174" t="s">
        <v>241</v>
      </c>
      <c r="E218" s="416" t="str">
        <f ca="1">_xlfn.IFNA(VLOOKUP(F214,BEGIN_CURRENT_HEALTH:END_CURRENT_HEALTH,CURRENT_COL_FAM_count,FALSE),"")</f>
        <v/>
      </c>
      <c r="F218" s="417" t="str">
        <f ca="1">_xlfn.IFNA(VLOOKUP(F214,BEGIN_CURRENT_HEALTH:END_CURRENT_HEALTH,CURRENT_COL_FAM,FALSE),"")</f>
        <v/>
      </c>
      <c r="G218" s="469" t="str">
        <f t="shared" ca="1" si="20"/>
        <v/>
      </c>
      <c r="H218" s="417" t="str">
        <f ca="1">_xlfn.IFNA(VLOOKUP(F214,BEGIN_CURRENT_HEALTH:END_CURRENT_HEALTH,CURRENT_COL_FAMContrib,FALSE),"")</f>
        <v/>
      </c>
      <c r="I218" s="418" t="str">
        <f t="shared" ca="1" si="21"/>
        <v/>
      </c>
      <c r="J218" s="419" t="str">
        <f ca="1">IF(F218="","",H218*E218)</f>
        <v/>
      </c>
      <c r="K218" s="411"/>
      <c r="L218" s="417" t="str" cm="1">
        <f t="array" ca="1" aca="1" ref="L218">_xlfn.IFNA(VLOOKUP(INDIRECT("L"&amp;ROW()-4)&amp;"_"&amp;$D$12,BEGIN_RENEW_HEALTH:END_RENEW_HEALTH,RENEW_COL_FAM,FALSE),"")</f>
        <v/>
      </c>
      <c r="M218" s="423" t="str">
        <f ca="1">IF(E218="","",E218)</f>
        <v/>
      </c>
      <c r="N218" s="420"/>
      <c r="O218" s="421"/>
      <c r="P218" s="422" t="str">
        <f>IFERROR(IF($N214="Keep Contribution Same",H218,IF($N214="Enter Percentages",IF(N218="","",N218*L218),IF($N214="Keep Percentage Same",IF(G218="","",G218*L218),IF($N214="Enter Dollar Amount",IF(O218="","",O218),"")))),"")</f>
        <v/>
      </c>
      <c r="Q218" s="417" t="str">
        <f ca="1">IFERROR(L218-P218,"")</f>
        <v/>
      </c>
      <c r="R218" s="419" t="str">
        <f>IFERROR(IF(P218="","",M218*P218),"")</f>
        <v/>
      </c>
      <c r="S218" s="411"/>
      <c r="T218" s="417" t="str" cm="1">
        <f t="array" ca="1" aca="1" ref="T218">_xlfn.IFNA(VLOOKUP(INDIRECT("T"&amp;ROW()-4)&amp;"_"&amp;$D$12,BEGIN_RENEW_HEALTH:END_RENEW_HEALTH,RENEW_COL_FAM,FALSE),"")</f>
        <v/>
      </c>
      <c r="U218" s="423" t="str">
        <f t="shared" ca="1" si="22"/>
        <v/>
      </c>
      <c r="V218" s="420"/>
      <c r="W218" s="421"/>
      <c r="X218" s="422" t="str">
        <f>IFERROR(IF($V214="Keep Contribution Same",H218,IF($V214="Enter Percentages",IF(V218="","",V218*T218),IF($V214="Keep Percentage Same",IF(G218="","",G218*T218),IF($V214="Enter Dollar Amount",IF(W218="","",W218),"")))),"")</f>
        <v/>
      </c>
      <c r="Y218" s="417" t="str">
        <f t="shared" ca="1" si="23"/>
        <v/>
      </c>
      <c r="Z218" s="419" t="str">
        <f t="shared" si="24"/>
        <v/>
      </c>
    </row>
    <row r="219" spans="1:26" ht="18.75" customHeight="1" thickTop="1">
      <c r="A219" s="140"/>
      <c r="B219" s="140"/>
      <c r="D219" s="175" t="s">
        <v>242</v>
      </c>
      <c r="E219" s="424"/>
      <c r="F219" s="447" t="str">
        <f ca="1">IFERROR((F215*E215)+(F216*E216)+(F217*E217)+(F218*E218),"")</f>
        <v/>
      </c>
      <c r="G219" s="426"/>
      <c r="H219" s="427"/>
      <c r="I219" s="428"/>
      <c r="J219" s="429" t="str">
        <f ca="1">IFERROR(IF(J215="","",SUM(J215:J218)),0)</f>
        <v/>
      </c>
      <c r="K219" s="1"/>
      <c r="L219" s="430" t="str">
        <f ca="1">IFERROR((M215*L215)+(M216*L216)+(M217*L217)+(M218*L218),"")</f>
        <v/>
      </c>
      <c r="M219" s="427"/>
      <c r="N219" s="426"/>
      <c r="O219" s="427"/>
      <c r="P219" s="431"/>
      <c r="Q219" s="432"/>
      <c r="R219" s="429" t="str">
        <f>IFERROR(IF(R215="","",SUM(R215:R218)),0)</f>
        <v/>
      </c>
      <c r="T219" s="430" t="str">
        <f ca="1">IFERROR((U215*T215)+(U216*T216)+(U217*T217)+(U218*T218),"")</f>
        <v/>
      </c>
      <c r="U219" s="427"/>
      <c r="V219" s="426"/>
      <c r="W219" s="427"/>
      <c r="X219" s="431"/>
      <c r="Y219" s="432"/>
      <c r="Z219" s="429" t="str">
        <f>IFERROR(IF(Z215="","",SUM(Z215:Z218)),0)</f>
        <v/>
      </c>
    </row>
    <row r="220" spans="1:26" ht="18.75" customHeight="1">
      <c r="A220" s="140"/>
      <c r="B220" s="140"/>
      <c r="D220" s="177" t="s">
        <v>243</v>
      </c>
      <c r="E220" s="433"/>
      <c r="F220" s="448" t="str">
        <f ca="1">IFERROR(F219*12,"")</f>
        <v/>
      </c>
      <c r="G220" s="435"/>
      <c r="H220" s="436"/>
      <c r="I220" s="432"/>
      <c r="J220" s="437" t="str">
        <f ca="1">IF(J219="","",J219*12)</f>
        <v/>
      </c>
      <c r="K220" s="1"/>
      <c r="L220" s="438" t="str">
        <f ca="1">IFERROR(L219*12,"")</f>
        <v/>
      </c>
      <c r="M220" s="436"/>
      <c r="N220" s="435"/>
      <c r="O220" s="436"/>
      <c r="P220" s="432"/>
      <c r="Q220" s="432"/>
      <c r="R220" s="437" t="str">
        <f>IF(R219="","",R219*12)</f>
        <v/>
      </c>
      <c r="T220" s="438" t="str">
        <f ca="1">IFERROR(T219*12,"")</f>
        <v/>
      </c>
      <c r="U220" s="436"/>
      <c r="V220" s="435"/>
      <c r="W220" s="436"/>
      <c r="X220" s="432"/>
      <c r="Y220" s="432"/>
      <c r="Z220" s="437" t="str">
        <f>IF(Z219="","",Z219*12)</f>
        <v/>
      </c>
    </row>
    <row r="221" spans="1:26" ht="18" customHeight="1">
      <c r="A221" s="140"/>
      <c r="B221" s="140"/>
      <c r="D221" s="177" t="s">
        <v>244</v>
      </c>
      <c r="E221" s="433"/>
      <c r="F221" s="436"/>
      <c r="G221" s="435"/>
      <c r="H221" s="436"/>
      <c r="I221" s="432"/>
      <c r="J221" s="437"/>
      <c r="K221" s="1"/>
      <c r="L221" s="434" t="str">
        <f ca="1">IFERROR(L220-F220,"")</f>
        <v/>
      </c>
      <c r="M221" s="436"/>
      <c r="N221" s="435"/>
      <c r="O221" s="436"/>
      <c r="P221" s="432"/>
      <c r="Q221" s="432"/>
      <c r="R221" s="437" t="str">
        <f ca="1">IFERROR(IF(J220="","",R220-J220),0)</f>
        <v/>
      </c>
      <c r="T221" s="434" t="str">
        <f ca="1">IFERROR(T220-F220,"")</f>
        <v/>
      </c>
      <c r="U221" s="436"/>
      <c r="V221" s="435"/>
      <c r="W221" s="436"/>
      <c r="X221" s="432"/>
      <c r="Y221" s="432"/>
      <c r="Z221" s="437" t="str">
        <f>IFERROR(IF(R220="","",Z220-R220),0)</f>
        <v/>
      </c>
    </row>
    <row r="222" spans="1:26" ht="18" customHeight="1" thickBot="1">
      <c r="A222" s="140"/>
      <c r="B222" s="140"/>
      <c r="D222" s="180" t="s">
        <v>245</v>
      </c>
      <c r="E222" s="439"/>
      <c r="F222" s="440"/>
      <c r="G222" s="441"/>
      <c r="H222" s="440"/>
      <c r="I222" s="442"/>
      <c r="J222" s="443"/>
      <c r="K222" s="1"/>
      <c r="L222" s="444" t="str">
        <f ca="1">IFERROR(L220/F220-1,"")</f>
        <v/>
      </c>
      <c r="M222" s="440"/>
      <c r="N222" s="441"/>
      <c r="O222" s="440"/>
      <c r="P222" s="445"/>
      <c r="Q222" s="445"/>
      <c r="R222" s="446" t="str">
        <f ca="1">IFERROR(IF(J220="","",(R220/J220)-1),0)</f>
        <v/>
      </c>
      <c r="T222" s="444" t="str">
        <f ca="1">IFERROR(T220/F220-1,"")</f>
        <v/>
      </c>
      <c r="U222" s="440"/>
      <c r="V222" s="441"/>
      <c r="W222" s="440"/>
      <c r="X222" s="445"/>
      <c r="Y222" s="445"/>
      <c r="Z222" s="446" t="str">
        <f>IFERROR(IF(R220="","",(Z220/R220)-1),0)</f>
        <v/>
      </c>
    </row>
    <row r="223" spans="4:26" ht="18" customHeight="1">
      <c r="D223" s="181" t="s">
        <v>246</v>
      </c>
      <c r="E223" s="182"/>
      <c r="F223" s="182"/>
      <c r="G223" s="182"/>
      <c r="H223" s="182"/>
      <c r="I223" s="182"/>
      <c r="J223" s="183"/>
      <c r="K223"/>
      <c r="L223" s="184"/>
      <c r="M223" s="182"/>
      <c r="N223" s="182"/>
      <c r="O223" s="182"/>
      <c r="P223" s="182"/>
      <c r="Q223" s="182"/>
      <c r="R223" s="183"/>
      <c r="T223" s="184"/>
      <c r="U223" s="182"/>
      <c r="V223" s="182"/>
      <c r="W223" s="182"/>
      <c r="X223" s="182"/>
      <c r="Y223" s="182"/>
      <c r="Z223" s="183"/>
    </row>
    <row r="224" spans="4:26" ht="18" customHeight="1" hidden="1">
      <c r="D224" s="185" t="s">
        <v>247</v>
      </c>
      <c r="E224" s="186"/>
      <c r="F224" s="186"/>
      <c r="G224" s="186"/>
      <c r="H224" s="186"/>
      <c r="I224" s="186"/>
      <c r="J224" s="187"/>
      <c r="K224"/>
      <c r="L224" s="188"/>
      <c r="M224" s="186"/>
      <c r="N224" s="186"/>
      <c r="O224" s="186"/>
      <c r="P224" s="186"/>
      <c r="Q224" s="186"/>
      <c r="R224" s="187"/>
      <c r="T224" s="188"/>
      <c r="U224" s="186"/>
      <c r="V224" s="186"/>
      <c r="W224" s="186"/>
      <c r="X224" s="186"/>
      <c r="Y224" s="186"/>
      <c r="Z224" s="187"/>
    </row>
    <row r="225" spans="4:26" ht="18" customHeight="1" hidden="1">
      <c r="D225" s="189" t="s">
        <v>248</v>
      </c>
      <c r="E225" s="190" t="str">
        <f>D214&amp;"_"&amp;D12</f>
        <v>_</v>
      </c>
      <c r="F225" s="191"/>
      <c r="G225" s="191"/>
      <c r="H225" s="191"/>
      <c r="I225" s="190"/>
      <c r="J225" s="192"/>
      <c r="K225"/>
      <c r="L225" s="193" t="str">
        <f ca="1">L214&amp;"_"&amp;D12</f>
        <v>SELECT PLAN_</v>
      </c>
      <c r="M225" s="191"/>
      <c r="N225" s="191"/>
      <c r="O225" s="191"/>
      <c r="P225" s="190"/>
      <c r="Q225" s="191"/>
      <c r="R225" s="192"/>
      <c r="T225" s="193" t="str">
        <f>T214&amp;"_"&amp;D12</f>
        <v>SELECT PLAN_</v>
      </c>
      <c r="U225" s="191"/>
      <c r="V225" s="191"/>
      <c r="W225" s="191"/>
      <c r="X225" s="190"/>
      <c r="Y225" s="191"/>
      <c r="Z225" s="192"/>
    </row>
    <row r="226" spans="4:26" ht="18" customHeight="1" hidden="1">
      <c r="D226" s="189" t="s">
        <v>249</v>
      </c>
      <c r="E226" s="191"/>
      <c r="F226" s="191"/>
      <c r="G226" s="191"/>
      <c r="H226" s="191"/>
      <c r="I226" s="191"/>
      <c r="J226" s="192"/>
      <c r="K226"/>
      <c r="L226" s="189"/>
      <c r="M226" s="191"/>
      <c r="N226" s="191"/>
      <c r="O226" s="191"/>
      <c r="P226" s="191"/>
      <c r="Q226" s="191"/>
      <c r="R226" s="192"/>
      <c r="T226" s="189"/>
      <c r="U226" s="191"/>
      <c r="V226" s="191"/>
      <c r="W226" s="191"/>
      <c r="X226" s="191"/>
      <c r="Y226" s="191"/>
      <c r="Z226" s="192"/>
    </row>
    <row r="227" spans="4:26" ht="18" customHeight="1" hidden="1">
      <c r="D227" s="194" t="s">
        <v>250</v>
      </c>
      <c r="E227" s="195"/>
      <c r="F227" s="195"/>
      <c r="G227" s="195"/>
      <c r="H227" s="195"/>
      <c r="I227" s="195"/>
      <c r="J227" s="196"/>
      <c r="K227"/>
      <c r="L227" s="197"/>
      <c r="M227" s="195"/>
      <c r="N227" s="195"/>
      <c r="O227" s="195"/>
      <c r="P227" s="195"/>
      <c r="Q227" s="195"/>
      <c r="R227" s="196"/>
      <c r="T227" s="197"/>
      <c r="U227" s="195"/>
      <c r="V227" s="195"/>
      <c r="W227" s="195"/>
      <c r="X227" s="195"/>
      <c r="Y227" s="195"/>
      <c r="Z227" s="196"/>
    </row>
    <row r="228" spans="4:26" ht="18" customHeight="1" hidden="1">
      <c r="D228" s="198" t="s">
        <v>251</v>
      </c>
      <c r="E228" s="199" t="str">
        <f>_xlfn.XLOOKUP(E225,CurrentPlans!B:B,CurrentPlans!X:X,"NA",0,1)</f>
        <v>NA</v>
      </c>
      <c r="F228" s="200"/>
      <c r="G228" s="200"/>
      <c r="H228" s="200"/>
      <c r="I228" s="199"/>
      <c r="J228" s="201"/>
      <c r="K228"/>
      <c r="L228" s="202" t="str">
        <f ca="1">_xlfn.XLOOKUP(L225,RenewalPlans!B:B,RenewalPlans!AA:AA,"NA",0,1)</f>
        <v>NA</v>
      </c>
      <c r="M228" s="200"/>
      <c r="N228" s="200"/>
      <c r="O228" s="200"/>
      <c r="P228" s="199"/>
      <c r="Q228" s="200"/>
      <c r="R228" s="201"/>
      <c r="T228" s="202" t="str">
        <f>_xlfn.XLOOKUP(T225,RenewalPlans!B:B,RenewalPlans!AA:AA,"NA",0,1)</f>
        <v>NA</v>
      </c>
      <c r="U228" s="200"/>
      <c r="V228" s="200"/>
      <c r="W228" s="200"/>
      <c r="X228" s="199"/>
      <c r="Y228" s="200"/>
      <c r="Z228" s="201"/>
    </row>
    <row r="229" spans="4:26" ht="18" customHeight="1" hidden="1">
      <c r="D229" s="198" t="s">
        <v>252</v>
      </c>
      <c r="E229" s="199" t="str">
        <f>_xlfn.XLOOKUP(E225,CurrentPlans!B:B,CurrentPlans!Y:Y,"NA",0,1)</f>
        <v>NA</v>
      </c>
      <c r="F229" s="200"/>
      <c r="G229" s="200"/>
      <c r="H229" s="200"/>
      <c r="I229" s="199"/>
      <c r="J229" s="201"/>
      <c r="K229"/>
      <c r="L229" s="202" t="str">
        <f ca="1">_xlfn.XLOOKUP(L225,RenewalPlans!B:B,RenewalPlans!AB:AB,"NA",0,1)</f>
        <v>NA</v>
      </c>
      <c r="M229" s="200"/>
      <c r="N229" s="200"/>
      <c r="O229" s="200"/>
      <c r="P229" s="199"/>
      <c r="Q229" s="200"/>
      <c r="R229" s="201"/>
      <c r="T229" s="202" t="str">
        <f>_xlfn.XLOOKUP(T225,RenewalPlans!B:B,RenewalPlans!AB:AB,"NA",0,1)</f>
        <v>NA</v>
      </c>
      <c r="U229" s="200"/>
      <c r="V229" s="200"/>
      <c r="W229" s="200"/>
      <c r="X229" s="199"/>
      <c r="Y229" s="200"/>
      <c r="Z229" s="201"/>
    </row>
    <row r="230" spans="4:26" ht="18" customHeight="1" hidden="1">
      <c r="D230" s="120" t="s">
        <v>253</v>
      </c>
      <c r="E230" s="121" t="str">
        <f>_xlfn.XLOOKUP(E225,CurrentPlans!B:B,CurrentPlans!W:W,"NA",0,1)</f>
        <v>NA</v>
      </c>
      <c r="F230" s="122"/>
      <c r="G230" s="122"/>
      <c r="H230" s="122"/>
      <c r="I230" s="121"/>
      <c r="J230" s="123"/>
      <c r="K230"/>
      <c r="L230" s="124" t="str">
        <f ca="1">_xlfn.XLOOKUP(L225,RenewalPlans!B:B,RenewalPlans!Z:Z,"NA",0,1)</f>
        <v>NA</v>
      </c>
      <c r="M230" s="122"/>
      <c r="N230" s="122"/>
      <c r="O230" s="122"/>
      <c r="P230" s="121"/>
      <c r="Q230" s="122"/>
      <c r="R230" s="123"/>
      <c r="T230" s="124" t="str">
        <f>_xlfn.XLOOKUP(T225,RenewalPlans!B:B,RenewalPlans!Z:Z,"NA",0,1)</f>
        <v>NA</v>
      </c>
      <c r="U230" s="122"/>
      <c r="V230" s="122"/>
      <c r="W230" s="122"/>
      <c r="X230" s="121"/>
      <c r="Y230" s="122"/>
      <c r="Z230" s="123"/>
    </row>
    <row r="231" spans="4:26" ht="18" customHeight="1" hidden="1">
      <c r="D231" s="203" t="s">
        <v>254</v>
      </c>
      <c r="E231" s="204"/>
      <c r="F231" s="205"/>
      <c r="G231" s="205"/>
      <c r="H231" s="205"/>
      <c r="I231" s="204"/>
      <c r="J231" s="206"/>
      <c r="K231"/>
      <c r="L231" s="207"/>
      <c r="M231" s="205"/>
      <c r="N231" s="205"/>
      <c r="O231" s="205"/>
      <c r="P231" s="204"/>
      <c r="Q231" s="205"/>
      <c r="R231" s="206"/>
      <c r="T231" s="207"/>
      <c r="U231" s="205"/>
      <c r="V231" s="205"/>
      <c r="W231" s="205"/>
      <c r="X231" s="204"/>
      <c r="Y231" s="205"/>
      <c r="Z231" s="206"/>
    </row>
    <row r="232" spans="4:26" ht="18" customHeight="1" hidden="1">
      <c r="D232" s="125" t="s">
        <v>255</v>
      </c>
      <c r="E232" s="126" t="str">
        <f>_xlfn.XLOOKUP(E225,CurrentPlans!B:B,CurrentPlans!Z:Z,"NA",0,1)</f>
        <v>NA</v>
      </c>
      <c r="F232" s="127"/>
      <c r="G232" s="127"/>
      <c r="H232" s="127"/>
      <c r="I232" s="126"/>
      <c r="J232" s="128"/>
      <c r="K232"/>
      <c r="L232" s="129" t="str">
        <f ca="1">_xlfn.XLOOKUP(L225,RenewalPlans!B:B,RenewalPlans!AC:AC,"NA",0,1)</f>
        <v>NA</v>
      </c>
      <c r="M232" s="127"/>
      <c r="N232" s="127"/>
      <c r="O232" s="127"/>
      <c r="P232" s="126"/>
      <c r="Q232" s="127"/>
      <c r="R232" s="128"/>
      <c r="T232" s="129" t="str">
        <f>_xlfn.XLOOKUP(T225,RenewalPlans!B:B,RenewalPlans!AC:AC,"NA",0,1)</f>
        <v>NA</v>
      </c>
      <c r="U232" s="127"/>
      <c r="V232" s="127"/>
      <c r="W232" s="127"/>
      <c r="X232" s="126"/>
      <c r="Y232" s="127"/>
      <c r="Z232" s="128"/>
    </row>
    <row r="233" spans="4:26" ht="18" customHeight="1" hidden="1">
      <c r="D233" s="198" t="s">
        <v>256</v>
      </c>
      <c r="E233" s="208" t="str">
        <f>_xlfn.XLOOKUP(E225,CurrentPlans!B:B,CurrentPlans!AA:AA,"NA",0,1)</f>
        <v>NA</v>
      </c>
      <c r="F233" s="200"/>
      <c r="G233" s="200"/>
      <c r="H233" s="200"/>
      <c r="I233" s="208"/>
      <c r="J233" s="201"/>
      <c r="K233"/>
      <c r="L233" s="209" t="str">
        <f ca="1">_xlfn.XLOOKUP(L225,RenewalPlans!B:B,RenewalPlans!AD:AD,"NA",0,1)</f>
        <v>NA</v>
      </c>
      <c r="M233" s="200"/>
      <c r="N233" s="200"/>
      <c r="O233" s="200"/>
      <c r="P233" s="208"/>
      <c r="Q233" s="200"/>
      <c r="R233" s="201"/>
      <c r="T233" s="209" t="str">
        <f>_xlfn.XLOOKUP(T225,RenewalPlans!B:B,RenewalPlans!AD:AD,"NA",0,1)</f>
        <v>NA</v>
      </c>
      <c r="U233" s="200"/>
      <c r="V233" s="200"/>
      <c r="W233" s="200"/>
      <c r="X233" s="208"/>
      <c r="Y233" s="200"/>
      <c r="Z233" s="201"/>
    </row>
    <row r="234" spans="4:26" ht="18" customHeight="1" hidden="1">
      <c r="D234" s="203" t="s">
        <v>257</v>
      </c>
      <c r="E234" s="204"/>
      <c r="F234" s="205"/>
      <c r="G234" s="205"/>
      <c r="H234" s="205"/>
      <c r="I234" s="204"/>
      <c r="J234" s="206"/>
      <c r="K234"/>
      <c r="L234" s="207"/>
      <c r="M234" s="205"/>
      <c r="N234" s="205"/>
      <c r="O234" s="205"/>
      <c r="P234" s="204"/>
      <c r="Q234" s="205"/>
      <c r="R234" s="206"/>
      <c r="T234" s="207"/>
      <c r="U234" s="205"/>
      <c r="V234" s="205"/>
      <c r="W234" s="205"/>
      <c r="X234" s="204"/>
      <c r="Y234" s="205"/>
      <c r="Z234" s="206"/>
    </row>
    <row r="235" spans="4:26" ht="18" customHeight="1" hidden="1">
      <c r="D235" s="198" t="s">
        <v>258</v>
      </c>
      <c r="E235" s="208" t="str">
        <f>_xlfn.XLOOKUP(E225,CurrentPlans!B:B,CurrentPlans!AB:AB,"NA",0,1)</f>
        <v>NA</v>
      </c>
      <c r="F235" s="200"/>
      <c r="G235" s="200"/>
      <c r="H235" s="200"/>
      <c r="I235" s="208"/>
      <c r="J235" s="201"/>
      <c r="K235"/>
      <c r="L235" s="209" t="str">
        <f ca="1">_xlfn.XLOOKUP(L225,RenewalPlans!B:B,RenewalPlans!AE:AE,"NA",0,1)</f>
        <v>NA</v>
      </c>
      <c r="M235" s="200"/>
      <c r="N235" s="200"/>
      <c r="O235" s="200"/>
      <c r="P235" s="208"/>
      <c r="Q235" s="200"/>
      <c r="R235" s="201"/>
      <c r="T235" s="209" t="str">
        <f>_xlfn.XLOOKUP(T225,RenewalPlans!B:B,RenewalPlans!AE:AE,"NA",0,1)</f>
        <v>NA</v>
      </c>
      <c r="U235" s="200"/>
      <c r="V235" s="200"/>
      <c r="W235" s="200"/>
      <c r="X235" s="208"/>
      <c r="Y235" s="200"/>
      <c r="Z235" s="201"/>
    </row>
    <row r="236" spans="4:26" ht="18" customHeight="1" hidden="1">
      <c r="D236" s="198" t="s">
        <v>259</v>
      </c>
      <c r="E236" s="208" t="str">
        <f>_xlfn.XLOOKUP(E225,CurrentPlans!B:B,CurrentPlans!AC:AC,"NA",0,1)</f>
        <v>NA</v>
      </c>
      <c r="F236" s="200"/>
      <c r="G236" s="200"/>
      <c r="H236" s="200"/>
      <c r="I236" s="208"/>
      <c r="J236" s="201"/>
      <c r="K236"/>
      <c r="L236" s="209" t="str">
        <f ca="1">_xlfn.XLOOKUP(L225,RenewalPlans!B:B,RenewalPlans!AF:AF,"NA",0,1)</f>
        <v>NA</v>
      </c>
      <c r="M236" s="200"/>
      <c r="N236" s="200"/>
      <c r="O236" s="200"/>
      <c r="P236" s="208"/>
      <c r="Q236" s="200"/>
      <c r="R236" s="201"/>
      <c r="T236" s="209" t="str">
        <f>_xlfn.XLOOKUP(T225,RenewalPlans!B:B,RenewalPlans!AF:AF,"NA",0,1)</f>
        <v>NA</v>
      </c>
      <c r="U236" s="200"/>
      <c r="V236" s="200"/>
      <c r="W236" s="200"/>
      <c r="X236" s="208"/>
      <c r="Y236" s="200"/>
      <c r="Z236" s="201"/>
    </row>
    <row r="237" spans="4:26" ht="18" customHeight="1" hidden="1">
      <c r="D237" s="210"/>
      <c r="E237" s="211"/>
      <c r="F237" s="211"/>
      <c r="G237" s="211"/>
      <c r="H237" s="211"/>
      <c r="I237" s="211"/>
      <c r="J237" s="212"/>
      <c r="K237"/>
      <c r="L237" s="210"/>
      <c r="M237" s="211"/>
      <c r="N237" s="211"/>
      <c r="O237" s="211"/>
      <c r="P237" s="211"/>
      <c r="Q237" s="211"/>
      <c r="R237" s="212"/>
      <c r="T237" s="210"/>
      <c r="U237" s="211"/>
      <c r="V237" s="211"/>
      <c r="W237" s="211"/>
      <c r="X237" s="211"/>
      <c r="Y237" s="211"/>
      <c r="Z237" s="212"/>
    </row>
    <row r="238" spans="4:26" ht="18" customHeight="1" hidden="1">
      <c r="D238" s="185" t="s">
        <v>260</v>
      </c>
      <c r="E238" s="186"/>
      <c r="F238" s="186"/>
      <c r="G238" s="186"/>
      <c r="H238" s="186"/>
      <c r="I238" s="186"/>
      <c r="J238" s="187"/>
      <c r="K238"/>
      <c r="L238" s="188"/>
      <c r="M238" s="186"/>
      <c r="N238" s="186"/>
      <c r="O238" s="186"/>
      <c r="P238" s="186"/>
      <c r="Q238" s="186"/>
      <c r="R238" s="187"/>
      <c r="T238" s="188"/>
      <c r="U238" s="186"/>
      <c r="V238" s="186"/>
      <c r="W238" s="186"/>
      <c r="X238" s="186"/>
      <c r="Y238" s="186"/>
      <c r="Z238" s="187"/>
    </row>
    <row r="239" spans="4:26" ht="18" customHeight="1" hidden="1">
      <c r="D239" s="213" t="s">
        <v>261</v>
      </c>
      <c r="E239" s="130" t="str">
        <f>_xlfn.XLOOKUP(E225,CurrentPlans!B:B,CurrentPlans!AJ:AJ,"NA",0,1)</f>
        <v>NA</v>
      </c>
      <c r="F239" s="214"/>
      <c r="G239" s="214"/>
      <c r="H239" s="214"/>
      <c r="I239" s="130"/>
      <c r="J239" s="215"/>
      <c r="K239"/>
      <c r="L239" s="131" t="str">
        <f ca="1">_xlfn.XLOOKUP(L225,RenewalPlans!B:B,RenewalPlans!AM:AM,"NA",0,1)</f>
        <v>NA</v>
      </c>
      <c r="M239" s="214"/>
      <c r="N239" s="214"/>
      <c r="O239" s="214"/>
      <c r="P239" s="130"/>
      <c r="Q239" s="214"/>
      <c r="R239" s="215"/>
      <c r="T239" s="131" t="str">
        <f>_xlfn.XLOOKUP(T225,RenewalPlans!B:B,RenewalPlans!AM:AM,"NA",0,1)</f>
        <v>NA</v>
      </c>
      <c r="U239" s="214"/>
      <c r="V239" s="214"/>
      <c r="W239" s="214"/>
      <c r="X239" s="130"/>
      <c r="Y239" s="214"/>
      <c r="Z239" s="215"/>
    </row>
    <row r="240" spans="4:26" ht="18" customHeight="1" hidden="1">
      <c r="D240" s="198" t="s">
        <v>262</v>
      </c>
      <c r="E240" s="130" t="str">
        <f>_xlfn.XLOOKUP(E225,CurrentPlans!B:B,CurrentPlans!AM:AM,"NA",0,1)</f>
        <v>NA</v>
      </c>
      <c r="F240" s="200"/>
      <c r="G240" s="200"/>
      <c r="H240" s="200"/>
      <c r="I240" s="130"/>
      <c r="J240" s="201"/>
      <c r="K240"/>
      <c r="L240" s="131" t="str">
        <f ca="1">_xlfn.XLOOKUP(L225,RenewalPlans!B:B,RenewalPlans!AP:AP,"NA",0,1)</f>
        <v>NA</v>
      </c>
      <c r="M240" s="200"/>
      <c r="N240" s="200"/>
      <c r="O240" s="200"/>
      <c r="P240" s="130"/>
      <c r="Q240" s="200"/>
      <c r="R240" s="201"/>
      <c r="T240" s="131" t="str">
        <f>_xlfn.XLOOKUP(T225,RenewalPlans!B:B,RenewalPlans!AP:AP,"NA",0,1)</f>
        <v>NA</v>
      </c>
      <c r="U240" s="200"/>
      <c r="V240" s="200"/>
      <c r="W240" s="200"/>
      <c r="X240" s="130"/>
      <c r="Y240" s="200"/>
      <c r="Z240" s="201"/>
    </row>
    <row r="241" spans="4:26" ht="18" customHeight="1" hidden="1">
      <c r="D241" s="198" t="s">
        <v>263</v>
      </c>
      <c r="E241" s="130" t="str">
        <f>_xlfn.XLOOKUP(E225,CurrentPlans!B:B,CurrentPlans!AI:AI,"NA",0,1)</f>
        <v>NA</v>
      </c>
      <c r="F241" s="200"/>
      <c r="G241" s="200"/>
      <c r="H241" s="200"/>
      <c r="I241" s="130"/>
      <c r="J241" s="201"/>
      <c r="K241"/>
      <c r="L241" s="131" t="str">
        <f ca="1">_xlfn.XLOOKUP(L225,RenewalPlans!B:B,RenewalPlans!AL:AL,"NA",0,1)</f>
        <v>NA</v>
      </c>
      <c r="M241" s="200"/>
      <c r="N241" s="200"/>
      <c r="O241" s="200"/>
      <c r="P241" s="130"/>
      <c r="Q241" s="200"/>
      <c r="R241" s="201"/>
      <c r="T241" s="131" t="str">
        <f>_xlfn.XLOOKUP(T225,RenewalPlans!B:B,RenewalPlans!AL:AL,"NA",0,1)</f>
        <v>NA</v>
      </c>
      <c r="U241" s="200"/>
      <c r="V241" s="200"/>
      <c r="W241" s="200"/>
      <c r="X241" s="130"/>
      <c r="Y241" s="200"/>
      <c r="Z241" s="201"/>
    </row>
    <row r="242" spans="4:26" ht="18" customHeight="1" hidden="1">
      <c r="D242" s="198" t="s">
        <v>264</v>
      </c>
      <c r="E242" s="208" t="str">
        <f>_xlfn.XLOOKUP(E225,CurrentPlans!B:B,CurrentPlans!AN:AN,"NA",0,1)</f>
        <v>NA</v>
      </c>
      <c r="F242" s="200"/>
      <c r="G242" s="200"/>
      <c r="H242" s="200"/>
      <c r="I242" s="208"/>
      <c r="J242" s="201"/>
      <c r="K242"/>
      <c r="L242" s="209" t="str">
        <f ca="1">_xlfn.XLOOKUP(L225,RenewalPlans!B:B,RenewalPlans!AQ:AQ,"NA",0,1)</f>
        <v>NA</v>
      </c>
      <c r="M242" s="200"/>
      <c r="N242" s="200"/>
      <c r="O242" s="200"/>
      <c r="P242" s="208"/>
      <c r="Q242" s="200"/>
      <c r="R242" s="201"/>
      <c r="T242" s="209" t="str">
        <f>_xlfn.XLOOKUP(T225,RenewalPlans!B:B,RenewalPlans!AQ:AQ,"NA",0,1)</f>
        <v>NA</v>
      </c>
      <c r="U242" s="200"/>
      <c r="V242" s="200"/>
      <c r="W242" s="200"/>
      <c r="X242" s="208"/>
      <c r="Y242" s="200"/>
      <c r="Z242" s="201"/>
    </row>
    <row r="243" spans="4:26" ht="18" customHeight="1" hidden="1">
      <c r="D243" s="210"/>
      <c r="E243" s="211"/>
      <c r="F243" s="211"/>
      <c r="G243" s="211"/>
      <c r="H243" s="211"/>
      <c r="I243" s="211"/>
      <c r="J243" s="212"/>
      <c r="K243"/>
      <c r="L243" s="210"/>
      <c r="M243" s="211"/>
      <c r="N243" s="211"/>
      <c r="O243" s="211"/>
      <c r="P243" s="211"/>
      <c r="Q243" s="211"/>
      <c r="R243" s="212"/>
      <c r="T243" s="210"/>
      <c r="U243" s="211"/>
      <c r="V243" s="211"/>
      <c r="W243" s="211"/>
      <c r="X243" s="211"/>
      <c r="Y243" s="211"/>
      <c r="Z243" s="212"/>
    </row>
    <row r="244" spans="4:26" ht="18" customHeight="1" hidden="1">
      <c r="D244" s="185" t="s">
        <v>265</v>
      </c>
      <c r="E244" s="186"/>
      <c r="F244" s="186"/>
      <c r="G244" s="186"/>
      <c r="H244" s="186"/>
      <c r="I244" s="186"/>
      <c r="J244" s="187"/>
      <c r="K244"/>
      <c r="L244" s="188"/>
      <c r="M244" s="186"/>
      <c r="N244" s="186"/>
      <c r="O244" s="186"/>
      <c r="P244" s="186"/>
      <c r="Q244" s="186"/>
      <c r="R244" s="187"/>
      <c r="T244" s="188"/>
      <c r="U244" s="186"/>
      <c r="V244" s="186"/>
      <c r="W244" s="186"/>
      <c r="X244" s="186"/>
      <c r="Y244" s="186"/>
      <c r="Z244" s="187"/>
    </row>
    <row r="245" spans="4:26" ht="18" customHeight="1" hidden="1">
      <c r="D245" s="132" t="s">
        <v>266</v>
      </c>
      <c r="E245" s="133" t="str">
        <f>_xlfn.XLOOKUP(E225,CurrentPlans!B:B,CurrentPlans!AE:AE,"NA",0,1)</f>
        <v>NA</v>
      </c>
      <c r="F245" s="134"/>
      <c r="G245" s="134"/>
      <c r="H245" s="134"/>
      <c r="I245" s="133"/>
      <c r="J245" s="135"/>
      <c r="K245"/>
      <c r="L245" s="136" t="str">
        <f ca="1">_xlfn.XLOOKUP(L225,RenewalPlans!B:B,RenewalPlans!AH:AH,"NA",0,1)</f>
        <v>NA</v>
      </c>
      <c r="M245" s="134"/>
      <c r="N245" s="134"/>
      <c r="O245" s="134"/>
      <c r="P245" s="133"/>
      <c r="Q245" s="134"/>
      <c r="R245" s="135"/>
      <c r="T245" s="136" t="str">
        <f>_xlfn.XLOOKUP(T225,RenewalPlans!B:B,RenewalPlans!AH:AH,"NA",0,1)</f>
        <v>NA</v>
      </c>
      <c r="U245" s="134"/>
      <c r="V245" s="134"/>
      <c r="W245" s="134"/>
      <c r="X245" s="133"/>
      <c r="Y245" s="134"/>
      <c r="Z245" s="135"/>
    </row>
    <row r="246" spans="4:26" ht="18" customHeight="1" hidden="1">
      <c r="D246" s="120" t="s">
        <v>267</v>
      </c>
      <c r="E246" s="130" t="str">
        <f>_xlfn.XLOOKUP(E225,CurrentPlans!B:B,CurrentPlans!AF:AF,"NA",0,1)</f>
        <v>NA</v>
      </c>
      <c r="F246" s="122"/>
      <c r="G246" s="122"/>
      <c r="H246" s="122"/>
      <c r="I246" s="130"/>
      <c r="J246" s="123"/>
      <c r="K246"/>
      <c r="L246" s="131" t="str">
        <f ca="1">_xlfn.XLOOKUP(L225,RenewalPlans!B:B,RenewalPlans!AI:AI,"NA",0,1)</f>
        <v>NA</v>
      </c>
      <c r="M246" s="122"/>
      <c r="N246" s="122"/>
      <c r="O246" s="122"/>
      <c r="P246" s="130"/>
      <c r="Q246" s="122"/>
      <c r="R246" s="123"/>
      <c r="T246" s="131" t="str">
        <f>_xlfn.XLOOKUP(T225,RenewalPlans!B:B,RenewalPlans!AI:AI,"NA",0,1)</f>
        <v>NA</v>
      </c>
      <c r="U246" s="122"/>
      <c r="V246" s="122"/>
      <c r="W246" s="122"/>
      <c r="X246" s="130"/>
      <c r="Y246" s="122"/>
      <c r="Z246" s="123"/>
    </row>
    <row r="247" spans="4:26" ht="18" customHeight="1" hidden="1">
      <c r="D247" s="198" t="s">
        <v>268</v>
      </c>
      <c r="E247" s="130" t="str">
        <f>_xlfn.XLOOKUP(E225,CurrentPlans!B:B,CurrentPlans!AH:AH,"NA",0,1)</f>
        <v>NA</v>
      </c>
      <c r="F247" s="200"/>
      <c r="G247" s="200"/>
      <c r="H247" s="200"/>
      <c r="I247" s="130"/>
      <c r="J247" s="201"/>
      <c r="K247"/>
      <c r="L247" s="131" t="str">
        <f ca="1">_xlfn.XLOOKUP(L225,RenewalPlans!B:B,RenewalPlans!AK:AK,"NA",0,1)</f>
        <v>NA</v>
      </c>
      <c r="M247" s="200"/>
      <c r="N247" s="200"/>
      <c r="O247" s="200"/>
      <c r="P247" s="130"/>
      <c r="Q247" s="200"/>
      <c r="R247" s="201"/>
      <c r="T247" s="131" t="str">
        <f>_xlfn.XLOOKUP(T225,RenewalPlans!B:B,RenewalPlans!AK:AK,"NA",0,1)</f>
        <v>NA</v>
      </c>
      <c r="U247" s="200"/>
      <c r="V247" s="200"/>
      <c r="W247" s="200"/>
      <c r="X247" s="130"/>
      <c r="Y247" s="200"/>
      <c r="Z247" s="201"/>
    </row>
    <row r="248" spans="4:26" ht="18" customHeight="1" hidden="1">
      <c r="D248" s="198" t="s">
        <v>269</v>
      </c>
      <c r="E248" s="130" t="str">
        <f>_xlfn.XLOOKUP(E225,CurrentPlans!B:B,CurrentPlans!AG:AG,"NA",0,1)</f>
        <v>NA</v>
      </c>
      <c r="F248" s="200"/>
      <c r="G248" s="200"/>
      <c r="H248" s="200"/>
      <c r="I248" s="130"/>
      <c r="J248" s="201"/>
      <c r="K248"/>
      <c r="L248" s="131" t="str">
        <f ca="1">_xlfn.XLOOKUP(L225,RenewalPlans!B:B,RenewalPlans!AJ:AJ,"NA",0,1)</f>
        <v>NA</v>
      </c>
      <c r="M248" s="200"/>
      <c r="N248" s="200"/>
      <c r="O248" s="200"/>
      <c r="P248" s="130"/>
      <c r="Q248" s="200"/>
      <c r="R248" s="201"/>
      <c r="T248" s="131" t="str">
        <f>_xlfn.XLOOKUP(T225,RenewalPlans!B:B,RenewalPlans!AJ:AJ,"NA",0,1)</f>
        <v>NA</v>
      </c>
      <c r="U248" s="200"/>
      <c r="V248" s="200"/>
      <c r="W248" s="200"/>
      <c r="X248" s="130"/>
      <c r="Y248" s="200"/>
      <c r="Z248" s="201"/>
    </row>
    <row r="249" spans="4:26" ht="18" customHeight="1" hidden="1">
      <c r="D249" s="213" t="s">
        <v>270</v>
      </c>
      <c r="E249" s="216" t="str">
        <f>_xlfn.XLOOKUP(E225,CurrentPlans!B:B,CurrentPlans!AU:AU,"NA",0,1)</f>
        <v>NA</v>
      </c>
      <c r="F249" s="214"/>
      <c r="G249" s="214"/>
      <c r="H249" s="214"/>
      <c r="I249" s="217"/>
      <c r="J249" s="215"/>
      <c r="K249"/>
      <c r="L249" s="218" t="str">
        <f ca="1">_xlfn.XLOOKUP(L225,RenewalPlans!B:B,RenewalPlans!AX:AX,"NA",0,1)</f>
        <v>NA</v>
      </c>
      <c r="M249" s="214"/>
      <c r="N249" s="214"/>
      <c r="O249" s="214"/>
      <c r="P249" s="217"/>
      <c r="Q249" s="214"/>
      <c r="R249" s="215"/>
      <c r="T249" s="218" t="str">
        <f>_xlfn.XLOOKUP(T225,RenewalPlans!B:B,RenewalPlans!AX:AX,"NA",0,1)</f>
        <v>NA</v>
      </c>
      <c r="U249" s="214"/>
      <c r="V249" s="214"/>
      <c r="W249" s="214"/>
      <c r="X249" s="217"/>
      <c r="Y249" s="214"/>
      <c r="Z249" s="215"/>
    </row>
    <row r="250" spans="4:26" ht="18" customHeight="1" hidden="1">
      <c r="D250" s="213" t="s">
        <v>271</v>
      </c>
      <c r="E250" s="216" t="str">
        <f>_xlfn.XLOOKUP(E225,CurrentPlans!B:B,CurrentPlans!AT:AT,"NA",0,1)</f>
        <v>NA</v>
      </c>
      <c r="F250" s="214"/>
      <c r="G250" s="214"/>
      <c r="H250" s="214"/>
      <c r="I250" s="217"/>
      <c r="J250" s="215"/>
      <c r="K250"/>
      <c r="L250" s="218" t="str">
        <f ca="1">_xlfn.XLOOKUP(L225,RenewalPlans!B:B,RenewalPlans!AW:AW,"NA",0,1)</f>
        <v>NA</v>
      </c>
      <c r="M250" s="214"/>
      <c r="N250" s="214"/>
      <c r="O250" s="214"/>
      <c r="P250" s="217"/>
      <c r="Q250" s="214"/>
      <c r="R250" s="215"/>
      <c r="T250" s="218" t="str">
        <f>_xlfn.XLOOKUP(T225,RenewalPlans!B:B,RenewalPlans!AW:AW,"NA",0,1)</f>
        <v>NA</v>
      </c>
      <c r="U250" s="214"/>
      <c r="V250" s="214"/>
      <c r="W250" s="214"/>
      <c r="X250" s="217"/>
      <c r="Y250" s="214"/>
      <c r="Z250" s="215"/>
    </row>
    <row r="251" spans="4:26" ht="18" customHeight="1" hidden="1">
      <c r="D251" s="198" t="s">
        <v>272</v>
      </c>
      <c r="E251" s="130" t="str">
        <f>_xlfn.XLOOKUP(E225,CurrentPlans!B:B,CurrentPlans!AD:AD,"NA",0,1)</f>
        <v>NA</v>
      </c>
      <c r="F251" s="200"/>
      <c r="G251" s="200"/>
      <c r="H251" s="200"/>
      <c r="I251" s="130"/>
      <c r="J251" s="201"/>
      <c r="K251"/>
      <c r="L251" s="131" t="str">
        <f ca="1">_xlfn.XLOOKUP(L225,RenewalPlans!B:B,RenewalPlans!AG:AG,"NA",0,1)</f>
        <v>NA</v>
      </c>
      <c r="M251" s="200"/>
      <c r="N251" s="200"/>
      <c r="O251" s="200"/>
      <c r="P251" s="130"/>
      <c r="Q251" s="200"/>
      <c r="R251" s="201"/>
      <c r="T251" s="131" t="str">
        <f>_xlfn.XLOOKUP(T225,RenewalPlans!B:B,RenewalPlans!AG:AG,"NA",0,1)</f>
        <v>NA</v>
      </c>
      <c r="U251" s="200"/>
      <c r="V251" s="200"/>
      <c r="W251" s="200"/>
      <c r="X251" s="130"/>
      <c r="Y251" s="200"/>
      <c r="Z251" s="201"/>
    </row>
    <row r="252" spans="4:26" ht="18" customHeight="1" hidden="1">
      <c r="D252" s="198" t="s">
        <v>273</v>
      </c>
      <c r="E252" s="200"/>
      <c r="F252" s="200"/>
      <c r="G252" s="200"/>
      <c r="H252" s="200"/>
      <c r="I252" s="200"/>
      <c r="J252" s="201"/>
      <c r="K252"/>
      <c r="L252" s="198"/>
      <c r="M252" s="200"/>
      <c r="N252" s="200"/>
      <c r="O252" s="200"/>
      <c r="P252" s="200"/>
      <c r="Q252" s="200"/>
      <c r="R252" s="201"/>
      <c r="T252" s="198"/>
      <c r="U252" s="200"/>
      <c r="V252" s="200"/>
      <c r="W252" s="200"/>
      <c r="X252" s="200"/>
      <c r="Y252" s="200"/>
      <c r="Z252" s="201"/>
    </row>
    <row r="253" spans="4:26" ht="18" customHeight="1" hidden="1">
      <c r="D253" s="210"/>
      <c r="E253" s="211"/>
      <c r="F253" s="211"/>
      <c r="G253" s="211"/>
      <c r="H253" s="211"/>
      <c r="I253" s="211"/>
      <c r="J253" s="212"/>
      <c r="K253"/>
      <c r="L253" s="210"/>
      <c r="M253" s="211"/>
      <c r="N253" s="211"/>
      <c r="O253" s="211"/>
      <c r="P253" s="211"/>
      <c r="Q253" s="211"/>
      <c r="R253" s="212"/>
      <c r="T253" s="210"/>
      <c r="U253" s="211"/>
      <c r="V253" s="211"/>
      <c r="W253" s="211"/>
      <c r="X253" s="211"/>
      <c r="Y253" s="211"/>
      <c r="Z253" s="212"/>
    </row>
    <row r="254" spans="4:26" ht="18" customHeight="1" hidden="1">
      <c r="D254" s="219" t="s">
        <v>274</v>
      </c>
      <c r="E254" s="220"/>
      <c r="F254" s="220"/>
      <c r="G254" s="220"/>
      <c r="H254" s="220"/>
      <c r="I254" s="220"/>
      <c r="J254" s="221"/>
      <c r="K254"/>
      <c r="L254" s="222"/>
      <c r="M254" s="220"/>
      <c r="N254" s="220"/>
      <c r="O254" s="220"/>
      <c r="P254" s="220"/>
      <c r="Q254" s="220"/>
      <c r="R254" s="221"/>
      <c r="T254" s="222"/>
      <c r="U254" s="220"/>
      <c r="V254" s="220"/>
      <c r="W254" s="220"/>
      <c r="X254" s="220"/>
      <c r="Y254" s="220"/>
      <c r="Z254" s="221"/>
    </row>
    <row r="255" spans="4:26" ht="18" customHeight="1" hidden="1">
      <c r="D255" s="223" t="s">
        <v>250</v>
      </c>
      <c r="E255" s="205"/>
      <c r="F255" s="205"/>
      <c r="G255" s="205"/>
      <c r="H255" s="205"/>
      <c r="I255" s="205"/>
      <c r="J255" s="206"/>
      <c r="K255"/>
      <c r="L255" s="203"/>
      <c r="M255" s="205"/>
      <c r="N255" s="205"/>
      <c r="O255" s="205"/>
      <c r="P255" s="205"/>
      <c r="Q255" s="205"/>
      <c r="R255" s="206"/>
      <c r="T255" s="203"/>
      <c r="U255" s="205"/>
      <c r="V255" s="205"/>
      <c r="W255" s="205"/>
      <c r="X255" s="205"/>
      <c r="Y255" s="205"/>
      <c r="Z255" s="206"/>
    </row>
    <row r="256" spans="4:26" ht="18" customHeight="1" hidden="1">
      <c r="D256" s="198" t="s">
        <v>251</v>
      </c>
      <c r="E256" s="130" t="str">
        <f>_xlfn.XLOOKUP(E225,CurrentPlans!B:B,CurrentPlans!AP:AP,"NA",0,1)</f>
        <v>NA</v>
      </c>
      <c r="F256" s="200"/>
      <c r="G256" s="200"/>
      <c r="H256" s="200"/>
      <c r="I256" s="130"/>
      <c r="J256" s="201"/>
      <c r="K256"/>
      <c r="L256" s="131" t="str">
        <f ca="1">_xlfn.XLOOKUP(L225,RenewalPlans!B:B,RenewalPlans!AS:AS,"NA",0,1)</f>
        <v>NA</v>
      </c>
      <c r="M256" s="200"/>
      <c r="N256" s="200"/>
      <c r="O256" s="200"/>
      <c r="P256" s="130"/>
      <c r="Q256" s="200"/>
      <c r="R256" s="201"/>
      <c r="T256" s="131" t="str">
        <f>_xlfn.XLOOKUP(T225,RenewalPlans!B:B,RenewalPlans!AS:AS,"NA",0,1)</f>
        <v>NA</v>
      </c>
      <c r="U256" s="200"/>
      <c r="V256" s="200"/>
      <c r="W256" s="200"/>
      <c r="X256" s="130"/>
      <c r="Y256" s="200"/>
      <c r="Z256" s="201"/>
    </row>
    <row r="257" spans="4:26" ht="18" customHeight="1" hidden="1">
      <c r="D257" s="198" t="s">
        <v>252</v>
      </c>
      <c r="E257" s="130" t="str">
        <f>_xlfn.XLOOKUP(E225,CurrentPlans!B:B,CurrentPlans!AQ:AQ,"NA",0,1)</f>
        <v>NA</v>
      </c>
      <c r="F257" s="200"/>
      <c r="G257" s="200"/>
      <c r="H257" s="200"/>
      <c r="I257" s="130"/>
      <c r="J257" s="201"/>
      <c r="K257"/>
      <c r="L257" s="131" t="str">
        <f ca="1">_xlfn.XLOOKUP(L225,RenewalPlans!B:B,RenewalPlans!AT:AT,"NA",0,1)</f>
        <v>NA</v>
      </c>
      <c r="M257" s="200"/>
      <c r="N257" s="200"/>
      <c r="O257" s="200"/>
      <c r="P257" s="130"/>
      <c r="Q257" s="200"/>
      <c r="R257" s="201"/>
      <c r="T257" s="131" t="str">
        <f>_xlfn.XLOOKUP(T225,RenewalPlans!B:B,RenewalPlans!AT:AT,"NA",0,1)</f>
        <v>NA</v>
      </c>
      <c r="U257" s="200"/>
      <c r="V257" s="200"/>
      <c r="W257" s="200"/>
      <c r="X257" s="130"/>
      <c r="Y257" s="200"/>
      <c r="Z257" s="201"/>
    </row>
    <row r="258" spans="4:26" ht="18" customHeight="1" hidden="1">
      <c r="D258" s="120" t="s">
        <v>253</v>
      </c>
      <c r="E258" s="133" t="str">
        <f>_xlfn.XLOOKUP(E225,CurrentPlans!B:B,CurrentPlans!AO:AO,"NA",0,1)</f>
        <v>NA</v>
      </c>
      <c r="F258" s="122"/>
      <c r="G258" s="122"/>
      <c r="H258" s="122"/>
      <c r="I258" s="133"/>
      <c r="J258" s="123"/>
      <c r="K258"/>
      <c r="L258" s="136" t="str">
        <f ca="1">_xlfn.XLOOKUP(L225,RenewalPlans!B:B,RenewalPlans!AR:AR,"NA",0,1)</f>
        <v>NA</v>
      </c>
      <c r="M258" s="122"/>
      <c r="N258" s="122"/>
      <c r="O258" s="122"/>
      <c r="P258" s="133"/>
      <c r="Q258" s="122"/>
      <c r="R258" s="123"/>
      <c r="T258" s="136" t="str">
        <f>_xlfn.XLOOKUP(T225,RenewalPlans!B:B,RenewalPlans!AR:AR,"NA",0,1)</f>
        <v>NA</v>
      </c>
      <c r="U258" s="122"/>
      <c r="V258" s="122"/>
      <c r="W258" s="122"/>
      <c r="X258" s="133"/>
      <c r="Y258" s="122"/>
      <c r="Z258" s="123"/>
    </row>
    <row r="259" spans="4:26" ht="18" customHeight="1" hidden="1">
      <c r="D259" s="223" t="s">
        <v>254</v>
      </c>
      <c r="E259" s="205"/>
      <c r="F259" s="205"/>
      <c r="G259" s="205"/>
      <c r="H259" s="205"/>
      <c r="I259" s="205"/>
      <c r="J259" s="206"/>
      <c r="K259"/>
      <c r="L259" s="203"/>
      <c r="M259" s="205"/>
      <c r="N259" s="205"/>
      <c r="O259" s="205"/>
      <c r="P259" s="205"/>
      <c r="Q259" s="205"/>
      <c r="R259" s="206"/>
      <c r="T259" s="203"/>
      <c r="U259" s="205"/>
      <c r="V259" s="205"/>
      <c r="W259" s="205"/>
      <c r="X259" s="205"/>
      <c r="Y259" s="205"/>
      <c r="Z259" s="206"/>
    </row>
    <row r="260" spans="4:26" ht="18" customHeight="1" hidden="1">
      <c r="D260" s="198" t="s">
        <v>255</v>
      </c>
      <c r="E260" s="130" t="str">
        <f>_xlfn.XLOOKUP(E225,CurrentPlans!B:B,CurrentPlans!AR:AR,"NA",0,1)</f>
        <v>NA</v>
      </c>
      <c r="F260" s="200"/>
      <c r="G260" s="200"/>
      <c r="H260" s="200"/>
      <c r="I260" s="130"/>
      <c r="J260" s="201"/>
      <c r="K260"/>
      <c r="L260" s="131" t="str">
        <f ca="1">_xlfn.XLOOKUP(L225,RenewalPlans!B:B,RenewalPlans!AU:AU,"NA",0,1)</f>
        <v>NA</v>
      </c>
      <c r="M260" s="200"/>
      <c r="N260" s="200"/>
      <c r="O260" s="200"/>
      <c r="P260" s="130"/>
      <c r="Q260" s="200"/>
      <c r="R260" s="201"/>
      <c r="T260" s="131" t="str">
        <f>_xlfn.XLOOKUP(T225,RenewalPlans!B:B,RenewalPlans!AU:AU,"NA",0,1)</f>
        <v>NA</v>
      </c>
      <c r="U260" s="200"/>
      <c r="V260" s="200"/>
      <c r="W260" s="200"/>
      <c r="X260" s="130"/>
      <c r="Y260" s="200"/>
      <c r="Z260" s="201"/>
    </row>
    <row r="261" spans="4:26" ht="18" customHeight="1" hidden="1" thickBot="1">
      <c r="D261" s="224" t="s">
        <v>256</v>
      </c>
      <c r="E261" s="137" t="str">
        <f>_xlfn.XLOOKUP(E225,CurrentPlans!B:B,CurrentPlans!AS:AS,"NA",0,1)</f>
        <v>NA</v>
      </c>
      <c r="F261" s="225"/>
      <c r="G261" s="225"/>
      <c r="H261" s="225"/>
      <c r="I261" s="137"/>
      <c r="J261" s="226"/>
      <c r="K261"/>
      <c r="L261" s="138" t="str">
        <f ca="1">_xlfn.XLOOKUP(L225,RenewalPlans!B:B,RenewalPlans!AV:AV,"NA",0,1)</f>
        <v>NA</v>
      </c>
      <c r="M261" s="225"/>
      <c r="N261" s="225"/>
      <c r="O261" s="225"/>
      <c r="P261" s="137"/>
      <c r="Q261" s="225"/>
      <c r="R261" s="226"/>
      <c r="T261" s="138" t="str">
        <f>_xlfn.XLOOKUP(T225,RenewalPlans!B:B,RenewalPlans!AV:AV,"NA",0,1)</f>
        <v>NA</v>
      </c>
      <c r="U261" s="225"/>
      <c r="V261" s="225"/>
      <c r="W261" s="225"/>
      <c r="X261" s="137"/>
      <c r="Y261" s="225"/>
      <c r="Z261" s="226"/>
    </row>
    <row r="262" spans="4:26" ht="18" customHeight="1">
      <c r="D262" s="227"/>
      <c r="E262" s="176"/>
      <c r="F262" s="178"/>
      <c r="G262" s="179"/>
      <c r="H262" s="178"/>
      <c r="I262" s="176"/>
      <c r="J262" s="228"/>
      <c r="K262"/>
      <c r="L262" s="178"/>
      <c r="M262" s="176"/>
      <c r="N262" s="139"/>
      <c r="O262" s="178"/>
      <c r="P262" s="178"/>
      <c r="Q262" s="178"/>
      <c r="R262" s="228"/>
      <c r="T262" s="178"/>
      <c r="U262" s="176"/>
      <c r="V262" s="139"/>
      <c r="W262" s="178"/>
      <c r="X262" s="178"/>
      <c r="Y262" s="178"/>
      <c r="Z262" s="228"/>
    </row>
    <row r="263" spans="1:26" ht="5.25" customHeight="1" thickBot="1">
      <c r="A263" s="140"/>
      <c r="B263" s="140"/>
      <c r="D263" s="229"/>
      <c r="E263" s="229"/>
      <c r="F263" s="230"/>
      <c r="G263" s="231"/>
      <c r="H263" s="232"/>
      <c r="I263" s="233"/>
      <c r="J263" s="233"/>
      <c r="K263"/>
      <c r="L263" s="233"/>
      <c r="M263" s="233"/>
      <c r="N263" s="233"/>
      <c r="O263" s="233"/>
      <c r="P263" s="233"/>
      <c r="Q263" s="233"/>
      <c r="R263" s="233"/>
      <c r="T263" s="233"/>
      <c r="U263" s="233"/>
      <c r="V263" s="233"/>
      <c r="W263" s="233"/>
      <c r="X263" s="233"/>
      <c r="Y263" s="233"/>
      <c r="Z263" s="233"/>
    </row>
    <row r="264" spans="1:26" ht="50.15" customHeight="1">
      <c r="A264" s="140">
        <v>6</v>
      </c>
      <c r="B264" s="140" t="str">
        <f>IF(A264&gt;Class4_CurrentHealthCount,"DELETE",Class4_CurrentHealthStart+A264)</f>
        <v>DELETE</v>
      </c>
      <c r="C264" s="164" t="s">
        <v>279</v>
      </c>
      <c r="D264" s="273" t="str">
        <f>IF(B264="Delete","",VLOOKUP(F264,BEGIN_CURRENT_HEALTH:END_CURRENT_HEALTH,3,FALSE))</f>
        <v/>
      </c>
      <c r="E264" s="165"/>
      <c r="F264" s="272" t="str" cm="1">
        <f t="array" ca="1" aca="1" ref="F264">IF(B264="Delete","",INDIRECT("CurrentPlans!A"&amp;B264,TRUE))</f>
        <v/>
      </c>
      <c r="G264" s="166"/>
      <c r="H264" s="167"/>
      <c r="I264" s="168"/>
      <c r="J264" s="169"/>
      <c r="K264"/>
      <c r="L264" s="274" t="str">
        <f ca="1">_xlfn.IFNA(VLOOKUP(F264,BEGIN_RENEWEDFROM_HEALTH:ROW_RenewHealth_PlanID,3,FALSE),"SELECT PLAN")</f>
        <v>SELECT PLAN</v>
      </c>
      <c r="M264" s="170"/>
      <c r="N264" s="274" t="s">
        <v>237</v>
      </c>
      <c r="O264" s="171"/>
      <c r="P264" s="171"/>
      <c r="Q264" s="171"/>
      <c r="R264" s="169"/>
      <c r="T264" s="274" t="s">
        <v>38</v>
      </c>
      <c r="U264" s="170"/>
      <c r="V264" s="274" t="s">
        <v>237</v>
      </c>
      <c r="W264" s="171"/>
      <c r="X264" s="171"/>
      <c r="Y264" s="171"/>
      <c r="Z264" s="169"/>
    </row>
    <row r="265" spans="1:26" ht="18.75" customHeight="1">
      <c r="A265" s="140"/>
      <c r="B265" s="140"/>
      <c r="D265" s="172" t="s">
        <v>238</v>
      </c>
      <c r="E265" s="407" t="str">
        <f ca="1">_xlfn.IFNA(VLOOKUP(F264,BEGIN_CURRENT_HEALTH:END_CURRENT_HEALTH,CURRENT_COL_EO_count,FALSE),"")</f>
        <v/>
      </c>
      <c r="F265" s="408" t="str">
        <f ca="1">_xlfn.IFNA(VLOOKUP(F264,BEGIN_CURRENT_HEALTH:END_CURRENT_HEALTH,CURRENT_COL_EO,FALSE),"")</f>
        <v/>
      </c>
      <c r="G265" s="468" t="str">
        <f ca="1" t="shared" si="25" ref="G265:G268">IF(F265="","",H265/F265)</f>
        <v/>
      </c>
      <c r="H265" s="408" t="str">
        <f ca="1">_xlfn.IFNA(VLOOKUP(F264,BEGIN_CURRENT_HEALTH:END_CURRENT_HEALTH,CURRENT_COL_EOContrib,FALSE),"")</f>
        <v/>
      </c>
      <c r="I265" s="409" t="str">
        <f ca="1">IFERROR(F265-H265,"")</f>
        <v/>
      </c>
      <c r="J265" s="410" t="str">
        <f ca="1">IF(F265="","",H265*E265)</f>
        <v/>
      </c>
      <c r="K265" s="411"/>
      <c r="L265" s="408" t="str" cm="1">
        <f t="array" ca="1" aca="1" ref="L265">_xlfn.IFNA(VLOOKUP(INDIRECT("L"&amp;ROW()-1)&amp;"_"&amp;$D$12,BEGIN_RENEW_HEALTH:END_RENEW_HEALTH,RENEW_COL_EO,FALSE),"")</f>
        <v/>
      </c>
      <c r="M265" s="412" t="str">
        <f ca="1">IF(E265="","",E265)</f>
        <v/>
      </c>
      <c r="N265" s="413"/>
      <c r="O265" s="414"/>
      <c r="P265" s="415" t="str">
        <f>IFERROR(IF($N264="Keep Contribution Same",H265,IF($N264="Enter Percentages",IF(N265="","",N265*L265),IF($N264="Keep Percentage Same",IF(G265="","",G265*L265),IF($N264="Enter Dollar Amount",IF(O265="","",O265),"")))),"")</f>
        <v/>
      </c>
      <c r="Q265" s="408" t="str">
        <f ca="1">IFERROR(L265-P265,"")</f>
        <v/>
      </c>
      <c r="R265" s="410" t="str">
        <f>IFERROR(IF(P265="","",M265*P265),"")</f>
        <v/>
      </c>
      <c r="S265" s="411"/>
      <c r="T265" s="408" t="str" cm="1">
        <f t="array" ca="1" aca="1" ref="T265">_xlfn.IFNA(VLOOKUP(INDIRECT("T"&amp;ROW()-1)&amp;"_"&amp;$D$12,BEGIN_RENEW_HEALTH:END_RENEW_HEALTH,RENEW_COL_EO,FALSE),"")</f>
        <v/>
      </c>
      <c r="U265" s="412" t="str">
        <f ca="1">IF(E265="","",E265)</f>
        <v/>
      </c>
      <c r="V265" s="413"/>
      <c r="W265" s="414"/>
      <c r="X265" s="415" t="str">
        <f>IFERROR(IF($V264="Keep Contribution Same",H265,IF($V264="Enter Percentages",IF(V265="","",V265*T265),IF($V264="Keep Percentage Same",IF(G265="","",G265*T265),IF($V264="Enter Dollar Amount",IF(W265="","",W265),"")))),"")</f>
        <v/>
      </c>
      <c r="Y265" s="408" t="str">
        <f ca="1">IFERROR(T265-X265,"")</f>
        <v/>
      </c>
      <c r="Z265" s="410" t="str">
        <f>IFERROR(IF(X265="","",U265*X265),"")</f>
        <v/>
      </c>
    </row>
    <row r="266" spans="1:26" ht="18.75" customHeight="1">
      <c r="A266" s="140"/>
      <c r="B266" s="140"/>
      <c r="D266" s="172" t="s">
        <v>239</v>
      </c>
      <c r="E266" s="407" t="str">
        <f ca="1">_xlfn.IFNA(VLOOKUP(F264,BEGIN_CURRENT_HEALTH:END_CURRENT_HEALTH,CURRENT_COL_ES_count,FALSE),"")</f>
        <v/>
      </c>
      <c r="F266" s="408" t="str">
        <f ca="1">_xlfn.IFNA(VLOOKUP(F264,BEGIN_CURRENT_HEALTH:END_CURRENT_HEALTH,CURRENT_COL_ES,FALSE),"")</f>
        <v/>
      </c>
      <c r="G266" s="468" t="str">
        <f t="shared" ca="1" si="25"/>
        <v/>
      </c>
      <c r="H266" s="408" t="str">
        <f ca="1">_xlfn.IFNA(VLOOKUP(F264,BEGIN_CURRENT_HEALTH:END_CURRENT_HEALTH,CURRENT_COL_ESContrib,FALSE),"")</f>
        <v/>
      </c>
      <c r="I266" s="409" t="str">
        <f ca="1" t="shared" si="26" ref="I266:I268">IFERROR(F266-H266,"")</f>
        <v/>
      </c>
      <c r="J266" s="410" t="str">
        <f ca="1">IF(F266="","",H266*E266)</f>
        <v/>
      </c>
      <c r="K266" s="411"/>
      <c r="L266" s="408" t="str" cm="1">
        <f t="array" ca="1" aca="1" ref="L266">_xlfn.IFNA(VLOOKUP(INDIRECT("L"&amp;ROW()-2)&amp;"_"&amp;$D$12,BEGIN_RENEW_HEALTH:END_RENEW_HEALTH,RENEW_COL_ES,FALSE),"")</f>
        <v/>
      </c>
      <c r="M266" s="412" t="str">
        <f ca="1">IF(E266="","",E266)</f>
        <v/>
      </c>
      <c r="N266" s="413"/>
      <c r="O266" s="414"/>
      <c r="P266" s="415" t="str">
        <f>IFERROR(IF($N264="Keep Contribution Same",H266,IF($N264="Enter Percentages",IF(N266="","",N266*L266),IF($N264="Keep Percentage Same",IF(G266="","",G266*L266),IF($N264="Enter Dollar Amount",IF(O266="","",O266),"")))),"")</f>
        <v/>
      </c>
      <c r="Q266" s="408" t="str">
        <f ca="1">IFERROR(L266-P266,"")</f>
        <v/>
      </c>
      <c r="R266" s="410" t="str">
        <f>IFERROR(IF(P266="","",M266*P266),"")</f>
        <v/>
      </c>
      <c r="S266" s="411"/>
      <c r="T266" s="408" t="str" cm="1">
        <f t="array" ca="1" aca="1" ref="T266">_xlfn.IFNA(VLOOKUP(INDIRECT("T"&amp;ROW()-2)&amp;"_"&amp;$D$12,BEGIN_RENEW_HEALTH:END_RENEW_HEALTH,RENEW_COL_ES,FALSE),"")</f>
        <v/>
      </c>
      <c r="U266" s="412" t="str">
        <f ca="1" t="shared" si="27" ref="U266:U268">IF(E266="","",E266)</f>
        <v/>
      </c>
      <c r="V266" s="413"/>
      <c r="W266" s="414"/>
      <c r="X266" s="415" t="str">
        <f>IFERROR(IF($V264="Keep Contribution Same",H266,IF($V264="Enter Percentages",IF(V266="","",V266*T266),IF($V264="Keep Percentage Same",IF(G266="","",G266*T266),IF($V264="Enter Dollar Amount",IF(W266="","",W266),"")))),"")</f>
        <v/>
      </c>
      <c r="Y266" s="408" t="str">
        <f ca="1" t="shared" si="28" ref="Y266:Y268">IFERROR(T266-X266,"")</f>
        <v/>
      </c>
      <c r="Z266" s="410" t="str">
        <f t="shared" si="29" ref="Z266:Z268">IFERROR(IF(X266="","",U266*X266),"")</f>
        <v/>
      </c>
    </row>
    <row r="267" spans="1:26" ht="18.75" customHeight="1">
      <c r="A267" s="140"/>
      <c r="B267" s="140"/>
      <c r="D267" s="172" t="s">
        <v>240</v>
      </c>
      <c r="E267" s="407" t="str">
        <f ca="1">_xlfn.IFNA(VLOOKUP(F264,BEGIN_CURRENT_HEALTH:END_CURRENT_HEALTH,CURRENT_COL_EC_count,FALSE),"")</f>
        <v/>
      </c>
      <c r="F267" s="408" t="str">
        <f ca="1">_xlfn.IFNA(VLOOKUP(F264,BEGIN_CURRENT_HEALTH:END_CURRENT_HEALTH,CURRENT_COL_EC,FALSE),"")</f>
        <v/>
      </c>
      <c r="G267" s="468" t="str">
        <f t="shared" ca="1" si="25"/>
        <v/>
      </c>
      <c r="H267" s="408" t="str">
        <f ca="1">_xlfn.IFNA(VLOOKUP(F264,BEGIN_CURRENT_HEALTH:END_CURRENT_HEALTH,CURRENT_COL_ECContrib,FALSE),"")</f>
        <v/>
      </c>
      <c r="I267" s="409" t="str">
        <f t="shared" ca="1" si="26"/>
        <v/>
      </c>
      <c r="J267" s="410" t="str">
        <f ca="1">IF(F267="","",H267*E267)</f>
        <v/>
      </c>
      <c r="K267" s="411"/>
      <c r="L267" s="408" t="str" cm="1">
        <f t="array" ca="1" aca="1" ref="L267">_xlfn.IFNA(VLOOKUP(INDIRECT("L"&amp;ROW()-3)&amp;"_"&amp;$D$12,BEGIN_RENEW_HEALTH:END_RENEW_HEALTH,RENEW_COL_EC,FALSE),"")</f>
        <v/>
      </c>
      <c r="M267" s="412" t="str">
        <f ca="1">IF(E267="","",E267)</f>
        <v/>
      </c>
      <c r="N267" s="413"/>
      <c r="O267" s="414"/>
      <c r="P267" s="415" t="str">
        <f>IFERROR(IF($N264="Keep Contribution Same",H267,IF($N264="Enter Percentages",IF(N267="","",N267*L267),IF($N264="Keep Percentage Same",IF(G267="","",G267*L267),IF($N264="Enter Dollar Amount",IF(O267="","",O267),"")))),"")</f>
        <v/>
      </c>
      <c r="Q267" s="408" t="str">
        <f ca="1">IFERROR(L267-P267,"")</f>
        <v/>
      </c>
      <c r="R267" s="410" t="str">
        <f>IFERROR(IF(P267="","",M267*P267),"")</f>
        <v/>
      </c>
      <c r="S267" s="411"/>
      <c r="T267" s="408" t="str" cm="1">
        <f t="array" ca="1" aca="1" ref="T267">_xlfn.IFNA(VLOOKUP(INDIRECT("T"&amp;ROW()-3)&amp;"_"&amp;$D$12,BEGIN_RENEW_HEALTH:END_RENEW_HEALTH,RENEW_COL_EC,FALSE),"")</f>
        <v/>
      </c>
      <c r="U267" s="412" t="str">
        <f t="shared" ca="1" si="27"/>
        <v/>
      </c>
      <c r="V267" s="413"/>
      <c r="W267" s="414"/>
      <c r="X267" s="415" t="str">
        <f>IFERROR(IF($V264="Keep Contribution Same",H267,IF($V264="Enter Percentages",IF(V267="","",V267*T267),IF($V264="Keep Percentage Same",IF(G267="","",G267*T267),IF($V264="Enter Dollar Amount",IF(W267="","",W267),"")))),"")</f>
        <v/>
      </c>
      <c r="Y267" s="408" t="str">
        <f t="shared" ca="1" si="28"/>
        <v/>
      </c>
      <c r="Z267" s="410" t="str">
        <f t="shared" si="29"/>
        <v/>
      </c>
    </row>
    <row r="268" spans="1:26" ht="18.75" customHeight="1" thickBot="1">
      <c r="A268" s="140"/>
      <c r="B268" s="140"/>
      <c r="D268" s="174" t="s">
        <v>241</v>
      </c>
      <c r="E268" s="416" t="str">
        <f ca="1">_xlfn.IFNA(VLOOKUP(F264,BEGIN_CURRENT_HEALTH:END_CURRENT_HEALTH,CURRENT_COL_FAM_count,FALSE),"")</f>
        <v/>
      </c>
      <c r="F268" s="417" t="str">
        <f ca="1">_xlfn.IFNA(VLOOKUP(F264,BEGIN_CURRENT_HEALTH:END_CURRENT_HEALTH,CURRENT_COL_FAM,FALSE),"")</f>
        <v/>
      </c>
      <c r="G268" s="469" t="str">
        <f t="shared" ca="1" si="25"/>
        <v/>
      </c>
      <c r="H268" s="417" t="str">
        <f ca="1">_xlfn.IFNA(VLOOKUP(F264,BEGIN_CURRENT_HEALTH:END_CURRENT_HEALTH,CURRENT_COL_FAMContrib,FALSE),"")</f>
        <v/>
      </c>
      <c r="I268" s="418" t="str">
        <f t="shared" ca="1" si="26"/>
        <v/>
      </c>
      <c r="J268" s="419" t="str">
        <f ca="1">IF(F268="","",H268*E268)</f>
        <v/>
      </c>
      <c r="K268" s="411"/>
      <c r="L268" s="417" t="str" cm="1">
        <f t="array" ca="1" aca="1" ref="L268">_xlfn.IFNA(VLOOKUP(INDIRECT("L"&amp;ROW()-4)&amp;"_"&amp;$D$12,BEGIN_RENEW_HEALTH:END_RENEW_HEALTH,RENEW_COL_FAM,FALSE),"")</f>
        <v/>
      </c>
      <c r="M268" s="423" t="str">
        <f ca="1">IF(E268="","",E268)</f>
        <v/>
      </c>
      <c r="N268" s="420"/>
      <c r="O268" s="421"/>
      <c r="P268" s="422" t="str">
        <f>IFERROR(IF($N264="Keep Contribution Same",H268,IF($N264="Enter Percentages",IF(N268="","",N268*L268),IF($N264="Keep Percentage Same",IF(G268="","",G268*L268),IF($N264="Enter Dollar Amount",IF(O268="","",O268),"")))),"")</f>
        <v/>
      </c>
      <c r="Q268" s="417" t="str">
        <f ca="1">IFERROR(L268-P268,"")</f>
        <v/>
      </c>
      <c r="R268" s="419" t="str">
        <f>IFERROR(IF(P268="","",M268*P268),"")</f>
        <v/>
      </c>
      <c r="S268" s="411"/>
      <c r="T268" s="417" t="str" cm="1">
        <f t="array" ca="1" aca="1" ref="T268">_xlfn.IFNA(VLOOKUP(INDIRECT("T"&amp;ROW()-4)&amp;"_"&amp;$D$12,BEGIN_RENEW_HEALTH:END_RENEW_HEALTH,RENEW_COL_FAM,FALSE),"")</f>
        <v/>
      </c>
      <c r="U268" s="423" t="str">
        <f t="shared" ca="1" si="27"/>
        <v/>
      </c>
      <c r="V268" s="420"/>
      <c r="W268" s="421"/>
      <c r="X268" s="422" t="str">
        <f>IFERROR(IF($V264="Keep Contribution Same",H268,IF($V264="Enter Percentages",IF(V268="","",V268*T268),IF($V264="Keep Percentage Same",IF(G268="","",G268*T268),IF($V264="Enter Dollar Amount",IF(W268="","",W268),"")))),"")</f>
        <v/>
      </c>
      <c r="Y268" s="417" t="str">
        <f t="shared" ca="1" si="28"/>
        <v/>
      </c>
      <c r="Z268" s="419" t="str">
        <f t="shared" si="29"/>
        <v/>
      </c>
    </row>
    <row r="269" spans="1:26" ht="18.75" customHeight="1" thickTop="1">
      <c r="A269" s="140"/>
      <c r="B269" s="140"/>
      <c r="D269" s="175" t="s">
        <v>242</v>
      </c>
      <c r="E269" s="424"/>
      <c r="F269" s="447" t="str">
        <f ca="1">IFERROR((F265*E265)+(F266*E266)+(F267*E267)+(F268*E268),"")</f>
        <v/>
      </c>
      <c r="G269" s="426"/>
      <c r="H269" s="427"/>
      <c r="I269" s="428"/>
      <c r="J269" s="429" t="str">
        <f ca="1">IFERROR(IF(J265="","",SUM(J265:J268)),0)</f>
        <v/>
      </c>
      <c r="K269" s="1"/>
      <c r="L269" s="430" t="str">
        <f ca="1">IFERROR((M265*L265)+(M266*L266)+(M267*L267)+(M268*L268),"")</f>
        <v/>
      </c>
      <c r="M269" s="427"/>
      <c r="N269" s="426"/>
      <c r="O269" s="427"/>
      <c r="P269" s="431"/>
      <c r="Q269" s="432"/>
      <c r="R269" s="429" t="str">
        <f>IFERROR(IF(R265="","",SUM(R265:R268)),0)</f>
        <v/>
      </c>
      <c r="T269" s="430" t="str">
        <f ca="1">IFERROR((U265*T265)+(U266*T266)+(U267*T267)+(U268*T268),"")</f>
        <v/>
      </c>
      <c r="U269" s="427"/>
      <c r="V269" s="426"/>
      <c r="W269" s="427"/>
      <c r="X269" s="431"/>
      <c r="Y269" s="432"/>
      <c r="Z269" s="429" t="str">
        <f>IFERROR(IF(Z265="","",SUM(Z265:Z268)),0)</f>
        <v/>
      </c>
    </row>
    <row r="270" spans="1:26" ht="18.75" customHeight="1">
      <c r="A270" s="140"/>
      <c r="B270" s="140"/>
      <c r="D270" s="177" t="s">
        <v>243</v>
      </c>
      <c r="E270" s="433"/>
      <c r="F270" s="448" t="str">
        <f ca="1">IFERROR(F269*12,"")</f>
        <v/>
      </c>
      <c r="G270" s="435"/>
      <c r="H270" s="436"/>
      <c r="I270" s="432"/>
      <c r="J270" s="437" t="str">
        <f ca="1">IF(J269="","",J269*12)</f>
        <v/>
      </c>
      <c r="K270" s="1"/>
      <c r="L270" s="438" t="str">
        <f ca="1">IFERROR(L269*12,"")</f>
        <v/>
      </c>
      <c r="M270" s="436"/>
      <c r="N270" s="435"/>
      <c r="O270" s="436"/>
      <c r="P270" s="432"/>
      <c r="Q270" s="432"/>
      <c r="R270" s="437" t="str">
        <f>IF(R269="","",R269*12)</f>
        <v/>
      </c>
      <c r="T270" s="438" t="str">
        <f ca="1">IFERROR(T269*12,"")</f>
        <v/>
      </c>
      <c r="U270" s="436"/>
      <c r="V270" s="435"/>
      <c r="W270" s="436"/>
      <c r="X270" s="432"/>
      <c r="Y270" s="432"/>
      <c r="Z270" s="437" t="str">
        <f>IF(Z269="","",Z269*12)</f>
        <v/>
      </c>
    </row>
    <row r="271" spans="1:26" ht="18" customHeight="1">
      <c r="A271" s="140"/>
      <c r="B271" s="140"/>
      <c r="D271" s="177" t="s">
        <v>244</v>
      </c>
      <c r="E271" s="433"/>
      <c r="F271" s="436"/>
      <c r="G271" s="435"/>
      <c r="H271" s="436"/>
      <c r="I271" s="432"/>
      <c r="J271" s="437"/>
      <c r="K271" s="1"/>
      <c r="L271" s="434" t="str">
        <f ca="1">IFERROR(L270-F270,"")</f>
        <v/>
      </c>
      <c r="M271" s="436"/>
      <c r="N271" s="435"/>
      <c r="O271" s="436"/>
      <c r="P271" s="432"/>
      <c r="Q271" s="432"/>
      <c r="R271" s="437" t="str">
        <f ca="1">IFERROR(IF(J270="","",R270-J270),0)</f>
        <v/>
      </c>
      <c r="T271" s="434" t="str">
        <f ca="1">IFERROR(T270-F270,"")</f>
        <v/>
      </c>
      <c r="U271" s="436"/>
      <c r="V271" s="435"/>
      <c r="W271" s="436"/>
      <c r="X271" s="432"/>
      <c r="Y271" s="432"/>
      <c r="Z271" s="437" t="str">
        <f>IFERROR(IF(R270="","",Z270-R270),0)</f>
        <v/>
      </c>
    </row>
    <row r="272" spans="1:26" ht="18" customHeight="1" thickBot="1">
      <c r="A272" s="140"/>
      <c r="B272" s="140"/>
      <c r="D272" s="180" t="s">
        <v>245</v>
      </c>
      <c r="E272" s="439"/>
      <c r="F272" s="440"/>
      <c r="G272" s="441"/>
      <c r="H272" s="440"/>
      <c r="I272" s="442"/>
      <c r="J272" s="443"/>
      <c r="K272" s="1"/>
      <c r="L272" s="444" t="str">
        <f ca="1">IFERROR(L270/F270-1,"")</f>
        <v/>
      </c>
      <c r="M272" s="440"/>
      <c r="N272" s="441"/>
      <c r="O272" s="440"/>
      <c r="P272" s="445"/>
      <c r="Q272" s="445"/>
      <c r="R272" s="446" t="str">
        <f ca="1">IFERROR(IF(J270="","",(R270/J270)-1),0)</f>
        <v/>
      </c>
      <c r="T272" s="444" t="str">
        <f ca="1">IFERROR(T270/F270-1,"")</f>
        <v/>
      </c>
      <c r="U272" s="440"/>
      <c r="V272" s="441"/>
      <c r="W272" s="440"/>
      <c r="X272" s="445"/>
      <c r="Y272" s="445"/>
      <c r="Z272" s="446" t="str">
        <f>IFERROR(IF(R270="","",(Z270/R270)-1),0)</f>
        <v/>
      </c>
    </row>
    <row r="273" spans="1:26" ht="18" customHeight="1">
      <c r="A273" s="140"/>
      <c r="B273" s="140"/>
      <c r="D273" s="181" t="s">
        <v>246</v>
      </c>
      <c r="E273" s="182"/>
      <c r="F273" s="182"/>
      <c r="G273" s="182"/>
      <c r="H273" s="182"/>
      <c r="I273" s="182"/>
      <c r="J273" s="183"/>
      <c r="K273"/>
      <c r="L273" s="184"/>
      <c r="M273" s="182"/>
      <c r="N273" s="182"/>
      <c r="O273" s="182"/>
      <c r="P273" s="182"/>
      <c r="Q273" s="182"/>
      <c r="R273" s="183"/>
      <c r="T273" s="184"/>
      <c r="U273" s="182"/>
      <c r="V273" s="182"/>
      <c r="W273" s="182"/>
      <c r="X273" s="182"/>
      <c r="Y273" s="182"/>
      <c r="Z273" s="183"/>
    </row>
    <row r="274" spans="1:26" ht="18" customHeight="1" hidden="1">
      <c r="A274" s="140"/>
      <c r="B274" s="140"/>
      <c r="D274" s="185" t="s">
        <v>247</v>
      </c>
      <c r="E274" s="186"/>
      <c r="F274" s="186"/>
      <c r="G274" s="186"/>
      <c r="H274" s="186"/>
      <c r="I274" s="186"/>
      <c r="J274" s="187"/>
      <c r="K274"/>
      <c r="L274" s="188"/>
      <c r="M274" s="186"/>
      <c r="N274" s="186"/>
      <c r="O274" s="186"/>
      <c r="P274" s="186"/>
      <c r="Q274" s="186"/>
      <c r="R274" s="187"/>
      <c r="T274" s="188"/>
      <c r="U274" s="186"/>
      <c r="V274" s="186"/>
      <c r="W274" s="186"/>
      <c r="X274" s="186"/>
      <c r="Y274" s="186"/>
      <c r="Z274" s="187"/>
    </row>
    <row r="275" spans="1:26" ht="18" customHeight="1" hidden="1">
      <c r="A275" s="140"/>
      <c r="B275" s="140"/>
      <c r="D275" s="189" t="s">
        <v>248</v>
      </c>
      <c r="E275" s="190" t="str">
        <f>D264&amp;"_"&amp;D12</f>
        <v>_</v>
      </c>
      <c r="F275" s="191"/>
      <c r="G275" s="191"/>
      <c r="H275" s="191"/>
      <c r="I275" s="190"/>
      <c r="J275" s="192"/>
      <c r="K275"/>
      <c r="L275" s="193" t="str">
        <f ca="1">L264&amp;"_"&amp;D12</f>
        <v>SELECT PLAN_</v>
      </c>
      <c r="M275" s="191"/>
      <c r="N275" s="191"/>
      <c r="O275" s="191"/>
      <c r="P275" s="190"/>
      <c r="Q275" s="191"/>
      <c r="R275" s="192"/>
      <c r="T275" s="193" t="str">
        <f>T264&amp;"_"&amp;D12</f>
        <v>SELECT PLAN_</v>
      </c>
      <c r="U275" s="191"/>
      <c r="V275" s="191"/>
      <c r="W275" s="191"/>
      <c r="X275" s="190"/>
      <c r="Y275" s="191"/>
      <c r="Z275" s="192"/>
    </row>
    <row r="276" spans="1:26" ht="18" customHeight="1" hidden="1">
      <c r="A276" s="140"/>
      <c r="B276" s="140"/>
      <c r="D276" s="189" t="s">
        <v>249</v>
      </c>
      <c r="E276" s="191"/>
      <c r="F276" s="191"/>
      <c r="G276" s="191"/>
      <c r="H276" s="191"/>
      <c r="I276" s="191"/>
      <c r="J276" s="192"/>
      <c r="K276"/>
      <c r="L276" s="189"/>
      <c r="M276" s="191"/>
      <c r="N276" s="191"/>
      <c r="O276" s="191"/>
      <c r="P276" s="191"/>
      <c r="Q276" s="191"/>
      <c r="R276" s="192"/>
      <c r="T276" s="189"/>
      <c r="U276" s="191"/>
      <c r="V276" s="191"/>
      <c r="W276" s="191"/>
      <c r="X276" s="191"/>
      <c r="Y276" s="191"/>
      <c r="Z276" s="192"/>
    </row>
    <row r="277" spans="1:26" ht="18" customHeight="1" hidden="1">
      <c r="A277" s="140"/>
      <c r="B277" s="140"/>
      <c r="D277" s="194" t="s">
        <v>250</v>
      </c>
      <c r="E277" s="195"/>
      <c r="F277" s="195"/>
      <c r="G277" s="195"/>
      <c r="H277" s="195"/>
      <c r="I277" s="195"/>
      <c r="J277" s="196"/>
      <c r="K277"/>
      <c r="L277" s="197"/>
      <c r="M277" s="195"/>
      <c r="N277" s="195"/>
      <c r="O277" s="195"/>
      <c r="P277" s="195"/>
      <c r="Q277" s="195"/>
      <c r="R277" s="196"/>
      <c r="T277" s="197"/>
      <c r="U277" s="195"/>
      <c r="V277" s="195"/>
      <c r="W277" s="195"/>
      <c r="X277" s="195"/>
      <c r="Y277" s="195"/>
      <c r="Z277" s="196"/>
    </row>
    <row r="278" spans="1:26" ht="18" customHeight="1" hidden="1">
      <c r="A278" s="140"/>
      <c r="B278" s="140"/>
      <c r="D278" s="198" t="s">
        <v>251</v>
      </c>
      <c r="E278" s="199" t="str">
        <f>_xlfn.XLOOKUP(E275,CurrentPlans!B:B,CurrentPlans!X:X,"NA",0,1)</f>
        <v>NA</v>
      </c>
      <c r="F278" s="200"/>
      <c r="G278" s="200"/>
      <c r="H278" s="200"/>
      <c r="I278" s="199"/>
      <c r="J278" s="201"/>
      <c r="K278"/>
      <c r="L278" s="202" t="str">
        <f ca="1">_xlfn.XLOOKUP(L275,RenewalPlans!B:B,RenewalPlans!AA:AA,"NA",0,1)</f>
        <v>NA</v>
      </c>
      <c r="M278" s="200"/>
      <c r="N278" s="200"/>
      <c r="O278" s="200"/>
      <c r="P278" s="199"/>
      <c r="Q278" s="200"/>
      <c r="R278" s="201"/>
      <c r="T278" s="202" t="str">
        <f>_xlfn.XLOOKUP(T275,RenewalPlans!B:B,RenewalPlans!AA:AA,"NA",0,1)</f>
        <v>NA</v>
      </c>
      <c r="U278" s="200"/>
      <c r="V278" s="200"/>
      <c r="W278" s="200"/>
      <c r="X278" s="199"/>
      <c r="Y278" s="200"/>
      <c r="Z278" s="201"/>
    </row>
    <row r="279" spans="1:26" ht="18" customHeight="1" hidden="1">
      <c r="A279" s="140"/>
      <c r="B279" s="140"/>
      <c r="D279" s="198" t="s">
        <v>252</v>
      </c>
      <c r="E279" s="199" t="str">
        <f>_xlfn.XLOOKUP(E275,CurrentPlans!B:B,CurrentPlans!Y:Y,"NA",0,1)</f>
        <v>NA</v>
      </c>
      <c r="F279" s="200"/>
      <c r="G279" s="200"/>
      <c r="H279" s="200"/>
      <c r="I279" s="199"/>
      <c r="J279" s="201"/>
      <c r="K279"/>
      <c r="L279" s="202" t="str">
        <f ca="1">_xlfn.XLOOKUP(L275,RenewalPlans!B:B,RenewalPlans!AB:AB,"NA",0,1)</f>
        <v>NA</v>
      </c>
      <c r="M279" s="200"/>
      <c r="N279" s="200"/>
      <c r="O279" s="200"/>
      <c r="P279" s="199"/>
      <c r="Q279" s="200"/>
      <c r="R279" s="201"/>
      <c r="T279" s="202" t="str">
        <f>_xlfn.XLOOKUP(T275,RenewalPlans!B:B,RenewalPlans!AB:AB,"NA",0,1)</f>
        <v>NA</v>
      </c>
      <c r="U279" s="200"/>
      <c r="V279" s="200"/>
      <c r="W279" s="200"/>
      <c r="X279" s="199"/>
      <c r="Y279" s="200"/>
      <c r="Z279" s="201"/>
    </row>
    <row r="280" spans="1:26" ht="18" customHeight="1" hidden="1">
      <c r="A280" s="140"/>
      <c r="B280" s="140"/>
      <c r="D280" s="120" t="s">
        <v>253</v>
      </c>
      <c r="E280" s="121" t="str">
        <f>_xlfn.XLOOKUP(E275,CurrentPlans!B:B,CurrentPlans!W:W,"NA",0,1)</f>
        <v>NA</v>
      </c>
      <c r="F280" s="122"/>
      <c r="G280" s="122"/>
      <c r="H280" s="122"/>
      <c r="I280" s="121"/>
      <c r="J280" s="123"/>
      <c r="K280"/>
      <c r="L280" s="124" t="str">
        <f ca="1">_xlfn.XLOOKUP(L275,RenewalPlans!B:B,RenewalPlans!Z:Z,"NA",0,1)</f>
        <v>NA</v>
      </c>
      <c r="M280" s="122"/>
      <c r="N280" s="122"/>
      <c r="O280" s="122"/>
      <c r="P280" s="121"/>
      <c r="Q280" s="122"/>
      <c r="R280" s="123"/>
      <c r="T280" s="124" t="str">
        <f>_xlfn.XLOOKUP(T275,RenewalPlans!B:B,RenewalPlans!Z:Z,"NA",0,1)</f>
        <v>NA</v>
      </c>
      <c r="U280" s="122"/>
      <c r="V280" s="122"/>
      <c r="W280" s="122"/>
      <c r="X280" s="121"/>
      <c r="Y280" s="122"/>
      <c r="Z280" s="123"/>
    </row>
    <row r="281" spans="1:26" ht="18" customHeight="1" hidden="1">
      <c r="A281" s="140"/>
      <c r="B281" s="140"/>
      <c r="D281" s="203" t="s">
        <v>254</v>
      </c>
      <c r="E281" s="204"/>
      <c r="F281" s="205"/>
      <c r="G281" s="205"/>
      <c r="H281" s="205"/>
      <c r="I281" s="204"/>
      <c r="J281" s="206"/>
      <c r="K281"/>
      <c r="L281" s="207"/>
      <c r="M281" s="205"/>
      <c r="N281" s="205"/>
      <c r="O281" s="205"/>
      <c r="P281" s="204"/>
      <c r="Q281" s="205"/>
      <c r="R281" s="206"/>
      <c r="T281" s="207"/>
      <c r="U281" s="205"/>
      <c r="V281" s="205"/>
      <c r="W281" s="205"/>
      <c r="X281" s="204"/>
      <c r="Y281" s="205"/>
      <c r="Z281" s="206"/>
    </row>
    <row r="282" spans="1:26" ht="18" customHeight="1" hidden="1">
      <c r="A282" s="140"/>
      <c r="B282" s="140"/>
      <c r="D282" s="125" t="s">
        <v>255</v>
      </c>
      <c r="E282" s="126" t="str">
        <f>_xlfn.XLOOKUP(E275,CurrentPlans!B:B,CurrentPlans!Z:Z,"NA",0,1)</f>
        <v>NA</v>
      </c>
      <c r="F282" s="127"/>
      <c r="G282" s="127"/>
      <c r="H282" s="127"/>
      <c r="I282" s="126"/>
      <c r="J282" s="128"/>
      <c r="K282"/>
      <c r="L282" s="129" t="str">
        <f ca="1">_xlfn.XLOOKUP(L275,RenewalPlans!B:B,RenewalPlans!AC:AC,"NA",0,1)</f>
        <v>NA</v>
      </c>
      <c r="M282" s="127"/>
      <c r="N282" s="127"/>
      <c r="O282" s="127"/>
      <c r="P282" s="126"/>
      <c r="Q282" s="127"/>
      <c r="R282" s="128"/>
      <c r="T282" s="129" t="str">
        <f>_xlfn.XLOOKUP(T275,RenewalPlans!B:B,RenewalPlans!AC:AC,"NA",0,1)</f>
        <v>NA</v>
      </c>
      <c r="U282" s="127"/>
      <c r="V282" s="127"/>
      <c r="W282" s="127"/>
      <c r="X282" s="126"/>
      <c r="Y282" s="127"/>
      <c r="Z282" s="128"/>
    </row>
    <row r="283" spans="1:26" ht="18" customHeight="1" hidden="1">
      <c r="A283" s="140"/>
      <c r="B283" s="140"/>
      <c r="D283" s="198" t="s">
        <v>256</v>
      </c>
      <c r="E283" s="208" t="str">
        <f>_xlfn.XLOOKUP(E275,CurrentPlans!B:B,CurrentPlans!AA:AA,"NA",0,1)</f>
        <v>NA</v>
      </c>
      <c r="F283" s="200"/>
      <c r="G283" s="200"/>
      <c r="H283" s="200"/>
      <c r="I283" s="208"/>
      <c r="J283" s="201"/>
      <c r="K283"/>
      <c r="L283" s="209" t="str">
        <f ca="1">_xlfn.XLOOKUP(L275,RenewalPlans!B:B,RenewalPlans!AD:AD,"NA",0,1)</f>
        <v>NA</v>
      </c>
      <c r="M283" s="200"/>
      <c r="N283" s="200"/>
      <c r="O283" s="200"/>
      <c r="P283" s="208"/>
      <c r="Q283" s="200"/>
      <c r="R283" s="201"/>
      <c r="T283" s="209" t="str">
        <f>_xlfn.XLOOKUP(T275,RenewalPlans!B:B,RenewalPlans!AD:AD,"NA",0,1)</f>
        <v>NA</v>
      </c>
      <c r="U283" s="200"/>
      <c r="V283" s="200"/>
      <c r="W283" s="200"/>
      <c r="X283" s="208"/>
      <c r="Y283" s="200"/>
      <c r="Z283" s="201"/>
    </row>
    <row r="284" spans="1:26" ht="18" customHeight="1" hidden="1">
      <c r="A284" s="140"/>
      <c r="B284" s="140"/>
      <c r="D284" s="203" t="s">
        <v>257</v>
      </c>
      <c r="E284" s="204"/>
      <c r="F284" s="205"/>
      <c r="G284" s="205"/>
      <c r="H284" s="205"/>
      <c r="I284" s="204"/>
      <c r="J284" s="206"/>
      <c r="K284"/>
      <c r="L284" s="207"/>
      <c r="M284" s="205"/>
      <c r="N284" s="205"/>
      <c r="O284" s="205"/>
      <c r="P284" s="204"/>
      <c r="Q284" s="205"/>
      <c r="R284" s="206"/>
      <c r="T284" s="207"/>
      <c r="U284" s="205"/>
      <c r="V284" s="205"/>
      <c r="W284" s="205"/>
      <c r="X284" s="204"/>
      <c r="Y284" s="205"/>
      <c r="Z284" s="206"/>
    </row>
    <row r="285" spans="1:26" ht="18" customHeight="1" hidden="1">
      <c r="A285" s="140"/>
      <c r="B285" s="140"/>
      <c r="D285" s="198" t="s">
        <v>258</v>
      </c>
      <c r="E285" s="208" t="str">
        <f>_xlfn.XLOOKUP(E275,CurrentPlans!B:B,CurrentPlans!AB:AB,"NA",0,1)</f>
        <v>NA</v>
      </c>
      <c r="F285" s="200"/>
      <c r="G285" s="200"/>
      <c r="H285" s="200"/>
      <c r="I285" s="208"/>
      <c r="J285" s="201"/>
      <c r="K285"/>
      <c r="L285" s="209" t="str">
        <f ca="1">_xlfn.XLOOKUP(L275,RenewalPlans!B:B,RenewalPlans!AE:AE,"NA",0,1)</f>
        <v>NA</v>
      </c>
      <c r="M285" s="200"/>
      <c r="N285" s="200"/>
      <c r="O285" s="200"/>
      <c r="P285" s="208"/>
      <c r="Q285" s="200"/>
      <c r="R285" s="201"/>
      <c r="T285" s="209" t="str">
        <f>_xlfn.XLOOKUP(T275,RenewalPlans!B:B,RenewalPlans!AE:AE,"NA",0,1)</f>
        <v>NA</v>
      </c>
      <c r="U285" s="200"/>
      <c r="V285" s="200"/>
      <c r="W285" s="200"/>
      <c r="X285" s="208"/>
      <c r="Y285" s="200"/>
      <c r="Z285" s="201"/>
    </row>
    <row r="286" spans="1:26" ht="18" customHeight="1" hidden="1">
      <c r="A286" s="140"/>
      <c r="B286" s="140"/>
      <c r="D286" s="198" t="s">
        <v>259</v>
      </c>
      <c r="E286" s="208" t="str">
        <f>_xlfn.XLOOKUP(E275,CurrentPlans!B:B,CurrentPlans!AC:AC,"NA",0,1)</f>
        <v>NA</v>
      </c>
      <c r="F286" s="200"/>
      <c r="G286" s="200"/>
      <c r="H286" s="200"/>
      <c r="I286" s="208"/>
      <c r="J286" s="201"/>
      <c r="K286"/>
      <c r="L286" s="209" t="str">
        <f ca="1">_xlfn.XLOOKUP(L275,RenewalPlans!B:B,RenewalPlans!AF:AF,"NA",0,1)</f>
        <v>NA</v>
      </c>
      <c r="M286" s="200"/>
      <c r="N286" s="200"/>
      <c r="O286" s="200"/>
      <c r="P286" s="208"/>
      <c r="Q286" s="200"/>
      <c r="R286" s="201"/>
      <c r="T286" s="209" t="str">
        <f>_xlfn.XLOOKUP(T275,RenewalPlans!B:B,RenewalPlans!AF:AF,"NA",0,1)</f>
        <v>NA</v>
      </c>
      <c r="U286" s="200"/>
      <c r="V286" s="200"/>
      <c r="W286" s="200"/>
      <c r="X286" s="208"/>
      <c r="Y286" s="200"/>
      <c r="Z286" s="201"/>
    </row>
    <row r="287" spans="1:26" ht="18" customHeight="1" hidden="1">
      <c r="A287" s="140"/>
      <c r="B287" s="140"/>
      <c r="D287" s="210"/>
      <c r="E287" s="211"/>
      <c r="F287" s="211"/>
      <c r="G287" s="211"/>
      <c r="H287" s="211"/>
      <c r="I287" s="211"/>
      <c r="J287" s="212"/>
      <c r="K287"/>
      <c r="L287" s="210"/>
      <c r="M287" s="211"/>
      <c r="N287" s="211"/>
      <c r="O287" s="211"/>
      <c r="P287" s="211"/>
      <c r="Q287" s="211"/>
      <c r="R287" s="212"/>
      <c r="T287" s="210"/>
      <c r="U287" s="211"/>
      <c r="V287" s="211"/>
      <c r="W287" s="211"/>
      <c r="X287" s="211"/>
      <c r="Y287" s="211"/>
      <c r="Z287" s="212"/>
    </row>
    <row r="288" spans="1:26" ht="18" customHeight="1" hidden="1">
      <c r="A288" s="140"/>
      <c r="B288" s="140"/>
      <c r="D288" s="185" t="s">
        <v>260</v>
      </c>
      <c r="E288" s="186"/>
      <c r="F288" s="186"/>
      <c r="G288" s="186"/>
      <c r="H288" s="186"/>
      <c r="I288" s="186"/>
      <c r="J288" s="187"/>
      <c r="K288"/>
      <c r="L288" s="188"/>
      <c r="M288" s="186"/>
      <c r="N288" s="186"/>
      <c r="O288" s="186"/>
      <c r="P288" s="186"/>
      <c r="Q288" s="186"/>
      <c r="R288" s="187"/>
      <c r="T288" s="188"/>
      <c r="U288" s="186"/>
      <c r="V288" s="186"/>
      <c r="W288" s="186"/>
      <c r="X288" s="186"/>
      <c r="Y288" s="186"/>
      <c r="Z288" s="187"/>
    </row>
    <row r="289" spans="1:26" ht="18" customHeight="1" hidden="1">
      <c r="A289" s="140"/>
      <c r="B289" s="140"/>
      <c r="D289" s="213" t="s">
        <v>261</v>
      </c>
      <c r="E289" s="130" t="str">
        <f>_xlfn.XLOOKUP(E275,CurrentPlans!B:B,CurrentPlans!AJ:AJ,"NA",0,1)</f>
        <v>NA</v>
      </c>
      <c r="F289" s="214"/>
      <c r="G289" s="214"/>
      <c r="H289" s="214"/>
      <c r="I289" s="130"/>
      <c r="J289" s="215"/>
      <c r="K289"/>
      <c r="L289" s="131" t="str">
        <f ca="1">_xlfn.XLOOKUP(L275,RenewalPlans!B:B,RenewalPlans!AM:AM,"NA",0,1)</f>
        <v>NA</v>
      </c>
      <c r="M289" s="214"/>
      <c r="N289" s="214"/>
      <c r="O289" s="214"/>
      <c r="P289" s="130"/>
      <c r="Q289" s="214"/>
      <c r="R289" s="215"/>
      <c r="T289" s="131" t="str">
        <f>_xlfn.XLOOKUP(T275,RenewalPlans!B:B,RenewalPlans!AM:AM,"NA",0,1)</f>
        <v>NA</v>
      </c>
      <c r="U289" s="214"/>
      <c r="V289" s="214"/>
      <c r="W289" s="214"/>
      <c r="X289" s="130"/>
      <c r="Y289" s="214"/>
      <c r="Z289" s="215"/>
    </row>
    <row r="290" spans="1:26" ht="18" customHeight="1" hidden="1">
      <c r="A290" s="140"/>
      <c r="B290" s="140"/>
      <c r="D290" s="198" t="s">
        <v>262</v>
      </c>
      <c r="E290" s="130" t="str">
        <f>_xlfn.XLOOKUP(E275,CurrentPlans!B:B,CurrentPlans!AM:AM,"NA",0,1)</f>
        <v>NA</v>
      </c>
      <c r="F290" s="200"/>
      <c r="G290" s="200"/>
      <c r="H290" s="200"/>
      <c r="I290" s="130"/>
      <c r="J290" s="201"/>
      <c r="K290"/>
      <c r="L290" s="131" t="str">
        <f ca="1">_xlfn.XLOOKUP(L275,RenewalPlans!B:B,RenewalPlans!AP:AP,"NA",0,1)</f>
        <v>NA</v>
      </c>
      <c r="M290" s="200"/>
      <c r="N290" s="200"/>
      <c r="O290" s="200"/>
      <c r="P290" s="130"/>
      <c r="Q290" s="200"/>
      <c r="R290" s="201"/>
      <c r="T290" s="131" t="str">
        <f>_xlfn.XLOOKUP(T275,RenewalPlans!B:B,RenewalPlans!AP:AP,"NA",0,1)</f>
        <v>NA</v>
      </c>
      <c r="U290" s="200"/>
      <c r="V290" s="200"/>
      <c r="W290" s="200"/>
      <c r="X290" s="130"/>
      <c r="Y290" s="200"/>
      <c r="Z290" s="201"/>
    </row>
    <row r="291" spans="1:26" ht="18" customHeight="1" hidden="1">
      <c r="A291" s="140"/>
      <c r="B291" s="140"/>
      <c r="D291" s="198" t="s">
        <v>263</v>
      </c>
      <c r="E291" s="130" t="str">
        <f>_xlfn.XLOOKUP(E275,CurrentPlans!B:B,CurrentPlans!AI:AI,"NA",0,1)</f>
        <v>NA</v>
      </c>
      <c r="F291" s="200"/>
      <c r="G291" s="200"/>
      <c r="H291" s="200"/>
      <c r="I291" s="130"/>
      <c r="J291" s="201"/>
      <c r="K291"/>
      <c r="L291" s="131" t="str">
        <f ca="1">_xlfn.XLOOKUP(L275,RenewalPlans!B:B,RenewalPlans!AL:AL,"NA",0,1)</f>
        <v>NA</v>
      </c>
      <c r="M291" s="200"/>
      <c r="N291" s="200"/>
      <c r="O291" s="200"/>
      <c r="P291" s="130"/>
      <c r="Q291" s="200"/>
      <c r="R291" s="201"/>
      <c r="T291" s="131" t="str">
        <f>_xlfn.XLOOKUP(T275,RenewalPlans!B:B,RenewalPlans!AL:AL,"NA",0,1)</f>
        <v>NA</v>
      </c>
      <c r="U291" s="200"/>
      <c r="V291" s="200"/>
      <c r="W291" s="200"/>
      <c r="X291" s="130"/>
      <c r="Y291" s="200"/>
      <c r="Z291" s="201"/>
    </row>
    <row r="292" spans="1:26" ht="18" customHeight="1" hidden="1">
      <c r="A292" s="140"/>
      <c r="B292" s="140"/>
      <c r="D292" s="198" t="s">
        <v>264</v>
      </c>
      <c r="E292" s="208" t="str">
        <f>_xlfn.XLOOKUP(E275,CurrentPlans!B:B,CurrentPlans!AN:AN,"NA",0,1)</f>
        <v>NA</v>
      </c>
      <c r="F292" s="200"/>
      <c r="G292" s="200"/>
      <c r="H292" s="200"/>
      <c r="I292" s="208"/>
      <c r="J292" s="201"/>
      <c r="K292"/>
      <c r="L292" s="209" t="str">
        <f ca="1">_xlfn.XLOOKUP(L275,RenewalPlans!B:B,RenewalPlans!AQ:AQ,"NA",0,1)</f>
        <v>NA</v>
      </c>
      <c r="M292" s="200"/>
      <c r="N292" s="200"/>
      <c r="O292" s="200"/>
      <c r="P292" s="208"/>
      <c r="Q292" s="200"/>
      <c r="R292" s="201"/>
      <c r="T292" s="209" t="str">
        <f>_xlfn.XLOOKUP(T275,RenewalPlans!B:B,RenewalPlans!AQ:AQ,"NA",0,1)</f>
        <v>NA</v>
      </c>
      <c r="U292" s="200"/>
      <c r="V292" s="200"/>
      <c r="W292" s="200"/>
      <c r="X292" s="208"/>
      <c r="Y292" s="200"/>
      <c r="Z292" s="201"/>
    </row>
    <row r="293" spans="1:26" ht="18" customHeight="1" hidden="1">
      <c r="A293" s="140"/>
      <c r="B293" s="140"/>
      <c r="D293" s="210"/>
      <c r="E293" s="211"/>
      <c r="F293" s="211"/>
      <c r="G293" s="211"/>
      <c r="H293" s="211"/>
      <c r="I293" s="211"/>
      <c r="J293" s="212"/>
      <c r="K293"/>
      <c r="L293" s="210"/>
      <c r="M293" s="211"/>
      <c r="N293" s="211"/>
      <c r="O293" s="211"/>
      <c r="P293" s="211"/>
      <c r="Q293" s="211"/>
      <c r="R293" s="212"/>
      <c r="T293" s="210"/>
      <c r="U293" s="211"/>
      <c r="V293" s="211"/>
      <c r="W293" s="211"/>
      <c r="X293" s="211"/>
      <c r="Y293" s="211"/>
      <c r="Z293" s="212"/>
    </row>
    <row r="294" spans="1:26" ht="18" customHeight="1" hidden="1">
      <c r="A294" s="140"/>
      <c r="B294" s="140"/>
      <c r="D294" s="185" t="s">
        <v>265</v>
      </c>
      <c r="E294" s="186"/>
      <c r="F294" s="186"/>
      <c r="G294" s="186"/>
      <c r="H294" s="186"/>
      <c r="I294" s="186"/>
      <c r="J294" s="187"/>
      <c r="K294"/>
      <c r="L294" s="188"/>
      <c r="M294" s="186"/>
      <c r="N294" s="186"/>
      <c r="O294" s="186"/>
      <c r="P294" s="186"/>
      <c r="Q294" s="186"/>
      <c r="R294" s="187"/>
      <c r="T294" s="188"/>
      <c r="U294" s="186"/>
      <c r="V294" s="186"/>
      <c r="W294" s="186"/>
      <c r="X294" s="186"/>
      <c r="Y294" s="186"/>
      <c r="Z294" s="187"/>
    </row>
    <row r="295" spans="1:26" ht="18" customHeight="1" hidden="1">
      <c r="A295" s="140"/>
      <c r="B295" s="140"/>
      <c r="D295" s="132" t="s">
        <v>266</v>
      </c>
      <c r="E295" s="133" t="str">
        <f>_xlfn.XLOOKUP(E275,CurrentPlans!B:B,CurrentPlans!AE:AE,"NA",0,1)</f>
        <v>NA</v>
      </c>
      <c r="F295" s="134"/>
      <c r="G295" s="134"/>
      <c r="H295" s="134"/>
      <c r="I295" s="133"/>
      <c r="J295" s="135"/>
      <c r="K295"/>
      <c r="L295" s="136" t="str">
        <f ca="1">_xlfn.XLOOKUP(L275,RenewalPlans!B:B,RenewalPlans!AH:AH,"NA",0,1)</f>
        <v>NA</v>
      </c>
      <c r="M295" s="134"/>
      <c r="N295" s="134"/>
      <c r="O295" s="134"/>
      <c r="P295" s="133"/>
      <c r="Q295" s="134"/>
      <c r="R295" s="135"/>
      <c r="T295" s="136" t="str">
        <f>_xlfn.XLOOKUP(T275,RenewalPlans!B:B,RenewalPlans!AH:AH,"NA",0,1)</f>
        <v>NA</v>
      </c>
      <c r="U295" s="134"/>
      <c r="V295" s="134"/>
      <c r="W295" s="134"/>
      <c r="X295" s="133"/>
      <c r="Y295" s="134"/>
      <c r="Z295" s="135"/>
    </row>
    <row r="296" spans="1:26" ht="18" customHeight="1" hidden="1">
      <c r="A296" s="140"/>
      <c r="B296" s="140"/>
      <c r="D296" s="120" t="s">
        <v>267</v>
      </c>
      <c r="E296" s="130" t="str">
        <f>_xlfn.XLOOKUP(E275,CurrentPlans!B:B,CurrentPlans!AF:AF,"NA",0,1)</f>
        <v>NA</v>
      </c>
      <c r="F296" s="122"/>
      <c r="G296" s="122"/>
      <c r="H296" s="122"/>
      <c r="I296" s="130"/>
      <c r="J296" s="123"/>
      <c r="K296"/>
      <c r="L296" s="131" t="str">
        <f ca="1">_xlfn.XLOOKUP(L275,RenewalPlans!B:B,RenewalPlans!AI:AI,"NA",0,1)</f>
        <v>NA</v>
      </c>
      <c r="M296" s="122"/>
      <c r="N296" s="122"/>
      <c r="O296" s="122"/>
      <c r="P296" s="130"/>
      <c r="Q296" s="122"/>
      <c r="R296" s="123"/>
      <c r="T296" s="131" t="str">
        <f>_xlfn.XLOOKUP(T275,RenewalPlans!B:B,RenewalPlans!AI:AI,"NA",0,1)</f>
        <v>NA</v>
      </c>
      <c r="U296" s="122"/>
      <c r="V296" s="122"/>
      <c r="W296" s="122"/>
      <c r="X296" s="130"/>
      <c r="Y296" s="122"/>
      <c r="Z296" s="123"/>
    </row>
    <row r="297" spans="1:26" ht="18" customHeight="1" hidden="1">
      <c r="A297" s="140"/>
      <c r="B297" s="140"/>
      <c r="D297" s="198" t="s">
        <v>268</v>
      </c>
      <c r="E297" s="130" t="str">
        <f>_xlfn.XLOOKUP(E275,CurrentPlans!B:B,CurrentPlans!AH:AH,"NA",0,1)</f>
        <v>NA</v>
      </c>
      <c r="F297" s="200"/>
      <c r="G297" s="200"/>
      <c r="H297" s="200"/>
      <c r="I297" s="130"/>
      <c r="J297" s="201"/>
      <c r="K297"/>
      <c r="L297" s="131" t="str">
        <f ca="1">_xlfn.XLOOKUP(L275,RenewalPlans!B:B,RenewalPlans!AK:AK,"NA",0,1)</f>
        <v>NA</v>
      </c>
      <c r="M297" s="200"/>
      <c r="N297" s="200"/>
      <c r="O297" s="200"/>
      <c r="P297" s="130"/>
      <c r="Q297" s="200"/>
      <c r="R297" s="201"/>
      <c r="T297" s="131" t="str">
        <f>_xlfn.XLOOKUP(T275,RenewalPlans!B:B,RenewalPlans!AK:AK,"NA",0,1)</f>
        <v>NA</v>
      </c>
      <c r="U297" s="200"/>
      <c r="V297" s="200"/>
      <c r="W297" s="200"/>
      <c r="X297" s="130"/>
      <c r="Y297" s="200"/>
      <c r="Z297" s="201"/>
    </row>
    <row r="298" spans="1:26" ht="18" customHeight="1" hidden="1">
      <c r="A298" s="140"/>
      <c r="B298" s="140"/>
      <c r="D298" s="198" t="s">
        <v>269</v>
      </c>
      <c r="E298" s="130" t="str">
        <f>_xlfn.XLOOKUP(E275,CurrentPlans!B:B,CurrentPlans!AG:AG,"NA",0,1)</f>
        <v>NA</v>
      </c>
      <c r="F298" s="200"/>
      <c r="G298" s="200"/>
      <c r="H298" s="200"/>
      <c r="I298" s="130"/>
      <c r="J298" s="201"/>
      <c r="K298"/>
      <c r="L298" s="131" t="str">
        <f ca="1">_xlfn.XLOOKUP(L275,RenewalPlans!B:B,RenewalPlans!AJ:AJ,"NA",0,1)</f>
        <v>NA</v>
      </c>
      <c r="M298" s="200"/>
      <c r="N298" s="200"/>
      <c r="O298" s="200"/>
      <c r="P298" s="130"/>
      <c r="Q298" s="200"/>
      <c r="R298" s="201"/>
      <c r="T298" s="131" t="str">
        <f>_xlfn.XLOOKUP(T275,RenewalPlans!B:B,RenewalPlans!AJ:AJ,"NA",0,1)</f>
        <v>NA</v>
      </c>
      <c r="U298" s="200"/>
      <c r="V298" s="200"/>
      <c r="W298" s="200"/>
      <c r="X298" s="130"/>
      <c r="Y298" s="200"/>
      <c r="Z298" s="201"/>
    </row>
    <row r="299" spans="1:26" ht="18" customHeight="1" hidden="1">
      <c r="A299" s="140"/>
      <c r="B299" s="140"/>
      <c r="D299" s="213" t="s">
        <v>270</v>
      </c>
      <c r="E299" s="216" t="str">
        <f>_xlfn.XLOOKUP(E275,CurrentPlans!B:B,CurrentPlans!AU:AU,"NA",0,1)</f>
        <v>NA</v>
      </c>
      <c r="F299" s="214"/>
      <c r="G299" s="214"/>
      <c r="H299" s="214"/>
      <c r="I299" s="217"/>
      <c r="J299" s="215"/>
      <c r="K299"/>
      <c r="L299" s="218" t="str">
        <f ca="1">_xlfn.XLOOKUP(L275,RenewalPlans!B:B,RenewalPlans!AX:AX,"NA",0,1)</f>
        <v>NA</v>
      </c>
      <c r="M299" s="214"/>
      <c r="N299" s="214"/>
      <c r="O299" s="214"/>
      <c r="P299" s="217"/>
      <c r="Q299" s="214"/>
      <c r="R299" s="215"/>
      <c r="T299" s="218" t="str">
        <f>_xlfn.XLOOKUP(T275,RenewalPlans!B:B,RenewalPlans!AX:AX,"NA",0,1)</f>
        <v>NA</v>
      </c>
      <c r="U299" s="214"/>
      <c r="V299" s="214"/>
      <c r="W299" s="214"/>
      <c r="X299" s="217"/>
      <c r="Y299" s="214"/>
      <c r="Z299" s="215"/>
    </row>
    <row r="300" spans="1:26" ht="18" customHeight="1" hidden="1">
      <c r="A300" s="140"/>
      <c r="B300" s="140"/>
      <c r="D300" s="213" t="s">
        <v>271</v>
      </c>
      <c r="E300" s="216" t="str">
        <f>_xlfn.XLOOKUP(E275,CurrentPlans!B:B,CurrentPlans!AT:AT,"NA",0,1)</f>
        <v>NA</v>
      </c>
      <c r="F300" s="214"/>
      <c r="G300" s="214"/>
      <c r="H300" s="214"/>
      <c r="I300" s="217"/>
      <c r="J300" s="215"/>
      <c r="K300"/>
      <c r="L300" s="218" t="str">
        <f ca="1">_xlfn.XLOOKUP(L275,RenewalPlans!B:B,RenewalPlans!AW:AW,"NA",0,1)</f>
        <v>NA</v>
      </c>
      <c r="M300" s="214"/>
      <c r="N300" s="214"/>
      <c r="O300" s="214"/>
      <c r="P300" s="217"/>
      <c r="Q300" s="214"/>
      <c r="R300" s="215"/>
      <c r="T300" s="218" t="str">
        <f>_xlfn.XLOOKUP(T275,RenewalPlans!B:B,RenewalPlans!AW:AW,"NA",0,1)</f>
        <v>NA</v>
      </c>
      <c r="U300" s="214"/>
      <c r="V300" s="214"/>
      <c r="W300" s="214"/>
      <c r="X300" s="217"/>
      <c r="Y300" s="214"/>
      <c r="Z300" s="215"/>
    </row>
    <row r="301" spans="1:26" ht="18" customHeight="1" hidden="1">
      <c r="A301" s="140"/>
      <c r="B301" s="140"/>
      <c r="D301" s="198" t="s">
        <v>272</v>
      </c>
      <c r="E301" s="130" t="str">
        <f>_xlfn.XLOOKUP(E275,CurrentPlans!B:B,CurrentPlans!AD:AD,"NA",0,1)</f>
        <v>NA</v>
      </c>
      <c r="F301" s="200"/>
      <c r="G301" s="200"/>
      <c r="H301" s="200"/>
      <c r="I301" s="130"/>
      <c r="J301" s="201"/>
      <c r="K301"/>
      <c r="L301" s="131" t="str">
        <f ca="1">_xlfn.XLOOKUP(L275,RenewalPlans!B:B,RenewalPlans!AG:AG,"NA",0,1)</f>
        <v>NA</v>
      </c>
      <c r="M301" s="200"/>
      <c r="N301" s="200"/>
      <c r="O301" s="200"/>
      <c r="P301" s="130"/>
      <c r="Q301" s="200"/>
      <c r="R301" s="201"/>
      <c r="T301" s="131" t="str">
        <f>_xlfn.XLOOKUP(T275,RenewalPlans!B:B,RenewalPlans!AG:AG,"NA",0,1)</f>
        <v>NA</v>
      </c>
      <c r="U301" s="200"/>
      <c r="V301" s="200"/>
      <c r="W301" s="200"/>
      <c r="X301" s="130"/>
      <c r="Y301" s="200"/>
      <c r="Z301" s="201"/>
    </row>
    <row r="302" spans="1:26" ht="18" customHeight="1" hidden="1">
      <c r="A302" s="140"/>
      <c r="B302" s="140"/>
      <c r="D302" s="198" t="s">
        <v>273</v>
      </c>
      <c r="E302" s="200"/>
      <c r="F302" s="200"/>
      <c r="G302" s="200"/>
      <c r="H302" s="200"/>
      <c r="I302" s="200"/>
      <c r="J302" s="201"/>
      <c r="K302"/>
      <c r="L302" s="198"/>
      <c r="M302" s="200"/>
      <c r="N302" s="200"/>
      <c r="O302" s="200"/>
      <c r="P302" s="200"/>
      <c r="Q302" s="200"/>
      <c r="R302" s="201"/>
      <c r="T302" s="198"/>
      <c r="U302" s="200"/>
      <c r="V302" s="200"/>
      <c r="W302" s="200"/>
      <c r="X302" s="200"/>
      <c r="Y302" s="200"/>
      <c r="Z302" s="201"/>
    </row>
    <row r="303" spans="1:26" ht="18" customHeight="1" hidden="1">
      <c r="A303" s="140"/>
      <c r="B303" s="140"/>
      <c r="D303" s="210"/>
      <c r="E303" s="211"/>
      <c r="F303" s="211"/>
      <c r="G303" s="211"/>
      <c r="H303" s="211"/>
      <c r="I303" s="211"/>
      <c r="J303" s="212"/>
      <c r="K303"/>
      <c r="L303" s="210"/>
      <c r="M303" s="211"/>
      <c r="N303" s="211"/>
      <c r="O303" s="211"/>
      <c r="P303" s="211"/>
      <c r="Q303" s="211"/>
      <c r="R303" s="212"/>
      <c r="T303" s="210"/>
      <c r="U303" s="211"/>
      <c r="V303" s="211"/>
      <c r="W303" s="211"/>
      <c r="X303" s="211"/>
      <c r="Y303" s="211"/>
      <c r="Z303" s="212"/>
    </row>
    <row r="304" spans="1:26" ht="18" customHeight="1" hidden="1">
      <c r="A304" s="140"/>
      <c r="B304" s="140"/>
      <c r="D304" s="219" t="s">
        <v>274</v>
      </c>
      <c r="E304" s="220"/>
      <c r="F304" s="220"/>
      <c r="G304" s="220"/>
      <c r="H304" s="220"/>
      <c r="I304" s="220"/>
      <c r="J304" s="221"/>
      <c r="K304"/>
      <c r="L304" s="222"/>
      <c r="M304" s="220"/>
      <c r="N304" s="220"/>
      <c r="O304" s="220"/>
      <c r="P304" s="220"/>
      <c r="Q304" s="220"/>
      <c r="R304" s="221"/>
      <c r="T304" s="222"/>
      <c r="U304" s="220"/>
      <c r="V304" s="220"/>
      <c r="W304" s="220"/>
      <c r="X304" s="220"/>
      <c r="Y304" s="220"/>
      <c r="Z304" s="221"/>
    </row>
    <row r="305" spans="1:26" ht="18" customHeight="1" hidden="1">
      <c r="A305" s="140"/>
      <c r="B305" s="140"/>
      <c r="D305" s="223" t="s">
        <v>250</v>
      </c>
      <c r="E305" s="205"/>
      <c r="F305" s="205"/>
      <c r="G305" s="205"/>
      <c r="H305" s="205"/>
      <c r="I305" s="205"/>
      <c r="J305" s="206"/>
      <c r="K305"/>
      <c r="L305" s="203"/>
      <c r="M305" s="205"/>
      <c r="N305" s="205"/>
      <c r="O305" s="205"/>
      <c r="P305" s="205"/>
      <c r="Q305" s="205"/>
      <c r="R305" s="206"/>
      <c r="T305" s="203"/>
      <c r="U305" s="205"/>
      <c r="V305" s="205"/>
      <c r="W305" s="205"/>
      <c r="X305" s="205"/>
      <c r="Y305" s="205"/>
      <c r="Z305" s="206"/>
    </row>
    <row r="306" spans="1:26" ht="18" customHeight="1" hidden="1">
      <c r="A306" s="140"/>
      <c r="B306" s="140"/>
      <c r="D306" s="198" t="s">
        <v>251</v>
      </c>
      <c r="E306" s="130" t="str">
        <f>_xlfn.XLOOKUP(E275,CurrentPlans!B:B,CurrentPlans!AP:AP,"NA",0,1)</f>
        <v>NA</v>
      </c>
      <c r="F306" s="200"/>
      <c r="G306" s="200"/>
      <c r="H306" s="200"/>
      <c r="I306" s="130"/>
      <c r="J306" s="201"/>
      <c r="K306"/>
      <c r="L306" s="131" t="str">
        <f ca="1">_xlfn.XLOOKUP(L275,RenewalPlans!B:B,RenewalPlans!AS:AS,"NA",0,1)</f>
        <v>NA</v>
      </c>
      <c r="M306" s="200"/>
      <c r="N306" s="200"/>
      <c r="O306" s="200"/>
      <c r="P306" s="130"/>
      <c r="Q306" s="200"/>
      <c r="R306" s="201"/>
      <c r="T306" s="131" t="str">
        <f>_xlfn.XLOOKUP(T275,RenewalPlans!B:B,RenewalPlans!AS:AS,"NA",0,1)</f>
        <v>NA</v>
      </c>
      <c r="U306" s="200"/>
      <c r="V306" s="200"/>
      <c r="W306" s="200"/>
      <c r="X306" s="130"/>
      <c r="Y306" s="200"/>
      <c r="Z306" s="201"/>
    </row>
    <row r="307" spans="1:26" ht="18" customHeight="1" hidden="1">
      <c r="A307" s="140"/>
      <c r="B307" s="140"/>
      <c r="D307" s="198" t="s">
        <v>252</v>
      </c>
      <c r="E307" s="130" t="str">
        <f>_xlfn.XLOOKUP(E275,CurrentPlans!B:B,CurrentPlans!AQ:AQ,"NA",0,1)</f>
        <v>NA</v>
      </c>
      <c r="F307" s="200"/>
      <c r="G307" s="200"/>
      <c r="H307" s="200"/>
      <c r="I307" s="130"/>
      <c r="J307" s="201"/>
      <c r="K307"/>
      <c r="L307" s="131" t="str">
        <f ca="1">_xlfn.XLOOKUP(L275,RenewalPlans!B:B,RenewalPlans!AT:AT,"NA",0,1)</f>
        <v>NA</v>
      </c>
      <c r="M307" s="200"/>
      <c r="N307" s="200"/>
      <c r="O307" s="200"/>
      <c r="P307" s="130"/>
      <c r="Q307" s="200"/>
      <c r="R307" s="201"/>
      <c r="T307" s="131" t="str">
        <f>_xlfn.XLOOKUP(T275,RenewalPlans!B:B,RenewalPlans!AT:AT,"NA",0,1)</f>
        <v>NA</v>
      </c>
      <c r="U307" s="200"/>
      <c r="V307" s="200"/>
      <c r="W307" s="200"/>
      <c r="X307" s="130"/>
      <c r="Y307" s="200"/>
      <c r="Z307" s="201"/>
    </row>
    <row r="308" spans="1:26" ht="18" customHeight="1" hidden="1">
      <c r="A308" s="140"/>
      <c r="B308" s="140"/>
      <c r="D308" s="120" t="s">
        <v>253</v>
      </c>
      <c r="E308" s="133" t="str">
        <f>_xlfn.XLOOKUP(E275,CurrentPlans!B:B,CurrentPlans!AO:AO,"NA",0,1)</f>
        <v>NA</v>
      </c>
      <c r="F308" s="122"/>
      <c r="G308" s="122"/>
      <c r="H308" s="122"/>
      <c r="I308" s="133"/>
      <c r="J308" s="123"/>
      <c r="K308"/>
      <c r="L308" s="136" t="str">
        <f ca="1">_xlfn.XLOOKUP(L275,RenewalPlans!B:B,RenewalPlans!AR:AR,"NA",0,1)</f>
        <v>NA</v>
      </c>
      <c r="M308" s="122"/>
      <c r="N308" s="122"/>
      <c r="O308" s="122"/>
      <c r="P308" s="133"/>
      <c r="Q308" s="122"/>
      <c r="R308" s="123"/>
      <c r="T308" s="136" t="str">
        <f>_xlfn.XLOOKUP(T275,RenewalPlans!B:B,RenewalPlans!AR:AR,"NA",0,1)</f>
        <v>NA</v>
      </c>
      <c r="U308" s="122"/>
      <c r="V308" s="122"/>
      <c r="W308" s="122"/>
      <c r="X308" s="133"/>
      <c r="Y308" s="122"/>
      <c r="Z308" s="123"/>
    </row>
    <row r="309" spans="1:26" ht="18" customHeight="1" hidden="1">
      <c r="A309" s="140"/>
      <c r="B309" s="140"/>
      <c r="D309" s="223" t="s">
        <v>254</v>
      </c>
      <c r="E309" s="205"/>
      <c r="F309" s="205"/>
      <c r="G309" s="205"/>
      <c r="H309" s="205"/>
      <c r="I309" s="205"/>
      <c r="J309" s="206"/>
      <c r="K309"/>
      <c r="L309" s="203"/>
      <c r="M309" s="205"/>
      <c r="N309" s="205"/>
      <c r="O309" s="205"/>
      <c r="P309" s="205"/>
      <c r="Q309" s="205"/>
      <c r="R309" s="206"/>
      <c r="T309" s="203"/>
      <c r="U309" s="205"/>
      <c r="V309" s="205"/>
      <c r="W309" s="205"/>
      <c r="X309" s="205"/>
      <c r="Y309" s="205"/>
      <c r="Z309" s="206"/>
    </row>
    <row r="310" spans="1:26" ht="18" customHeight="1" hidden="1">
      <c r="A310" s="140"/>
      <c r="B310" s="140"/>
      <c r="D310" s="198" t="s">
        <v>255</v>
      </c>
      <c r="E310" s="130" t="str">
        <f>_xlfn.XLOOKUP(E275,CurrentPlans!B:B,CurrentPlans!AR:AR,"NA",0,1)</f>
        <v>NA</v>
      </c>
      <c r="F310" s="200"/>
      <c r="G310" s="200"/>
      <c r="H310" s="200"/>
      <c r="I310" s="130"/>
      <c r="J310" s="201"/>
      <c r="K310"/>
      <c r="L310" s="131" t="str">
        <f ca="1">_xlfn.XLOOKUP(L275,RenewalPlans!B:B,RenewalPlans!AU:AU,"NA",0,1)</f>
        <v>NA</v>
      </c>
      <c r="M310" s="200"/>
      <c r="N310" s="200"/>
      <c r="O310" s="200"/>
      <c r="P310" s="130"/>
      <c r="Q310" s="200"/>
      <c r="R310" s="201"/>
      <c r="T310" s="131" t="str">
        <f>_xlfn.XLOOKUP(T275,RenewalPlans!B:B,RenewalPlans!AU:AU,"NA",0,1)</f>
        <v>NA</v>
      </c>
      <c r="U310" s="200"/>
      <c r="V310" s="200"/>
      <c r="W310" s="200"/>
      <c r="X310" s="130"/>
      <c r="Y310" s="200"/>
      <c r="Z310" s="201"/>
    </row>
    <row r="311" spans="1:26" ht="18" customHeight="1" hidden="1" thickBot="1">
      <c r="A311" s="140"/>
      <c r="B311" s="140"/>
      <c r="D311" s="224" t="s">
        <v>256</v>
      </c>
      <c r="E311" s="137" t="str">
        <f>_xlfn.XLOOKUP(E275,CurrentPlans!B:B,CurrentPlans!AS:AS,"NA",0,1)</f>
        <v>NA</v>
      </c>
      <c r="F311" s="225"/>
      <c r="G311" s="225"/>
      <c r="H311" s="225"/>
      <c r="I311" s="137"/>
      <c r="J311" s="226"/>
      <c r="K311"/>
      <c r="L311" s="138" t="str">
        <f ca="1">_xlfn.XLOOKUP(L275,RenewalPlans!B:B,RenewalPlans!AV:AV,"NA",0,1)</f>
        <v>NA</v>
      </c>
      <c r="M311" s="225"/>
      <c r="N311" s="225"/>
      <c r="O311" s="225"/>
      <c r="P311" s="137"/>
      <c r="Q311" s="225"/>
      <c r="R311" s="226"/>
      <c r="T311" s="138" t="str">
        <f>_xlfn.XLOOKUP(T275,RenewalPlans!B:B,RenewalPlans!AV:AV,"NA",0,1)</f>
        <v>NA</v>
      </c>
      <c r="U311" s="225"/>
      <c r="V311" s="225"/>
      <c r="W311" s="225"/>
      <c r="X311" s="137"/>
      <c r="Y311" s="225"/>
      <c r="Z311" s="226"/>
    </row>
    <row r="312" spans="1:26" ht="18" customHeight="1">
      <c r="A312" s="140"/>
      <c r="B312" s="140"/>
      <c r="D312" s="227"/>
      <c r="E312" s="176"/>
      <c r="F312" s="178"/>
      <c r="G312" s="179"/>
      <c r="H312" s="178"/>
      <c r="I312" s="176"/>
      <c r="J312" s="228"/>
      <c r="K312"/>
      <c r="L312" s="178"/>
      <c r="M312" s="176"/>
      <c r="N312" s="139"/>
      <c r="O312" s="178"/>
      <c r="P312" s="178"/>
      <c r="Q312" s="178"/>
      <c r="R312" s="228"/>
      <c r="T312" s="178"/>
      <c r="U312" s="176"/>
      <c r="V312" s="139"/>
      <c r="W312" s="178"/>
      <c r="X312" s="178"/>
      <c r="Y312" s="178"/>
      <c r="Z312" s="228"/>
    </row>
    <row r="313" spans="1:26" ht="5.25" customHeight="1" thickBot="1">
      <c r="A313" s="140"/>
      <c r="B313" s="140"/>
      <c r="D313" s="229"/>
      <c r="E313" s="229"/>
      <c r="F313" s="230"/>
      <c r="G313" s="231"/>
      <c r="H313" s="232"/>
      <c r="I313" s="233"/>
      <c r="J313" s="233"/>
      <c r="K313"/>
      <c r="L313" s="233"/>
      <c r="M313" s="233"/>
      <c r="N313" s="233"/>
      <c r="O313" s="233"/>
      <c r="P313" s="233"/>
      <c r="Q313" s="233"/>
      <c r="R313" s="233"/>
      <c r="T313" s="233"/>
      <c r="U313" s="233"/>
      <c r="V313" s="233"/>
      <c r="W313" s="233"/>
      <c r="X313" s="233"/>
      <c r="Y313" s="233"/>
      <c r="Z313" s="233"/>
    </row>
    <row r="314" spans="1:26" ht="50.15" customHeight="1">
      <c r="A314" s="140">
        <v>7</v>
      </c>
      <c r="B314" s="140" t="str">
        <f>IF(A314&gt;Class4_CurrentHealthCount,"DELETE",Class4_CurrentHealthStart+A314)</f>
        <v>DELETE</v>
      </c>
      <c r="C314" s="164" t="s">
        <v>280</v>
      </c>
      <c r="D314" s="273" t="str">
        <f>IF(B314="Delete","",VLOOKUP(F314,BEGIN_CURRENT_HEALTH:END_CURRENT_HEALTH,3,FALSE))</f>
        <v/>
      </c>
      <c r="E314" s="165"/>
      <c r="F314" s="272" t="str" cm="1">
        <f t="array" ca="1" aca="1" ref="F314">IF(B314="Delete","",INDIRECT("CurrentPlans!A"&amp;B314,TRUE))</f>
        <v/>
      </c>
      <c r="G314" s="166"/>
      <c r="H314" s="167"/>
      <c r="I314" s="168"/>
      <c r="J314" s="169"/>
      <c r="K314"/>
      <c r="L314" s="274" t="str">
        <f ca="1">_xlfn.IFNA(VLOOKUP(F314,BEGIN_RENEWEDFROM_HEALTH:ROW_RenewHealth_PlanID,3,FALSE),"SELECT PLAN")</f>
        <v>SELECT PLAN</v>
      </c>
      <c r="M314" s="170"/>
      <c r="N314" s="274" t="s">
        <v>237</v>
      </c>
      <c r="O314" s="171"/>
      <c r="P314" s="171"/>
      <c r="Q314" s="171"/>
      <c r="R314" s="169"/>
      <c r="T314" s="274" t="s">
        <v>38</v>
      </c>
      <c r="U314" s="170"/>
      <c r="V314" s="274" t="s">
        <v>237</v>
      </c>
      <c r="W314" s="171"/>
      <c r="X314" s="171"/>
      <c r="Y314" s="171"/>
      <c r="Z314" s="169"/>
    </row>
    <row r="315" spans="1:26" ht="18.75" customHeight="1">
      <c r="A315" s="140"/>
      <c r="B315" s="140"/>
      <c r="D315" s="172" t="s">
        <v>238</v>
      </c>
      <c r="E315" s="407" t="str">
        <f ca="1">_xlfn.IFNA(VLOOKUP(F314,BEGIN_CURRENT_HEALTH:END_CURRENT_HEALTH,CURRENT_COL_EO_count,FALSE),"")</f>
        <v/>
      </c>
      <c r="F315" s="408" t="str">
        <f ca="1">_xlfn.IFNA(VLOOKUP(F314,BEGIN_CURRENT_HEALTH:END_CURRENT_HEALTH,CURRENT_COL_EO,FALSE),"")</f>
        <v/>
      </c>
      <c r="G315" s="468" t="str">
        <f ca="1" t="shared" si="30" ref="G315:G318">IF(F315="","",H315/F315)</f>
        <v/>
      </c>
      <c r="H315" s="408" t="str">
        <f ca="1">_xlfn.IFNA(VLOOKUP(F314,BEGIN_CURRENT_HEALTH:END_CURRENT_HEALTH,CURRENT_COL_EOContrib,FALSE),"")</f>
        <v/>
      </c>
      <c r="I315" s="409" t="str">
        <f ca="1">IFERROR(F315-H315,"")</f>
        <v/>
      </c>
      <c r="J315" s="410" t="str">
        <f ca="1">IF(F315="","",H315*E315)</f>
        <v/>
      </c>
      <c r="K315" s="411"/>
      <c r="L315" s="408" t="str" cm="1">
        <f t="array" ca="1" aca="1" ref="L315">_xlfn.IFNA(VLOOKUP(INDIRECT("L"&amp;ROW()-1)&amp;"_"&amp;$D$12,BEGIN_RENEW_HEALTH:END_RENEW_HEALTH,RENEW_COL_EO,FALSE),"")</f>
        <v/>
      </c>
      <c r="M315" s="412" t="str">
        <f ca="1">IF(E315="","",E315)</f>
        <v/>
      </c>
      <c r="N315" s="413"/>
      <c r="O315" s="414"/>
      <c r="P315" s="415" t="str">
        <f>IFERROR(IF($N314="Keep Contribution Same",H315,IF($N314="Enter Percentages",IF(N315="","",N315*L315),IF($N314="Keep Percentage Same",IF(G315="","",G315*L315),IF($N314="Enter Dollar Amount",IF(O315="","",O315),"")))),"")</f>
        <v/>
      </c>
      <c r="Q315" s="408" t="str">
        <f ca="1">IFERROR(L315-P315,"")</f>
        <v/>
      </c>
      <c r="R315" s="410" t="str">
        <f>IFERROR(IF(P315="","",M315*P315),"")</f>
        <v/>
      </c>
      <c r="S315" s="411"/>
      <c r="T315" s="408" t="str" cm="1">
        <f t="array" ca="1" aca="1" ref="T315">_xlfn.IFNA(VLOOKUP(INDIRECT("T"&amp;ROW()-1)&amp;"_"&amp;$D$12,BEGIN_RENEW_HEALTH:END_RENEW_HEALTH,RENEW_COL_EO,FALSE),"")</f>
        <v/>
      </c>
      <c r="U315" s="412" t="str">
        <f ca="1">IF(E315="","",E315)</f>
        <v/>
      </c>
      <c r="V315" s="413"/>
      <c r="W315" s="414"/>
      <c r="X315" s="415" t="str">
        <f>IFERROR(IF($V314="Keep Contribution Same",H315,IF($V314="Enter Percentages",IF(V315="","",V315*T315),IF($V314="Keep Percentage Same",IF(G315="","",G315*T315),IF($V314="Enter Dollar Amount",IF(W315="","",W315),"")))),"")</f>
        <v/>
      </c>
      <c r="Y315" s="408" t="str">
        <f ca="1">IFERROR(T315-X315,"")</f>
        <v/>
      </c>
      <c r="Z315" s="410" t="str">
        <f>IFERROR(IF(X315="","",U315*X315),"")</f>
        <v/>
      </c>
    </row>
    <row r="316" spans="1:26" ht="18.75" customHeight="1">
      <c r="A316" s="140"/>
      <c r="B316" s="140"/>
      <c r="D316" s="172" t="s">
        <v>239</v>
      </c>
      <c r="E316" s="407" t="str">
        <f ca="1">_xlfn.IFNA(VLOOKUP(F314,BEGIN_CURRENT_HEALTH:END_CURRENT_HEALTH,CURRENT_COL_ES_count,FALSE),"")</f>
        <v/>
      </c>
      <c r="F316" s="408" t="str">
        <f ca="1">_xlfn.IFNA(VLOOKUP(F314,BEGIN_CURRENT_HEALTH:END_CURRENT_HEALTH,CURRENT_COL_ES,FALSE),"")</f>
        <v/>
      </c>
      <c r="G316" s="468" t="str">
        <f t="shared" ca="1" si="30"/>
        <v/>
      </c>
      <c r="H316" s="408" t="str">
        <f ca="1">_xlfn.IFNA(VLOOKUP(F314,BEGIN_CURRENT_HEALTH:END_CURRENT_HEALTH,CURRENT_COL_ESContrib,FALSE),"")</f>
        <v/>
      </c>
      <c r="I316" s="409" t="str">
        <f ca="1" t="shared" si="31" ref="I316:I318">IFERROR(F316-H316,"")</f>
        <v/>
      </c>
      <c r="J316" s="410" t="str">
        <f ca="1">IF(F316="","",H316*E316)</f>
        <v/>
      </c>
      <c r="K316" s="411"/>
      <c r="L316" s="408" t="str" cm="1">
        <f t="array" ca="1" aca="1" ref="L316">_xlfn.IFNA(VLOOKUP(INDIRECT("L"&amp;ROW()-2)&amp;"_"&amp;$D$12,BEGIN_RENEW_HEALTH:END_RENEW_HEALTH,RENEW_COL_ES,FALSE),"")</f>
        <v/>
      </c>
      <c r="M316" s="412" t="str">
        <f ca="1">IF(E316="","",E316)</f>
        <v/>
      </c>
      <c r="N316" s="413"/>
      <c r="O316" s="414"/>
      <c r="P316" s="415" t="str">
        <f>IFERROR(IF($N314="Keep Contribution Same",H316,IF($N314="Enter Percentages",IF(N316="","",N316*L316),IF($N314="Keep Percentage Same",IF(G316="","",G316*L316),IF($N314="Enter Dollar Amount",IF(O316="","",O316),"")))),"")</f>
        <v/>
      </c>
      <c r="Q316" s="408" t="str">
        <f ca="1">IFERROR(L316-P316,"")</f>
        <v/>
      </c>
      <c r="R316" s="410" t="str">
        <f>IFERROR(IF(P316="","",M316*P316),"")</f>
        <v/>
      </c>
      <c r="S316" s="411"/>
      <c r="T316" s="408" t="str" cm="1">
        <f t="array" ca="1" aca="1" ref="T316">_xlfn.IFNA(VLOOKUP(INDIRECT("T"&amp;ROW()-2)&amp;"_"&amp;$D$12,BEGIN_RENEW_HEALTH:END_RENEW_HEALTH,RENEW_COL_ES,FALSE),"")</f>
        <v/>
      </c>
      <c r="U316" s="412" t="str">
        <f ca="1" t="shared" si="32" ref="U316:U318">IF(E316="","",E316)</f>
        <v/>
      </c>
      <c r="V316" s="413"/>
      <c r="W316" s="414"/>
      <c r="X316" s="415" t="str">
        <f>IFERROR(IF($V314="Keep Contribution Same",H316,IF($V314="Enter Percentages",IF(V316="","",V316*T316),IF($V314="Keep Percentage Same",IF(G316="","",G316*T316),IF($V314="Enter Dollar Amount",IF(W316="","",W316),"")))),"")</f>
        <v/>
      </c>
      <c r="Y316" s="408" t="str">
        <f ca="1" t="shared" si="33" ref="Y316:Y318">IFERROR(T316-X316,"")</f>
        <v/>
      </c>
      <c r="Z316" s="410" t="str">
        <f t="shared" si="34" ref="Z316:Z318">IFERROR(IF(X316="","",U316*X316),"")</f>
        <v/>
      </c>
    </row>
    <row r="317" spans="1:26" ht="18.75" customHeight="1">
      <c r="A317" s="140"/>
      <c r="B317" s="140"/>
      <c r="D317" s="172" t="s">
        <v>240</v>
      </c>
      <c r="E317" s="407" t="str">
        <f ca="1">_xlfn.IFNA(VLOOKUP(F314,BEGIN_CURRENT_HEALTH:END_CURRENT_HEALTH,CURRENT_COL_EC_count,FALSE),"")</f>
        <v/>
      </c>
      <c r="F317" s="408" t="str">
        <f ca="1">_xlfn.IFNA(VLOOKUP(F314,BEGIN_CURRENT_HEALTH:END_CURRENT_HEALTH,CURRENT_COL_EC,FALSE),"")</f>
        <v/>
      </c>
      <c r="G317" s="468" t="str">
        <f t="shared" ca="1" si="30"/>
        <v/>
      </c>
      <c r="H317" s="408" t="str">
        <f ca="1">_xlfn.IFNA(VLOOKUP(F314,BEGIN_CURRENT_HEALTH:END_CURRENT_HEALTH,CURRENT_COL_ECContrib,FALSE),"")</f>
        <v/>
      </c>
      <c r="I317" s="409" t="str">
        <f t="shared" ca="1" si="31"/>
        <v/>
      </c>
      <c r="J317" s="410" t="str">
        <f ca="1">IF(F317="","",H317*E317)</f>
        <v/>
      </c>
      <c r="K317" s="411"/>
      <c r="L317" s="408" t="str" cm="1">
        <f t="array" ca="1" aca="1" ref="L317">_xlfn.IFNA(VLOOKUP(INDIRECT("L"&amp;ROW()-3)&amp;"_"&amp;$D$12,BEGIN_RENEW_HEALTH:END_RENEW_HEALTH,RENEW_COL_EC,FALSE),"")</f>
        <v/>
      </c>
      <c r="M317" s="412" t="str">
        <f ca="1">IF(E317="","",E317)</f>
        <v/>
      </c>
      <c r="N317" s="413"/>
      <c r="O317" s="414"/>
      <c r="P317" s="415" t="str">
        <f>IFERROR(IF($N314="Keep Contribution Same",H317,IF($N314="Enter Percentages",IF(N317="","",N317*L317),IF($N314="Keep Percentage Same",IF(G317="","",G317*L317),IF($N314="Enter Dollar Amount",IF(O317="","",O317),"")))),"")</f>
        <v/>
      </c>
      <c r="Q317" s="408" t="str">
        <f ca="1">IFERROR(L317-P317,"")</f>
        <v/>
      </c>
      <c r="R317" s="410" t="str">
        <f>IFERROR(IF(P317="","",M317*P317),"")</f>
        <v/>
      </c>
      <c r="S317" s="411"/>
      <c r="T317" s="408" t="str" cm="1">
        <f t="array" ca="1" aca="1" ref="T317">_xlfn.IFNA(VLOOKUP(INDIRECT("T"&amp;ROW()-3)&amp;"_"&amp;$D$12,BEGIN_RENEW_HEALTH:END_RENEW_HEALTH,RENEW_COL_EC,FALSE),"")</f>
        <v/>
      </c>
      <c r="U317" s="412" t="str">
        <f t="shared" ca="1" si="32"/>
        <v/>
      </c>
      <c r="V317" s="413"/>
      <c r="W317" s="414"/>
      <c r="X317" s="415" t="str">
        <f>IFERROR(IF($V314="Keep Contribution Same",H317,IF($V314="Enter Percentages",IF(V317="","",V317*T317),IF($V314="Keep Percentage Same",IF(G317="","",G317*T317),IF($V314="Enter Dollar Amount",IF(W317="","",W317),"")))),"")</f>
        <v/>
      </c>
      <c r="Y317" s="408" t="str">
        <f t="shared" ca="1" si="33"/>
        <v/>
      </c>
      <c r="Z317" s="410" t="str">
        <f t="shared" si="34"/>
        <v/>
      </c>
    </row>
    <row r="318" spans="1:26" ht="18.75" customHeight="1" thickBot="1">
      <c r="A318" s="140"/>
      <c r="B318" s="140"/>
      <c r="D318" s="174" t="s">
        <v>241</v>
      </c>
      <c r="E318" s="416" t="str">
        <f ca="1">_xlfn.IFNA(VLOOKUP(F314,BEGIN_CURRENT_HEALTH:END_CURRENT_HEALTH,CURRENT_COL_FAM_count,FALSE),"")</f>
        <v/>
      </c>
      <c r="F318" s="417" t="str">
        <f ca="1">_xlfn.IFNA(VLOOKUP(F314,BEGIN_CURRENT_HEALTH:END_CURRENT_HEALTH,CURRENT_COL_FAM,FALSE),"")</f>
        <v/>
      </c>
      <c r="G318" s="469" t="str">
        <f t="shared" ca="1" si="30"/>
        <v/>
      </c>
      <c r="H318" s="417" t="str">
        <f ca="1">_xlfn.IFNA(VLOOKUP(F314,BEGIN_CURRENT_HEALTH:END_CURRENT_HEALTH,CURRENT_COL_FAMContrib,FALSE),"")</f>
        <v/>
      </c>
      <c r="I318" s="418" t="str">
        <f t="shared" ca="1" si="31"/>
        <v/>
      </c>
      <c r="J318" s="419" t="str">
        <f ca="1">IF(F318="","",H318*E318)</f>
        <v/>
      </c>
      <c r="K318" s="411"/>
      <c r="L318" s="417" t="str" cm="1">
        <f t="array" ca="1" aca="1" ref="L318">_xlfn.IFNA(VLOOKUP(INDIRECT("L"&amp;ROW()-4)&amp;"_"&amp;$D$12,BEGIN_RENEW_HEALTH:END_RENEW_HEALTH,RENEW_COL_FAM,FALSE),"")</f>
        <v/>
      </c>
      <c r="M318" s="423" t="str">
        <f ca="1">IF(E318="","",E318)</f>
        <v/>
      </c>
      <c r="N318" s="420"/>
      <c r="O318" s="421"/>
      <c r="P318" s="422" t="str">
        <f>IFERROR(IF($N314="Keep Contribution Same",H318,IF($N314="Enter Percentages",IF(N318="","",N318*L318),IF($N314="Keep Percentage Same",IF(G318="","",G318*L318),IF($N314="Enter Dollar Amount",IF(O318="","",O318),"")))),"")</f>
        <v/>
      </c>
      <c r="Q318" s="417" t="str">
        <f ca="1">IFERROR(L318-P318,"")</f>
        <v/>
      </c>
      <c r="R318" s="419" t="str">
        <f>IFERROR(IF(P318="","",M318*P318),"")</f>
        <v/>
      </c>
      <c r="S318" s="411"/>
      <c r="T318" s="417" t="str" cm="1">
        <f t="array" ca="1" aca="1" ref="T318">_xlfn.IFNA(VLOOKUP(INDIRECT("T"&amp;ROW()-4)&amp;"_"&amp;$D$12,BEGIN_RENEW_HEALTH:END_RENEW_HEALTH,RENEW_COL_FAM,FALSE),"")</f>
        <v/>
      </c>
      <c r="U318" s="423" t="str">
        <f t="shared" ca="1" si="32"/>
        <v/>
      </c>
      <c r="V318" s="420"/>
      <c r="W318" s="421"/>
      <c r="X318" s="422" t="str">
        <f>IFERROR(IF($V314="Keep Contribution Same",H318,IF($V314="Enter Percentages",IF(V318="","",V318*T318),IF($V314="Keep Percentage Same",IF(G318="","",G318*T318),IF($V314="Enter Dollar Amount",IF(W318="","",W318),"")))),"")</f>
        <v/>
      </c>
      <c r="Y318" s="417" t="str">
        <f t="shared" ca="1" si="33"/>
        <v/>
      </c>
      <c r="Z318" s="419" t="str">
        <f t="shared" si="34"/>
        <v/>
      </c>
    </row>
    <row r="319" spans="1:26" ht="18.75" customHeight="1" thickTop="1">
      <c r="A319" s="140"/>
      <c r="B319" s="140"/>
      <c r="D319" s="175" t="s">
        <v>242</v>
      </c>
      <c r="E319" s="424"/>
      <c r="F319" s="447" t="str">
        <f ca="1">IFERROR((F315*E315)+(F316*E316)+(F317*E317)+(F318*E318),"")</f>
        <v/>
      </c>
      <c r="G319" s="426"/>
      <c r="H319" s="427"/>
      <c r="I319" s="428"/>
      <c r="J319" s="429" t="str">
        <f ca="1">IFERROR(IF(J315="","",SUM(J315:J318)),0)</f>
        <v/>
      </c>
      <c r="K319" s="1"/>
      <c r="L319" s="430" t="str">
        <f ca="1">IFERROR((M315*L315)+(M316*L316)+(M317*L317)+(M318*L318),"")</f>
        <v/>
      </c>
      <c r="M319" s="427"/>
      <c r="N319" s="426"/>
      <c r="O319" s="427"/>
      <c r="P319" s="431"/>
      <c r="Q319" s="432"/>
      <c r="R319" s="429" t="str">
        <f>IFERROR(IF(R315="","",SUM(R315:R318)),0)</f>
        <v/>
      </c>
      <c r="T319" s="430" t="str">
        <f ca="1">IFERROR((U315*T315)+(U316*T316)+(U317*T317)+(U318*T318),"")</f>
        <v/>
      </c>
      <c r="U319" s="427"/>
      <c r="V319" s="426"/>
      <c r="W319" s="427"/>
      <c r="X319" s="431"/>
      <c r="Y319" s="432"/>
      <c r="Z319" s="429" t="str">
        <f>IFERROR(IF(Z315="","",SUM(Z315:Z318)),0)</f>
        <v/>
      </c>
    </row>
    <row r="320" spans="1:26" ht="18.75" customHeight="1">
      <c r="A320" s="140"/>
      <c r="B320" s="140"/>
      <c r="D320" s="177" t="s">
        <v>243</v>
      </c>
      <c r="E320" s="433"/>
      <c r="F320" s="448" t="str">
        <f ca="1">IFERROR(F319*12,"")</f>
        <v/>
      </c>
      <c r="G320" s="435"/>
      <c r="H320" s="436"/>
      <c r="I320" s="432"/>
      <c r="J320" s="437" t="str">
        <f ca="1">IF(J319="","",J319*12)</f>
        <v/>
      </c>
      <c r="K320" s="1"/>
      <c r="L320" s="438" t="str">
        <f ca="1">IFERROR(L319*12,"")</f>
        <v/>
      </c>
      <c r="M320" s="436"/>
      <c r="N320" s="435"/>
      <c r="O320" s="436"/>
      <c r="P320" s="432"/>
      <c r="Q320" s="432"/>
      <c r="R320" s="437" t="str">
        <f>IF(R319="","",R319*12)</f>
        <v/>
      </c>
      <c r="T320" s="438" t="str">
        <f ca="1">IFERROR(T319*12,"")</f>
        <v/>
      </c>
      <c r="U320" s="436"/>
      <c r="V320" s="435"/>
      <c r="W320" s="436"/>
      <c r="X320" s="432"/>
      <c r="Y320" s="432"/>
      <c r="Z320" s="437" t="str">
        <f>IF(Z319="","",Z319*12)</f>
        <v/>
      </c>
    </row>
    <row r="321" spans="1:26" ht="18" customHeight="1">
      <c r="A321" s="140"/>
      <c r="B321" s="140"/>
      <c r="D321" s="177" t="s">
        <v>244</v>
      </c>
      <c r="E321" s="433"/>
      <c r="F321" s="436"/>
      <c r="G321" s="435"/>
      <c r="H321" s="436"/>
      <c r="I321" s="432"/>
      <c r="J321" s="437"/>
      <c r="K321" s="1"/>
      <c r="L321" s="434" t="str">
        <f ca="1">IFERROR(L320-F320,"")</f>
        <v/>
      </c>
      <c r="M321" s="436"/>
      <c r="N321" s="435"/>
      <c r="O321" s="436"/>
      <c r="P321" s="432"/>
      <c r="Q321" s="432"/>
      <c r="R321" s="437" t="str">
        <f ca="1">IFERROR(IF(J320="","",R320-J320),0)</f>
        <v/>
      </c>
      <c r="T321" s="434" t="str">
        <f ca="1">IFERROR(T320-F320,"")</f>
        <v/>
      </c>
      <c r="U321" s="436"/>
      <c r="V321" s="435"/>
      <c r="W321" s="436"/>
      <c r="X321" s="432"/>
      <c r="Y321" s="432"/>
      <c r="Z321" s="437" t="str">
        <f>IFERROR(IF(R320="","",Z320-R320),0)</f>
        <v/>
      </c>
    </row>
    <row r="322" spans="1:26" ht="18" customHeight="1" thickBot="1">
      <c r="A322" s="140"/>
      <c r="B322" s="140"/>
      <c r="D322" s="180" t="s">
        <v>245</v>
      </c>
      <c r="E322" s="439"/>
      <c r="F322" s="440"/>
      <c r="G322" s="441"/>
      <c r="H322" s="440"/>
      <c r="I322" s="442"/>
      <c r="J322" s="443"/>
      <c r="K322" s="1"/>
      <c r="L322" s="444" t="str">
        <f ca="1">IFERROR(L320/F320-1,"")</f>
        <v/>
      </c>
      <c r="M322" s="440"/>
      <c r="N322" s="441"/>
      <c r="O322" s="440"/>
      <c r="P322" s="445"/>
      <c r="Q322" s="445"/>
      <c r="R322" s="446" t="str">
        <f ca="1">IFERROR(IF(J320="","",(R320/J320)-1),0)</f>
        <v/>
      </c>
      <c r="T322" s="444" t="str">
        <f ca="1">IFERROR(T320/F320-1,"")</f>
        <v/>
      </c>
      <c r="U322" s="440"/>
      <c r="V322" s="441"/>
      <c r="W322" s="440"/>
      <c r="X322" s="445"/>
      <c r="Y322" s="445"/>
      <c r="Z322" s="446" t="str">
        <f>IFERROR(IF(R320="","",(Z320/R320)-1),0)</f>
        <v/>
      </c>
    </row>
    <row r="323" spans="1:26" ht="18" customHeight="1">
      <c r="A323" s="140"/>
      <c r="B323" s="140"/>
      <c r="D323" s="181" t="s">
        <v>246</v>
      </c>
      <c r="E323" s="182"/>
      <c r="F323" s="182"/>
      <c r="G323" s="182"/>
      <c r="H323" s="182"/>
      <c r="I323" s="182"/>
      <c r="J323" s="183"/>
      <c r="K323"/>
      <c r="L323" s="184"/>
      <c r="M323" s="182"/>
      <c r="N323" s="182"/>
      <c r="O323" s="182"/>
      <c r="P323" s="182"/>
      <c r="Q323" s="182"/>
      <c r="R323" s="183"/>
      <c r="T323" s="184"/>
      <c r="U323" s="182"/>
      <c r="V323" s="182"/>
      <c r="W323" s="182"/>
      <c r="X323" s="182"/>
      <c r="Y323" s="182"/>
      <c r="Z323" s="183"/>
    </row>
    <row r="324" spans="1:26" ht="18" customHeight="1" hidden="1">
      <c r="A324" s="140"/>
      <c r="B324" s="140"/>
      <c r="D324" s="185" t="s">
        <v>247</v>
      </c>
      <c r="E324" s="186"/>
      <c r="F324" s="186"/>
      <c r="G324" s="186"/>
      <c r="H324" s="186"/>
      <c r="I324" s="186"/>
      <c r="J324" s="187"/>
      <c r="K324"/>
      <c r="L324" s="188"/>
      <c r="M324" s="186"/>
      <c r="N324" s="186"/>
      <c r="O324" s="186"/>
      <c r="P324" s="186"/>
      <c r="Q324" s="186"/>
      <c r="R324" s="187"/>
      <c r="T324" s="188"/>
      <c r="U324" s="186"/>
      <c r="V324" s="186"/>
      <c r="W324" s="186"/>
      <c r="X324" s="186"/>
      <c r="Y324" s="186"/>
      <c r="Z324" s="187"/>
    </row>
    <row r="325" spans="1:26" ht="18" customHeight="1" hidden="1">
      <c r="A325" s="140"/>
      <c r="B325" s="140"/>
      <c r="D325" s="189" t="s">
        <v>248</v>
      </c>
      <c r="E325" s="190" t="str">
        <f>D314&amp;"_"&amp;D12</f>
        <v>_</v>
      </c>
      <c r="F325" s="191"/>
      <c r="G325" s="191"/>
      <c r="H325" s="191"/>
      <c r="I325" s="190"/>
      <c r="J325" s="192"/>
      <c r="K325"/>
      <c r="L325" s="193" t="str">
        <f ca="1">L314&amp;"_"&amp;D12</f>
        <v>SELECT PLAN_</v>
      </c>
      <c r="M325" s="191"/>
      <c r="N325" s="191"/>
      <c r="O325" s="191"/>
      <c r="P325" s="190"/>
      <c r="Q325" s="191"/>
      <c r="R325" s="192"/>
      <c r="T325" s="193" t="str">
        <f>T314&amp;"_"&amp;D12</f>
        <v>SELECT PLAN_</v>
      </c>
      <c r="U325" s="191"/>
      <c r="V325" s="191"/>
      <c r="W325" s="191"/>
      <c r="X325" s="190"/>
      <c r="Y325" s="191"/>
      <c r="Z325" s="192"/>
    </row>
    <row r="326" spans="1:26" ht="18" customHeight="1" hidden="1">
      <c r="A326" s="140"/>
      <c r="B326" s="140"/>
      <c r="D326" s="189" t="s">
        <v>249</v>
      </c>
      <c r="E326" s="191"/>
      <c r="F326" s="191"/>
      <c r="G326" s="191"/>
      <c r="H326" s="191"/>
      <c r="I326" s="191"/>
      <c r="J326" s="192"/>
      <c r="K326"/>
      <c r="L326" s="189"/>
      <c r="M326" s="191"/>
      <c r="N326" s="191"/>
      <c r="O326" s="191"/>
      <c r="P326" s="191"/>
      <c r="Q326" s="191"/>
      <c r="R326" s="192"/>
      <c r="T326" s="189"/>
      <c r="U326" s="191"/>
      <c r="V326" s="191"/>
      <c r="W326" s="191"/>
      <c r="X326" s="191"/>
      <c r="Y326" s="191"/>
      <c r="Z326" s="192"/>
    </row>
    <row r="327" spans="1:26" ht="18" customHeight="1" hidden="1">
      <c r="A327" s="140"/>
      <c r="B327" s="140"/>
      <c r="D327" s="194" t="s">
        <v>250</v>
      </c>
      <c r="E327" s="195"/>
      <c r="F327" s="195"/>
      <c r="G327" s="195"/>
      <c r="H327" s="195"/>
      <c r="I327" s="195"/>
      <c r="J327" s="196"/>
      <c r="K327"/>
      <c r="L327" s="197"/>
      <c r="M327" s="195"/>
      <c r="N327" s="195"/>
      <c r="O327" s="195"/>
      <c r="P327" s="195"/>
      <c r="Q327" s="195"/>
      <c r="R327" s="196"/>
      <c r="T327" s="197"/>
      <c r="U327" s="195"/>
      <c r="V327" s="195"/>
      <c r="W327" s="195"/>
      <c r="X327" s="195"/>
      <c r="Y327" s="195"/>
      <c r="Z327" s="196"/>
    </row>
    <row r="328" spans="1:26" ht="18" customHeight="1" hidden="1">
      <c r="A328" s="140"/>
      <c r="B328" s="140"/>
      <c r="D328" s="198" t="s">
        <v>251</v>
      </c>
      <c r="E328" s="199" t="str">
        <f>_xlfn.XLOOKUP(E325,CurrentPlans!B:B,CurrentPlans!X:X,"NA",0,1)</f>
        <v>NA</v>
      </c>
      <c r="F328" s="200"/>
      <c r="G328" s="200"/>
      <c r="H328" s="200"/>
      <c r="I328" s="199"/>
      <c r="J328" s="201"/>
      <c r="K328"/>
      <c r="L328" s="202" t="str">
        <f ca="1">_xlfn.XLOOKUP(L325,RenewalPlans!B:B,RenewalPlans!AA:AA,"NA",0,1)</f>
        <v>NA</v>
      </c>
      <c r="M328" s="200"/>
      <c r="N328" s="200"/>
      <c r="O328" s="200"/>
      <c r="P328" s="199"/>
      <c r="Q328" s="200"/>
      <c r="R328" s="201"/>
      <c r="T328" s="202" t="str">
        <f>_xlfn.XLOOKUP(T325,RenewalPlans!B:B,RenewalPlans!AA:AA,"NA",0,1)</f>
        <v>NA</v>
      </c>
      <c r="U328" s="200"/>
      <c r="V328" s="200"/>
      <c r="W328" s="200"/>
      <c r="X328" s="199"/>
      <c r="Y328" s="200"/>
      <c r="Z328" s="201"/>
    </row>
    <row r="329" spans="1:26" ht="18" customHeight="1" hidden="1">
      <c r="A329" s="140"/>
      <c r="B329" s="140"/>
      <c r="D329" s="198" t="s">
        <v>252</v>
      </c>
      <c r="E329" s="199" t="str">
        <f>_xlfn.XLOOKUP(E325,CurrentPlans!B:B,CurrentPlans!Y:Y,"NA",0,1)</f>
        <v>NA</v>
      </c>
      <c r="F329" s="200"/>
      <c r="G329" s="200"/>
      <c r="H329" s="200"/>
      <c r="I329" s="199"/>
      <c r="J329" s="201"/>
      <c r="K329"/>
      <c r="L329" s="202" t="str">
        <f ca="1">_xlfn.XLOOKUP(L325,RenewalPlans!B:B,RenewalPlans!AB:AB,"NA",0,1)</f>
        <v>NA</v>
      </c>
      <c r="M329" s="200"/>
      <c r="N329" s="200"/>
      <c r="O329" s="200"/>
      <c r="P329" s="199"/>
      <c r="Q329" s="200"/>
      <c r="R329" s="201"/>
      <c r="T329" s="202" t="str">
        <f>_xlfn.XLOOKUP(T325,RenewalPlans!B:B,RenewalPlans!AB:AB,"NA",0,1)</f>
        <v>NA</v>
      </c>
      <c r="U329" s="200"/>
      <c r="V329" s="200"/>
      <c r="W329" s="200"/>
      <c r="X329" s="199"/>
      <c r="Y329" s="200"/>
      <c r="Z329" s="201"/>
    </row>
    <row r="330" spans="1:26" ht="18" customHeight="1" hidden="1">
      <c r="A330" s="140"/>
      <c r="B330" s="140"/>
      <c r="D330" s="120" t="s">
        <v>253</v>
      </c>
      <c r="E330" s="121" t="str">
        <f>_xlfn.XLOOKUP(E325,CurrentPlans!B:B,CurrentPlans!W:W,"NA",0,1)</f>
        <v>NA</v>
      </c>
      <c r="F330" s="122"/>
      <c r="G330" s="122"/>
      <c r="H330" s="122"/>
      <c r="I330" s="121"/>
      <c r="J330" s="123"/>
      <c r="K330"/>
      <c r="L330" s="124" t="str">
        <f ca="1">_xlfn.XLOOKUP(L325,RenewalPlans!B:B,RenewalPlans!Z:Z,"NA",0,1)</f>
        <v>NA</v>
      </c>
      <c r="M330" s="122"/>
      <c r="N330" s="122"/>
      <c r="O330" s="122"/>
      <c r="P330" s="121"/>
      <c r="Q330" s="122"/>
      <c r="R330" s="123"/>
      <c r="T330" s="124" t="str">
        <f>_xlfn.XLOOKUP(T325,RenewalPlans!B:B,RenewalPlans!Z:Z,"NA",0,1)</f>
        <v>NA</v>
      </c>
      <c r="U330" s="122"/>
      <c r="V330" s="122"/>
      <c r="W330" s="122"/>
      <c r="X330" s="121"/>
      <c r="Y330" s="122"/>
      <c r="Z330" s="123"/>
    </row>
    <row r="331" spans="1:26" ht="18" customHeight="1" hidden="1">
      <c r="A331" s="140"/>
      <c r="B331" s="140"/>
      <c r="D331" s="203" t="s">
        <v>254</v>
      </c>
      <c r="E331" s="204"/>
      <c r="F331" s="205"/>
      <c r="G331" s="205"/>
      <c r="H331" s="205"/>
      <c r="I331" s="204"/>
      <c r="J331" s="206"/>
      <c r="K331"/>
      <c r="L331" s="207"/>
      <c r="M331" s="205"/>
      <c r="N331" s="205"/>
      <c r="O331" s="205"/>
      <c r="P331" s="204"/>
      <c r="Q331" s="205"/>
      <c r="R331" s="206"/>
      <c r="T331" s="207"/>
      <c r="U331" s="205"/>
      <c r="V331" s="205"/>
      <c r="W331" s="205"/>
      <c r="X331" s="204"/>
      <c r="Y331" s="205"/>
      <c r="Z331" s="206"/>
    </row>
    <row r="332" spans="1:26" ht="18" customHeight="1" hidden="1">
      <c r="A332" s="140"/>
      <c r="B332" s="140"/>
      <c r="D332" s="125" t="s">
        <v>255</v>
      </c>
      <c r="E332" s="126" t="str">
        <f>_xlfn.XLOOKUP(E325,CurrentPlans!B:B,CurrentPlans!Z:Z,"NA",0,1)</f>
        <v>NA</v>
      </c>
      <c r="F332" s="127"/>
      <c r="G332" s="127"/>
      <c r="H332" s="127"/>
      <c r="I332" s="126"/>
      <c r="J332" s="128"/>
      <c r="K332"/>
      <c r="L332" s="129" t="str">
        <f ca="1">_xlfn.XLOOKUP(L325,RenewalPlans!B:B,RenewalPlans!AC:AC,"NA",0,1)</f>
        <v>NA</v>
      </c>
      <c r="M332" s="127"/>
      <c r="N332" s="127"/>
      <c r="O332" s="127"/>
      <c r="P332" s="126"/>
      <c r="Q332" s="127"/>
      <c r="R332" s="128"/>
      <c r="T332" s="129" t="str">
        <f>_xlfn.XLOOKUP(T325,RenewalPlans!B:B,RenewalPlans!AC:AC,"NA",0,1)</f>
        <v>NA</v>
      </c>
      <c r="U332" s="127"/>
      <c r="V332" s="127"/>
      <c r="W332" s="127"/>
      <c r="X332" s="126"/>
      <c r="Y332" s="127"/>
      <c r="Z332" s="128"/>
    </row>
    <row r="333" spans="1:26" ht="18" customHeight="1" hidden="1">
      <c r="A333" s="140"/>
      <c r="B333" s="140"/>
      <c r="D333" s="198" t="s">
        <v>256</v>
      </c>
      <c r="E333" s="208" t="str">
        <f>_xlfn.XLOOKUP(E325,CurrentPlans!B:B,CurrentPlans!AA:AA,"NA",0,1)</f>
        <v>NA</v>
      </c>
      <c r="F333" s="200"/>
      <c r="G333" s="200"/>
      <c r="H333" s="200"/>
      <c r="I333" s="208"/>
      <c r="J333" s="201"/>
      <c r="K333"/>
      <c r="L333" s="209" t="str">
        <f ca="1">_xlfn.XLOOKUP(L325,RenewalPlans!B:B,RenewalPlans!AD:AD,"NA",0,1)</f>
        <v>NA</v>
      </c>
      <c r="M333" s="200"/>
      <c r="N333" s="200"/>
      <c r="O333" s="200"/>
      <c r="P333" s="208"/>
      <c r="Q333" s="200"/>
      <c r="R333" s="201"/>
      <c r="T333" s="209" t="str">
        <f>_xlfn.XLOOKUP(T325,RenewalPlans!B:B,RenewalPlans!AD:AD,"NA",0,1)</f>
        <v>NA</v>
      </c>
      <c r="U333" s="200"/>
      <c r="V333" s="200"/>
      <c r="W333" s="200"/>
      <c r="X333" s="208"/>
      <c r="Y333" s="200"/>
      <c r="Z333" s="201"/>
    </row>
    <row r="334" spans="1:26" ht="18" customHeight="1" hidden="1">
      <c r="A334" s="140"/>
      <c r="B334" s="140"/>
      <c r="D334" s="203" t="s">
        <v>257</v>
      </c>
      <c r="E334" s="204"/>
      <c r="F334" s="205"/>
      <c r="G334" s="205"/>
      <c r="H334" s="205"/>
      <c r="I334" s="204"/>
      <c r="J334" s="206"/>
      <c r="K334"/>
      <c r="L334" s="207"/>
      <c r="M334" s="205"/>
      <c r="N334" s="205"/>
      <c r="O334" s="205"/>
      <c r="P334" s="204"/>
      <c r="Q334" s="205"/>
      <c r="R334" s="206"/>
      <c r="T334" s="207"/>
      <c r="U334" s="205"/>
      <c r="V334" s="205"/>
      <c r="W334" s="205"/>
      <c r="X334" s="204"/>
      <c r="Y334" s="205"/>
      <c r="Z334" s="206"/>
    </row>
    <row r="335" spans="1:26" ht="18" customHeight="1" hidden="1">
      <c r="A335" s="140"/>
      <c r="B335" s="140"/>
      <c r="D335" s="198" t="s">
        <v>258</v>
      </c>
      <c r="E335" s="208" t="str">
        <f>_xlfn.XLOOKUP(E325,CurrentPlans!B:B,CurrentPlans!AB:AB,"NA",0,1)</f>
        <v>NA</v>
      </c>
      <c r="F335" s="200"/>
      <c r="G335" s="200"/>
      <c r="H335" s="200"/>
      <c r="I335" s="208"/>
      <c r="J335" s="201"/>
      <c r="K335"/>
      <c r="L335" s="209" t="str">
        <f ca="1">_xlfn.XLOOKUP(L325,RenewalPlans!B:B,RenewalPlans!AE:AE,"NA",0,1)</f>
        <v>NA</v>
      </c>
      <c r="M335" s="200"/>
      <c r="N335" s="200"/>
      <c r="O335" s="200"/>
      <c r="P335" s="208"/>
      <c r="Q335" s="200"/>
      <c r="R335" s="201"/>
      <c r="T335" s="209" t="str">
        <f>_xlfn.XLOOKUP(T325,RenewalPlans!B:B,RenewalPlans!AE:AE,"NA",0,1)</f>
        <v>NA</v>
      </c>
      <c r="U335" s="200"/>
      <c r="V335" s="200"/>
      <c r="W335" s="200"/>
      <c r="X335" s="208"/>
      <c r="Y335" s="200"/>
      <c r="Z335" s="201"/>
    </row>
    <row r="336" spans="1:26" ht="18" customHeight="1" hidden="1">
      <c r="A336" s="140"/>
      <c r="B336" s="140"/>
      <c r="D336" s="198" t="s">
        <v>259</v>
      </c>
      <c r="E336" s="208" t="str">
        <f>_xlfn.XLOOKUP(E325,CurrentPlans!B:B,CurrentPlans!AC:AC,"NA",0,1)</f>
        <v>NA</v>
      </c>
      <c r="F336" s="200"/>
      <c r="G336" s="200"/>
      <c r="H336" s="200"/>
      <c r="I336" s="208"/>
      <c r="J336" s="201"/>
      <c r="K336"/>
      <c r="L336" s="209" t="str">
        <f ca="1">_xlfn.XLOOKUP(L325,RenewalPlans!B:B,RenewalPlans!AF:AF,"NA",0,1)</f>
        <v>NA</v>
      </c>
      <c r="M336" s="200"/>
      <c r="N336" s="200"/>
      <c r="O336" s="200"/>
      <c r="P336" s="208"/>
      <c r="Q336" s="200"/>
      <c r="R336" s="201"/>
      <c r="T336" s="209" t="str">
        <f>_xlfn.XLOOKUP(T325,RenewalPlans!B:B,RenewalPlans!AF:AF,"NA",0,1)</f>
        <v>NA</v>
      </c>
      <c r="U336" s="200"/>
      <c r="V336" s="200"/>
      <c r="W336" s="200"/>
      <c r="X336" s="208"/>
      <c r="Y336" s="200"/>
      <c r="Z336" s="201"/>
    </row>
    <row r="337" spans="1:26" ht="18" customHeight="1" hidden="1">
      <c r="A337" s="140"/>
      <c r="B337" s="140"/>
      <c r="D337" s="210"/>
      <c r="E337" s="211"/>
      <c r="F337" s="211"/>
      <c r="G337" s="211"/>
      <c r="H337" s="211"/>
      <c r="I337" s="211"/>
      <c r="J337" s="212"/>
      <c r="K337"/>
      <c r="L337" s="210"/>
      <c r="M337" s="211"/>
      <c r="N337" s="211"/>
      <c r="O337" s="211"/>
      <c r="P337" s="211"/>
      <c r="Q337" s="211"/>
      <c r="R337" s="212"/>
      <c r="T337" s="210"/>
      <c r="U337" s="211"/>
      <c r="V337" s="211"/>
      <c r="W337" s="211"/>
      <c r="X337" s="211"/>
      <c r="Y337" s="211"/>
      <c r="Z337" s="212"/>
    </row>
    <row r="338" spans="1:26" ht="18" customHeight="1" hidden="1">
      <c r="A338" s="140"/>
      <c r="B338" s="140"/>
      <c r="D338" s="185" t="s">
        <v>260</v>
      </c>
      <c r="E338" s="186"/>
      <c r="F338" s="186"/>
      <c r="G338" s="186"/>
      <c r="H338" s="186"/>
      <c r="I338" s="186"/>
      <c r="J338" s="187"/>
      <c r="K338"/>
      <c r="L338" s="188"/>
      <c r="M338" s="186"/>
      <c r="N338" s="186"/>
      <c r="O338" s="186"/>
      <c r="P338" s="186"/>
      <c r="Q338" s="186"/>
      <c r="R338" s="187"/>
      <c r="T338" s="188"/>
      <c r="U338" s="186"/>
      <c r="V338" s="186"/>
      <c r="W338" s="186"/>
      <c r="X338" s="186"/>
      <c r="Y338" s="186"/>
      <c r="Z338" s="187"/>
    </row>
    <row r="339" spans="1:26" ht="18" customHeight="1" hidden="1">
      <c r="A339" s="140"/>
      <c r="B339" s="140"/>
      <c r="D339" s="213" t="s">
        <v>261</v>
      </c>
      <c r="E339" s="130" t="str">
        <f>_xlfn.XLOOKUP(E325,CurrentPlans!B:B,CurrentPlans!AJ:AJ,"NA",0,1)</f>
        <v>NA</v>
      </c>
      <c r="F339" s="214"/>
      <c r="G339" s="214"/>
      <c r="H339" s="214"/>
      <c r="I339" s="130"/>
      <c r="J339" s="215"/>
      <c r="K339"/>
      <c r="L339" s="131" t="str">
        <f ca="1">_xlfn.XLOOKUP(L325,RenewalPlans!B:B,RenewalPlans!AM:AM,"NA",0,1)</f>
        <v>NA</v>
      </c>
      <c r="M339" s="214"/>
      <c r="N339" s="214"/>
      <c r="O339" s="214"/>
      <c r="P339" s="130"/>
      <c r="Q339" s="214"/>
      <c r="R339" s="215"/>
      <c r="T339" s="131" t="str">
        <f>_xlfn.XLOOKUP(T325,RenewalPlans!B:B,RenewalPlans!AM:AM,"NA",0,1)</f>
        <v>NA</v>
      </c>
      <c r="U339" s="214"/>
      <c r="V339" s="214"/>
      <c r="W339" s="214"/>
      <c r="X339" s="130"/>
      <c r="Y339" s="214"/>
      <c r="Z339" s="215"/>
    </row>
    <row r="340" spans="1:26" ht="18" customHeight="1" hidden="1">
      <c r="A340" s="140"/>
      <c r="B340" s="140"/>
      <c r="D340" s="198" t="s">
        <v>262</v>
      </c>
      <c r="E340" s="130" t="str">
        <f>_xlfn.XLOOKUP(E325,CurrentPlans!B:B,CurrentPlans!AM:AM,"NA",0,1)</f>
        <v>NA</v>
      </c>
      <c r="F340" s="200"/>
      <c r="G340" s="200"/>
      <c r="H340" s="200"/>
      <c r="I340" s="130"/>
      <c r="J340" s="201"/>
      <c r="K340"/>
      <c r="L340" s="131" t="str">
        <f ca="1">_xlfn.XLOOKUP(L325,RenewalPlans!B:B,RenewalPlans!AP:AP,"NA",0,1)</f>
        <v>NA</v>
      </c>
      <c r="M340" s="200"/>
      <c r="N340" s="200"/>
      <c r="O340" s="200"/>
      <c r="P340" s="130"/>
      <c r="Q340" s="200"/>
      <c r="R340" s="201"/>
      <c r="T340" s="131" t="str">
        <f>_xlfn.XLOOKUP(T325,RenewalPlans!B:B,RenewalPlans!AP:AP,"NA",0,1)</f>
        <v>NA</v>
      </c>
      <c r="U340" s="200"/>
      <c r="V340" s="200"/>
      <c r="W340" s="200"/>
      <c r="X340" s="130"/>
      <c r="Y340" s="200"/>
      <c r="Z340" s="201"/>
    </row>
    <row r="341" spans="1:26" ht="18" customHeight="1" hidden="1">
      <c r="A341" s="140"/>
      <c r="B341" s="140"/>
      <c r="D341" s="198" t="s">
        <v>263</v>
      </c>
      <c r="E341" s="130" t="str">
        <f>_xlfn.XLOOKUP(E325,CurrentPlans!B:B,CurrentPlans!AI:AI,"NA",0,1)</f>
        <v>NA</v>
      </c>
      <c r="F341" s="200"/>
      <c r="G341" s="200"/>
      <c r="H341" s="200"/>
      <c r="I341" s="130"/>
      <c r="J341" s="201"/>
      <c r="K341"/>
      <c r="L341" s="131" t="str">
        <f ca="1">_xlfn.XLOOKUP(L325,RenewalPlans!B:B,RenewalPlans!AL:AL,"NA",0,1)</f>
        <v>NA</v>
      </c>
      <c r="M341" s="200"/>
      <c r="N341" s="200"/>
      <c r="O341" s="200"/>
      <c r="P341" s="130"/>
      <c r="Q341" s="200"/>
      <c r="R341" s="201"/>
      <c r="T341" s="131" t="str">
        <f>_xlfn.XLOOKUP(T325,RenewalPlans!B:B,RenewalPlans!AL:AL,"NA",0,1)</f>
        <v>NA</v>
      </c>
      <c r="U341" s="200"/>
      <c r="V341" s="200"/>
      <c r="W341" s="200"/>
      <c r="X341" s="130"/>
      <c r="Y341" s="200"/>
      <c r="Z341" s="201"/>
    </row>
    <row r="342" spans="1:26" ht="18" customHeight="1" hidden="1">
      <c r="A342" s="140"/>
      <c r="B342" s="140"/>
      <c r="D342" s="198" t="s">
        <v>264</v>
      </c>
      <c r="E342" s="208" t="str">
        <f>_xlfn.XLOOKUP(E325,CurrentPlans!B:B,CurrentPlans!AN:AN,"NA",0,1)</f>
        <v>NA</v>
      </c>
      <c r="F342" s="200"/>
      <c r="G342" s="200"/>
      <c r="H342" s="200"/>
      <c r="I342" s="208"/>
      <c r="J342" s="201"/>
      <c r="K342"/>
      <c r="L342" s="209" t="str">
        <f ca="1">_xlfn.XLOOKUP(L325,RenewalPlans!B:B,RenewalPlans!AQ:AQ,"NA",0,1)</f>
        <v>NA</v>
      </c>
      <c r="M342" s="200"/>
      <c r="N342" s="200"/>
      <c r="O342" s="200"/>
      <c r="P342" s="208"/>
      <c r="Q342" s="200"/>
      <c r="R342" s="201"/>
      <c r="T342" s="209" t="str">
        <f>_xlfn.XLOOKUP(T325,RenewalPlans!B:B,RenewalPlans!AQ:AQ,"NA",0,1)</f>
        <v>NA</v>
      </c>
      <c r="U342" s="200"/>
      <c r="V342" s="200"/>
      <c r="W342" s="200"/>
      <c r="X342" s="208"/>
      <c r="Y342" s="200"/>
      <c r="Z342" s="201"/>
    </row>
    <row r="343" spans="1:26" ht="18" customHeight="1" hidden="1">
      <c r="A343" s="140"/>
      <c r="B343" s="140"/>
      <c r="D343" s="210"/>
      <c r="E343" s="211"/>
      <c r="F343" s="211"/>
      <c r="G343" s="211"/>
      <c r="H343" s="211"/>
      <c r="I343" s="211"/>
      <c r="J343" s="212"/>
      <c r="K343"/>
      <c r="L343" s="210"/>
      <c r="M343" s="211"/>
      <c r="N343" s="211"/>
      <c r="O343" s="211"/>
      <c r="P343" s="211"/>
      <c r="Q343" s="211"/>
      <c r="R343" s="212"/>
      <c r="T343" s="210"/>
      <c r="U343" s="211"/>
      <c r="V343" s="211"/>
      <c r="W343" s="211"/>
      <c r="X343" s="211"/>
      <c r="Y343" s="211"/>
      <c r="Z343" s="212"/>
    </row>
    <row r="344" spans="1:26" ht="18" customHeight="1" hidden="1">
      <c r="A344" s="140"/>
      <c r="B344" s="140"/>
      <c r="D344" s="185" t="s">
        <v>265</v>
      </c>
      <c r="E344" s="186"/>
      <c r="F344" s="186"/>
      <c r="G344" s="186"/>
      <c r="H344" s="186"/>
      <c r="I344" s="186"/>
      <c r="J344" s="187"/>
      <c r="K344"/>
      <c r="L344" s="188"/>
      <c r="M344" s="186"/>
      <c r="N344" s="186"/>
      <c r="O344" s="186"/>
      <c r="P344" s="186"/>
      <c r="Q344" s="186"/>
      <c r="R344" s="187"/>
      <c r="T344" s="188"/>
      <c r="U344" s="186"/>
      <c r="V344" s="186"/>
      <c r="W344" s="186"/>
      <c r="X344" s="186"/>
      <c r="Y344" s="186"/>
      <c r="Z344" s="187"/>
    </row>
    <row r="345" spans="1:26" ht="18" customHeight="1" hidden="1">
      <c r="A345" s="140"/>
      <c r="B345" s="140"/>
      <c r="D345" s="132" t="s">
        <v>266</v>
      </c>
      <c r="E345" s="133" t="str">
        <f>_xlfn.XLOOKUP(E325,CurrentPlans!B:B,CurrentPlans!AE:AE,"NA",0,1)</f>
        <v>NA</v>
      </c>
      <c r="F345" s="134"/>
      <c r="G345" s="134"/>
      <c r="H345" s="134"/>
      <c r="I345" s="133"/>
      <c r="J345" s="135"/>
      <c r="K345"/>
      <c r="L345" s="136" t="str">
        <f ca="1">_xlfn.XLOOKUP(L325,RenewalPlans!B:B,RenewalPlans!AH:AH,"NA",0,1)</f>
        <v>NA</v>
      </c>
      <c r="M345" s="134"/>
      <c r="N345" s="134"/>
      <c r="O345" s="134"/>
      <c r="P345" s="133"/>
      <c r="Q345" s="134"/>
      <c r="R345" s="135"/>
      <c r="T345" s="136" t="str">
        <f>_xlfn.XLOOKUP(T325,RenewalPlans!B:B,RenewalPlans!AH:AH,"NA",0,1)</f>
        <v>NA</v>
      </c>
      <c r="U345" s="134"/>
      <c r="V345" s="134"/>
      <c r="W345" s="134"/>
      <c r="X345" s="133"/>
      <c r="Y345" s="134"/>
      <c r="Z345" s="135"/>
    </row>
    <row r="346" spans="1:26" ht="18" customHeight="1" hidden="1">
      <c r="A346" s="140"/>
      <c r="B346" s="140"/>
      <c r="D346" s="120" t="s">
        <v>267</v>
      </c>
      <c r="E346" s="130" t="str">
        <f>_xlfn.XLOOKUP(E325,CurrentPlans!B:B,CurrentPlans!AF:AF,"NA",0,1)</f>
        <v>NA</v>
      </c>
      <c r="F346" s="122"/>
      <c r="G346" s="122"/>
      <c r="H346" s="122"/>
      <c r="I346" s="130"/>
      <c r="J346" s="123"/>
      <c r="K346"/>
      <c r="L346" s="131" t="str">
        <f ca="1">_xlfn.XLOOKUP(L325,RenewalPlans!B:B,RenewalPlans!AI:AI,"NA",0,1)</f>
        <v>NA</v>
      </c>
      <c r="M346" s="122"/>
      <c r="N346" s="122"/>
      <c r="O346" s="122"/>
      <c r="P346" s="130"/>
      <c r="Q346" s="122"/>
      <c r="R346" s="123"/>
      <c r="T346" s="131" t="str">
        <f>_xlfn.XLOOKUP(T325,RenewalPlans!B:B,RenewalPlans!AI:AI,"NA",0,1)</f>
        <v>NA</v>
      </c>
      <c r="U346" s="122"/>
      <c r="V346" s="122"/>
      <c r="W346" s="122"/>
      <c r="X346" s="130"/>
      <c r="Y346" s="122"/>
      <c r="Z346" s="123"/>
    </row>
    <row r="347" spans="1:26" ht="18" customHeight="1" hidden="1">
      <c r="A347" s="140"/>
      <c r="B347" s="140"/>
      <c r="D347" s="198" t="s">
        <v>268</v>
      </c>
      <c r="E347" s="130" t="str">
        <f>_xlfn.XLOOKUP(E325,CurrentPlans!B:B,CurrentPlans!AH:AH,"NA",0,1)</f>
        <v>NA</v>
      </c>
      <c r="F347" s="200"/>
      <c r="G347" s="200"/>
      <c r="H347" s="200"/>
      <c r="I347" s="130"/>
      <c r="J347" s="201"/>
      <c r="K347"/>
      <c r="L347" s="131" t="str">
        <f ca="1">_xlfn.XLOOKUP(L325,RenewalPlans!B:B,RenewalPlans!AK:AK,"NA",0,1)</f>
        <v>NA</v>
      </c>
      <c r="M347" s="200"/>
      <c r="N347" s="200"/>
      <c r="O347" s="200"/>
      <c r="P347" s="130"/>
      <c r="Q347" s="200"/>
      <c r="R347" s="201"/>
      <c r="T347" s="131" t="str">
        <f>_xlfn.XLOOKUP(T325,RenewalPlans!B:B,RenewalPlans!AK:AK,"NA",0,1)</f>
        <v>NA</v>
      </c>
      <c r="U347" s="200"/>
      <c r="V347" s="200"/>
      <c r="W347" s="200"/>
      <c r="X347" s="130"/>
      <c r="Y347" s="200"/>
      <c r="Z347" s="201"/>
    </row>
    <row r="348" spans="1:26" ht="18" customHeight="1" hidden="1">
      <c r="A348" s="140"/>
      <c r="B348" s="140"/>
      <c r="D348" s="198" t="s">
        <v>269</v>
      </c>
      <c r="E348" s="130" t="str">
        <f>_xlfn.XLOOKUP(E325,CurrentPlans!B:B,CurrentPlans!AG:AG,"NA",0,1)</f>
        <v>NA</v>
      </c>
      <c r="F348" s="200"/>
      <c r="G348" s="200"/>
      <c r="H348" s="200"/>
      <c r="I348" s="130"/>
      <c r="J348" s="201"/>
      <c r="K348"/>
      <c r="L348" s="131" t="str">
        <f ca="1">_xlfn.XLOOKUP(L325,RenewalPlans!B:B,RenewalPlans!AJ:AJ,"NA",0,1)</f>
        <v>NA</v>
      </c>
      <c r="M348" s="200"/>
      <c r="N348" s="200"/>
      <c r="O348" s="200"/>
      <c r="P348" s="130"/>
      <c r="Q348" s="200"/>
      <c r="R348" s="201"/>
      <c r="T348" s="131" t="str">
        <f>_xlfn.XLOOKUP(T325,RenewalPlans!B:B,RenewalPlans!AJ:AJ,"NA",0,1)</f>
        <v>NA</v>
      </c>
      <c r="U348" s="200"/>
      <c r="V348" s="200"/>
      <c r="W348" s="200"/>
      <c r="X348" s="130"/>
      <c r="Y348" s="200"/>
      <c r="Z348" s="201"/>
    </row>
    <row r="349" spans="1:26" ht="18" customHeight="1" hidden="1">
      <c r="A349" s="140"/>
      <c r="B349" s="140"/>
      <c r="D349" s="213" t="s">
        <v>270</v>
      </c>
      <c r="E349" s="216" t="str">
        <f>_xlfn.XLOOKUP(E325,CurrentPlans!B:B,CurrentPlans!AU:AU,"NA",0,1)</f>
        <v>NA</v>
      </c>
      <c r="F349" s="214"/>
      <c r="G349" s="214"/>
      <c r="H349" s="214"/>
      <c r="I349" s="217"/>
      <c r="J349" s="215"/>
      <c r="K349"/>
      <c r="L349" s="218" t="str">
        <f ca="1">_xlfn.XLOOKUP(L325,RenewalPlans!B:B,RenewalPlans!AX:AX,"NA",0,1)</f>
        <v>NA</v>
      </c>
      <c r="M349" s="214"/>
      <c r="N349" s="214"/>
      <c r="O349" s="214"/>
      <c r="P349" s="217"/>
      <c r="Q349" s="214"/>
      <c r="R349" s="215"/>
      <c r="T349" s="218" t="str">
        <f>_xlfn.XLOOKUP(T325,RenewalPlans!B:B,RenewalPlans!AX:AX,"NA",0,1)</f>
        <v>NA</v>
      </c>
      <c r="U349" s="214"/>
      <c r="V349" s="214"/>
      <c r="W349" s="214"/>
      <c r="X349" s="217"/>
      <c r="Y349" s="214"/>
      <c r="Z349" s="215"/>
    </row>
    <row r="350" spans="1:26" ht="18" customHeight="1" hidden="1">
      <c r="A350" s="140"/>
      <c r="B350" s="140"/>
      <c r="D350" s="213" t="s">
        <v>271</v>
      </c>
      <c r="E350" s="216" t="str">
        <f>_xlfn.XLOOKUP(E325,CurrentPlans!B:B,CurrentPlans!AT:AT,"NA",0,1)</f>
        <v>NA</v>
      </c>
      <c r="F350" s="214"/>
      <c r="G350" s="214"/>
      <c r="H350" s="214"/>
      <c r="I350" s="217"/>
      <c r="J350" s="215"/>
      <c r="K350"/>
      <c r="L350" s="218" t="str">
        <f ca="1">_xlfn.XLOOKUP(L325,RenewalPlans!B:B,RenewalPlans!AW:AW,"NA",0,1)</f>
        <v>NA</v>
      </c>
      <c r="M350" s="214"/>
      <c r="N350" s="214"/>
      <c r="O350" s="214"/>
      <c r="P350" s="217"/>
      <c r="Q350" s="214"/>
      <c r="R350" s="215"/>
      <c r="T350" s="218" t="str">
        <f>_xlfn.XLOOKUP(T325,RenewalPlans!B:B,RenewalPlans!AW:AW,"NA",0,1)</f>
        <v>NA</v>
      </c>
      <c r="U350" s="214"/>
      <c r="V350" s="214"/>
      <c r="W350" s="214"/>
      <c r="X350" s="217"/>
      <c r="Y350" s="214"/>
      <c r="Z350" s="215"/>
    </row>
    <row r="351" spans="1:26" ht="18" customHeight="1" hidden="1">
      <c r="A351" s="140"/>
      <c r="B351" s="140"/>
      <c r="D351" s="198" t="s">
        <v>272</v>
      </c>
      <c r="E351" s="130" t="str">
        <f>_xlfn.XLOOKUP(E325,CurrentPlans!B:B,CurrentPlans!AD:AD,"NA",0,1)</f>
        <v>NA</v>
      </c>
      <c r="F351" s="200"/>
      <c r="G351" s="200"/>
      <c r="H351" s="200"/>
      <c r="I351" s="130"/>
      <c r="J351" s="201"/>
      <c r="K351"/>
      <c r="L351" s="131" t="str">
        <f ca="1">_xlfn.XLOOKUP(L325,RenewalPlans!B:B,RenewalPlans!AG:AG,"NA",0,1)</f>
        <v>NA</v>
      </c>
      <c r="M351" s="200"/>
      <c r="N351" s="200"/>
      <c r="O351" s="200"/>
      <c r="P351" s="130"/>
      <c r="Q351" s="200"/>
      <c r="R351" s="201"/>
      <c r="T351" s="131" t="str">
        <f>_xlfn.XLOOKUP(T325,RenewalPlans!B:B,RenewalPlans!AG:AG,"NA",0,1)</f>
        <v>NA</v>
      </c>
      <c r="U351" s="200"/>
      <c r="V351" s="200"/>
      <c r="W351" s="200"/>
      <c r="X351" s="130"/>
      <c r="Y351" s="200"/>
      <c r="Z351" s="201"/>
    </row>
    <row r="352" spans="1:26" ht="18" customHeight="1" hidden="1">
      <c r="A352" s="140"/>
      <c r="B352" s="140"/>
      <c r="D352" s="198" t="s">
        <v>273</v>
      </c>
      <c r="E352" s="200"/>
      <c r="F352" s="200"/>
      <c r="G352" s="200"/>
      <c r="H352" s="200"/>
      <c r="I352" s="200"/>
      <c r="J352" s="201"/>
      <c r="K352"/>
      <c r="L352" s="198"/>
      <c r="M352" s="200"/>
      <c r="N352" s="200"/>
      <c r="O352" s="200"/>
      <c r="P352" s="200"/>
      <c r="Q352" s="200"/>
      <c r="R352" s="201"/>
      <c r="T352" s="198"/>
      <c r="U352" s="200"/>
      <c r="V352" s="200"/>
      <c r="W352" s="200"/>
      <c r="X352" s="200"/>
      <c r="Y352" s="200"/>
      <c r="Z352" s="201"/>
    </row>
    <row r="353" spans="1:26" ht="18" customHeight="1" hidden="1">
      <c r="A353" s="140"/>
      <c r="B353" s="140"/>
      <c r="D353" s="210"/>
      <c r="E353" s="211"/>
      <c r="F353" s="211"/>
      <c r="G353" s="211"/>
      <c r="H353" s="211"/>
      <c r="I353" s="211"/>
      <c r="J353" s="212"/>
      <c r="K353"/>
      <c r="L353" s="210"/>
      <c r="M353" s="211"/>
      <c r="N353" s="211"/>
      <c r="O353" s="211"/>
      <c r="P353" s="211"/>
      <c r="Q353" s="211"/>
      <c r="R353" s="212"/>
      <c r="T353" s="210"/>
      <c r="U353" s="211"/>
      <c r="V353" s="211"/>
      <c r="W353" s="211"/>
      <c r="X353" s="211"/>
      <c r="Y353" s="211"/>
      <c r="Z353" s="212"/>
    </row>
    <row r="354" spans="1:26" ht="18" customHeight="1" hidden="1">
      <c r="A354" s="140"/>
      <c r="B354" s="140"/>
      <c r="D354" s="219" t="s">
        <v>274</v>
      </c>
      <c r="E354" s="220"/>
      <c r="F354" s="220"/>
      <c r="G354" s="220"/>
      <c r="H354" s="220"/>
      <c r="I354" s="220"/>
      <c r="J354" s="221"/>
      <c r="K354"/>
      <c r="L354" s="222"/>
      <c r="M354" s="220"/>
      <c r="N354" s="220"/>
      <c r="O354" s="220"/>
      <c r="P354" s="220"/>
      <c r="Q354" s="220"/>
      <c r="R354" s="221"/>
      <c r="T354" s="222"/>
      <c r="U354" s="220"/>
      <c r="V354" s="220"/>
      <c r="W354" s="220"/>
      <c r="X354" s="220"/>
      <c r="Y354" s="220"/>
      <c r="Z354" s="221"/>
    </row>
    <row r="355" spans="1:26" ht="18" customHeight="1" hidden="1">
      <c r="A355" s="140"/>
      <c r="B355" s="140"/>
      <c r="D355" s="223" t="s">
        <v>250</v>
      </c>
      <c r="E355" s="205"/>
      <c r="F355" s="205"/>
      <c r="G355" s="205"/>
      <c r="H355" s="205"/>
      <c r="I355" s="205"/>
      <c r="J355" s="206"/>
      <c r="K355"/>
      <c r="L355" s="203"/>
      <c r="M355" s="205"/>
      <c r="N355" s="205"/>
      <c r="O355" s="205"/>
      <c r="P355" s="205"/>
      <c r="Q355" s="205"/>
      <c r="R355" s="206"/>
      <c r="T355" s="203"/>
      <c r="U355" s="205"/>
      <c r="V355" s="205"/>
      <c r="W355" s="205"/>
      <c r="X355" s="205"/>
      <c r="Y355" s="205"/>
      <c r="Z355" s="206"/>
    </row>
    <row r="356" spans="1:26" ht="18" customHeight="1" hidden="1">
      <c r="A356" s="140"/>
      <c r="B356" s="140"/>
      <c r="D356" s="198" t="s">
        <v>251</v>
      </c>
      <c r="E356" s="130" t="str">
        <f>_xlfn.XLOOKUP(E325,CurrentPlans!B:B,CurrentPlans!AP:AP,"NA",0,1)</f>
        <v>NA</v>
      </c>
      <c r="F356" s="200"/>
      <c r="G356" s="200"/>
      <c r="H356" s="200"/>
      <c r="I356" s="130"/>
      <c r="J356" s="201"/>
      <c r="K356"/>
      <c r="L356" s="131" t="str">
        <f ca="1">_xlfn.XLOOKUP(L325,RenewalPlans!B:B,RenewalPlans!AS:AS,"NA",0,1)</f>
        <v>NA</v>
      </c>
      <c r="M356" s="200"/>
      <c r="N356" s="200"/>
      <c r="O356" s="200"/>
      <c r="P356" s="130"/>
      <c r="Q356" s="200"/>
      <c r="R356" s="201"/>
      <c r="T356" s="131" t="str">
        <f>_xlfn.XLOOKUP(T325,RenewalPlans!B:B,RenewalPlans!AS:AS,"NA",0,1)</f>
        <v>NA</v>
      </c>
      <c r="U356" s="200"/>
      <c r="V356" s="200"/>
      <c r="W356" s="200"/>
      <c r="X356" s="130"/>
      <c r="Y356" s="200"/>
      <c r="Z356" s="201"/>
    </row>
    <row r="357" spans="1:26" ht="18" customHeight="1" hidden="1">
      <c r="A357" s="140"/>
      <c r="B357" s="140"/>
      <c r="D357" s="198" t="s">
        <v>252</v>
      </c>
      <c r="E357" s="130" t="str">
        <f>_xlfn.XLOOKUP(E325,CurrentPlans!B:B,CurrentPlans!AQ:AQ,"NA",0,1)</f>
        <v>NA</v>
      </c>
      <c r="F357" s="200"/>
      <c r="G357" s="200"/>
      <c r="H357" s="200"/>
      <c r="I357" s="130"/>
      <c r="J357" s="201"/>
      <c r="K357"/>
      <c r="L357" s="131" t="str">
        <f ca="1">_xlfn.XLOOKUP(L325,RenewalPlans!B:B,RenewalPlans!AT:AT,"NA",0,1)</f>
        <v>NA</v>
      </c>
      <c r="M357" s="200"/>
      <c r="N357" s="200"/>
      <c r="O357" s="200"/>
      <c r="P357" s="130"/>
      <c r="Q357" s="200"/>
      <c r="R357" s="201"/>
      <c r="T357" s="131" t="str">
        <f>_xlfn.XLOOKUP(T325,RenewalPlans!B:B,RenewalPlans!AT:AT,"NA",0,1)</f>
        <v>NA</v>
      </c>
      <c r="U357" s="200"/>
      <c r="V357" s="200"/>
      <c r="W357" s="200"/>
      <c r="X357" s="130"/>
      <c r="Y357" s="200"/>
      <c r="Z357" s="201"/>
    </row>
    <row r="358" spans="1:26" ht="18" customHeight="1" hidden="1">
      <c r="A358" s="140"/>
      <c r="B358" s="140"/>
      <c r="D358" s="120" t="s">
        <v>253</v>
      </c>
      <c r="E358" s="133" t="str">
        <f>_xlfn.XLOOKUP(E325,CurrentPlans!B:B,CurrentPlans!AO:AO,"NA",0,1)</f>
        <v>NA</v>
      </c>
      <c r="F358" s="122"/>
      <c r="G358" s="122"/>
      <c r="H358" s="122"/>
      <c r="I358" s="133"/>
      <c r="J358" s="123"/>
      <c r="K358"/>
      <c r="L358" s="136" t="str">
        <f ca="1">_xlfn.XLOOKUP(L325,RenewalPlans!B:B,RenewalPlans!AR:AR,"NA",0,1)</f>
        <v>NA</v>
      </c>
      <c r="M358" s="122"/>
      <c r="N358" s="122"/>
      <c r="O358" s="122"/>
      <c r="P358" s="133"/>
      <c r="Q358" s="122"/>
      <c r="R358" s="123"/>
      <c r="T358" s="136" t="str">
        <f>_xlfn.XLOOKUP(T325,RenewalPlans!B:B,RenewalPlans!AR:AR,"NA",0,1)</f>
        <v>NA</v>
      </c>
      <c r="U358" s="122"/>
      <c r="V358" s="122"/>
      <c r="W358" s="122"/>
      <c r="X358" s="133"/>
      <c r="Y358" s="122"/>
      <c r="Z358" s="123"/>
    </row>
    <row r="359" spans="1:26" ht="18" customHeight="1" hidden="1">
      <c r="A359" s="140"/>
      <c r="B359" s="140"/>
      <c r="D359" s="223" t="s">
        <v>254</v>
      </c>
      <c r="E359" s="205"/>
      <c r="F359" s="205"/>
      <c r="G359" s="205"/>
      <c r="H359" s="205"/>
      <c r="I359" s="205"/>
      <c r="J359" s="206"/>
      <c r="K359"/>
      <c r="L359" s="203"/>
      <c r="M359" s="205"/>
      <c r="N359" s="205"/>
      <c r="O359" s="205"/>
      <c r="P359" s="205"/>
      <c r="Q359" s="205"/>
      <c r="R359" s="206"/>
      <c r="T359" s="203"/>
      <c r="U359" s="205"/>
      <c r="V359" s="205"/>
      <c r="W359" s="205"/>
      <c r="X359" s="205"/>
      <c r="Y359" s="205"/>
      <c r="Z359" s="206"/>
    </row>
    <row r="360" spans="1:26" ht="18" customHeight="1" hidden="1">
      <c r="A360" s="140"/>
      <c r="B360" s="140"/>
      <c r="D360" s="198" t="s">
        <v>255</v>
      </c>
      <c r="E360" s="130" t="str">
        <f>_xlfn.XLOOKUP(E325,CurrentPlans!B:B,CurrentPlans!AR:AR,"NA",0,1)</f>
        <v>NA</v>
      </c>
      <c r="F360" s="200"/>
      <c r="G360" s="200"/>
      <c r="H360" s="200"/>
      <c r="I360" s="130"/>
      <c r="J360" s="201"/>
      <c r="K360"/>
      <c r="L360" s="131" t="str">
        <f ca="1">_xlfn.XLOOKUP(L325,RenewalPlans!B:B,RenewalPlans!AU:AU,"NA",0,1)</f>
        <v>NA</v>
      </c>
      <c r="M360" s="200"/>
      <c r="N360" s="200"/>
      <c r="O360" s="200"/>
      <c r="P360" s="130"/>
      <c r="Q360" s="200"/>
      <c r="R360" s="201"/>
      <c r="T360" s="131" t="str">
        <f>_xlfn.XLOOKUP(T325,RenewalPlans!B:B,RenewalPlans!AU:AU,"NA",0,1)</f>
        <v>NA</v>
      </c>
      <c r="U360" s="200"/>
      <c r="V360" s="200"/>
      <c r="W360" s="200"/>
      <c r="X360" s="130"/>
      <c r="Y360" s="200"/>
      <c r="Z360" s="201"/>
    </row>
    <row r="361" spans="1:26" ht="18" customHeight="1" hidden="1" thickBot="1">
      <c r="A361" s="140"/>
      <c r="B361" s="140"/>
      <c r="D361" s="224" t="s">
        <v>256</v>
      </c>
      <c r="E361" s="137" t="str">
        <f>_xlfn.XLOOKUP(E325,CurrentPlans!B:B,CurrentPlans!AS:AS,"NA",0,1)</f>
        <v>NA</v>
      </c>
      <c r="F361" s="225"/>
      <c r="G361" s="225"/>
      <c r="H361" s="225"/>
      <c r="I361" s="137"/>
      <c r="J361" s="226"/>
      <c r="K361"/>
      <c r="L361" s="138" t="str">
        <f ca="1">_xlfn.XLOOKUP(L325,RenewalPlans!B:B,RenewalPlans!AV:AV,"NA",0,1)</f>
        <v>NA</v>
      </c>
      <c r="M361" s="225"/>
      <c r="N361" s="225"/>
      <c r="O361" s="225"/>
      <c r="P361" s="137"/>
      <c r="Q361" s="225"/>
      <c r="R361" s="226"/>
      <c r="T361" s="138" t="str">
        <f>_xlfn.XLOOKUP(T325,RenewalPlans!B:B,RenewalPlans!AV:AV,"NA",0,1)</f>
        <v>NA</v>
      </c>
      <c r="U361" s="225"/>
      <c r="V361" s="225"/>
      <c r="W361" s="225"/>
      <c r="X361" s="137"/>
      <c r="Y361" s="225"/>
      <c r="Z361" s="226"/>
    </row>
    <row r="362" spans="1:26" ht="18" customHeight="1">
      <c r="A362" s="140"/>
      <c r="B362" s="140"/>
      <c r="D362" s="227"/>
      <c r="E362" s="176"/>
      <c r="F362" s="178"/>
      <c r="G362" s="179"/>
      <c r="H362" s="178"/>
      <c r="I362" s="176"/>
      <c r="J362" s="228"/>
      <c r="K362"/>
      <c r="L362" s="178"/>
      <c r="M362" s="176"/>
      <c r="N362" s="139"/>
      <c r="O362" s="178"/>
      <c r="P362" s="178"/>
      <c r="Q362" s="178"/>
      <c r="R362" s="228"/>
      <c r="T362" s="178"/>
      <c r="U362" s="176"/>
      <c r="V362" s="139"/>
      <c r="W362" s="178"/>
      <c r="X362" s="178"/>
      <c r="Y362" s="178"/>
      <c r="Z362" s="228"/>
    </row>
    <row r="363" spans="1:26" ht="5.25" customHeight="1" thickBot="1">
      <c r="A363" s="140"/>
      <c r="B363" s="140"/>
      <c r="D363" s="229"/>
      <c r="E363" s="229"/>
      <c r="F363" s="230"/>
      <c r="G363" s="231"/>
      <c r="H363" s="232"/>
      <c r="I363" s="233"/>
      <c r="J363" s="233"/>
      <c r="K363"/>
      <c r="L363" s="233"/>
      <c r="M363" s="233"/>
      <c r="N363" s="233"/>
      <c r="O363" s="233"/>
      <c r="P363" s="233"/>
      <c r="Q363" s="233"/>
      <c r="R363" s="233"/>
      <c r="T363" s="233"/>
      <c r="U363" s="233"/>
      <c r="V363" s="233"/>
      <c r="W363" s="233"/>
      <c r="X363" s="233"/>
      <c r="Y363" s="233"/>
      <c r="Z363" s="233"/>
    </row>
    <row r="364" spans="1:26" ht="50.15" customHeight="1">
      <c r="A364" s="140">
        <v>8</v>
      </c>
      <c r="B364" s="140" t="str">
        <f>IF(A364&gt;Class4_CurrentHealthCount,"DELETE",Class4_CurrentHealthStart+A364)</f>
        <v>DELETE</v>
      </c>
      <c r="C364" s="164" t="s">
        <v>281</v>
      </c>
      <c r="D364" s="273" t="str">
        <f>IF(B364="Delete","",VLOOKUP(F364,BEGIN_CURRENT_HEALTH:END_CURRENT_HEALTH,3,FALSE))</f>
        <v/>
      </c>
      <c r="E364" s="165"/>
      <c r="F364" s="272" t="str" cm="1">
        <f t="array" ca="1" aca="1" ref="F364">IF(B364="Delete","",INDIRECT("CurrentPlans!A"&amp;B364,TRUE))</f>
        <v/>
      </c>
      <c r="G364" s="166"/>
      <c r="H364" s="167"/>
      <c r="I364" s="168"/>
      <c r="J364" s="169"/>
      <c r="K364"/>
      <c r="L364" s="274" t="str">
        <f ca="1">_xlfn.IFNA(VLOOKUP(F364,BEGIN_RENEWEDFROM_HEALTH:ROW_RenewHealth_PlanID,3,FALSE),"SELECT PLAN")</f>
        <v>SELECT PLAN</v>
      </c>
      <c r="M364" s="170"/>
      <c r="N364" s="274" t="s">
        <v>237</v>
      </c>
      <c r="O364" s="171"/>
      <c r="P364" s="171"/>
      <c r="Q364" s="171"/>
      <c r="R364" s="169"/>
      <c r="T364" s="274" t="s">
        <v>38</v>
      </c>
      <c r="U364" s="170"/>
      <c r="V364" s="274" t="s">
        <v>237</v>
      </c>
      <c r="W364" s="171"/>
      <c r="X364" s="171"/>
      <c r="Y364" s="171"/>
      <c r="Z364" s="169"/>
    </row>
    <row r="365" spans="1:26" ht="18.75" customHeight="1">
      <c r="A365" s="140"/>
      <c r="B365" s="140"/>
      <c r="D365" s="172" t="s">
        <v>238</v>
      </c>
      <c r="E365" s="407" t="str">
        <f ca="1">_xlfn.IFNA(VLOOKUP(F364,BEGIN_CURRENT_HEALTH:END_CURRENT_HEALTH,CURRENT_COL_EO_count,FALSE),"")</f>
        <v/>
      </c>
      <c r="F365" s="408" t="str">
        <f ca="1">_xlfn.IFNA(VLOOKUP(F364,BEGIN_CURRENT_HEALTH:END_CURRENT_HEALTH,CURRENT_COL_EO,FALSE),"")</f>
        <v/>
      </c>
      <c r="G365" s="468" t="str">
        <f ca="1" t="shared" si="35" ref="G365:G368">IF(F365="","",H365/F365)</f>
        <v/>
      </c>
      <c r="H365" s="408" t="str">
        <f ca="1">_xlfn.IFNA(VLOOKUP(F364,BEGIN_CURRENT_HEALTH:END_CURRENT_HEALTH,CURRENT_COL_EOContrib,FALSE),"")</f>
        <v/>
      </c>
      <c r="I365" s="409" t="str">
        <f ca="1">IFERROR(F365-H365,"")</f>
        <v/>
      </c>
      <c r="J365" s="410" t="str">
        <f ca="1">IF(F365="","",H365*E365)</f>
        <v/>
      </c>
      <c r="K365" s="411"/>
      <c r="L365" s="408" t="str" cm="1">
        <f t="array" ca="1" aca="1" ref="L365">_xlfn.IFNA(VLOOKUP(INDIRECT("L"&amp;ROW()-1)&amp;"_"&amp;$D$12,BEGIN_RENEW_HEALTH:END_RENEW_HEALTH,RENEW_COL_EO,FALSE),"")</f>
        <v/>
      </c>
      <c r="M365" s="412" t="str">
        <f ca="1">IF(E365="","",E365)</f>
        <v/>
      </c>
      <c r="N365" s="413"/>
      <c r="O365" s="414"/>
      <c r="P365" s="415" t="str">
        <f>IFERROR(IF($N364="Keep Contribution Same",H365,IF($N364="Enter Percentages",IF(N365="","",N365*L365),IF($N364="Keep Percentage Same",IF(G365="","",G365*L365),IF($N364="Enter Dollar Amount",IF(O365="","",O365),"")))),"")</f>
        <v/>
      </c>
      <c r="Q365" s="408" t="str">
        <f ca="1">IFERROR(L365-P365,"")</f>
        <v/>
      </c>
      <c r="R365" s="410" t="str">
        <f>IFERROR(IF(P365="","",M365*P365),"")</f>
        <v/>
      </c>
      <c r="S365" s="411"/>
      <c r="T365" s="408" t="str" cm="1">
        <f t="array" ca="1" aca="1" ref="T365">_xlfn.IFNA(VLOOKUP(INDIRECT("T"&amp;ROW()-1)&amp;"_"&amp;$D$12,BEGIN_RENEW_HEALTH:END_RENEW_HEALTH,RENEW_COL_EO,FALSE),"")</f>
        <v/>
      </c>
      <c r="U365" s="412" t="str">
        <f ca="1">IF(E365="","",E365)</f>
        <v/>
      </c>
      <c r="V365" s="413"/>
      <c r="W365" s="414"/>
      <c r="X365" s="415" t="str">
        <f>IFERROR(IF($V364="Keep Contribution Same",H365,IF($V364="Enter Percentages",IF(V365="","",V365*T365),IF($V364="Keep Percentage Same",IF(G365="","",G365*T365),IF($V364="Enter Dollar Amount",IF(W365="","",W365),"")))),"")</f>
        <v/>
      </c>
      <c r="Y365" s="408" t="str">
        <f ca="1">IFERROR(T365-X365,"")</f>
        <v/>
      </c>
      <c r="Z365" s="410" t="str">
        <f>IFERROR(IF(X365="","",U365*X365),"")</f>
        <v/>
      </c>
    </row>
    <row r="366" spans="1:26" ht="18.75" customHeight="1">
      <c r="A366" s="140"/>
      <c r="B366" s="140"/>
      <c r="D366" s="172" t="s">
        <v>239</v>
      </c>
      <c r="E366" s="407" t="str">
        <f ca="1">_xlfn.IFNA(VLOOKUP(F364,BEGIN_CURRENT_HEALTH:END_CURRENT_HEALTH,CURRENT_COL_ES_count,FALSE),"")</f>
        <v/>
      </c>
      <c r="F366" s="408" t="str">
        <f ca="1">_xlfn.IFNA(VLOOKUP(F364,BEGIN_CURRENT_HEALTH:END_CURRENT_HEALTH,CURRENT_COL_ES,FALSE),"")</f>
        <v/>
      </c>
      <c r="G366" s="468" t="str">
        <f t="shared" ca="1" si="35"/>
        <v/>
      </c>
      <c r="H366" s="408" t="str">
        <f ca="1">_xlfn.IFNA(VLOOKUP(F364,BEGIN_CURRENT_HEALTH:END_CURRENT_HEALTH,CURRENT_COL_ESContrib,FALSE),"")</f>
        <v/>
      </c>
      <c r="I366" s="409" t="str">
        <f ca="1" t="shared" si="36" ref="I366:I368">IFERROR(F366-H366,"")</f>
        <v/>
      </c>
      <c r="J366" s="410" t="str">
        <f ca="1">IF(F366="","",H366*E366)</f>
        <v/>
      </c>
      <c r="K366" s="411"/>
      <c r="L366" s="408" t="str" cm="1">
        <f t="array" ca="1" aca="1" ref="L366">_xlfn.IFNA(VLOOKUP(INDIRECT("L"&amp;ROW()-2)&amp;"_"&amp;$D$12,BEGIN_RENEW_HEALTH:END_RENEW_HEALTH,RENEW_COL_ES,FALSE),"")</f>
        <v/>
      </c>
      <c r="M366" s="412" t="str">
        <f ca="1">IF(E366="","",E366)</f>
        <v/>
      </c>
      <c r="N366" s="413"/>
      <c r="O366" s="414"/>
      <c r="P366" s="415" t="str">
        <f>IFERROR(IF($N364="Keep Contribution Same",H366,IF($N364="Enter Percentages",IF(N366="","",N366*L366),IF($N364="Keep Percentage Same",IF(G366="","",G366*L366),IF($N364="Enter Dollar Amount",IF(O366="","",O366),"")))),"")</f>
        <v/>
      </c>
      <c r="Q366" s="408" t="str">
        <f ca="1">IFERROR(L366-P366,"")</f>
        <v/>
      </c>
      <c r="R366" s="410" t="str">
        <f>IFERROR(IF(P366="","",M366*P366),"")</f>
        <v/>
      </c>
      <c r="S366" s="411"/>
      <c r="T366" s="408" t="str" cm="1">
        <f t="array" ca="1" aca="1" ref="T366">_xlfn.IFNA(VLOOKUP(INDIRECT("T"&amp;ROW()-2)&amp;"_"&amp;$D$12,BEGIN_RENEW_HEALTH:END_RENEW_HEALTH,RENEW_COL_ES,FALSE),"")</f>
        <v/>
      </c>
      <c r="U366" s="412" t="str">
        <f ca="1" t="shared" si="37" ref="U366:U368">IF(E366="","",E366)</f>
        <v/>
      </c>
      <c r="V366" s="413"/>
      <c r="W366" s="414"/>
      <c r="X366" s="415" t="str">
        <f>IFERROR(IF($V364="Keep Contribution Same",H366,IF($V364="Enter Percentages",IF(V366="","",V366*T366),IF($V364="Keep Percentage Same",IF(G366="","",G366*T366),IF($V364="Enter Dollar Amount",IF(W366="","",W366),"")))),"")</f>
        <v/>
      </c>
      <c r="Y366" s="408" t="str">
        <f ca="1" t="shared" si="38" ref="Y366:Y368">IFERROR(T366-X366,"")</f>
        <v/>
      </c>
      <c r="Z366" s="410" t="str">
        <f t="shared" si="39" ref="Z366:Z368">IFERROR(IF(X366="","",U366*X366),"")</f>
        <v/>
      </c>
    </row>
    <row r="367" spans="1:26" ht="18.75" customHeight="1">
      <c r="A367" s="140"/>
      <c r="B367" s="140"/>
      <c r="D367" s="172" t="s">
        <v>240</v>
      </c>
      <c r="E367" s="407" t="str">
        <f ca="1">_xlfn.IFNA(VLOOKUP(F364,BEGIN_CURRENT_HEALTH:END_CURRENT_HEALTH,CURRENT_COL_EC_count,FALSE),"")</f>
        <v/>
      </c>
      <c r="F367" s="408" t="str">
        <f ca="1">_xlfn.IFNA(VLOOKUP(F364,BEGIN_CURRENT_HEALTH:END_CURRENT_HEALTH,CURRENT_COL_EC,FALSE),"")</f>
        <v/>
      </c>
      <c r="G367" s="468" t="str">
        <f t="shared" ca="1" si="35"/>
        <v/>
      </c>
      <c r="H367" s="408" t="str">
        <f ca="1">_xlfn.IFNA(VLOOKUP(F364,BEGIN_CURRENT_HEALTH:END_CURRENT_HEALTH,CURRENT_COL_ECContrib,FALSE),"")</f>
        <v/>
      </c>
      <c r="I367" s="409" t="str">
        <f t="shared" ca="1" si="36"/>
        <v/>
      </c>
      <c r="J367" s="410" t="str">
        <f ca="1">IF(F367="","",H367*E367)</f>
        <v/>
      </c>
      <c r="K367" s="411"/>
      <c r="L367" s="408" t="str" cm="1">
        <f t="array" ca="1" aca="1" ref="L367">_xlfn.IFNA(VLOOKUP(INDIRECT("L"&amp;ROW()-3)&amp;"_"&amp;$D$12,BEGIN_RENEW_HEALTH:END_RENEW_HEALTH,RENEW_COL_EC,FALSE),"")</f>
        <v/>
      </c>
      <c r="M367" s="412" t="str">
        <f ca="1">IF(E367="","",E367)</f>
        <v/>
      </c>
      <c r="N367" s="413"/>
      <c r="O367" s="414"/>
      <c r="P367" s="415" t="str">
        <f>IFERROR(IF($N364="Keep Contribution Same",H367,IF($N364="Enter Percentages",IF(N367="","",N367*L367),IF($N364="Keep Percentage Same",IF(G367="","",G367*L367),IF($N364="Enter Dollar Amount",IF(O367="","",O367),"")))),"")</f>
        <v/>
      </c>
      <c r="Q367" s="408" t="str">
        <f ca="1">IFERROR(L367-P367,"")</f>
        <v/>
      </c>
      <c r="R367" s="410" t="str">
        <f>IFERROR(IF(P367="","",M367*P367),"")</f>
        <v/>
      </c>
      <c r="S367" s="411"/>
      <c r="T367" s="408" t="str" cm="1">
        <f t="array" ca="1" aca="1" ref="T367">_xlfn.IFNA(VLOOKUP(INDIRECT("T"&amp;ROW()-3)&amp;"_"&amp;$D$12,BEGIN_RENEW_HEALTH:END_RENEW_HEALTH,RENEW_COL_EC,FALSE),"")</f>
        <v/>
      </c>
      <c r="U367" s="412" t="str">
        <f t="shared" ca="1" si="37"/>
        <v/>
      </c>
      <c r="V367" s="413"/>
      <c r="W367" s="414"/>
      <c r="X367" s="415" t="str">
        <f>IFERROR(IF($V364="Keep Contribution Same",H367,IF($V364="Enter Percentages",IF(V367="","",V367*T367),IF($V364="Keep Percentage Same",IF(G367="","",G367*T367),IF($V364="Enter Dollar Amount",IF(W367="","",W367),"")))),"")</f>
        <v/>
      </c>
      <c r="Y367" s="408" t="str">
        <f t="shared" ca="1" si="38"/>
        <v/>
      </c>
      <c r="Z367" s="410" t="str">
        <f t="shared" si="39"/>
        <v/>
      </c>
    </row>
    <row r="368" spans="1:26" ht="18.75" customHeight="1" thickBot="1">
      <c r="A368" s="140"/>
      <c r="B368" s="140"/>
      <c r="D368" s="174" t="s">
        <v>241</v>
      </c>
      <c r="E368" s="416" t="str">
        <f ca="1">_xlfn.IFNA(VLOOKUP(F364,BEGIN_CURRENT_HEALTH:END_CURRENT_HEALTH,CURRENT_COL_FAM_count,FALSE),"")</f>
        <v/>
      </c>
      <c r="F368" s="417" t="str">
        <f ca="1">_xlfn.IFNA(VLOOKUP(F364,BEGIN_CURRENT_HEALTH:END_CURRENT_HEALTH,CURRENT_COL_FAM,FALSE),"")</f>
        <v/>
      </c>
      <c r="G368" s="469" t="str">
        <f t="shared" ca="1" si="35"/>
        <v/>
      </c>
      <c r="H368" s="417" t="str">
        <f ca="1">_xlfn.IFNA(VLOOKUP(F364,BEGIN_CURRENT_HEALTH:END_CURRENT_HEALTH,CURRENT_COL_FAMContrib,FALSE),"")</f>
        <v/>
      </c>
      <c r="I368" s="418" t="str">
        <f t="shared" ca="1" si="36"/>
        <v/>
      </c>
      <c r="J368" s="419" t="str">
        <f ca="1">IF(F368="","",H368*E368)</f>
        <v/>
      </c>
      <c r="K368" s="411"/>
      <c r="L368" s="417" t="str" cm="1">
        <f t="array" ca="1" aca="1" ref="L368">_xlfn.IFNA(VLOOKUP(INDIRECT("L"&amp;ROW()-4)&amp;"_"&amp;$D$12,BEGIN_RENEW_HEALTH:END_RENEW_HEALTH,RENEW_COL_FAM,FALSE),"")</f>
        <v/>
      </c>
      <c r="M368" s="423" t="str">
        <f ca="1">IF(E368="","",E368)</f>
        <v/>
      </c>
      <c r="N368" s="420"/>
      <c r="O368" s="421"/>
      <c r="P368" s="422" t="str">
        <f>IFERROR(IF($N364="Keep Contribution Same",H368,IF($N364="Enter Percentages",IF(N368="","",N368*L368),IF($N364="Keep Percentage Same",IF(G368="","",G368*L368),IF($N364="Enter Dollar Amount",IF(O368="","",O368),"")))),"")</f>
        <v/>
      </c>
      <c r="Q368" s="417" t="str">
        <f ca="1">IFERROR(L368-P368,"")</f>
        <v/>
      </c>
      <c r="R368" s="419" t="str">
        <f>IFERROR(IF(P368="","",M368*P368),"")</f>
        <v/>
      </c>
      <c r="S368" s="411"/>
      <c r="T368" s="417" t="str" cm="1">
        <f t="array" ca="1" aca="1" ref="T368">_xlfn.IFNA(VLOOKUP(INDIRECT("T"&amp;ROW()-4)&amp;"_"&amp;$D$12,BEGIN_RENEW_HEALTH:END_RENEW_HEALTH,RENEW_COL_FAM,FALSE),"")</f>
        <v/>
      </c>
      <c r="U368" s="423" t="str">
        <f t="shared" ca="1" si="37"/>
        <v/>
      </c>
      <c r="V368" s="420"/>
      <c r="W368" s="421"/>
      <c r="X368" s="422" t="str">
        <f>IFERROR(IF($V364="Keep Contribution Same",H368,IF($V364="Enter Percentages",IF(V368="","",V368*T368),IF($V364="Keep Percentage Same",IF(G368="","",G368*T368),IF($V364="Enter Dollar Amount",IF(W368="","",W368),"")))),"")</f>
        <v/>
      </c>
      <c r="Y368" s="417" t="str">
        <f t="shared" ca="1" si="38"/>
        <v/>
      </c>
      <c r="Z368" s="419" t="str">
        <f t="shared" si="39"/>
        <v/>
      </c>
    </row>
    <row r="369" spans="1:26" ht="18.75" customHeight="1" thickTop="1">
      <c r="A369" s="140"/>
      <c r="B369" s="140"/>
      <c r="D369" s="175" t="s">
        <v>242</v>
      </c>
      <c r="E369" s="424"/>
      <c r="F369" s="447" t="str">
        <f ca="1">IFERROR((F365*E365)+(F366*E366)+(F367*E367)+(F368*E368),"")</f>
        <v/>
      </c>
      <c r="G369" s="426"/>
      <c r="H369" s="427"/>
      <c r="I369" s="428"/>
      <c r="J369" s="429" t="str">
        <f ca="1">IFERROR(IF(J365="","",SUM(J365:J368)),0)</f>
        <v/>
      </c>
      <c r="K369" s="1"/>
      <c r="L369" s="430" t="str">
        <f ca="1">IFERROR((M365*L365)+(M366*L366)+(M367*L367)+(M368*L368),"")</f>
        <v/>
      </c>
      <c r="M369" s="427"/>
      <c r="N369" s="426"/>
      <c r="O369" s="427"/>
      <c r="P369" s="431"/>
      <c r="Q369" s="432"/>
      <c r="R369" s="429" t="str">
        <f>IFERROR(IF(R365="","",SUM(R365:R368)),0)</f>
        <v/>
      </c>
      <c r="T369" s="430" t="str">
        <f ca="1">IFERROR((U365*T365)+(U366*T366)+(U367*T367)+(U368*T368),"")</f>
        <v/>
      </c>
      <c r="U369" s="427"/>
      <c r="V369" s="426"/>
      <c r="W369" s="427"/>
      <c r="X369" s="431"/>
      <c r="Y369" s="432"/>
      <c r="Z369" s="429" t="str">
        <f>IFERROR(IF(Z365="","",SUM(Z365:Z368)),0)</f>
        <v/>
      </c>
    </row>
    <row r="370" spans="1:26" ht="18.75" customHeight="1">
      <c r="A370" s="140"/>
      <c r="B370" s="140"/>
      <c r="D370" s="177" t="s">
        <v>243</v>
      </c>
      <c r="E370" s="433"/>
      <c r="F370" s="448" t="str">
        <f ca="1">IFERROR(F369*12,"")</f>
        <v/>
      </c>
      <c r="G370" s="435"/>
      <c r="H370" s="436"/>
      <c r="I370" s="432"/>
      <c r="J370" s="437" t="str">
        <f ca="1">IF(J369="","",J369*12)</f>
        <v/>
      </c>
      <c r="K370" s="1"/>
      <c r="L370" s="438" t="str">
        <f ca="1">IFERROR(L369*12,"")</f>
        <v/>
      </c>
      <c r="M370" s="436"/>
      <c r="N370" s="435"/>
      <c r="O370" s="436"/>
      <c r="P370" s="432"/>
      <c r="Q370" s="432"/>
      <c r="R370" s="437" t="str">
        <f>IF(R369="","",R369*12)</f>
        <v/>
      </c>
      <c r="T370" s="438" t="str">
        <f ca="1">IFERROR(T369*12,"")</f>
        <v/>
      </c>
      <c r="U370" s="436"/>
      <c r="V370" s="435"/>
      <c r="W370" s="436"/>
      <c r="X370" s="432"/>
      <c r="Y370" s="432"/>
      <c r="Z370" s="437" t="str">
        <f>IF(Z369="","",Z369*12)</f>
        <v/>
      </c>
    </row>
    <row r="371" spans="1:26" ht="18" customHeight="1">
      <c r="A371" s="140"/>
      <c r="B371" s="140"/>
      <c r="D371" s="177" t="s">
        <v>244</v>
      </c>
      <c r="E371" s="433"/>
      <c r="F371" s="436"/>
      <c r="G371" s="435"/>
      <c r="H371" s="436"/>
      <c r="I371" s="432"/>
      <c r="J371" s="437"/>
      <c r="K371" s="1"/>
      <c r="L371" s="434" t="str">
        <f ca="1">IFERROR(L370-F370,"")</f>
        <v/>
      </c>
      <c r="M371" s="436"/>
      <c r="N371" s="435"/>
      <c r="O371" s="436"/>
      <c r="P371" s="432"/>
      <c r="Q371" s="432"/>
      <c r="R371" s="437" t="str">
        <f ca="1">IFERROR(IF(J370="","",R370-J370),0)</f>
        <v/>
      </c>
      <c r="T371" s="434" t="str">
        <f ca="1">IFERROR(T370-F370,"")</f>
        <v/>
      </c>
      <c r="U371" s="436"/>
      <c r="V371" s="435"/>
      <c r="W371" s="436"/>
      <c r="X371" s="432"/>
      <c r="Y371" s="432"/>
      <c r="Z371" s="437" t="str">
        <f>IFERROR(IF(R370="","",Z370-R370),0)</f>
        <v/>
      </c>
    </row>
    <row r="372" spans="1:26" ht="18" customHeight="1" thickBot="1">
      <c r="A372" s="140"/>
      <c r="B372" s="140"/>
      <c r="D372" s="180" t="s">
        <v>245</v>
      </c>
      <c r="E372" s="439"/>
      <c r="F372" s="440"/>
      <c r="G372" s="441"/>
      <c r="H372" s="440"/>
      <c r="I372" s="442"/>
      <c r="J372" s="443"/>
      <c r="K372" s="1"/>
      <c r="L372" s="444" t="str">
        <f ca="1">IFERROR(L370/F370-1,"")</f>
        <v/>
      </c>
      <c r="M372" s="440"/>
      <c r="N372" s="441"/>
      <c r="O372" s="440"/>
      <c r="P372" s="445"/>
      <c r="Q372" s="445"/>
      <c r="R372" s="446" t="str">
        <f ca="1">IFERROR(IF(J370="","",(R370/J370)-1),0)</f>
        <v/>
      </c>
      <c r="T372" s="444" t="str">
        <f ca="1">IFERROR(T370/F370-1,"")</f>
        <v/>
      </c>
      <c r="U372" s="440"/>
      <c r="V372" s="441"/>
      <c r="W372" s="440"/>
      <c r="X372" s="445"/>
      <c r="Y372" s="445"/>
      <c r="Z372" s="446" t="str">
        <f>IFERROR(IF(R370="","",(Z370/R370)-1),0)</f>
        <v/>
      </c>
    </row>
    <row r="373" spans="1:26" ht="18" customHeight="1">
      <c r="A373" s="140"/>
      <c r="B373" s="140"/>
      <c r="D373" s="181" t="s">
        <v>246</v>
      </c>
      <c r="E373" s="182"/>
      <c r="F373" s="182"/>
      <c r="G373" s="182"/>
      <c r="H373" s="182"/>
      <c r="I373" s="182"/>
      <c r="J373" s="183"/>
      <c r="K373"/>
      <c r="L373" s="184"/>
      <c r="M373" s="182"/>
      <c r="N373" s="182"/>
      <c r="O373" s="182"/>
      <c r="P373" s="182"/>
      <c r="Q373" s="182"/>
      <c r="R373" s="183"/>
      <c r="T373" s="184"/>
      <c r="U373" s="182"/>
      <c r="V373" s="182"/>
      <c r="W373" s="182"/>
      <c r="X373" s="182"/>
      <c r="Y373" s="182"/>
      <c r="Z373" s="183"/>
    </row>
    <row r="374" spans="1:26" ht="18" customHeight="1" hidden="1">
      <c r="A374" s="140"/>
      <c r="B374" s="140"/>
      <c r="D374" s="185" t="s">
        <v>247</v>
      </c>
      <c r="E374" s="186"/>
      <c r="F374" s="186"/>
      <c r="G374" s="186"/>
      <c r="H374" s="186"/>
      <c r="I374" s="186"/>
      <c r="J374" s="187"/>
      <c r="K374"/>
      <c r="L374" s="188"/>
      <c r="M374" s="186"/>
      <c r="N374" s="186"/>
      <c r="O374" s="186"/>
      <c r="P374" s="186"/>
      <c r="Q374" s="186"/>
      <c r="R374" s="187"/>
      <c r="T374" s="188"/>
      <c r="U374" s="186"/>
      <c r="V374" s="186"/>
      <c r="W374" s="186"/>
      <c r="X374" s="186"/>
      <c r="Y374" s="186"/>
      <c r="Z374" s="187"/>
    </row>
    <row r="375" spans="1:26" ht="18" customHeight="1" hidden="1">
      <c r="A375" s="140"/>
      <c r="B375" s="140"/>
      <c r="D375" s="189" t="s">
        <v>248</v>
      </c>
      <c r="E375" s="190" t="str">
        <f>D364&amp;"_"&amp;D12</f>
        <v>_</v>
      </c>
      <c r="F375" s="191"/>
      <c r="G375" s="191"/>
      <c r="H375" s="191"/>
      <c r="I375" s="190"/>
      <c r="J375" s="192"/>
      <c r="K375"/>
      <c r="L375" s="193" t="str">
        <f ca="1">L364&amp;"_"&amp;D12</f>
        <v>SELECT PLAN_</v>
      </c>
      <c r="M375" s="191"/>
      <c r="N375" s="191"/>
      <c r="O375" s="191"/>
      <c r="P375" s="190"/>
      <c r="Q375" s="191"/>
      <c r="R375" s="192"/>
      <c r="T375" s="193" t="str">
        <f>T364&amp;"_"&amp;D12</f>
        <v>SELECT PLAN_</v>
      </c>
      <c r="U375" s="191"/>
      <c r="V375" s="191"/>
      <c r="W375" s="191"/>
      <c r="X375" s="190"/>
      <c r="Y375" s="191"/>
      <c r="Z375" s="192"/>
    </row>
    <row r="376" spans="1:26" ht="18" customHeight="1" hidden="1">
      <c r="A376" s="140"/>
      <c r="B376" s="140"/>
      <c r="D376" s="189" t="s">
        <v>249</v>
      </c>
      <c r="E376" s="191"/>
      <c r="F376" s="191"/>
      <c r="G376" s="191"/>
      <c r="H376" s="191"/>
      <c r="I376" s="191"/>
      <c r="J376" s="192"/>
      <c r="K376"/>
      <c r="L376" s="189"/>
      <c r="M376" s="191"/>
      <c r="N376" s="191"/>
      <c r="O376" s="191"/>
      <c r="P376" s="191"/>
      <c r="Q376" s="191"/>
      <c r="R376" s="192"/>
      <c r="T376" s="189"/>
      <c r="U376" s="191"/>
      <c r="V376" s="191"/>
      <c r="W376" s="191"/>
      <c r="X376" s="191"/>
      <c r="Y376" s="191"/>
      <c r="Z376" s="192"/>
    </row>
    <row r="377" spans="1:26" ht="18" customHeight="1" hidden="1">
      <c r="A377" s="140"/>
      <c r="B377" s="140"/>
      <c r="D377" s="194" t="s">
        <v>250</v>
      </c>
      <c r="E377" s="195"/>
      <c r="F377" s="195"/>
      <c r="G377" s="195"/>
      <c r="H377" s="195"/>
      <c r="I377" s="195"/>
      <c r="J377" s="196"/>
      <c r="K377"/>
      <c r="L377" s="197"/>
      <c r="M377" s="195"/>
      <c r="N377" s="195"/>
      <c r="O377" s="195"/>
      <c r="P377" s="195"/>
      <c r="Q377" s="195"/>
      <c r="R377" s="196"/>
      <c r="T377" s="197"/>
      <c r="U377" s="195"/>
      <c r="V377" s="195"/>
      <c r="W377" s="195"/>
      <c r="X377" s="195"/>
      <c r="Y377" s="195"/>
      <c r="Z377" s="196"/>
    </row>
    <row r="378" spans="1:26" ht="18" customHeight="1" hidden="1">
      <c r="A378" s="140"/>
      <c r="B378" s="140"/>
      <c r="D378" s="198" t="s">
        <v>251</v>
      </c>
      <c r="E378" s="199" t="str">
        <f>_xlfn.XLOOKUP(E375,CurrentPlans!B:B,CurrentPlans!X:X,"NA",0,1)</f>
        <v>NA</v>
      </c>
      <c r="F378" s="200"/>
      <c r="G378" s="200"/>
      <c r="H378" s="200"/>
      <c r="I378" s="199"/>
      <c r="J378" s="201"/>
      <c r="K378"/>
      <c r="L378" s="202" t="str">
        <f ca="1">_xlfn.XLOOKUP(L375,RenewalPlans!B:B,RenewalPlans!AA:AA,"NA",0,1)</f>
        <v>NA</v>
      </c>
      <c r="M378" s="200"/>
      <c r="N378" s="200"/>
      <c r="O378" s="200"/>
      <c r="P378" s="199"/>
      <c r="Q378" s="200"/>
      <c r="R378" s="201"/>
      <c r="T378" s="202" t="str">
        <f>_xlfn.XLOOKUP(T375,RenewalPlans!B:B,RenewalPlans!AA:AA,"NA",0,1)</f>
        <v>NA</v>
      </c>
      <c r="U378" s="200"/>
      <c r="V378" s="200"/>
      <c r="W378" s="200"/>
      <c r="X378" s="199"/>
      <c r="Y378" s="200"/>
      <c r="Z378" s="201"/>
    </row>
    <row r="379" spans="1:26" ht="18" customHeight="1" hidden="1">
      <c r="A379" s="140"/>
      <c r="B379" s="140"/>
      <c r="D379" s="198" t="s">
        <v>252</v>
      </c>
      <c r="E379" s="199" t="str">
        <f>_xlfn.XLOOKUP(E375,CurrentPlans!B:B,CurrentPlans!Y:Y,"NA",0,1)</f>
        <v>NA</v>
      </c>
      <c r="F379" s="200"/>
      <c r="G379" s="200"/>
      <c r="H379" s="200"/>
      <c r="I379" s="199"/>
      <c r="J379" s="201"/>
      <c r="K379"/>
      <c r="L379" s="202" t="str">
        <f ca="1">_xlfn.XLOOKUP(L375,RenewalPlans!B:B,RenewalPlans!AB:AB,"NA",0,1)</f>
        <v>NA</v>
      </c>
      <c r="M379" s="200"/>
      <c r="N379" s="200"/>
      <c r="O379" s="200"/>
      <c r="P379" s="199"/>
      <c r="Q379" s="200"/>
      <c r="R379" s="201"/>
      <c r="T379" s="202" t="str">
        <f>_xlfn.XLOOKUP(T375,RenewalPlans!B:B,RenewalPlans!AB:AB,"NA",0,1)</f>
        <v>NA</v>
      </c>
      <c r="U379" s="200"/>
      <c r="V379" s="200"/>
      <c r="W379" s="200"/>
      <c r="X379" s="199"/>
      <c r="Y379" s="200"/>
      <c r="Z379" s="201"/>
    </row>
    <row r="380" spans="1:26" ht="18" customHeight="1" hidden="1">
      <c r="A380" s="140"/>
      <c r="B380" s="140"/>
      <c r="D380" s="120" t="s">
        <v>253</v>
      </c>
      <c r="E380" s="121" t="str">
        <f>_xlfn.XLOOKUP(E375,CurrentPlans!B:B,CurrentPlans!W:W,"NA",0,1)</f>
        <v>NA</v>
      </c>
      <c r="F380" s="122"/>
      <c r="G380" s="122"/>
      <c r="H380" s="122"/>
      <c r="I380" s="121"/>
      <c r="J380" s="123"/>
      <c r="K380"/>
      <c r="L380" s="124" t="str">
        <f ca="1">_xlfn.XLOOKUP(L375,RenewalPlans!B:B,RenewalPlans!Z:Z,"NA",0,1)</f>
        <v>NA</v>
      </c>
      <c r="M380" s="122"/>
      <c r="N380" s="122"/>
      <c r="O380" s="122"/>
      <c r="P380" s="121"/>
      <c r="Q380" s="122"/>
      <c r="R380" s="123"/>
      <c r="T380" s="124" t="str">
        <f>_xlfn.XLOOKUP(T375,RenewalPlans!B:B,RenewalPlans!Z:Z,"NA",0,1)</f>
        <v>NA</v>
      </c>
      <c r="U380" s="122"/>
      <c r="V380" s="122"/>
      <c r="W380" s="122"/>
      <c r="X380" s="121"/>
      <c r="Y380" s="122"/>
      <c r="Z380" s="123"/>
    </row>
    <row r="381" spans="1:26" ht="18" customHeight="1" hidden="1">
      <c r="A381" s="140"/>
      <c r="B381" s="140"/>
      <c r="D381" s="203" t="s">
        <v>254</v>
      </c>
      <c r="E381" s="204"/>
      <c r="F381" s="205"/>
      <c r="G381" s="205"/>
      <c r="H381" s="205"/>
      <c r="I381" s="204"/>
      <c r="J381" s="206"/>
      <c r="K381"/>
      <c r="L381" s="207"/>
      <c r="M381" s="205"/>
      <c r="N381" s="205"/>
      <c r="O381" s="205"/>
      <c r="P381" s="204"/>
      <c r="Q381" s="205"/>
      <c r="R381" s="206"/>
      <c r="T381" s="207"/>
      <c r="U381" s="205"/>
      <c r="V381" s="205"/>
      <c r="W381" s="205"/>
      <c r="X381" s="204"/>
      <c r="Y381" s="205"/>
      <c r="Z381" s="206"/>
    </row>
    <row r="382" spans="1:26" ht="18" customHeight="1" hidden="1">
      <c r="A382" s="140"/>
      <c r="B382" s="140"/>
      <c r="D382" s="125" t="s">
        <v>255</v>
      </c>
      <c r="E382" s="126" t="str">
        <f>_xlfn.XLOOKUP(E375,CurrentPlans!B:B,CurrentPlans!Z:Z,"NA",0,1)</f>
        <v>NA</v>
      </c>
      <c r="F382" s="127"/>
      <c r="G382" s="127"/>
      <c r="H382" s="127"/>
      <c r="I382" s="126"/>
      <c r="J382" s="128"/>
      <c r="K382"/>
      <c r="L382" s="129" t="str">
        <f ca="1">_xlfn.XLOOKUP(L375,RenewalPlans!B:B,RenewalPlans!AC:AC,"NA",0,1)</f>
        <v>NA</v>
      </c>
      <c r="M382" s="127"/>
      <c r="N382" s="127"/>
      <c r="O382" s="127"/>
      <c r="P382" s="126"/>
      <c r="Q382" s="127"/>
      <c r="R382" s="128"/>
      <c r="T382" s="129" t="str">
        <f>_xlfn.XLOOKUP(T375,RenewalPlans!B:B,RenewalPlans!AC:AC,"NA",0,1)</f>
        <v>NA</v>
      </c>
      <c r="U382" s="127"/>
      <c r="V382" s="127"/>
      <c r="W382" s="127"/>
      <c r="X382" s="126"/>
      <c r="Y382" s="127"/>
      <c r="Z382" s="128"/>
    </row>
    <row r="383" spans="1:26" ht="18" customHeight="1" hidden="1">
      <c r="A383" s="140"/>
      <c r="B383" s="140"/>
      <c r="D383" s="198" t="s">
        <v>256</v>
      </c>
      <c r="E383" s="208" t="str">
        <f>_xlfn.XLOOKUP(E375,CurrentPlans!B:B,CurrentPlans!AA:AA,"NA",0,1)</f>
        <v>NA</v>
      </c>
      <c r="F383" s="200"/>
      <c r="G383" s="200"/>
      <c r="H383" s="200"/>
      <c r="I383" s="208"/>
      <c r="J383" s="201"/>
      <c r="K383"/>
      <c r="L383" s="209" t="str">
        <f ca="1">_xlfn.XLOOKUP(L375,RenewalPlans!B:B,RenewalPlans!AD:AD,"NA",0,1)</f>
        <v>NA</v>
      </c>
      <c r="M383" s="200"/>
      <c r="N383" s="200"/>
      <c r="O383" s="200"/>
      <c r="P383" s="208"/>
      <c r="Q383" s="200"/>
      <c r="R383" s="201"/>
      <c r="T383" s="209" t="str">
        <f>_xlfn.XLOOKUP(T375,RenewalPlans!B:B,RenewalPlans!AD:AD,"NA",0,1)</f>
        <v>NA</v>
      </c>
      <c r="U383" s="200"/>
      <c r="V383" s="200"/>
      <c r="W383" s="200"/>
      <c r="X383" s="208"/>
      <c r="Y383" s="200"/>
      <c r="Z383" s="201"/>
    </row>
    <row r="384" spans="1:26" ht="18" customHeight="1" hidden="1">
      <c r="A384" s="140"/>
      <c r="B384" s="140"/>
      <c r="D384" s="203" t="s">
        <v>257</v>
      </c>
      <c r="E384" s="204"/>
      <c r="F384" s="205"/>
      <c r="G384" s="205"/>
      <c r="H384" s="205"/>
      <c r="I384" s="204"/>
      <c r="J384" s="206"/>
      <c r="K384"/>
      <c r="L384" s="207"/>
      <c r="M384" s="205"/>
      <c r="N384" s="205"/>
      <c r="O384" s="205"/>
      <c r="P384" s="204"/>
      <c r="Q384" s="205"/>
      <c r="R384" s="206"/>
      <c r="T384" s="207"/>
      <c r="U384" s="205"/>
      <c r="V384" s="205"/>
      <c r="W384" s="205"/>
      <c r="X384" s="204"/>
      <c r="Y384" s="205"/>
      <c r="Z384" s="206"/>
    </row>
    <row r="385" spans="1:26" ht="18" customHeight="1" hidden="1">
      <c r="A385" s="140"/>
      <c r="B385" s="140"/>
      <c r="D385" s="198" t="s">
        <v>258</v>
      </c>
      <c r="E385" s="208" t="str">
        <f>_xlfn.XLOOKUP(E375,CurrentPlans!B:B,CurrentPlans!AB:AB,"NA",0,1)</f>
        <v>NA</v>
      </c>
      <c r="F385" s="200"/>
      <c r="G385" s="200"/>
      <c r="H385" s="200"/>
      <c r="I385" s="208"/>
      <c r="J385" s="201"/>
      <c r="K385"/>
      <c r="L385" s="209" t="str">
        <f ca="1">_xlfn.XLOOKUP(L375,RenewalPlans!B:B,RenewalPlans!AE:AE,"NA",0,1)</f>
        <v>NA</v>
      </c>
      <c r="M385" s="200"/>
      <c r="N385" s="200"/>
      <c r="O385" s="200"/>
      <c r="P385" s="208"/>
      <c r="Q385" s="200"/>
      <c r="R385" s="201"/>
      <c r="T385" s="209" t="str">
        <f>_xlfn.XLOOKUP(T375,RenewalPlans!B:B,RenewalPlans!AE:AE,"NA",0,1)</f>
        <v>NA</v>
      </c>
      <c r="U385" s="200"/>
      <c r="V385" s="200"/>
      <c r="W385" s="200"/>
      <c r="X385" s="208"/>
      <c r="Y385" s="200"/>
      <c r="Z385" s="201"/>
    </row>
    <row r="386" spans="1:26" ht="18" customHeight="1" hidden="1">
      <c r="A386" s="140"/>
      <c r="B386" s="140"/>
      <c r="D386" s="198" t="s">
        <v>259</v>
      </c>
      <c r="E386" s="208" t="str">
        <f>_xlfn.XLOOKUP(E375,CurrentPlans!B:B,CurrentPlans!AC:AC,"NA",0,1)</f>
        <v>NA</v>
      </c>
      <c r="F386" s="200"/>
      <c r="G386" s="200"/>
      <c r="H386" s="200"/>
      <c r="I386" s="208"/>
      <c r="J386" s="201"/>
      <c r="K386"/>
      <c r="L386" s="209" t="str">
        <f ca="1">_xlfn.XLOOKUP(L375,RenewalPlans!B:B,RenewalPlans!AF:AF,"NA",0,1)</f>
        <v>NA</v>
      </c>
      <c r="M386" s="200"/>
      <c r="N386" s="200"/>
      <c r="O386" s="200"/>
      <c r="P386" s="208"/>
      <c r="Q386" s="200"/>
      <c r="R386" s="201"/>
      <c r="T386" s="209" t="str">
        <f>_xlfn.XLOOKUP(T375,RenewalPlans!B:B,RenewalPlans!AF:AF,"NA",0,1)</f>
        <v>NA</v>
      </c>
      <c r="U386" s="200"/>
      <c r="V386" s="200"/>
      <c r="W386" s="200"/>
      <c r="X386" s="208"/>
      <c r="Y386" s="200"/>
      <c r="Z386" s="201"/>
    </row>
    <row r="387" spans="1:26" ht="18" customHeight="1" hidden="1">
      <c r="A387" s="140"/>
      <c r="B387" s="140"/>
      <c r="D387" s="210"/>
      <c r="E387" s="211"/>
      <c r="F387" s="211"/>
      <c r="G387" s="211"/>
      <c r="H387" s="211"/>
      <c r="I387" s="211"/>
      <c r="J387" s="212"/>
      <c r="K387"/>
      <c r="L387" s="210"/>
      <c r="M387" s="211"/>
      <c r="N387" s="211"/>
      <c r="O387" s="211"/>
      <c r="P387" s="211"/>
      <c r="Q387" s="211"/>
      <c r="R387" s="212"/>
      <c r="T387" s="210"/>
      <c r="U387" s="211"/>
      <c r="V387" s="211"/>
      <c r="W387" s="211"/>
      <c r="X387" s="211"/>
      <c r="Y387" s="211"/>
      <c r="Z387" s="212"/>
    </row>
    <row r="388" spans="1:26" ht="18" customHeight="1" hidden="1">
      <c r="A388" s="140"/>
      <c r="B388" s="140"/>
      <c r="D388" s="185" t="s">
        <v>260</v>
      </c>
      <c r="E388" s="186"/>
      <c r="F388" s="186"/>
      <c r="G388" s="186"/>
      <c r="H388" s="186"/>
      <c r="I388" s="186"/>
      <c r="J388" s="187"/>
      <c r="K388"/>
      <c r="L388" s="188"/>
      <c r="M388" s="186"/>
      <c r="N388" s="186"/>
      <c r="O388" s="186"/>
      <c r="P388" s="186"/>
      <c r="Q388" s="186"/>
      <c r="R388" s="187"/>
      <c r="T388" s="188"/>
      <c r="U388" s="186"/>
      <c r="V388" s="186"/>
      <c r="W388" s="186"/>
      <c r="X388" s="186"/>
      <c r="Y388" s="186"/>
      <c r="Z388" s="187"/>
    </row>
    <row r="389" spans="1:26" ht="18" customHeight="1" hidden="1">
      <c r="A389" s="140"/>
      <c r="B389" s="140"/>
      <c r="D389" s="213" t="s">
        <v>261</v>
      </c>
      <c r="E389" s="130" t="str">
        <f>_xlfn.XLOOKUP(E375,CurrentPlans!B:B,CurrentPlans!AJ:AJ,"NA",0,1)</f>
        <v>NA</v>
      </c>
      <c r="F389" s="214"/>
      <c r="G389" s="214"/>
      <c r="H389" s="214"/>
      <c r="I389" s="130"/>
      <c r="J389" s="215"/>
      <c r="K389"/>
      <c r="L389" s="131" t="str">
        <f ca="1">_xlfn.XLOOKUP(L375,RenewalPlans!B:B,RenewalPlans!AM:AM,"NA",0,1)</f>
        <v>NA</v>
      </c>
      <c r="M389" s="214"/>
      <c r="N389" s="214"/>
      <c r="O389" s="214"/>
      <c r="P389" s="130"/>
      <c r="Q389" s="214"/>
      <c r="R389" s="215"/>
      <c r="T389" s="131" t="str">
        <f>_xlfn.XLOOKUP(T375,RenewalPlans!B:B,RenewalPlans!AM:AM,"NA",0,1)</f>
        <v>NA</v>
      </c>
      <c r="U389" s="214"/>
      <c r="V389" s="214"/>
      <c r="W389" s="214"/>
      <c r="X389" s="130"/>
      <c r="Y389" s="214"/>
      <c r="Z389" s="215"/>
    </row>
    <row r="390" spans="1:26" ht="18" customHeight="1" hidden="1">
      <c r="A390" s="140"/>
      <c r="B390" s="140"/>
      <c r="D390" s="198" t="s">
        <v>262</v>
      </c>
      <c r="E390" s="130" t="str">
        <f>_xlfn.XLOOKUP(E375,CurrentPlans!B:B,CurrentPlans!AM:AM,"NA",0,1)</f>
        <v>NA</v>
      </c>
      <c r="F390" s="200"/>
      <c r="G390" s="200"/>
      <c r="H390" s="200"/>
      <c r="I390" s="130"/>
      <c r="J390" s="201"/>
      <c r="K390"/>
      <c r="L390" s="131" t="str">
        <f ca="1">_xlfn.XLOOKUP(L375,RenewalPlans!B:B,RenewalPlans!AP:AP,"NA",0,1)</f>
        <v>NA</v>
      </c>
      <c r="M390" s="200"/>
      <c r="N390" s="200"/>
      <c r="O390" s="200"/>
      <c r="P390" s="130"/>
      <c r="Q390" s="200"/>
      <c r="R390" s="201"/>
      <c r="T390" s="131" t="str">
        <f>_xlfn.XLOOKUP(T375,RenewalPlans!B:B,RenewalPlans!AP:AP,"NA",0,1)</f>
        <v>NA</v>
      </c>
      <c r="U390" s="200"/>
      <c r="V390" s="200"/>
      <c r="W390" s="200"/>
      <c r="X390" s="130"/>
      <c r="Y390" s="200"/>
      <c r="Z390" s="201"/>
    </row>
    <row r="391" spans="1:26" ht="18" customHeight="1" hidden="1">
      <c r="A391" s="140"/>
      <c r="B391" s="140"/>
      <c r="D391" s="198" t="s">
        <v>263</v>
      </c>
      <c r="E391" s="130" t="str">
        <f>_xlfn.XLOOKUP(E375,CurrentPlans!B:B,CurrentPlans!AI:AI,"NA",0,1)</f>
        <v>NA</v>
      </c>
      <c r="F391" s="200"/>
      <c r="G391" s="200"/>
      <c r="H391" s="200"/>
      <c r="I391" s="130"/>
      <c r="J391" s="201"/>
      <c r="K391"/>
      <c r="L391" s="131" t="str">
        <f ca="1">_xlfn.XLOOKUP(L375,RenewalPlans!B:B,RenewalPlans!AL:AL,"NA",0,1)</f>
        <v>NA</v>
      </c>
      <c r="M391" s="200"/>
      <c r="N391" s="200"/>
      <c r="O391" s="200"/>
      <c r="P391" s="130"/>
      <c r="Q391" s="200"/>
      <c r="R391" s="201"/>
      <c r="T391" s="131" t="str">
        <f>_xlfn.XLOOKUP(T375,RenewalPlans!B:B,RenewalPlans!AL:AL,"NA",0,1)</f>
        <v>NA</v>
      </c>
      <c r="U391" s="200"/>
      <c r="V391" s="200"/>
      <c r="W391" s="200"/>
      <c r="X391" s="130"/>
      <c r="Y391" s="200"/>
      <c r="Z391" s="201"/>
    </row>
    <row r="392" spans="1:26" ht="18" customHeight="1" hidden="1">
      <c r="A392" s="140"/>
      <c r="B392" s="140"/>
      <c r="D392" s="198" t="s">
        <v>264</v>
      </c>
      <c r="E392" s="208" t="str">
        <f>_xlfn.XLOOKUP(E375,CurrentPlans!B:B,CurrentPlans!AN:AN,"NA",0,1)</f>
        <v>NA</v>
      </c>
      <c r="F392" s="200"/>
      <c r="G392" s="200"/>
      <c r="H392" s="200"/>
      <c r="I392" s="208"/>
      <c r="J392" s="201"/>
      <c r="K392"/>
      <c r="L392" s="209" t="str">
        <f ca="1">_xlfn.XLOOKUP(L375,RenewalPlans!B:B,RenewalPlans!AQ:AQ,"NA",0,1)</f>
        <v>NA</v>
      </c>
      <c r="M392" s="200"/>
      <c r="N392" s="200"/>
      <c r="O392" s="200"/>
      <c r="P392" s="208"/>
      <c r="Q392" s="200"/>
      <c r="R392" s="201"/>
      <c r="T392" s="209" t="str">
        <f>_xlfn.XLOOKUP(T375,RenewalPlans!B:B,RenewalPlans!AQ:AQ,"NA",0,1)</f>
        <v>NA</v>
      </c>
      <c r="U392" s="200"/>
      <c r="V392" s="200"/>
      <c r="W392" s="200"/>
      <c r="X392" s="208"/>
      <c r="Y392" s="200"/>
      <c r="Z392" s="201"/>
    </row>
    <row r="393" spans="1:26" ht="18" customHeight="1" hidden="1">
      <c r="A393" s="140"/>
      <c r="B393" s="140"/>
      <c r="D393" s="210"/>
      <c r="E393" s="211"/>
      <c r="F393" s="211"/>
      <c r="G393" s="211"/>
      <c r="H393" s="211"/>
      <c r="I393" s="211"/>
      <c r="J393" s="212"/>
      <c r="K393"/>
      <c r="L393" s="210"/>
      <c r="M393" s="211"/>
      <c r="N393" s="211"/>
      <c r="O393" s="211"/>
      <c r="P393" s="211"/>
      <c r="Q393" s="211"/>
      <c r="R393" s="212"/>
      <c r="T393" s="210"/>
      <c r="U393" s="211"/>
      <c r="V393" s="211"/>
      <c r="W393" s="211"/>
      <c r="X393" s="211"/>
      <c r="Y393" s="211"/>
      <c r="Z393" s="212"/>
    </row>
    <row r="394" spans="1:26" ht="18" customHeight="1" hidden="1">
      <c r="A394" s="140"/>
      <c r="B394" s="140"/>
      <c r="D394" s="185" t="s">
        <v>265</v>
      </c>
      <c r="E394" s="186"/>
      <c r="F394" s="186"/>
      <c r="G394" s="186"/>
      <c r="H394" s="186"/>
      <c r="I394" s="186"/>
      <c r="J394" s="187"/>
      <c r="K394"/>
      <c r="L394" s="188"/>
      <c r="M394" s="186"/>
      <c r="N394" s="186"/>
      <c r="O394" s="186"/>
      <c r="P394" s="186"/>
      <c r="Q394" s="186"/>
      <c r="R394" s="187"/>
      <c r="T394" s="188"/>
      <c r="U394" s="186"/>
      <c r="V394" s="186"/>
      <c r="W394" s="186"/>
      <c r="X394" s="186"/>
      <c r="Y394" s="186"/>
      <c r="Z394" s="187"/>
    </row>
    <row r="395" spans="1:26" ht="18" customHeight="1" hidden="1">
      <c r="A395" s="140"/>
      <c r="B395" s="140"/>
      <c r="D395" s="132" t="s">
        <v>266</v>
      </c>
      <c r="E395" s="133" t="str">
        <f>_xlfn.XLOOKUP(E375,CurrentPlans!B:B,CurrentPlans!AE:AE,"NA",0,1)</f>
        <v>NA</v>
      </c>
      <c r="F395" s="134"/>
      <c r="G395" s="134"/>
      <c r="H395" s="134"/>
      <c r="I395" s="133"/>
      <c r="J395" s="135"/>
      <c r="K395"/>
      <c r="L395" s="136" t="str">
        <f ca="1">_xlfn.XLOOKUP(L375,RenewalPlans!B:B,RenewalPlans!AH:AH,"NA",0,1)</f>
        <v>NA</v>
      </c>
      <c r="M395" s="134"/>
      <c r="N395" s="134"/>
      <c r="O395" s="134"/>
      <c r="P395" s="133"/>
      <c r="Q395" s="134"/>
      <c r="R395" s="135"/>
      <c r="T395" s="136" t="str">
        <f>_xlfn.XLOOKUP(T375,RenewalPlans!B:B,RenewalPlans!AH:AH,"NA",0,1)</f>
        <v>NA</v>
      </c>
      <c r="U395" s="134"/>
      <c r="V395" s="134"/>
      <c r="W395" s="134"/>
      <c r="X395" s="133"/>
      <c r="Y395" s="134"/>
      <c r="Z395" s="135"/>
    </row>
    <row r="396" spans="1:26" ht="18" customHeight="1" hidden="1">
      <c r="A396" s="140"/>
      <c r="B396" s="140"/>
      <c r="D396" s="120" t="s">
        <v>267</v>
      </c>
      <c r="E396" s="130" t="str">
        <f>_xlfn.XLOOKUP(E375,CurrentPlans!B:B,CurrentPlans!AF:AF,"NA",0,1)</f>
        <v>NA</v>
      </c>
      <c r="F396" s="122"/>
      <c r="G396" s="122"/>
      <c r="H396" s="122"/>
      <c r="I396" s="130"/>
      <c r="J396" s="123"/>
      <c r="K396"/>
      <c r="L396" s="131" t="str">
        <f ca="1">_xlfn.XLOOKUP(L375,RenewalPlans!B:B,RenewalPlans!AI:AI,"NA",0,1)</f>
        <v>NA</v>
      </c>
      <c r="M396" s="122"/>
      <c r="N396" s="122"/>
      <c r="O396" s="122"/>
      <c r="P396" s="130"/>
      <c r="Q396" s="122"/>
      <c r="R396" s="123"/>
      <c r="T396" s="131" t="str">
        <f>_xlfn.XLOOKUP(T375,RenewalPlans!B:B,RenewalPlans!AI:AI,"NA",0,1)</f>
        <v>NA</v>
      </c>
      <c r="U396" s="122"/>
      <c r="V396" s="122"/>
      <c r="W396" s="122"/>
      <c r="X396" s="130"/>
      <c r="Y396" s="122"/>
      <c r="Z396" s="123"/>
    </row>
    <row r="397" spans="1:26" ht="18" customHeight="1" hidden="1">
      <c r="A397" s="140"/>
      <c r="B397" s="140"/>
      <c r="D397" s="198" t="s">
        <v>268</v>
      </c>
      <c r="E397" s="130" t="str">
        <f>_xlfn.XLOOKUP(E375,CurrentPlans!B:B,CurrentPlans!AH:AH,"NA",0,1)</f>
        <v>NA</v>
      </c>
      <c r="F397" s="200"/>
      <c r="G397" s="200"/>
      <c r="H397" s="200"/>
      <c r="I397" s="130"/>
      <c r="J397" s="201"/>
      <c r="K397"/>
      <c r="L397" s="131" t="str">
        <f ca="1">_xlfn.XLOOKUP(L375,RenewalPlans!B:B,RenewalPlans!AK:AK,"NA",0,1)</f>
        <v>NA</v>
      </c>
      <c r="M397" s="200"/>
      <c r="N397" s="200"/>
      <c r="O397" s="200"/>
      <c r="P397" s="130"/>
      <c r="Q397" s="200"/>
      <c r="R397" s="201"/>
      <c r="T397" s="131" t="str">
        <f>_xlfn.XLOOKUP(T375,RenewalPlans!B:B,RenewalPlans!AK:AK,"NA",0,1)</f>
        <v>NA</v>
      </c>
      <c r="U397" s="200"/>
      <c r="V397" s="200"/>
      <c r="W397" s="200"/>
      <c r="X397" s="130"/>
      <c r="Y397" s="200"/>
      <c r="Z397" s="201"/>
    </row>
    <row r="398" spans="1:26" ht="18" customHeight="1" hidden="1">
      <c r="A398" s="140"/>
      <c r="B398" s="140"/>
      <c r="D398" s="198" t="s">
        <v>269</v>
      </c>
      <c r="E398" s="130" t="str">
        <f>_xlfn.XLOOKUP(E375,CurrentPlans!B:B,CurrentPlans!AG:AG,"NA",0,1)</f>
        <v>NA</v>
      </c>
      <c r="F398" s="200"/>
      <c r="G398" s="200"/>
      <c r="H398" s="200"/>
      <c r="I398" s="130"/>
      <c r="J398" s="201"/>
      <c r="K398"/>
      <c r="L398" s="131" t="str">
        <f ca="1">_xlfn.XLOOKUP(L375,RenewalPlans!B:B,RenewalPlans!AJ:AJ,"NA",0,1)</f>
        <v>NA</v>
      </c>
      <c r="M398" s="200"/>
      <c r="N398" s="200"/>
      <c r="O398" s="200"/>
      <c r="P398" s="130"/>
      <c r="Q398" s="200"/>
      <c r="R398" s="201"/>
      <c r="T398" s="131" t="str">
        <f>_xlfn.XLOOKUP(T375,RenewalPlans!B:B,RenewalPlans!AJ:AJ,"NA",0,1)</f>
        <v>NA</v>
      </c>
      <c r="U398" s="200"/>
      <c r="V398" s="200"/>
      <c r="W398" s="200"/>
      <c r="X398" s="130"/>
      <c r="Y398" s="200"/>
      <c r="Z398" s="201"/>
    </row>
    <row r="399" spans="1:26" ht="18" customHeight="1" hidden="1">
      <c r="A399" s="140"/>
      <c r="B399" s="140"/>
      <c r="D399" s="213" t="s">
        <v>270</v>
      </c>
      <c r="E399" s="216" t="str">
        <f>_xlfn.XLOOKUP(E375,CurrentPlans!B:B,CurrentPlans!AU:AU,"NA",0,1)</f>
        <v>NA</v>
      </c>
      <c r="F399" s="214"/>
      <c r="G399" s="214"/>
      <c r="H399" s="214"/>
      <c r="I399" s="217"/>
      <c r="J399" s="215"/>
      <c r="K399"/>
      <c r="L399" s="218" t="str">
        <f ca="1">_xlfn.XLOOKUP(L375,RenewalPlans!B:B,RenewalPlans!AX:AX,"NA",0,1)</f>
        <v>NA</v>
      </c>
      <c r="M399" s="214"/>
      <c r="N399" s="214"/>
      <c r="O399" s="214"/>
      <c r="P399" s="217"/>
      <c r="Q399" s="214"/>
      <c r="R399" s="215"/>
      <c r="T399" s="218" t="str">
        <f>_xlfn.XLOOKUP(T375,RenewalPlans!B:B,RenewalPlans!AX:AX,"NA",0,1)</f>
        <v>NA</v>
      </c>
      <c r="U399" s="214"/>
      <c r="V399" s="214"/>
      <c r="W399" s="214"/>
      <c r="X399" s="217"/>
      <c r="Y399" s="214"/>
      <c r="Z399" s="215"/>
    </row>
    <row r="400" spans="1:26" ht="18" customHeight="1" hidden="1">
      <c r="A400" s="140"/>
      <c r="B400" s="140"/>
      <c r="D400" s="213" t="s">
        <v>271</v>
      </c>
      <c r="E400" s="216" t="str">
        <f>_xlfn.XLOOKUP(E375,CurrentPlans!B:B,CurrentPlans!AT:AT,"NA",0,1)</f>
        <v>NA</v>
      </c>
      <c r="F400" s="214"/>
      <c r="G400" s="214"/>
      <c r="H400" s="214"/>
      <c r="I400" s="217"/>
      <c r="J400" s="215"/>
      <c r="K400"/>
      <c r="L400" s="218" t="str">
        <f ca="1">_xlfn.XLOOKUP(L375,RenewalPlans!B:B,RenewalPlans!AW:AW,"NA",0,1)</f>
        <v>NA</v>
      </c>
      <c r="M400" s="214"/>
      <c r="N400" s="214"/>
      <c r="O400" s="214"/>
      <c r="P400" s="217"/>
      <c r="Q400" s="214"/>
      <c r="R400" s="215"/>
      <c r="T400" s="218" t="str">
        <f>_xlfn.XLOOKUP(T375,RenewalPlans!B:B,RenewalPlans!AW:AW,"NA",0,1)</f>
        <v>NA</v>
      </c>
      <c r="U400" s="214"/>
      <c r="V400" s="214"/>
      <c r="W400" s="214"/>
      <c r="X400" s="217"/>
      <c r="Y400" s="214"/>
      <c r="Z400" s="215"/>
    </row>
    <row r="401" spans="1:26" ht="18" customHeight="1" hidden="1">
      <c r="A401" s="140"/>
      <c r="B401" s="140"/>
      <c r="D401" s="198" t="s">
        <v>272</v>
      </c>
      <c r="E401" s="130" t="str">
        <f>_xlfn.XLOOKUP(E375,CurrentPlans!B:B,CurrentPlans!AD:AD,"NA",0,1)</f>
        <v>NA</v>
      </c>
      <c r="F401" s="200"/>
      <c r="G401" s="200"/>
      <c r="H401" s="200"/>
      <c r="I401" s="130"/>
      <c r="J401" s="201"/>
      <c r="K401"/>
      <c r="L401" s="131" t="str">
        <f ca="1">_xlfn.XLOOKUP(L375,RenewalPlans!B:B,RenewalPlans!AG:AG,"NA",0,1)</f>
        <v>NA</v>
      </c>
      <c r="M401" s="200"/>
      <c r="N401" s="200"/>
      <c r="O401" s="200"/>
      <c r="P401" s="130"/>
      <c r="Q401" s="200"/>
      <c r="R401" s="201"/>
      <c r="T401" s="131" t="str">
        <f>_xlfn.XLOOKUP(T375,RenewalPlans!B:B,RenewalPlans!AG:AG,"NA",0,1)</f>
        <v>NA</v>
      </c>
      <c r="U401" s="200"/>
      <c r="V401" s="200"/>
      <c r="W401" s="200"/>
      <c r="X401" s="130"/>
      <c r="Y401" s="200"/>
      <c r="Z401" s="201"/>
    </row>
    <row r="402" spans="1:26" ht="18" customHeight="1" hidden="1">
      <c r="A402" s="140"/>
      <c r="B402" s="140"/>
      <c r="D402" s="198" t="s">
        <v>273</v>
      </c>
      <c r="E402" s="200"/>
      <c r="F402" s="200"/>
      <c r="G402" s="200"/>
      <c r="H402" s="200"/>
      <c r="I402" s="200"/>
      <c r="J402" s="201"/>
      <c r="K402"/>
      <c r="L402" s="198"/>
      <c r="M402" s="200"/>
      <c r="N402" s="200"/>
      <c r="O402" s="200"/>
      <c r="P402" s="200"/>
      <c r="Q402" s="200"/>
      <c r="R402" s="201"/>
      <c r="T402" s="198"/>
      <c r="U402" s="200"/>
      <c r="V402" s="200"/>
      <c r="W402" s="200"/>
      <c r="X402" s="200"/>
      <c r="Y402" s="200"/>
      <c r="Z402" s="201"/>
    </row>
    <row r="403" spans="1:26" ht="18" customHeight="1" hidden="1">
      <c r="A403" s="140"/>
      <c r="B403" s="140"/>
      <c r="D403" s="210"/>
      <c r="E403" s="211"/>
      <c r="F403" s="211"/>
      <c r="G403" s="211"/>
      <c r="H403" s="211"/>
      <c r="I403" s="211"/>
      <c r="J403" s="212"/>
      <c r="K403"/>
      <c r="L403" s="210"/>
      <c r="M403" s="211"/>
      <c r="N403" s="211"/>
      <c r="O403" s="211"/>
      <c r="P403" s="211"/>
      <c r="Q403" s="211"/>
      <c r="R403" s="212"/>
      <c r="T403" s="210"/>
      <c r="U403" s="211"/>
      <c r="V403" s="211"/>
      <c r="W403" s="211"/>
      <c r="X403" s="211"/>
      <c r="Y403" s="211"/>
      <c r="Z403" s="212"/>
    </row>
    <row r="404" spans="1:26" ht="18" customHeight="1" hidden="1">
      <c r="A404" s="140"/>
      <c r="B404" s="140"/>
      <c r="D404" s="219" t="s">
        <v>274</v>
      </c>
      <c r="E404" s="220"/>
      <c r="F404" s="220"/>
      <c r="G404" s="220"/>
      <c r="H404" s="220"/>
      <c r="I404" s="220"/>
      <c r="J404" s="221"/>
      <c r="K404"/>
      <c r="L404" s="222"/>
      <c r="M404" s="220"/>
      <c r="N404" s="220"/>
      <c r="O404" s="220"/>
      <c r="P404" s="220"/>
      <c r="Q404" s="220"/>
      <c r="R404" s="221"/>
      <c r="T404" s="222"/>
      <c r="U404" s="220"/>
      <c r="V404" s="220"/>
      <c r="W404" s="220"/>
      <c r="X404" s="220"/>
      <c r="Y404" s="220"/>
      <c r="Z404" s="221"/>
    </row>
    <row r="405" spans="1:26" ht="18" customHeight="1" hidden="1">
      <c r="A405" s="140"/>
      <c r="B405" s="140"/>
      <c r="D405" s="223" t="s">
        <v>250</v>
      </c>
      <c r="E405" s="205"/>
      <c r="F405" s="205"/>
      <c r="G405" s="205"/>
      <c r="H405" s="205"/>
      <c r="I405" s="205"/>
      <c r="J405" s="206"/>
      <c r="K405"/>
      <c r="L405" s="203"/>
      <c r="M405" s="205"/>
      <c r="N405" s="205"/>
      <c r="O405" s="205"/>
      <c r="P405" s="205"/>
      <c r="Q405" s="205"/>
      <c r="R405" s="206"/>
      <c r="T405" s="203"/>
      <c r="U405" s="205"/>
      <c r="V405" s="205"/>
      <c r="W405" s="205"/>
      <c r="X405" s="205"/>
      <c r="Y405" s="205"/>
      <c r="Z405" s="206"/>
    </row>
    <row r="406" spans="1:26" ht="18" customHeight="1" hidden="1">
      <c r="A406" s="140"/>
      <c r="B406" s="140"/>
      <c r="D406" s="198" t="s">
        <v>251</v>
      </c>
      <c r="E406" s="130" t="str">
        <f>_xlfn.XLOOKUP(E375,CurrentPlans!B:B,CurrentPlans!AP:AP,"NA",0,1)</f>
        <v>NA</v>
      </c>
      <c r="F406" s="200"/>
      <c r="G406" s="200"/>
      <c r="H406" s="200"/>
      <c r="I406" s="130"/>
      <c r="J406" s="201"/>
      <c r="K406"/>
      <c r="L406" s="131" t="str">
        <f ca="1">_xlfn.XLOOKUP(L375,RenewalPlans!B:B,RenewalPlans!AS:AS,"NA",0,1)</f>
        <v>NA</v>
      </c>
      <c r="M406" s="200"/>
      <c r="N406" s="200"/>
      <c r="O406" s="200"/>
      <c r="P406" s="130"/>
      <c r="Q406" s="200"/>
      <c r="R406" s="201"/>
      <c r="T406" s="131" t="str">
        <f>_xlfn.XLOOKUP(T375,RenewalPlans!B:B,RenewalPlans!AS:AS,"NA",0,1)</f>
        <v>NA</v>
      </c>
      <c r="U406" s="200"/>
      <c r="V406" s="200"/>
      <c r="W406" s="200"/>
      <c r="X406" s="130"/>
      <c r="Y406" s="200"/>
      <c r="Z406" s="201"/>
    </row>
    <row r="407" spans="1:26" ht="18" customHeight="1" hidden="1">
      <c r="A407" s="140"/>
      <c r="B407" s="140"/>
      <c r="D407" s="198" t="s">
        <v>252</v>
      </c>
      <c r="E407" s="130" t="str">
        <f>_xlfn.XLOOKUP(E375,CurrentPlans!B:B,CurrentPlans!AQ:AQ,"NA",0,1)</f>
        <v>NA</v>
      </c>
      <c r="F407" s="200"/>
      <c r="G407" s="200"/>
      <c r="H407" s="200"/>
      <c r="I407" s="130"/>
      <c r="J407" s="201"/>
      <c r="K407"/>
      <c r="L407" s="131" t="str">
        <f ca="1">_xlfn.XLOOKUP(L375,RenewalPlans!B:B,RenewalPlans!AT:AT,"NA",0,1)</f>
        <v>NA</v>
      </c>
      <c r="M407" s="200"/>
      <c r="N407" s="200"/>
      <c r="O407" s="200"/>
      <c r="P407" s="130"/>
      <c r="Q407" s="200"/>
      <c r="R407" s="201"/>
      <c r="T407" s="131" t="str">
        <f>_xlfn.XLOOKUP(T375,RenewalPlans!B:B,RenewalPlans!AT:AT,"NA",0,1)</f>
        <v>NA</v>
      </c>
      <c r="U407" s="200"/>
      <c r="V407" s="200"/>
      <c r="W407" s="200"/>
      <c r="X407" s="130"/>
      <c r="Y407" s="200"/>
      <c r="Z407" s="201"/>
    </row>
    <row r="408" spans="1:26" ht="18" customHeight="1" hidden="1">
      <c r="A408" s="140"/>
      <c r="B408" s="140"/>
      <c r="D408" s="120" t="s">
        <v>253</v>
      </c>
      <c r="E408" s="133" t="str">
        <f>_xlfn.XLOOKUP(E375,CurrentPlans!B:B,CurrentPlans!AO:AO,"NA",0,1)</f>
        <v>NA</v>
      </c>
      <c r="F408" s="122"/>
      <c r="G408" s="122"/>
      <c r="H408" s="122"/>
      <c r="I408" s="133"/>
      <c r="J408" s="123"/>
      <c r="K408"/>
      <c r="L408" s="136" t="str">
        <f ca="1">_xlfn.XLOOKUP(L375,RenewalPlans!B:B,RenewalPlans!AR:AR,"NA",0,1)</f>
        <v>NA</v>
      </c>
      <c r="M408" s="122"/>
      <c r="N408" s="122"/>
      <c r="O408" s="122"/>
      <c r="P408" s="133"/>
      <c r="Q408" s="122"/>
      <c r="R408" s="123"/>
      <c r="T408" s="136" t="str">
        <f>_xlfn.XLOOKUP(T375,RenewalPlans!B:B,RenewalPlans!AR:AR,"NA",0,1)</f>
        <v>NA</v>
      </c>
      <c r="U408" s="122"/>
      <c r="V408" s="122"/>
      <c r="W408" s="122"/>
      <c r="X408" s="133"/>
      <c r="Y408" s="122"/>
      <c r="Z408" s="123"/>
    </row>
    <row r="409" spans="1:26" ht="18" customHeight="1" hidden="1">
      <c r="A409" s="140"/>
      <c r="B409" s="140"/>
      <c r="D409" s="223" t="s">
        <v>254</v>
      </c>
      <c r="E409" s="205"/>
      <c r="F409" s="205"/>
      <c r="G409" s="205"/>
      <c r="H409" s="205"/>
      <c r="I409" s="205"/>
      <c r="J409" s="206"/>
      <c r="K409"/>
      <c r="L409" s="203"/>
      <c r="M409" s="205"/>
      <c r="N409" s="205"/>
      <c r="O409" s="205"/>
      <c r="P409" s="205"/>
      <c r="Q409" s="205"/>
      <c r="R409" s="206"/>
      <c r="T409" s="203"/>
      <c r="U409" s="205"/>
      <c r="V409" s="205"/>
      <c r="W409" s="205"/>
      <c r="X409" s="205"/>
      <c r="Y409" s="205"/>
      <c r="Z409" s="206"/>
    </row>
    <row r="410" spans="1:26" ht="18" customHeight="1" hidden="1">
      <c r="A410" s="140"/>
      <c r="B410" s="140"/>
      <c r="D410" s="198" t="s">
        <v>255</v>
      </c>
      <c r="E410" s="130" t="str">
        <f>_xlfn.XLOOKUP(E375,CurrentPlans!B:B,CurrentPlans!AR:AR,"NA",0,1)</f>
        <v>NA</v>
      </c>
      <c r="F410" s="200"/>
      <c r="G410" s="200"/>
      <c r="H410" s="200"/>
      <c r="I410" s="130"/>
      <c r="J410" s="201"/>
      <c r="K410"/>
      <c r="L410" s="131" t="str">
        <f ca="1">_xlfn.XLOOKUP(L375,RenewalPlans!B:B,RenewalPlans!AU:AU,"NA",0,1)</f>
        <v>NA</v>
      </c>
      <c r="M410" s="200"/>
      <c r="N410" s="200"/>
      <c r="O410" s="200"/>
      <c r="P410" s="130"/>
      <c r="Q410" s="200"/>
      <c r="R410" s="201"/>
      <c r="T410" s="131" t="str">
        <f>_xlfn.XLOOKUP(T375,RenewalPlans!B:B,RenewalPlans!AU:AU,"NA",0,1)</f>
        <v>NA</v>
      </c>
      <c r="U410" s="200"/>
      <c r="V410" s="200"/>
      <c r="W410" s="200"/>
      <c r="X410" s="130"/>
      <c r="Y410" s="200"/>
      <c r="Z410" s="201"/>
    </row>
    <row r="411" spans="1:26" ht="18" customHeight="1" hidden="1" thickBot="1">
      <c r="A411" s="140"/>
      <c r="B411" s="140"/>
      <c r="D411" s="224" t="s">
        <v>256</v>
      </c>
      <c r="E411" s="137" t="str">
        <f>_xlfn.XLOOKUP(E375,CurrentPlans!B:B,CurrentPlans!AS:AS,"NA",0,1)</f>
        <v>NA</v>
      </c>
      <c r="F411" s="225"/>
      <c r="G411" s="225"/>
      <c r="H411" s="225"/>
      <c r="I411" s="137"/>
      <c r="J411" s="226"/>
      <c r="K411"/>
      <c r="L411" s="138" t="str">
        <f ca="1">_xlfn.XLOOKUP(L375,RenewalPlans!B:B,RenewalPlans!AV:AV,"NA",0,1)</f>
        <v>NA</v>
      </c>
      <c r="M411" s="225"/>
      <c r="N411" s="225"/>
      <c r="O411" s="225"/>
      <c r="P411" s="137"/>
      <c r="Q411" s="225"/>
      <c r="R411" s="226"/>
      <c r="T411" s="138" t="str">
        <f>_xlfn.XLOOKUP(T375,RenewalPlans!B:B,RenewalPlans!AV:AV,"NA",0,1)</f>
        <v>NA</v>
      </c>
      <c r="U411" s="225"/>
      <c r="V411" s="225"/>
      <c r="W411" s="225"/>
      <c r="X411" s="137"/>
      <c r="Y411" s="225"/>
      <c r="Z411" s="226"/>
    </row>
    <row r="412" spans="1:26" ht="18" customHeight="1">
      <c r="A412" s="140"/>
      <c r="B412" s="140"/>
      <c r="D412" s="227"/>
      <c r="E412" s="176"/>
      <c r="F412" s="178"/>
      <c r="G412" s="179"/>
      <c r="H412" s="178"/>
      <c r="I412" s="176"/>
      <c r="J412" s="228"/>
      <c r="K412"/>
      <c r="L412" s="178"/>
      <c r="M412" s="176"/>
      <c r="N412" s="139"/>
      <c r="O412" s="178"/>
      <c r="P412" s="178"/>
      <c r="Q412" s="178"/>
      <c r="R412" s="228"/>
      <c r="T412" s="178"/>
      <c r="U412" s="176"/>
      <c r="V412" s="139"/>
      <c r="W412" s="178"/>
      <c r="X412" s="178"/>
      <c r="Y412" s="178"/>
      <c r="Z412" s="228"/>
    </row>
    <row r="413" spans="1:26" ht="5.25" customHeight="1" thickBot="1">
      <c r="A413" s="140"/>
      <c r="B413" s="140"/>
      <c r="D413" s="229"/>
      <c r="E413" s="229"/>
      <c r="F413" s="230"/>
      <c r="G413" s="231"/>
      <c r="H413" s="232"/>
      <c r="I413" s="233"/>
      <c r="J413" s="233"/>
      <c r="K413"/>
      <c r="L413" s="233"/>
      <c r="M413" s="233"/>
      <c r="N413" s="233"/>
      <c r="O413" s="233"/>
      <c r="P413" s="233"/>
      <c r="Q413" s="233"/>
      <c r="R413" s="233"/>
      <c r="T413" s="233"/>
      <c r="U413" s="233"/>
      <c r="V413" s="233"/>
      <c r="W413" s="233"/>
      <c r="X413" s="233"/>
      <c r="Y413" s="233"/>
      <c r="Z413" s="233"/>
    </row>
    <row r="414" spans="1:26" ht="50.15" customHeight="1">
      <c r="A414" s="140">
        <v>9</v>
      </c>
      <c r="B414" s="140" t="str">
        <f>IF(A414&gt;Class4_CurrentHealthCount,"DELETE",Class4_CurrentHealthStart+A414)</f>
        <v>DELETE</v>
      </c>
      <c r="C414" s="164" t="s">
        <v>282</v>
      </c>
      <c r="D414" s="273" t="str">
        <f>IF(B414="Delete","",VLOOKUP(F414,BEGIN_CURRENT_HEALTH:END_CURRENT_HEALTH,3,FALSE))</f>
        <v/>
      </c>
      <c r="E414" s="165"/>
      <c r="F414" s="272" t="str" cm="1">
        <f t="array" ca="1" aca="1" ref="F414">IF(B414="Delete","",INDIRECT("CurrentPlans!A"&amp;B414,TRUE))</f>
        <v/>
      </c>
      <c r="G414" s="166"/>
      <c r="H414" s="167"/>
      <c r="I414" s="168"/>
      <c r="J414" s="169"/>
      <c r="K414"/>
      <c r="L414" s="274" t="str">
        <f ca="1">_xlfn.IFNA(VLOOKUP(F414,BEGIN_RENEWEDFROM_HEALTH:ROW_RenewHealth_PlanID,3,FALSE),"SELECT PLAN")</f>
        <v>SELECT PLAN</v>
      </c>
      <c r="M414" s="170"/>
      <c r="N414" s="274" t="s">
        <v>237</v>
      </c>
      <c r="O414" s="171"/>
      <c r="P414" s="171"/>
      <c r="Q414" s="171"/>
      <c r="R414" s="169"/>
      <c r="T414" s="274" t="s">
        <v>38</v>
      </c>
      <c r="U414" s="170"/>
      <c r="V414" s="274" t="s">
        <v>237</v>
      </c>
      <c r="W414" s="171"/>
      <c r="X414" s="171"/>
      <c r="Y414" s="171"/>
      <c r="Z414" s="169"/>
    </row>
    <row r="415" spans="1:26" ht="18.75" customHeight="1">
      <c r="A415" s="140"/>
      <c r="B415" s="140"/>
      <c r="D415" s="172" t="s">
        <v>238</v>
      </c>
      <c r="E415" s="407" t="str">
        <f ca="1">_xlfn.IFNA(VLOOKUP(F414,BEGIN_CURRENT_HEALTH:END_CURRENT_HEALTH,CURRENT_COL_EO_count,FALSE),"")</f>
        <v/>
      </c>
      <c r="F415" s="408" t="str">
        <f ca="1">_xlfn.IFNA(VLOOKUP(F414,BEGIN_CURRENT_HEALTH:END_CURRENT_HEALTH,CURRENT_COL_EO,FALSE),"")</f>
        <v/>
      </c>
      <c r="G415" s="468" t="str">
        <f ca="1" t="shared" si="40" ref="G415:G418">IF(F415="","",H415/F415)</f>
        <v/>
      </c>
      <c r="H415" s="408" t="str">
        <f ca="1">_xlfn.IFNA(VLOOKUP(F414,BEGIN_CURRENT_HEALTH:END_CURRENT_HEALTH,CURRENT_COL_EOContrib,FALSE),"")</f>
        <v/>
      </c>
      <c r="I415" s="409" t="str">
        <f ca="1">IFERROR(F415-H415,"")</f>
        <v/>
      </c>
      <c r="J415" s="410" t="str">
        <f ca="1">IF(F415="","",H415*E415)</f>
        <v/>
      </c>
      <c r="K415" s="411"/>
      <c r="L415" s="408" t="str" cm="1">
        <f t="array" ca="1" aca="1" ref="L415">_xlfn.IFNA(VLOOKUP(INDIRECT("L"&amp;ROW()-1)&amp;"_"&amp;$D$12,BEGIN_RENEW_HEALTH:END_RENEW_HEALTH,RENEW_COL_EO,FALSE),"")</f>
        <v/>
      </c>
      <c r="M415" s="412" t="str">
        <f ca="1">IF(E415="","",E415)</f>
        <v/>
      </c>
      <c r="N415" s="413"/>
      <c r="O415" s="414"/>
      <c r="P415" s="415" t="str">
        <f>IFERROR(IF($N414="Keep Contribution Same",H415,IF($N414="Enter Percentages",IF(N415="","",N415*L415),IF($N414="Keep Percentage Same",IF(G415="","",G415*L415),IF($N414="Enter Dollar Amount",IF(O415="","",O415),"")))),"")</f>
        <v/>
      </c>
      <c r="Q415" s="408" t="str">
        <f ca="1">IFERROR(L415-P415,"")</f>
        <v/>
      </c>
      <c r="R415" s="410" t="str">
        <f>IFERROR(IF(P415="","",M415*P415),"")</f>
        <v/>
      </c>
      <c r="S415" s="411"/>
      <c r="T415" s="408" t="str" cm="1">
        <f t="array" ca="1" aca="1" ref="T415">_xlfn.IFNA(VLOOKUP(INDIRECT("T"&amp;ROW()-1)&amp;"_"&amp;$D$12,BEGIN_RENEW_HEALTH:END_RENEW_HEALTH,RENEW_COL_EO,FALSE),"")</f>
        <v/>
      </c>
      <c r="U415" s="412" t="str">
        <f ca="1">IF(E415="","",E415)</f>
        <v/>
      </c>
      <c r="V415" s="413"/>
      <c r="W415" s="414"/>
      <c r="X415" s="415" t="str">
        <f>IFERROR(IF($V414="Keep Contribution Same",H415,IF($V414="Enter Percentages",IF(V415="","",V415*T415),IF($V414="Keep Percentage Same",IF(G415="","",G415*T415),IF($V414="Enter Dollar Amount",IF(W415="","",W415),"")))),"")</f>
        <v/>
      </c>
      <c r="Y415" s="408" t="str">
        <f ca="1">IFERROR(T415-X415,"")</f>
        <v/>
      </c>
      <c r="Z415" s="410" t="str">
        <f>IFERROR(IF(X415="","",U415*X415),"")</f>
        <v/>
      </c>
    </row>
    <row r="416" spans="1:26" ht="18.75" customHeight="1">
      <c r="A416" s="140"/>
      <c r="B416" s="140"/>
      <c r="D416" s="172" t="s">
        <v>239</v>
      </c>
      <c r="E416" s="407" t="str">
        <f ca="1">_xlfn.IFNA(VLOOKUP(F414,BEGIN_CURRENT_HEALTH:END_CURRENT_HEALTH,CURRENT_COL_ES_count,FALSE),"")</f>
        <v/>
      </c>
      <c r="F416" s="408" t="str">
        <f ca="1">_xlfn.IFNA(VLOOKUP(F414,BEGIN_CURRENT_HEALTH:END_CURRENT_HEALTH,CURRENT_COL_ES,FALSE),"")</f>
        <v/>
      </c>
      <c r="G416" s="468" t="str">
        <f t="shared" ca="1" si="40"/>
        <v/>
      </c>
      <c r="H416" s="408" t="str">
        <f ca="1">_xlfn.IFNA(VLOOKUP(F414,BEGIN_CURRENT_HEALTH:END_CURRENT_HEALTH,CURRENT_COL_ESContrib,FALSE),"")</f>
        <v/>
      </c>
      <c r="I416" s="409" t="str">
        <f ca="1" t="shared" si="41" ref="I416:I418">IFERROR(F416-H416,"")</f>
        <v/>
      </c>
      <c r="J416" s="410" t="str">
        <f ca="1">IF(F416="","",H416*E416)</f>
        <v/>
      </c>
      <c r="K416" s="411"/>
      <c r="L416" s="408" t="str" cm="1">
        <f t="array" ca="1" aca="1" ref="L416">_xlfn.IFNA(VLOOKUP(INDIRECT("L"&amp;ROW()-2)&amp;"_"&amp;$D$12,BEGIN_RENEW_HEALTH:END_RENEW_HEALTH,RENEW_COL_ES,FALSE),"")</f>
        <v/>
      </c>
      <c r="M416" s="412" t="str">
        <f ca="1">IF(E416="","",E416)</f>
        <v/>
      </c>
      <c r="N416" s="413"/>
      <c r="O416" s="414"/>
      <c r="P416" s="415" t="str">
        <f>IFERROR(IF($N414="Keep Contribution Same",H416,IF($N414="Enter Percentages",IF(N416="","",N416*L416),IF($N414="Keep Percentage Same",IF(G416="","",G416*L416),IF($N414="Enter Dollar Amount",IF(O416="","",O416),"")))),"")</f>
        <v/>
      </c>
      <c r="Q416" s="408" t="str">
        <f ca="1">IFERROR(L416-P416,"")</f>
        <v/>
      </c>
      <c r="R416" s="410" t="str">
        <f>IFERROR(IF(P416="","",M416*P416),"")</f>
        <v/>
      </c>
      <c r="S416" s="411"/>
      <c r="T416" s="408" t="str" cm="1">
        <f t="array" ca="1" aca="1" ref="T416">_xlfn.IFNA(VLOOKUP(INDIRECT("T"&amp;ROW()-2)&amp;"_"&amp;$D$12,BEGIN_RENEW_HEALTH:END_RENEW_HEALTH,RENEW_COL_ES,FALSE),"")</f>
        <v/>
      </c>
      <c r="U416" s="412" t="str">
        <f ca="1" t="shared" si="42" ref="U416:U418">IF(E416="","",E416)</f>
        <v/>
      </c>
      <c r="V416" s="413"/>
      <c r="W416" s="414"/>
      <c r="X416" s="415" t="str">
        <f>IFERROR(IF($V414="Keep Contribution Same",H416,IF($V414="Enter Percentages",IF(V416="","",V416*T416),IF($V414="Keep Percentage Same",IF(G416="","",G416*T416),IF($V414="Enter Dollar Amount",IF(W416="","",W416),"")))),"")</f>
        <v/>
      </c>
      <c r="Y416" s="408" t="str">
        <f ca="1" t="shared" si="43" ref="Y416:Y418">IFERROR(T416-X416,"")</f>
        <v/>
      </c>
      <c r="Z416" s="410" t="str">
        <f t="shared" si="44" ref="Z416:Z418">IFERROR(IF(X416="","",U416*X416),"")</f>
        <v/>
      </c>
    </row>
    <row r="417" spans="1:26" ht="18.75" customHeight="1">
      <c r="A417" s="140"/>
      <c r="B417" s="140"/>
      <c r="D417" s="172" t="s">
        <v>240</v>
      </c>
      <c r="E417" s="407" t="str">
        <f ca="1">_xlfn.IFNA(VLOOKUP(F414,BEGIN_CURRENT_HEALTH:END_CURRENT_HEALTH,CURRENT_COL_EC_count,FALSE),"")</f>
        <v/>
      </c>
      <c r="F417" s="408" t="str">
        <f ca="1">_xlfn.IFNA(VLOOKUP(F414,BEGIN_CURRENT_HEALTH:END_CURRENT_HEALTH,CURRENT_COL_EC,FALSE),"")</f>
        <v/>
      </c>
      <c r="G417" s="468" t="str">
        <f t="shared" ca="1" si="40"/>
        <v/>
      </c>
      <c r="H417" s="408" t="str">
        <f ca="1">_xlfn.IFNA(VLOOKUP(F414,BEGIN_CURRENT_HEALTH:END_CURRENT_HEALTH,CURRENT_COL_ECContrib,FALSE),"")</f>
        <v/>
      </c>
      <c r="I417" s="409" t="str">
        <f t="shared" ca="1" si="41"/>
        <v/>
      </c>
      <c r="J417" s="410" t="str">
        <f ca="1">IF(F417="","",H417*E417)</f>
        <v/>
      </c>
      <c r="K417" s="411"/>
      <c r="L417" s="408" t="str" cm="1">
        <f t="array" ca="1" aca="1" ref="L417">_xlfn.IFNA(VLOOKUP(INDIRECT("L"&amp;ROW()-3)&amp;"_"&amp;$D$12,BEGIN_RENEW_HEALTH:END_RENEW_HEALTH,RENEW_COL_EC,FALSE),"")</f>
        <v/>
      </c>
      <c r="M417" s="412" t="str">
        <f ca="1">IF(E417="","",E417)</f>
        <v/>
      </c>
      <c r="N417" s="413"/>
      <c r="O417" s="414"/>
      <c r="P417" s="415" t="str">
        <f>IFERROR(IF($N414="Keep Contribution Same",H417,IF($N414="Enter Percentages",IF(N417="","",N417*L417),IF($N414="Keep Percentage Same",IF(G417="","",G417*L417),IF($N414="Enter Dollar Amount",IF(O417="","",O417),"")))),"")</f>
        <v/>
      </c>
      <c r="Q417" s="408" t="str">
        <f ca="1">IFERROR(L417-P417,"")</f>
        <v/>
      </c>
      <c r="R417" s="410" t="str">
        <f>IFERROR(IF(P417="","",M417*P417),"")</f>
        <v/>
      </c>
      <c r="S417" s="411"/>
      <c r="T417" s="408" t="str" cm="1">
        <f t="array" ca="1" aca="1" ref="T417">_xlfn.IFNA(VLOOKUP(INDIRECT("T"&amp;ROW()-3)&amp;"_"&amp;$D$12,BEGIN_RENEW_HEALTH:END_RENEW_HEALTH,RENEW_COL_EC,FALSE),"")</f>
        <v/>
      </c>
      <c r="U417" s="412" t="str">
        <f t="shared" ca="1" si="42"/>
        <v/>
      </c>
      <c r="V417" s="413"/>
      <c r="W417" s="414"/>
      <c r="X417" s="415" t="str">
        <f>IFERROR(IF($V414="Keep Contribution Same",H417,IF($V414="Enter Percentages",IF(V417="","",V417*T417),IF($V414="Keep Percentage Same",IF(G417="","",G417*T417),IF($V414="Enter Dollar Amount",IF(W417="","",W417),"")))),"")</f>
        <v/>
      </c>
      <c r="Y417" s="408" t="str">
        <f t="shared" ca="1" si="43"/>
        <v/>
      </c>
      <c r="Z417" s="410" t="str">
        <f t="shared" si="44"/>
        <v/>
      </c>
    </row>
    <row r="418" spans="1:26" ht="18.75" customHeight="1" thickBot="1">
      <c r="A418" s="140"/>
      <c r="B418" s="140"/>
      <c r="D418" s="174" t="s">
        <v>241</v>
      </c>
      <c r="E418" s="416" t="str">
        <f ca="1">_xlfn.IFNA(VLOOKUP(F414,BEGIN_CURRENT_HEALTH:END_CURRENT_HEALTH,CURRENT_COL_FAM_count,FALSE),"")</f>
        <v/>
      </c>
      <c r="F418" s="417" t="str">
        <f ca="1">_xlfn.IFNA(VLOOKUP(F414,BEGIN_CURRENT_HEALTH:END_CURRENT_HEALTH,CURRENT_COL_FAM,FALSE),"")</f>
        <v/>
      </c>
      <c r="G418" s="469" t="str">
        <f t="shared" ca="1" si="40"/>
        <v/>
      </c>
      <c r="H418" s="417" t="str">
        <f ca="1">_xlfn.IFNA(VLOOKUP(F414,BEGIN_CURRENT_HEALTH:END_CURRENT_HEALTH,CURRENT_COL_FAMContrib,FALSE),"")</f>
        <v/>
      </c>
      <c r="I418" s="418" t="str">
        <f t="shared" ca="1" si="41"/>
        <v/>
      </c>
      <c r="J418" s="419" t="str">
        <f ca="1">IF(F418="","",H418*E418)</f>
        <v/>
      </c>
      <c r="K418" s="411"/>
      <c r="L418" s="417" t="str" cm="1">
        <f t="array" ca="1" aca="1" ref="L418">_xlfn.IFNA(VLOOKUP(INDIRECT("L"&amp;ROW()-4)&amp;"_"&amp;$D$12,BEGIN_RENEW_HEALTH:END_RENEW_HEALTH,RENEW_COL_FAM,FALSE),"")</f>
        <v/>
      </c>
      <c r="M418" s="423" t="str">
        <f ca="1">IF(E418="","",E418)</f>
        <v/>
      </c>
      <c r="N418" s="420"/>
      <c r="O418" s="421"/>
      <c r="P418" s="422" t="str">
        <f>IFERROR(IF($N414="Keep Contribution Same",H418,IF($N414="Enter Percentages",IF(N418="","",N418*L418),IF($N414="Keep Percentage Same",IF(G418="","",G418*L418),IF($N414="Enter Dollar Amount",IF(O418="","",O418),"")))),"")</f>
        <v/>
      </c>
      <c r="Q418" s="417" t="str">
        <f ca="1">IFERROR(L418-P418,"")</f>
        <v/>
      </c>
      <c r="R418" s="419" t="str">
        <f>IFERROR(IF(P418="","",M418*P418),"")</f>
        <v/>
      </c>
      <c r="S418" s="411"/>
      <c r="T418" s="417" t="str" cm="1">
        <f t="array" ca="1" aca="1" ref="T418">_xlfn.IFNA(VLOOKUP(INDIRECT("T"&amp;ROW()-4)&amp;"_"&amp;$D$12,BEGIN_RENEW_HEALTH:END_RENEW_HEALTH,RENEW_COL_FAM,FALSE),"")</f>
        <v/>
      </c>
      <c r="U418" s="423" t="str">
        <f t="shared" ca="1" si="42"/>
        <v/>
      </c>
      <c r="V418" s="420"/>
      <c r="W418" s="421"/>
      <c r="X418" s="422" t="str">
        <f>IFERROR(IF($V414="Keep Contribution Same",H418,IF($V414="Enter Percentages",IF(V418="","",V418*T418),IF($V414="Keep Percentage Same",IF(G418="","",G418*T418),IF($V414="Enter Dollar Amount",IF(W418="","",W418),"")))),"")</f>
        <v/>
      </c>
      <c r="Y418" s="417" t="str">
        <f t="shared" ca="1" si="43"/>
        <v/>
      </c>
      <c r="Z418" s="419" t="str">
        <f t="shared" si="44"/>
        <v/>
      </c>
    </row>
    <row r="419" spans="1:26" ht="18.75" customHeight="1" thickTop="1">
      <c r="A419" s="140"/>
      <c r="B419" s="140"/>
      <c r="D419" s="175" t="s">
        <v>242</v>
      </c>
      <c r="E419" s="424"/>
      <c r="F419" s="447" t="str">
        <f ca="1">IFERROR((F415*E415)+(F416*E416)+(F417*E417)+(F418*E418),"")</f>
        <v/>
      </c>
      <c r="G419" s="426"/>
      <c r="H419" s="427"/>
      <c r="I419" s="428"/>
      <c r="J419" s="429" t="str">
        <f ca="1">IFERROR(IF(J415="","",SUM(J415:J418)),0)</f>
        <v/>
      </c>
      <c r="K419" s="1"/>
      <c r="L419" s="430" t="str">
        <f ca="1">IFERROR((M415*L415)+(M416*L416)+(M417*L417)+(M418*L418),"")</f>
        <v/>
      </c>
      <c r="M419" s="427"/>
      <c r="N419" s="426"/>
      <c r="O419" s="427"/>
      <c r="P419" s="431"/>
      <c r="Q419" s="432"/>
      <c r="R419" s="429" t="str">
        <f>IFERROR(IF(R415="","",SUM(R415:R418)),0)</f>
        <v/>
      </c>
      <c r="T419" s="430" t="str">
        <f ca="1">IFERROR((U415*T415)+(U416*T416)+(U417*T417)+(U418*T418),"")</f>
        <v/>
      </c>
      <c r="U419" s="427"/>
      <c r="V419" s="426"/>
      <c r="W419" s="427"/>
      <c r="X419" s="431"/>
      <c r="Y419" s="432"/>
      <c r="Z419" s="429" t="str">
        <f>IFERROR(IF(Z415="","",SUM(Z415:Z418)),0)</f>
        <v/>
      </c>
    </row>
    <row r="420" spans="1:26" ht="18.75" customHeight="1">
      <c r="A420" s="140"/>
      <c r="B420" s="140"/>
      <c r="D420" s="177" t="s">
        <v>243</v>
      </c>
      <c r="E420" s="433"/>
      <c r="F420" s="448" t="str">
        <f ca="1">IFERROR(F419*12,"")</f>
        <v/>
      </c>
      <c r="G420" s="435"/>
      <c r="H420" s="436"/>
      <c r="I420" s="432"/>
      <c r="J420" s="437" t="str">
        <f ca="1">IF(J419="","",J419*12)</f>
        <v/>
      </c>
      <c r="K420" s="1"/>
      <c r="L420" s="438" t="str">
        <f ca="1">IFERROR(L419*12,"")</f>
        <v/>
      </c>
      <c r="M420" s="436"/>
      <c r="N420" s="435"/>
      <c r="O420" s="436"/>
      <c r="P420" s="432"/>
      <c r="Q420" s="432"/>
      <c r="R420" s="437" t="str">
        <f>IF(R419="","",R419*12)</f>
        <v/>
      </c>
      <c r="T420" s="438" t="str">
        <f ca="1">IFERROR(T419*12,"")</f>
        <v/>
      </c>
      <c r="U420" s="436"/>
      <c r="V420" s="435"/>
      <c r="W420" s="436"/>
      <c r="X420" s="432"/>
      <c r="Y420" s="432"/>
      <c r="Z420" s="437" t="str">
        <f>IF(Z419="","",Z419*12)</f>
        <v/>
      </c>
    </row>
    <row r="421" spans="1:26" ht="18" customHeight="1">
      <c r="A421" s="140"/>
      <c r="B421" s="140"/>
      <c r="D421" s="177" t="s">
        <v>244</v>
      </c>
      <c r="E421" s="433"/>
      <c r="F421" s="436"/>
      <c r="G421" s="435"/>
      <c r="H421" s="436"/>
      <c r="I421" s="432"/>
      <c r="J421" s="437"/>
      <c r="K421" s="1"/>
      <c r="L421" s="434" t="str">
        <f ca="1">IFERROR(L420-F420,"")</f>
        <v/>
      </c>
      <c r="M421" s="436"/>
      <c r="N421" s="435"/>
      <c r="O421" s="436"/>
      <c r="P421" s="432"/>
      <c r="Q421" s="432"/>
      <c r="R421" s="437" t="str">
        <f ca="1">IFERROR(IF(J420="","",R420-J420),0)</f>
        <v/>
      </c>
      <c r="T421" s="434" t="str">
        <f ca="1">IFERROR(T420-F420,"")</f>
        <v/>
      </c>
      <c r="U421" s="436"/>
      <c r="V421" s="435"/>
      <c r="W421" s="436"/>
      <c r="X421" s="432"/>
      <c r="Y421" s="432"/>
      <c r="Z421" s="437" t="str">
        <f>IFERROR(IF(R420="","",Z420-R420),0)</f>
        <v/>
      </c>
    </row>
    <row r="422" spans="1:26" ht="18" customHeight="1" thickBot="1">
      <c r="A422" s="140"/>
      <c r="B422" s="140"/>
      <c r="D422" s="180" t="s">
        <v>245</v>
      </c>
      <c r="E422" s="439"/>
      <c r="F422" s="440"/>
      <c r="G422" s="441"/>
      <c r="H422" s="440"/>
      <c r="I422" s="442"/>
      <c r="J422" s="443"/>
      <c r="K422" s="1"/>
      <c r="L422" s="444" t="str">
        <f ca="1">IFERROR(L420/F420-1,"")</f>
        <v/>
      </c>
      <c r="M422" s="440"/>
      <c r="N422" s="441"/>
      <c r="O422" s="440"/>
      <c r="P422" s="445"/>
      <c r="Q422" s="445"/>
      <c r="R422" s="446" t="str">
        <f ca="1">IFERROR(IF(J420="","",(R420/J420)-1),0)</f>
        <v/>
      </c>
      <c r="T422" s="444" t="str">
        <f ca="1">IFERROR(T420/F420-1,"")</f>
        <v/>
      </c>
      <c r="U422" s="440"/>
      <c r="V422" s="441"/>
      <c r="W422" s="440"/>
      <c r="X422" s="445"/>
      <c r="Y422" s="445"/>
      <c r="Z422" s="446" t="str">
        <f>IFERROR(IF(R420="","",(Z420/R420)-1),0)</f>
        <v/>
      </c>
    </row>
    <row r="423" spans="1:26" ht="18" customHeight="1">
      <c r="A423" s="140"/>
      <c r="B423" s="140"/>
      <c r="D423" s="181" t="s">
        <v>246</v>
      </c>
      <c r="E423" s="182"/>
      <c r="F423" s="182"/>
      <c r="G423" s="182"/>
      <c r="H423" s="182"/>
      <c r="I423" s="182"/>
      <c r="J423" s="183"/>
      <c r="K423"/>
      <c r="L423" s="184"/>
      <c r="M423" s="182"/>
      <c r="N423" s="182"/>
      <c r="O423" s="182"/>
      <c r="P423" s="182"/>
      <c r="Q423" s="182"/>
      <c r="R423" s="183"/>
      <c r="T423" s="184"/>
      <c r="U423" s="182"/>
      <c r="V423" s="182"/>
      <c r="W423" s="182"/>
      <c r="X423" s="182"/>
      <c r="Y423" s="182"/>
      <c r="Z423" s="183"/>
    </row>
    <row r="424" spans="1:26" ht="18" customHeight="1" hidden="1">
      <c r="A424" s="140"/>
      <c r="B424" s="140"/>
      <c r="D424" s="185" t="s">
        <v>247</v>
      </c>
      <c r="E424" s="186"/>
      <c r="F424" s="186"/>
      <c r="G424" s="186"/>
      <c r="H424" s="186"/>
      <c r="I424" s="186"/>
      <c r="J424" s="187"/>
      <c r="K424"/>
      <c r="L424" s="188"/>
      <c r="M424" s="186"/>
      <c r="N424" s="186"/>
      <c r="O424" s="186"/>
      <c r="P424" s="186"/>
      <c r="Q424" s="186"/>
      <c r="R424" s="187"/>
      <c r="T424" s="188"/>
      <c r="U424" s="186"/>
      <c r="V424" s="186"/>
      <c r="W424" s="186"/>
      <c r="X424" s="186"/>
      <c r="Y424" s="186"/>
      <c r="Z424" s="187"/>
    </row>
    <row r="425" spans="1:26" ht="18" customHeight="1" hidden="1">
      <c r="A425" s="140"/>
      <c r="B425" s="140"/>
      <c r="D425" s="189" t="s">
        <v>248</v>
      </c>
      <c r="E425" s="190" t="str">
        <f>D414&amp;"_"&amp;D12</f>
        <v>_</v>
      </c>
      <c r="F425" s="191"/>
      <c r="G425" s="191"/>
      <c r="H425" s="191"/>
      <c r="I425" s="190"/>
      <c r="J425" s="192"/>
      <c r="K425"/>
      <c r="L425" s="193" t="str">
        <f ca="1">L414&amp;"_"&amp;D12</f>
        <v>SELECT PLAN_</v>
      </c>
      <c r="M425" s="191"/>
      <c r="N425" s="191"/>
      <c r="O425" s="191"/>
      <c r="P425" s="190"/>
      <c r="Q425" s="191"/>
      <c r="R425" s="192"/>
      <c r="T425" s="193" t="str">
        <f>T414&amp;"_"&amp;D12</f>
        <v>SELECT PLAN_</v>
      </c>
      <c r="U425" s="191"/>
      <c r="V425" s="191"/>
      <c r="W425" s="191"/>
      <c r="X425" s="190"/>
      <c r="Y425" s="191"/>
      <c r="Z425" s="192"/>
    </row>
    <row r="426" spans="1:26" ht="18" customHeight="1" hidden="1">
      <c r="A426" s="140"/>
      <c r="B426" s="140"/>
      <c r="D426" s="189" t="s">
        <v>249</v>
      </c>
      <c r="E426" s="191"/>
      <c r="F426" s="191"/>
      <c r="G426" s="191"/>
      <c r="H426" s="191"/>
      <c r="I426" s="191"/>
      <c r="J426" s="192"/>
      <c r="K426"/>
      <c r="L426" s="189"/>
      <c r="M426" s="191"/>
      <c r="N426" s="191"/>
      <c r="O426" s="191"/>
      <c r="P426" s="191"/>
      <c r="Q426" s="191"/>
      <c r="R426" s="192"/>
      <c r="T426" s="189"/>
      <c r="U426" s="191"/>
      <c r="V426" s="191"/>
      <c r="W426" s="191"/>
      <c r="X426" s="191"/>
      <c r="Y426" s="191"/>
      <c r="Z426" s="192"/>
    </row>
    <row r="427" spans="1:26" ht="18" customHeight="1" hidden="1">
      <c r="A427" s="140"/>
      <c r="B427" s="140"/>
      <c r="D427" s="194" t="s">
        <v>250</v>
      </c>
      <c r="E427" s="195"/>
      <c r="F427" s="195"/>
      <c r="G427" s="195"/>
      <c r="H427" s="195"/>
      <c r="I427" s="195"/>
      <c r="J427" s="196"/>
      <c r="K427"/>
      <c r="L427" s="197"/>
      <c r="M427" s="195"/>
      <c r="N427" s="195"/>
      <c r="O427" s="195"/>
      <c r="P427" s="195"/>
      <c r="Q427" s="195"/>
      <c r="R427" s="196"/>
      <c r="T427" s="197"/>
      <c r="U427" s="195"/>
      <c r="V427" s="195"/>
      <c r="W427" s="195"/>
      <c r="X427" s="195"/>
      <c r="Y427" s="195"/>
      <c r="Z427" s="196"/>
    </row>
    <row r="428" spans="1:26" ht="18" customHeight="1" hidden="1">
      <c r="A428" s="140"/>
      <c r="B428" s="140"/>
      <c r="D428" s="198" t="s">
        <v>251</v>
      </c>
      <c r="E428" s="199" t="str">
        <f>_xlfn.XLOOKUP(E425,CurrentPlans!B:B,CurrentPlans!X:X,"NA",0,1)</f>
        <v>NA</v>
      </c>
      <c r="F428" s="200"/>
      <c r="G428" s="200"/>
      <c r="H428" s="200"/>
      <c r="I428" s="199"/>
      <c r="J428" s="201"/>
      <c r="K428"/>
      <c r="L428" s="202" t="str">
        <f ca="1">_xlfn.XLOOKUP(L425,RenewalPlans!B:B,RenewalPlans!AA:AA,"NA",0,1)</f>
        <v>NA</v>
      </c>
      <c r="M428" s="200"/>
      <c r="N428" s="200"/>
      <c r="O428" s="200"/>
      <c r="P428" s="199"/>
      <c r="Q428" s="200"/>
      <c r="R428" s="201"/>
      <c r="T428" s="202" t="str">
        <f>_xlfn.XLOOKUP(T425,RenewalPlans!B:B,RenewalPlans!AA:AA,"NA",0,1)</f>
        <v>NA</v>
      </c>
      <c r="U428" s="200"/>
      <c r="V428" s="200"/>
      <c r="W428" s="200"/>
      <c r="X428" s="199"/>
      <c r="Y428" s="200"/>
      <c r="Z428" s="201"/>
    </row>
    <row r="429" spans="1:26" ht="18" customHeight="1" hidden="1">
      <c r="A429" s="140"/>
      <c r="B429" s="140"/>
      <c r="D429" s="198" t="s">
        <v>252</v>
      </c>
      <c r="E429" s="199" t="str">
        <f>_xlfn.XLOOKUP(E425,CurrentPlans!B:B,CurrentPlans!Y:Y,"NA",0,1)</f>
        <v>NA</v>
      </c>
      <c r="F429" s="200"/>
      <c r="G429" s="200"/>
      <c r="H429" s="200"/>
      <c r="I429" s="199"/>
      <c r="J429" s="201"/>
      <c r="K429"/>
      <c r="L429" s="202" t="str">
        <f ca="1">_xlfn.XLOOKUP(L425,RenewalPlans!B:B,RenewalPlans!AB:AB,"NA",0,1)</f>
        <v>NA</v>
      </c>
      <c r="M429" s="200"/>
      <c r="N429" s="200"/>
      <c r="O429" s="200"/>
      <c r="P429" s="199"/>
      <c r="Q429" s="200"/>
      <c r="R429" s="201"/>
      <c r="T429" s="202" t="str">
        <f>_xlfn.XLOOKUP(T425,RenewalPlans!B:B,RenewalPlans!AB:AB,"NA",0,1)</f>
        <v>NA</v>
      </c>
      <c r="U429" s="200"/>
      <c r="V429" s="200"/>
      <c r="W429" s="200"/>
      <c r="X429" s="199"/>
      <c r="Y429" s="200"/>
      <c r="Z429" s="201"/>
    </row>
    <row r="430" spans="1:26" ht="18" customHeight="1" hidden="1">
      <c r="A430" s="140"/>
      <c r="B430" s="140"/>
      <c r="D430" s="120" t="s">
        <v>253</v>
      </c>
      <c r="E430" s="121" t="str">
        <f>_xlfn.XLOOKUP(E425,CurrentPlans!B:B,CurrentPlans!W:W,"NA",0,1)</f>
        <v>NA</v>
      </c>
      <c r="F430" s="122"/>
      <c r="G430" s="122"/>
      <c r="H430" s="122"/>
      <c r="I430" s="121"/>
      <c r="J430" s="123"/>
      <c r="K430"/>
      <c r="L430" s="124" t="str">
        <f ca="1">_xlfn.XLOOKUP(L425,RenewalPlans!B:B,RenewalPlans!Z:Z,"NA",0,1)</f>
        <v>NA</v>
      </c>
      <c r="M430" s="122"/>
      <c r="N430" s="122"/>
      <c r="O430" s="122"/>
      <c r="P430" s="121"/>
      <c r="Q430" s="122"/>
      <c r="R430" s="123"/>
      <c r="T430" s="124" t="str">
        <f>_xlfn.XLOOKUP(T425,RenewalPlans!B:B,RenewalPlans!Z:Z,"NA",0,1)</f>
        <v>NA</v>
      </c>
      <c r="U430" s="122"/>
      <c r="V430" s="122"/>
      <c r="W430" s="122"/>
      <c r="X430" s="121"/>
      <c r="Y430" s="122"/>
      <c r="Z430" s="123"/>
    </row>
    <row r="431" spans="1:26" ht="18" customHeight="1" hidden="1">
      <c r="A431" s="140"/>
      <c r="B431" s="140"/>
      <c r="D431" s="203" t="s">
        <v>254</v>
      </c>
      <c r="E431" s="204"/>
      <c r="F431" s="205"/>
      <c r="G431" s="205"/>
      <c r="H431" s="205"/>
      <c r="I431" s="204"/>
      <c r="J431" s="206"/>
      <c r="K431"/>
      <c r="L431" s="207"/>
      <c r="M431" s="205"/>
      <c r="N431" s="205"/>
      <c r="O431" s="205"/>
      <c r="P431" s="204"/>
      <c r="Q431" s="205"/>
      <c r="R431" s="206"/>
      <c r="T431" s="207"/>
      <c r="U431" s="205"/>
      <c r="V431" s="205"/>
      <c r="W431" s="205"/>
      <c r="X431" s="204"/>
      <c r="Y431" s="205"/>
      <c r="Z431" s="206"/>
    </row>
    <row r="432" spans="1:26" ht="18" customHeight="1" hidden="1">
      <c r="A432" s="140"/>
      <c r="B432" s="140"/>
      <c r="D432" s="125" t="s">
        <v>255</v>
      </c>
      <c r="E432" s="126" t="str">
        <f>_xlfn.XLOOKUP(E425,CurrentPlans!B:B,CurrentPlans!Z:Z,"NA",0,1)</f>
        <v>NA</v>
      </c>
      <c r="F432" s="127"/>
      <c r="G432" s="127"/>
      <c r="H432" s="127"/>
      <c r="I432" s="126"/>
      <c r="J432" s="128"/>
      <c r="K432"/>
      <c r="L432" s="129" t="str">
        <f ca="1">_xlfn.XLOOKUP(L425,RenewalPlans!B:B,RenewalPlans!AC:AC,"NA",0,1)</f>
        <v>NA</v>
      </c>
      <c r="M432" s="127"/>
      <c r="N432" s="127"/>
      <c r="O432" s="127"/>
      <c r="P432" s="126"/>
      <c r="Q432" s="127"/>
      <c r="R432" s="128"/>
      <c r="T432" s="129" t="str">
        <f>_xlfn.XLOOKUP(T425,RenewalPlans!B:B,RenewalPlans!AC:AC,"NA",0,1)</f>
        <v>NA</v>
      </c>
      <c r="U432" s="127"/>
      <c r="V432" s="127"/>
      <c r="W432" s="127"/>
      <c r="X432" s="126"/>
      <c r="Y432" s="127"/>
      <c r="Z432" s="128"/>
    </row>
    <row r="433" spans="1:26" ht="18" customHeight="1" hidden="1">
      <c r="A433" s="140"/>
      <c r="B433" s="140"/>
      <c r="D433" s="198" t="s">
        <v>256</v>
      </c>
      <c r="E433" s="208" t="str">
        <f>_xlfn.XLOOKUP(E425,CurrentPlans!B:B,CurrentPlans!AA:AA,"NA",0,1)</f>
        <v>NA</v>
      </c>
      <c r="F433" s="200"/>
      <c r="G433" s="200"/>
      <c r="H433" s="200"/>
      <c r="I433" s="208"/>
      <c r="J433" s="201"/>
      <c r="K433"/>
      <c r="L433" s="209" t="str">
        <f ca="1">_xlfn.XLOOKUP(L425,RenewalPlans!B:B,RenewalPlans!AD:AD,"NA",0,1)</f>
        <v>NA</v>
      </c>
      <c r="M433" s="200"/>
      <c r="N433" s="200"/>
      <c r="O433" s="200"/>
      <c r="P433" s="208"/>
      <c r="Q433" s="200"/>
      <c r="R433" s="201"/>
      <c r="T433" s="209" t="str">
        <f>_xlfn.XLOOKUP(T425,RenewalPlans!B:B,RenewalPlans!AD:AD,"NA",0,1)</f>
        <v>NA</v>
      </c>
      <c r="U433" s="200"/>
      <c r="V433" s="200"/>
      <c r="W433" s="200"/>
      <c r="X433" s="208"/>
      <c r="Y433" s="200"/>
      <c r="Z433" s="201"/>
    </row>
    <row r="434" spans="1:26" ht="18" customHeight="1" hidden="1">
      <c r="A434" s="140"/>
      <c r="B434" s="140"/>
      <c r="D434" s="203" t="s">
        <v>257</v>
      </c>
      <c r="E434" s="204"/>
      <c r="F434" s="205"/>
      <c r="G434" s="205"/>
      <c r="H434" s="205"/>
      <c r="I434" s="204"/>
      <c r="J434" s="206"/>
      <c r="K434"/>
      <c r="L434" s="207"/>
      <c r="M434" s="205"/>
      <c r="N434" s="205"/>
      <c r="O434" s="205"/>
      <c r="P434" s="204"/>
      <c r="Q434" s="205"/>
      <c r="R434" s="206"/>
      <c r="T434" s="207"/>
      <c r="U434" s="205"/>
      <c r="V434" s="205"/>
      <c r="W434" s="205"/>
      <c r="X434" s="204"/>
      <c r="Y434" s="205"/>
      <c r="Z434" s="206"/>
    </row>
    <row r="435" spans="1:26" ht="18" customHeight="1" hidden="1">
      <c r="A435" s="140"/>
      <c r="B435" s="140"/>
      <c r="D435" s="198" t="s">
        <v>258</v>
      </c>
      <c r="E435" s="208" t="str">
        <f>_xlfn.XLOOKUP(E425,CurrentPlans!B:B,CurrentPlans!AB:AB,"NA",0,1)</f>
        <v>NA</v>
      </c>
      <c r="F435" s="200"/>
      <c r="G435" s="200"/>
      <c r="H435" s="200"/>
      <c r="I435" s="208"/>
      <c r="J435" s="201"/>
      <c r="K435"/>
      <c r="L435" s="209" t="str">
        <f ca="1">_xlfn.XLOOKUP(L425,RenewalPlans!B:B,RenewalPlans!AE:AE,"NA",0,1)</f>
        <v>NA</v>
      </c>
      <c r="M435" s="200"/>
      <c r="N435" s="200"/>
      <c r="O435" s="200"/>
      <c r="P435" s="208"/>
      <c r="Q435" s="200"/>
      <c r="R435" s="201"/>
      <c r="T435" s="209" t="str">
        <f>_xlfn.XLOOKUP(T425,RenewalPlans!B:B,RenewalPlans!AE:AE,"NA",0,1)</f>
        <v>NA</v>
      </c>
      <c r="U435" s="200"/>
      <c r="V435" s="200"/>
      <c r="W435" s="200"/>
      <c r="X435" s="208"/>
      <c r="Y435" s="200"/>
      <c r="Z435" s="201"/>
    </row>
    <row r="436" spans="1:26" ht="18" customHeight="1" hidden="1">
      <c r="A436" s="140"/>
      <c r="B436" s="140"/>
      <c r="D436" s="198" t="s">
        <v>259</v>
      </c>
      <c r="E436" s="208" t="str">
        <f>_xlfn.XLOOKUP(E425,CurrentPlans!B:B,CurrentPlans!AC:AC,"NA",0,1)</f>
        <v>NA</v>
      </c>
      <c r="F436" s="200"/>
      <c r="G436" s="200"/>
      <c r="H436" s="200"/>
      <c r="I436" s="208"/>
      <c r="J436" s="201"/>
      <c r="K436"/>
      <c r="L436" s="209" t="str">
        <f ca="1">_xlfn.XLOOKUP(L425,RenewalPlans!B:B,RenewalPlans!AF:AF,"NA",0,1)</f>
        <v>NA</v>
      </c>
      <c r="M436" s="200"/>
      <c r="N436" s="200"/>
      <c r="O436" s="200"/>
      <c r="P436" s="208"/>
      <c r="Q436" s="200"/>
      <c r="R436" s="201"/>
      <c r="T436" s="209" t="str">
        <f>_xlfn.XLOOKUP(T425,RenewalPlans!B:B,RenewalPlans!AF:AF,"NA",0,1)</f>
        <v>NA</v>
      </c>
      <c r="U436" s="200"/>
      <c r="V436" s="200"/>
      <c r="W436" s="200"/>
      <c r="X436" s="208"/>
      <c r="Y436" s="200"/>
      <c r="Z436" s="201"/>
    </row>
    <row r="437" spans="1:26" ht="18" customHeight="1" hidden="1">
      <c r="A437" s="140"/>
      <c r="B437" s="140"/>
      <c r="D437" s="210"/>
      <c r="E437" s="211"/>
      <c r="F437" s="211"/>
      <c r="G437" s="211"/>
      <c r="H437" s="211"/>
      <c r="I437" s="211"/>
      <c r="J437" s="212"/>
      <c r="K437"/>
      <c r="L437" s="210"/>
      <c r="M437" s="211"/>
      <c r="N437" s="211"/>
      <c r="O437" s="211"/>
      <c r="P437" s="211"/>
      <c r="Q437" s="211"/>
      <c r="R437" s="212"/>
      <c r="T437" s="210"/>
      <c r="U437" s="211"/>
      <c r="V437" s="211"/>
      <c r="W437" s="211"/>
      <c r="X437" s="211"/>
      <c r="Y437" s="211"/>
      <c r="Z437" s="212"/>
    </row>
    <row r="438" spans="1:26" ht="18" customHeight="1" hidden="1">
      <c r="A438" s="140"/>
      <c r="B438" s="140"/>
      <c r="D438" s="185" t="s">
        <v>260</v>
      </c>
      <c r="E438" s="186"/>
      <c r="F438" s="186"/>
      <c r="G438" s="186"/>
      <c r="H438" s="186"/>
      <c r="I438" s="186"/>
      <c r="J438" s="187"/>
      <c r="K438"/>
      <c r="L438" s="188"/>
      <c r="M438" s="186"/>
      <c r="N438" s="186"/>
      <c r="O438" s="186"/>
      <c r="P438" s="186"/>
      <c r="Q438" s="186"/>
      <c r="R438" s="187"/>
      <c r="T438" s="188"/>
      <c r="U438" s="186"/>
      <c r="V438" s="186"/>
      <c r="W438" s="186"/>
      <c r="X438" s="186"/>
      <c r="Y438" s="186"/>
      <c r="Z438" s="187"/>
    </row>
    <row r="439" spans="1:26" ht="18" customHeight="1" hidden="1">
      <c r="A439" s="140"/>
      <c r="B439" s="140"/>
      <c r="D439" s="213" t="s">
        <v>261</v>
      </c>
      <c r="E439" s="130" t="str">
        <f>_xlfn.XLOOKUP(E425,CurrentPlans!B:B,CurrentPlans!AJ:AJ,"NA",0,1)</f>
        <v>NA</v>
      </c>
      <c r="F439" s="214"/>
      <c r="G439" s="214"/>
      <c r="H439" s="214"/>
      <c r="I439" s="130"/>
      <c r="J439" s="215"/>
      <c r="K439"/>
      <c r="L439" s="131" t="str">
        <f ca="1">_xlfn.XLOOKUP(L425,RenewalPlans!B:B,RenewalPlans!AM:AM,"NA",0,1)</f>
        <v>NA</v>
      </c>
      <c r="M439" s="214"/>
      <c r="N439" s="214"/>
      <c r="O439" s="214"/>
      <c r="P439" s="130"/>
      <c r="Q439" s="214"/>
      <c r="R439" s="215"/>
      <c r="T439" s="131" t="str">
        <f>_xlfn.XLOOKUP(T425,RenewalPlans!B:B,RenewalPlans!AM:AM,"NA",0,1)</f>
        <v>NA</v>
      </c>
      <c r="U439" s="214"/>
      <c r="V439" s="214"/>
      <c r="W439" s="214"/>
      <c r="X439" s="130"/>
      <c r="Y439" s="214"/>
      <c r="Z439" s="215"/>
    </row>
    <row r="440" spans="1:26" ht="18" customHeight="1" hidden="1">
      <c r="A440" s="140"/>
      <c r="B440" s="140"/>
      <c r="D440" s="198" t="s">
        <v>262</v>
      </c>
      <c r="E440" s="130" t="str">
        <f>_xlfn.XLOOKUP(E425,CurrentPlans!B:B,CurrentPlans!AM:AM,"NA",0,1)</f>
        <v>NA</v>
      </c>
      <c r="F440" s="200"/>
      <c r="G440" s="200"/>
      <c r="H440" s="200"/>
      <c r="I440" s="130"/>
      <c r="J440" s="201"/>
      <c r="K440"/>
      <c r="L440" s="131" t="str">
        <f ca="1">_xlfn.XLOOKUP(L425,RenewalPlans!B:B,RenewalPlans!AP:AP,"NA",0,1)</f>
        <v>NA</v>
      </c>
      <c r="M440" s="200"/>
      <c r="N440" s="200"/>
      <c r="O440" s="200"/>
      <c r="P440" s="130"/>
      <c r="Q440" s="200"/>
      <c r="R440" s="201"/>
      <c r="T440" s="131" t="str">
        <f>_xlfn.XLOOKUP(T425,RenewalPlans!B:B,RenewalPlans!AP:AP,"NA",0,1)</f>
        <v>NA</v>
      </c>
      <c r="U440" s="200"/>
      <c r="V440" s="200"/>
      <c r="W440" s="200"/>
      <c r="X440" s="130"/>
      <c r="Y440" s="200"/>
      <c r="Z440" s="201"/>
    </row>
    <row r="441" spans="1:26" ht="18" customHeight="1" hidden="1">
      <c r="A441" s="140"/>
      <c r="B441" s="140"/>
      <c r="D441" s="198" t="s">
        <v>263</v>
      </c>
      <c r="E441" s="130" t="str">
        <f>_xlfn.XLOOKUP(E425,CurrentPlans!B:B,CurrentPlans!AI:AI,"NA",0,1)</f>
        <v>NA</v>
      </c>
      <c r="F441" s="200"/>
      <c r="G441" s="200"/>
      <c r="H441" s="200"/>
      <c r="I441" s="130"/>
      <c r="J441" s="201"/>
      <c r="K441"/>
      <c r="L441" s="131" t="str">
        <f ca="1">_xlfn.XLOOKUP(L425,RenewalPlans!B:B,RenewalPlans!AL:AL,"NA",0,1)</f>
        <v>NA</v>
      </c>
      <c r="M441" s="200"/>
      <c r="N441" s="200"/>
      <c r="O441" s="200"/>
      <c r="P441" s="130"/>
      <c r="Q441" s="200"/>
      <c r="R441" s="201"/>
      <c r="T441" s="131" t="str">
        <f>_xlfn.XLOOKUP(T425,RenewalPlans!B:B,RenewalPlans!AL:AL,"NA",0,1)</f>
        <v>NA</v>
      </c>
      <c r="U441" s="200"/>
      <c r="V441" s="200"/>
      <c r="W441" s="200"/>
      <c r="X441" s="130"/>
      <c r="Y441" s="200"/>
      <c r="Z441" s="201"/>
    </row>
    <row r="442" spans="1:26" ht="18" customHeight="1" hidden="1">
      <c r="A442" s="140"/>
      <c r="B442" s="140"/>
      <c r="D442" s="198" t="s">
        <v>264</v>
      </c>
      <c r="E442" s="208" t="str">
        <f>_xlfn.XLOOKUP(E425,CurrentPlans!B:B,CurrentPlans!AN:AN,"NA",0,1)</f>
        <v>NA</v>
      </c>
      <c r="F442" s="200"/>
      <c r="G442" s="200"/>
      <c r="H442" s="200"/>
      <c r="I442" s="208"/>
      <c r="J442" s="201"/>
      <c r="K442"/>
      <c r="L442" s="209" t="str">
        <f ca="1">_xlfn.XLOOKUP(L425,RenewalPlans!B:B,RenewalPlans!AQ:AQ,"NA",0,1)</f>
        <v>NA</v>
      </c>
      <c r="M442" s="200"/>
      <c r="N442" s="200"/>
      <c r="O442" s="200"/>
      <c r="P442" s="208"/>
      <c r="Q442" s="200"/>
      <c r="R442" s="201"/>
      <c r="T442" s="209" t="str">
        <f>_xlfn.XLOOKUP(T425,RenewalPlans!B:B,RenewalPlans!AQ:AQ,"NA",0,1)</f>
        <v>NA</v>
      </c>
      <c r="U442" s="200"/>
      <c r="V442" s="200"/>
      <c r="W442" s="200"/>
      <c r="X442" s="208"/>
      <c r="Y442" s="200"/>
      <c r="Z442" s="201"/>
    </row>
    <row r="443" spans="1:26" ht="18" customHeight="1" hidden="1">
      <c r="A443" s="140"/>
      <c r="B443" s="140"/>
      <c r="D443" s="210"/>
      <c r="E443" s="211"/>
      <c r="F443" s="211"/>
      <c r="G443" s="211"/>
      <c r="H443" s="211"/>
      <c r="I443" s="211"/>
      <c r="J443" s="212"/>
      <c r="K443"/>
      <c r="L443" s="210"/>
      <c r="M443" s="211"/>
      <c r="N443" s="211"/>
      <c r="O443" s="211"/>
      <c r="P443" s="211"/>
      <c r="Q443" s="211"/>
      <c r="R443" s="212"/>
      <c r="T443" s="210"/>
      <c r="U443" s="211"/>
      <c r="V443" s="211"/>
      <c r="W443" s="211"/>
      <c r="X443" s="211"/>
      <c r="Y443" s="211"/>
      <c r="Z443" s="212"/>
    </row>
    <row r="444" spans="1:26" ht="18" customHeight="1" hidden="1">
      <c r="A444" s="140"/>
      <c r="B444" s="140"/>
      <c r="D444" s="185" t="s">
        <v>265</v>
      </c>
      <c r="E444" s="186"/>
      <c r="F444" s="186"/>
      <c r="G444" s="186"/>
      <c r="H444" s="186"/>
      <c r="I444" s="186"/>
      <c r="J444" s="187"/>
      <c r="K444"/>
      <c r="L444" s="188"/>
      <c r="M444" s="186"/>
      <c r="N444" s="186"/>
      <c r="O444" s="186"/>
      <c r="P444" s="186"/>
      <c r="Q444" s="186"/>
      <c r="R444" s="187"/>
      <c r="T444" s="188"/>
      <c r="U444" s="186"/>
      <c r="V444" s="186"/>
      <c r="W444" s="186"/>
      <c r="X444" s="186"/>
      <c r="Y444" s="186"/>
      <c r="Z444" s="187"/>
    </row>
    <row r="445" spans="1:26" ht="18" customHeight="1" hidden="1">
      <c r="A445" s="140"/>
      <c r="B445" s="140"/>
      <c r="D445" s="132" t="s">
        <v>266</v>
      </c>
      <c r="E445" s="133" t="str">
        <f>_xlfn.XLOOKUP(E425,CurrentPlans!B:B,CurrentPlans!AE:AE,"NA",0,1)</f>
        <v>NA</v>
      </c>
      <c r="F445" s="134"/>
      <c r="G445" s="134"/>
      <c r="H445" s="134"/>
      <c r="I445" s="133"/>
      <c r="J445" s="135"/>
      <c r="K445"/>
      <c r="L445" s="136" t="str">
        <f ca="1">_xlfn.XLOOKUP(L425,RenewalPlans!B:B,RenewalPlans!AH:AH,"NA",0,1)</f>
        <v>NA</v>
      </c>
      <c r="M445" s="134"/>
      <c r="N445" s="134"/>
      <c r="O445" s="134"/>
      <c r="P445" s="133"/>
      <c r="Q445" s="134"/>
      <c r="R445" s="135"/>
      <c r="T445" s="136" t="str">
        <f>_xlfn.XLOOKUP(T425,RenewalPlans!B:B,RenewalPlans!AH:AH,"NA",0,1)</f>
        <v>NA</v>
      </c>
      <c r="U445" s="134"/>
      <c r="V445" s="134"/>
      <c r="W445" s="134"/>
      <c r="X445" s="133"/>
      <c r="Y445" s="134"/>
      <c r="Z445" s="135"/>
    </row>
    <row r="446" spans="1:26" ht="18" customHeight="1" hidden="1">
      <c r="A446" s="140"/>
      <c r="B446" s="140"/>
      <c r="D446" s="120" t="s">
        <v>267</v>
      </c>
      <c r="E446" s="130" t="str">
        <f>_xlfn.XLOOKUP(E425,CurrentPlans!B:B,CurrentPlans!AF:AF,"NA",0,1)</f>
        <v>NA</v>
      </c>
      <c r="F446" s="122"/>
      <c r="G446" s="122"/>
      <c r="H446" s="122"/>
      <c r="I446" s="130"/>
      <c r="J446" s="123"/>
      <c r="K446"/>
      <c r="L446" s="131" t="str">
        <f ca="1">_xlfn.XLOOKUP(L425,RenewalPlans!B:B,RenewalPlans!AI:AI,"NA",0,1)</f>
        <v>NA</v>
      </c>
      <c r="M446" s="122"/>
      <c r="N446" s="122"/>
      <c r="O446" s="122"/>
      <c r="P446" s="130"/>
      <c r="Q446" s="122"/>
      <c r="R446" s="123"/>
      <c r="T446" s="131" t="str">
        <f>_xlfn.XLOOKUP(T425,RenewalPlans!B:B,RenewalPlans!AI:AI,"NA",0,1)</f>
        <v>NA</v>
      </c>
      <c r="U446" s="122"/>
      <c r="V446" s="122"/>
      <c r="W446" s="122"/>
      <c r="X446" s="130"/>
      <c r="Y446" s="122"/>
      <c r="Z446" s="123"/>
    </row>
    <row r="447" spans="1:26" ht="18" customHeight="1" hidden="1">
      <c r="A447" s="140"/>
      <c r="B447" s="140"/>
      <c r="D447" s="198" t="s">
        <v>268</v>
      </c>
      <c r="E447" s="130" t="str">
        <f>_xlfn.XLOOKUP(E425,CurrentPlans!B:B,CurrentPlans!AH:AH,"NA",0,1)</f>
        <v>NA</v>
      </c>
      <c r="F447" s="200"/>
      <c r="G447" s="200"/>
      <c r="H447" s="200"/>
      <c r="I447" s="130"/>
      <c r="J447" s="201"/>
      <c r="K447"/>
      <c r="L447" s="131" t="str">
        <f ca="1">_xlfn.XLOOKUP(L425,RenewalPlans!B:B,RenewalPlans!AK:AK,"NA",0,1)</f>
        <v>NA</v>
      </c>
      <c r="M447" s="200"/>
      <c r="N447" s="200"/>
      <c r="O447" s="200"/>
      <c r="P447" s="130"/>
      <c r="Q447" s="200"/>
      <c r="R447" s="201"/>
      <c r="T447" s="131" t="str">
        <f>_xlfn.XLOOKUP(T425,RenewalPlans!B:B,RenewalPlans!AK:AK,"NA",0,1)</f>
        <v>NA</v>
      </c>
      <c r="U447" s="200"/>
      <c r="V447" s="200"/>
      <c r="W447" s="200"/>
      <c r="X447" s="130"/>
      <c r="Y447" s="200"/>
      <c r="Z447" s="201"/>
    </row>
    <row r="448" spans="1:26" ht="18" customHeight="1" hidden="1">
      <c r="A448" s="140"/>
      <c r="B448" s="140"/>
      <c r="D448" s="198" t="s">
        <v>269</v>
      </c>
      <c r="E448" s="130" t="str">
        <f>_xlfn.XLOOKUP(E425,CurrentPlans!B:B,CurrentPlans!AG:AG,"NA",0,1)</f>
        <v>NA</v>
      </c>
      <c r="F448" s="200"/>
      <c r="G448" s="200"/>
      <c r="H448" s="200"/>
      <c r="I448" s="130"/>
      <c r="J448" s="201"/>
      <c r="K448"/>
      <c r="L448" s="131" t="str">
        <f ca="1">_xlfn.XLOOKUP(L425,RenewalPlans!B:B,RenewalPlans!AJ:AJ,"NA",0,1)</f>
        <v>NA</v>
      </c>
      <c r="M448" s="200"/>
      <c r="N448" s="200"/>
      <c r="O448" s="200"/>
      <c r="P448" s="130"/>
      <c r="Q448" s="200"/>
      <c r="R448" s="201"/>
      <c r="T448" s="131" t="str">
        <f>_xlfn.XLOOKUP(T425,RenewalPlans!B:B,RenewalPlans!AJ:AJ,"NA",0,1)</f>
        <v>NA</v>
      </c>
      <c r="U448" s="200"/>
      <c r="V448" s="200"/>
      <c r="W448" s="200"/>
      <c r="X448" s="130"/>
      <c r="Y448" s="200"/>
      <c r="Z448" s="201"/>
    </row>
    <row r="449" spans="1:26" ht="18" customHeight="1" hidden="1">
      <c r="A449" s="140"/>
      <c r="B449" s="140"/>
      <c r="D449" s="213" t="s">
        <v>270</v>
      </c>
      <c r="E449" s="216" t="str">
        <f>_xlfn.XLOOKUP(E425,CurrentPlans!B:B,CurrentPlans!AU:AU,"NA",0,1)</f>
        <v>NA</v>
      </c>
      <c r="F449" s="214"/>
      <c r="G449" s="214"/>
      <c r="H449" s="214"/>
      <c r="I449" s="217"/>
      <c r="J449" s="215"/>
      <c r="K449"/>
      <c r="L449" s="218" t="str">
        <f ca="1">_xlfn.XLOOKUP(L425,RenewalPlans!B:B,RenewalPlans!AX:AX,"NA",0,1)</f>
        <v>NA</v>
      </c>
      <c r="M449" s="214"/>
      <c r="N449" s="214"/>
      <c r="O449" s="214"/>
      <c r="P449" s="217"/>
      <c r="Q449" s="214"/>
      <c r="R449" s="215"/>
      <c r="T449" s="218" t="str">
        <f>_xlfn.XLOOKUP(T425,RenewalPlans!B:B,RenewalPlans!AX:AX,"NA",0,1)</f>
        <v>NA</v>
      </c>
      <c r="U449" s="214"/>
      <c r="V449" s="214"/>
      <c r="W449" s="214"/>
      <c r="X449" s="217"/>
      <c r="Y449" s="214"/>
      <c r="Z449" s="215"/>
    </row>
    <row r="450" spans="1:26" ht="18" customHeight="1" hidden="1">
      <c r="A450" s="140"/>
      <c r="B450" s="140"/>
      <c r="D450" s="213" t="s">
        <v>271</v>
      </c>
      <c r="E450" s="216" t="str">
        <f>_xlfn.XLOOKUP(E425,CurrentPlans!B:B,CurrentPlans!AT:AT,"NA",0,1)</f>
        <v>NA</v>
      </c>
      <c r="F450" s="214"/>
      <c r="G450" s="214"/>
      <c r="H450" s="214"/>
      <c r="I450" s="217"/>
      <c r="J450" s="215"/>
      <c r="K450"/>
      <c r="L450" s="218" t="str">
        <f ca="1">_xlfn.XLOOKUP(L425,RenewalPlans!B:B,RenewalPlans!AW:AW,"NA",0,1)</f>
        <v>NA</v>
      </c>
      <c r="M450" s="214"/>
      <c r="N450" s="214"/>
      <c r="O450" s="214"/>
      <c r="P450" s="217"/>
      <c r="Q450" s="214"/>
      <c r="R450" s="215"/>
      <c r="T450" s="218" t="str">
        <f>_xlfn.XLOOKUP(T425,RenewalPlans!B:B,RenewalPlans!AW:AW,"NA",0,1)</f>
        <v>NA</v>
      </c>
      <c r="U450" s="214"/>
      <c r="V450" s="214"/>
      <c r="W450" s="214"/>
      <c r="X450" s="217"/>
      <c r="Y450" s="214"/>
      <c r="Z450" s="215"/>
    </row>
    <row r="451" spans="1:26" ht="18" customHeight="1" hidden="1">
      <c r="A451" s="140"/>
      <c r="B451" s="140"/>
      <c r="D451" s="198" t="s">
        <v>272</v>
      </c>
      <c r="E451" s="130" t="str">
        <f>_xlfn.XLOOKUP(E425,CurrentPlans!B:B,CurrentPlans!AD:AD,"NA",0,1)</f>
        <v>NA</v>
      </c>
      <c r="F451" s="200"/>
      <c r="G451" s="200"/>
      <c r="H451" s="200"/>
      <c r="I451" s="130"/>
      <c r="J451" s="201"/>
      <c r="K451"/>
      <c r="L451" s="131" t="str">
        <f ca="1">_xlfn.XLOOKUP(L425,RenewalPlans!B:B,RenewalPlans!AG:AG,"NA",0,1)</f>
        <v>NA</v>
      </c>
      <c r="M451" s="200"/>
      <c r="N451" s="200"/>
      <c r="O451" s="200"/>
      <c r="P451" s="130"/>
      <c r="Q451" s="200"/>
      <c r="R451" s="201"/>
      <c r="T451" s="131" t="str">
        <f>_xlfn.XLOOKUP(T425,RenewalPlans!B:B,RenewalPlans!AG:AG,"NA",0,1)</f>
        <v>NA</v>
      </c>
      <c r="U451" s="200"/>
      <c r="V451" s="200"/>
      <c r="W451" s="200"/>
      <c r="X451" s="130"/>
      <c r="Y451" s="200"/>
      <c r="Z451" s="201"/>
    </row>
    <row r="452" spans="1:26" ht="18" customHeight="1" hidden="1">
      <c r="A452" s="140"/>
      <c r="B452" s="140"/>
      <c r="D452" s="198" t="s">
        <v>273</v>
      </c>
      <c r="E452" s="200"/>
      <c r="F452" s="200"/>
      <c r="G452" s="200"/>
      <c r="H452" s="200"/>
      <c r="I452" s="200"/>
      <c r="J452" s="201"/>
      <c r="K452"/>
      <c r="L452" s="198"/>
      <c r="M452" s="200"/>
      <c r="N452" s="200"/>
      <c r="O452" s="200"/>
      <c r="P452" s="200"/>
      <c r="Q452" s="200"/>
      <c r="R452" s="201"/>
      <c r="T452" s="198"/>
      <c r="U452" s="200"/>
      <c r="V452" s="200"/>
      <c r="W452" s="200"/>
      <c r="X452" s="200"/>
      <c r="Y452" s="200"/>
      <c r="Z452" s="201"/>
    </row>
    <row r="453" spans="1:26" ht="18" customHeight="1" hidden="1">
      <c r="A453" s="140"/>
      <c r="B453" s="140"/>
      <c r="D453" s="210"/>
      <c r="E453" s="211"/>
      <c r="F453" s="211"/>
      <c r="G453" s="211"/>
      <c r="H453" s="211"/>
      <c r="I453" s="211"/>
      <c r="J453" s="212"/>
      <c r="K453"/>
      <c r="L453" s="210"/>
      <c r="M453" s="211"/>
      <c r="N453" s="211"/>
      <c r="O453" s="211"/>
      <c r="P453" s="211"/>
      <c r="Q453" s="211"/>
      <c r="R453" s="212"/>
      <c r="T453" s="210"/>
      <c r="U453" s="211"/>
      <c r="V453" s="211"/>
      <c r="W453" s="211"/>
      <c r="X453" s="211"/>
      <c r="Y453" s="211"/>
      <c r="Z453" s="212"/>
    </row>
    <row r="454" spans="1:26" ht="18" customHeight="1" hidden="1">
      <c r="A454" s="140"/>
      <c r="B454" s="140"/>
      <c r="D454" s="219" t="s">
        <v>274</v>
      </c>
      <c r="E454" s="220"/>
      <c r="F454" s="220"/>
      <c r="G454" s="220"/>
      <c r="H454" s="220"/>
      <c r="I454" s="220"/>
      <c r="J454" s="221"/>
      <c r="K454"/>
      <c r="L454" s="222"/>
      <c r="M454" s="220"/>
      <c r="N454" s="220"/>
      <c r="O454" s="220"/>
      <c r="P454" s="220"/>
      <c r="Q454" s="220"/>
      <c r="R454" s="221"/>
      <c r="T454" s="222"/>
      <c r="U454" s="220"/>
      <c r="V454" s="220"/>
      <c r="W454" s="220"/>
      <c r="X454" s="220"/>
      <c r="Y454" s="220"/>
      <c r="Z454" s="221"/>
    </row>
    <row r="455" spans="1:26" ht="18" customHeight="1" hidden="1">
      <c r="A455" s="140"/>
      <c r="B455" s="140"/>
      <c r="D455" s="223" t="s">
        <v>250</v>
      </c>
      <c r="E455" s="205"/>
      <c r="F455" s="205"/>
      <c r="G455" s="205"/>
      <c r="H455" s="205"/>
      <c r="I455" s="205"/>
      <c r="J455" s="206"/>
      <c r="K455"/>
      <c r="L455" s="203"/>
      <c r="M455" s="205"/>
      <c r="N455" s="205"/>
      <c r="O455" s="205"/>
      <c r="P455" s="205"/>
      <c r="Q455" s="205"/>
      <c r="R455" s="206"/>
      <c r="T455" s="203"/>
      <c r="U455" s="205"/>
      <c r="V455" s="205"/>
      <c r="W455" s="205"/>
      <c r="X455" s="205"/>
      <c r="Y455" s="205"/>
      <c r="Z455" s="206"/>
    </row>
    <row r="456" spans="1:26" ht="18" customHeight="1" hidden="1">
      <c r="A456" s="140"/>
      <c r="B456" s="140"/>
      <c r="D456" s="198" t="s">
        <v>251</v>
      </c>
      <c r="E456" s="130" t="str">
        <f>_xlfn.XLOOKUP(E425,CurrentPlans!B:B,CurrentPlans!AP:AP,"NA",0,1)</f>
        <v>NA</v>
      </c>
      <c r="F456" s="200"/>
      <c r="G456" s="200"/>
      <c r="H456" s="200"/>
      <c r="I456" s="130"/>
      <c r="J456" s="201"/>
      <c r="K456"/>
      <c r="L456" s="131" t="str">
        <f ca="1">_xlfn.XLOOKUP(L425,RenewalPlans!B:B,RenewalPlans!AS:AS,"NA",0,1)</f>
        <v>NA</v>
      </c>
      <c r="M456" s="200"/>
      <c r="N456" s="200"/>
      <c r="O456" s="200"/>
      <c r="P456" s="130"/>
      <c r="Q456" s="200"/>
      <c r="R456" s="201"/>
      <c r="T456" s="131" t="str">
        <f>_xlfn.XLOOKUP(T425,RenewalPlans!B:B,RenewalPlans!AS:AS,"NA",0,1)</f>
        <v>NA</v>
      </c>
      <c r="U456" s="200"/>
      <c r="V456" s="200"/>
      <c r="W456" s="200"/>
      <c r="X456" s="130"/>
      <c r="Y456" s="200"/>
      <c r="Z456" s="201"/>
    </row>
    <row r="457" spans="1:26" ht="18" customHeight="1" hidden="1">
      <c r="A457" s="140"/>
      <c r="B457" s="140"/>
      <c r="D457" s="198" t="s">
        <v>252</v>
      </c>
      <c r="E457" s="130" t="str">
        <f>_xlfn.XLOOKUP(E425,CurrentPlans!B:B,CurrentPlans!AQ:AQ,"NA",0,1)</f>
        <v>NA</v>
      </c>
      <c r="F457" s="200"/>
      <c r="G457" s="200"/>
      <c r="H457" s="200"/>
      <c r="I457" s="130"/>
      <c r="J457" s="201"/>
      <c r="K457"/>
      <c r="L457" s="131" t="str">
        <f ca="1">_xlfn.XLOOKUP(L425,RenewalPlans!B:B,RenewalPlans!AT:AT,"NA",0,1)</f>
        <v>NA</v>
      </c>
      <c r="M457" s="200"/>
      <c r="N457" s="200"/>
      <c r="O457" s="200"/>
      <c r="P457" s="130"/>
      <c r="Q457" s="200"/>
      <c r="R457" s="201"/>
      <c r="T457" s="131" t="str">
        <f>_xlfn.XLOOKUP(T425,RenewalPlans!B:B,RenewalPlans!AT:AT,"NA",0,1)</f>
        <v>NA</v>
      </c>
      <c r="U457" s="200"/>
      <c r="V457" s="200"/>
      <c r="W457" s="200"/>
      <c r="X457" s="130"/>
      <c r="Y457" s="200"/>
      <c r="Z457" s="201"/>
    </row>
    <row r="458" spans="1:26" ht="18" customHeight="1" hidden="1">
      <c r="A458" s="140"/>
      <c r="B458" s="140"/>
      <c r="D458" s="120" t="s">
        <v>253</v>
      </c>
      <c r="E458" s="133" t="str">
        <f>_xlfn.XLOOKUP(E425,CurrentPlans!B:B,CurrentPlans!AO:AO,"NA",0,1)</f>
        <v>NA</v>
      </c>
      <c r="F458" s="122"/>
      <c r="G458" s="122"/>
      <c r="H458" s="122"/>
      <c r="I458" s="133"/>
      <c r="J458" s="123"/>
      <c r="K458"/>
      <c r="L458" s="136" t="str">
        <f ca="1">_xlfn.XLOOKUP(L425,RenewalPlans!B:B,RenewalPlans!AR:AR,"NA",0,1)</f>
        <v>NA</v>
      </c>
      <c r="M458" s="122"/>
      <c r="N458" s="122"/>
      <c r="O458" s="122"/>
      <c r="P458" s="133"/>
      <c r="Q458" s="122"/>
      <c r="R458" s="123"/>
      <c r="T458" s="136" t="str">
        <f>_xlfn.XLOOKUP(T425,RenewalPlans!B:B,RenewalPlans!AR:AR,"NA",0,1)</f>
        <v>NA</v>
      </c>
      <c r="U458" s="122"/>
      <c r="V458" s="122"/>
      <c r="W458" s="122"/>
      <c r="X458" s="133"/>
      <c r="Y458" s="122"/>
      <c r="Z458" s="123"/>
    </row>
    <row r="459" spans="1:26" ht="18" customHeight="1" hidden="1">
      <c r="A459" s="140"/>
      <c r="B459" s="140"/>
      <c r="D459" s="223" t="s">
        <v>254</v>
      </c>
      <c r="E459" s="205"/>
      <c r="F459" s="205"/>
      <c r="G459" s="205"/>
      <c r="H459" s="205"/>
      <c r="I459" s="205"/>
      <c r="J459" s="206"/>
      <c r="K459"/>
      <c r="L459" s="203"/>
      <c r="M459" s="205"/>
      <c r="N459" s="205"/>
      <c r="O459" s="205"/>
      <c r="P459" s="205"/>
      <c r="Q459" s="205"/>
      <c r="R459" s="206"/>
      <c r="T459" s="203"/>
      <c r="U459" s="205"/>
      <c r="V459" s="205"/>
      <c r="W459" s="205"/>
      <c r="X459" s="205"/>
      <c r="Y459" s="205"/>
      <c r="Z459" s="206"/>
    </row>
    <row r="460" spans="1:26" ht="18" customHeight="1" hidden="1">
      <c r="A460" s="140"/>
      <c r="B460" s="140"/>
      <c r="D460" s="198" t="s">
        <v>255</v>
      </c>
      <c r="E460" s="130" t="str">
        <f>_xlfn.XLOOKUP(E425,CurrentPlans!B:B,CurrentPlans!AR:AR,"NA",0,1)</f>
        <v>NA</v>
      </c>
      <c r="F460" s="200"/>
      <c r="G460" s="200"/>
      <c r="H460" s="200"/>
      <c r="I460" s="130"/>
      <c r="J460" s="201"/>
      <c r="K460"/>
      <c r="L460" s="131" t="str">
        <f ca="1">_xlfn.XLOOKUP(L425,RenewalPlans!B:B,RenewalPlans!AU:AU,"NA",0,1)</f>
        <v>NA</v>
      </c>
      <c r="M460" s="200"/>
      <c r="N460" s="200"/>
      <c r="O460" s="200"/>
      <c r="P460" s="130"/>
      <c r="Q460" s="200"/>
      <c r="R460" s="201"/>
      <c r="T460" s="131" t="str">
        <f>_xlfn.XLOOKUP(T425,RenewalPlans!B:B,RenewalPlans!AU:AU,"NA",0,1)</f>
        <v>NA</v>
      </c>
      <c r="U460" s="200"/>
      <c r="V460" s="200"/>
      <c r="W460" s="200"/>
      <c r="X460" s="130"/>
      <c r="Y460" s="200"/>
      <c r="Z460" s="201"/>
    </row>
    <row r="461" spans="1:26" ht="18" customHeight="1" hidden="1" thickBot="1">
      <c r="A461" s="140"/>
      <c r="B461" s="140"/>
      <c r="D461" s="224" t="s">
        <v>256</v>
      </c>
      <c r="E461" s="137" t="str">
        <f>_xlfn.XLOOKUP(E425,CurrentPlans!B:B,CurrentPlans!AS:AS,"NA",0,1)</f>
        <v>NA</v>
      </c>
      <c r="F461" s="225"/>
      <c r="G461" s="225"/>
      <c r="H461" s="225"/>
      <c r="I461" s="137"/>
      <c r="J461" s="226"/>
      <c r="K461"/>
      <c r="L461" s="138" t="str">
        <f ca="1">_xlfn.XLOOKUP(L425,RenewalPlans!B:B,RenewalPlans!AV:AV,"NA",0,1)</f>
        <v>NA</v>
      </c>
      <c r="M461" s="225"/>
      <c r="N461" s="225"/>
      <c r="O461" s="225"/>
      <c r="P461" s="137"/>
      <c r="Q461" s="225"/>
      <c r="R461" s="226"/>
      <c r="T461" s="138" t="str">
        <f>_xlfn.XLOOKUP(T425,RenewalPlans!B:B,RenewalPlans!AV:AV,"NA",0,1)</f>
        <v>NA</v>
      </c>
      <c r="U461" s="225"/>
      <c r="V461" s="225"/>
      <c r="W461" s="225"/>
      <c r="X461" s="137"/>
      <c r="Y461" s="225"/>
      <c r="Z461" s="226"/>
    </row>
    <row r="462" spans="1:26" ht="18" customHeight="1">
      <c r="A462" s="140"/>
      <c r="B462" s="140"/>
      <c r="D462" s="227"/>
      <c r="E462" s="176"/>
      <c r="F462" s="178"/>
      <c r="G462" s="179"/>
      <c r="H462" s="178"/>
      <c r="I462" s="176"/>
      <c r="J462" s="228"/>
      <c r="K462"/>
      <c r="L462" s="178"/>
      <c r="M462" s="176"/>
      <c r="N462" s="139"/>
      <c r="O462" s="178"/>
      <c r="P462" s="178"/>
      <c r="Q462" s="178"/>
      <c r="R462" s="228"/>
      <c r="T462" s="178"/>
      <c r="U462" s="176"/>
      <c r="V462" s="139"/>
      <c r="W462" s="178"/>
      <c r="X462" s="178"/>
      <c r="Y462" s="178"/>
      <c r="Z462" s="228"/>
    </row>
    <row r="463" spans="1:26" ht="5.25" customHeight="1" thickBot="1">
      <c r="A463" s="140"/>
      <c r="B463" s="140"/>
      <c r="D463" s="229"/>
      <c r="E463" s="229"/>
      <c r="F463" s="230"/>
      <c r="G463" s="231"/>
      <c r="H463" s="232"/>
      <c r="I463" s="233"/>
      <c r="J463" s="233"/>
      <c r="K463"/>
      <c r="L463" s="233"/>
      <c r="M463" s="233"/>
      <c r="N463" s="233"/>
      <c r="O463" s="233"/>
      <c r="P463" s="233"/>
      <c r="Q463" s="233"/>
      <c r="R463" s="233"/>
      <c r="T463" s="233"/>
      <c r="U463" s="233"/>
      <c r="V463" s="233"/>
      <c r="W463" s="233"/>
      <c r="X463" s="233"/>
      <c r="Y463" s="233"/>
      <c r="Z463" s="233"/>
    </row>
    <row r="464" spans="1:26" ht="50.15" customHeight="1">
      <c r="A464" s="140">
        <v>10</v>
      </c>
      <c r="B464" s="140" t="str">
        <f>IF(A464&gt;Class4_CurrentHealthCount,"DELETE",Class4_CurrentHealthStart+A464)</f>
        <v>DELETE</v>
      </c>
      <c r="C464" s="164" t="s">
        <v>283</v>
      </c>
      <c r="D464" s="273" t="str">
        <f>IF(B464="Delete","",VLOOKUP(F464,BEGIN_CURRENT_HEALTH:END_CURRENT_HEALTH,3,FALSE))</f>
        <v/>
      </c>
      <c r="E464" s="165"/>
      <c r="F464" s="272" t="str" cm="1">
        <f t="array" ca="1" aca="1" ref="F464">IF(B464="Delete","",INDIRECT("CurrentPlans!A"&amp;B464,TRUE))</f>
        <v/>
      </c>
      <c r="G464" s="166"/>
      <c r="H464" s="167"/>
      <c r="I464" s="168"/>
      <c r="J464" s="169"/>
      <c r="K464"/>
      <c r="L464" s="274" t="str">
        <f ca="1">_xlfn.IFNA(VLOOKUP(F464,BEGIN_RENEWEDFROM_HEALTH:ROW_RenewHealth_PlanID,3,FALSE),"SELECT PLAN")</f>
        <v>SELECT PLAN</v>
      </c>
      <c r="M464" s="170"/>
      <c r="N464" s="274" t="s">
        <v>237</v>
      </c>
      <c r="O464" s="171"/>
      <c r="P464" s="171"/>
      <c r="Q464" s="171"/>
      <c r="R464" s="169"/>
      <c r="T464" s="274" t="s">
        <v>38</v>
      </c>
      <c r="U464" s="170"/>
      <c r="V464" s="274" t="s">
        <v>237</v>
      </c>
      <c r="W464" s="171"/>
      <c r="X464" s="171"/>
      <c r="Y464" s="171"/>
      <c r="Z464" s="169"/>
    </row>
    <row r="465" spans="1:26" ht="18.75" customHeight="1">
      <c r="A465" s="140"/>
      <c r="B465" s="140"/>
      <c r="D465" s="172" t="s">
        <v>238</v>
      </c>
      <c r="E465" s="407" t="str">
        <f ca="1">_xlfn.IFNA(VLOOKUP(F464,BEGIN_CURRENT_HEALTH:END_CURRENT_HEALTH,CURRENT_COL_EO_count,FALSE),"")</f>
        <v/>
      </c>
      <c r="F465" s="408" t="str">
        <f ca="1">_xlfn.IFNA(VLOOKUP(F464,BEGIN_CURRENT_HEALTH:END_CURRENT_HEALTH,CURRENT_COL_EO,FALSE),"")</f>
        <v/>
      </c>
      <c r="G465" s="468" t="str">
        <f ca="1" t="shared" si="45" ref="G465:G468">IF(F465="","",H465/F465)</f>
        <v/>
      </c>
      <c r="H465" s="408" t="str">
        <f ca="1">_xlfn.IFNA(VLOOKUP(F464,BEGIN_CURRENT_HEALTH:END_CURRENT_HEALTH,CURRENT_COL_EOContrib,FALSE),"")</f>
        <v/>
      </c>
      <c r="I465" s="409" t="str">
        <f ca="1">IFERROR(F465-H465,"")</f>
        <v/>
      </c>
      <c r="J465" s="410" t="str">
        <f ca="1">IF(F465="","",H465*E465)</f>
        <v/>
      </c>
      <c r="K465" s="411"/>
      <c r="L465" s="408" t="str" cm="1">
        <f t="array" ca="1" aca="1" ref="L465">_xlfn.IFNA(VLOOKUP(INDIRECT("L"&amp;ROW()-1)&amp;"_"&amp;$D$12,BEGIN_RENEW_HEALTH:END_RENEW_HEALTH,RENEW_COL_EO,FALSE),"")</f>
        <v/>
      </c>
      <c r="M465" s="412" t="str">
        <f ca="1">IF(E465="","",E465)</f>
        <v/>
      </c>
      <c r="N465" s="413"/>
      <c r="O465" s="414"/>
      <c r="P465" s="415" t="str">
        <f>IFERROR(IF($N464="Keep Contribution Same",H465,IF($N464="Enter Percentages",IF(N465="","",N465*L465),IF($N464="Keep Percentage Same",IF(G465="","",G465*L465),IF($N464="Enter Dollar Amount",IF(O465="","",O465),"")))),"")</f>
        <v/>
      </c>
      <c r="Q465" s="408" t="str">
        <f ca="1">IFERROR(L465-P465,"")</f>
        <v/>
      </c>
      <c r="R465" s="410" t="str">
        <f>IFERROR(IF(P465="","",M465*P465),"")</f>
        <v/>
      </c>
      <c r="S465" s="411"/>
      <c r="T465" s="408" t="str" cm="1">
        <f t="array" ca="1" aca="1" ref="T465">_xlfn.IFNA(VLOOKUP(INDIRECT("T"&amp;ROW()-1)&amp;"_"&amp;$D$12,BEGIN_RENEW_HEALTH:END_RENEW_HEALTH,RENEW_COL_EO,FALSE),"")</f>
        <v/>
      </c>
      <c r="U465" s="412" t="str">
        <f ca="1">IF(E465="","",E465)</f>
        <v/>
      </c>
      <c r="V465" s="413"/>
      <c r="W465" s="414"/>
      <c r="X465" s="415" t="str">
        <f>IFERROR(IF($V464="Keep Contribution Same",H465,IF($V464="Enter Percentages",IF(V465="","",V465*T465),IF($V464="Keep Percentage Same",IF(G465="","",G465*T465),IF($V464="Enter Dollar Amount",IF(W465="","",W465),"")))),"")</f>
        <v/>
      </c>
      <c r="Y465" s="408" t="str">
        <f ca="1">IFERROR(T465-X465,"")</f>
        <v/>
      </c>
      <c r="Z465" s="410" t="str">
        <f>IFERROR(IF(X465="","",U465*X465),"")</f>
        <v/>
      </c>
    </row>
    <row r="466" spans="1:26" ht="18.75" customHeight="1">
      <c r="A466" s="140"/>
      <c r="B466" s="140"/>
      <c r="D466" s="172" t="s">
        <v>239</v>
      </c>
      <c r="E466" s="407" t="str">
        <f ca="1">_xlfn.IFNA(VLOOKUP(F464,BEGIN_CURRENT_HEALTH:END_CURRENT_HEALTH,CURRENT_COL_ES_count,FALSE),"")</f>
        <v/>
      </c>
      <c r="F466" s="408" t="str">
        <f ca="1">_xlfn.IFNA(VLOOKUP(F464,BEGIN_CURRENT_HEALTH:END_CURRENT_HEALTH,CURRENT_COL_ES,FALSE),"")</f>
        <v/>
      </c>
      <c r="G466" s="468" t="str">
        <f t="shared" ca="1" si="45"/>
        <v/>
      </c>
      <c r="H466" s="408" t="str">
        <f ca="1">_xlfn.IFNA(VLOOKUP(F464,BEGIN_CURRENT_HEALTH:END_CURRENT_HEALTH,CURRENT_COL_ESContrib,FALSE),"")</f>
        <v/>
      </c>
      <c r="I466" s="409" t="str">
        <f ca="1" t="shared" si="46" ref="I466:I468">IFERROR(F466-H466,"")</f>
        <v/>
      </c>
      <c r="J466" s="410" t="str">
        <f ca="1">IF(F466="","",H466*E466)</f>
        <v/>
      </c>
      <c r="K466" s="411"/>
      <c r="L466" s="408" t="str" cm="1">
        <f t="array" ca="1" aca="1" ref="L466">_xlfn.IFNA(VLOOKUP(INDIRECT("L"&amp;ROW()-2)&amp;"_"&amp;$D$12,BEGIN_RENEW_HEALTH:END_RENEW_HEALTH,RENEW_COL_ES,FALSE),"")</f>
        <v/>
      </c>
      <c r="M466" s="412" t="str">
        <f ca="1">IF(E466="","",E466)</f>
        <v/>
      </c>
      <c r="N466" s="413"/>
      <c r="O466" s="414"/>
      <c r="P466" s="415" t="str">
        <f>IFERROR(IF($N464="Keep Contribution Same",H466,IF($N464="Enter Percentages",IF(N466="","",N466*L466),IF($N464="Keep Percentage Same",IF(G466="","",G466*L466),IF($N464="Enter Dollar Amount",IF(O466="","",O466),"")))),"")</f>
        <v/>
      </c>
      <c r="Q466" s="408" t="str">
        <f ca="1">IFERROR(L466-P466,"")</f>
        <v/>
      </c>
      <c r="R466" s="410" t="str">
        <f>IFERROR(IF(P466="","",M466*P466),"")</f>
        <v/>
      </c>
      <c r="S466" s="411"/>
      <c r="T466" s="408" t="str" cm="1">
        <f t="array" ca="1" aca="1" ref="T466">_xlfn.IFNA(VLOOKUP(INDIRECT("T"&amp;ROW()-2)&amp;"_"&amp;$D$12,BEGIN_RENEW_HEALTH:END_RENEW_HEALTH,RENEW_COL_ES,FALSE),"")</f>
        <v/>
      </c>
      <c r="U466" s="412" t="str">
        <f ca="1" t="shared" si="47" ref="U466:U468">IF(E466="","",E466)</f>
        <v/>
      </c>
      <c r="V466" s="413"/>
      <c r="W466" s="414"/>
      <c r="X466" s="415" t="str">
        <f>IFERROR(IF($V464="Keep Contribution Same",H466,IF($V464="Enter Percentages",IF(V466="","",V466*T466),IF($V464="Keep Percentage Same",IF(G466="","",G466*T466),IF($V464="Enter Dollar Amount",IF(W466="","",W466),"")))),"")</f>
        <v/>
      </c>
      <c r="Y466" s="408" t="str">
        <f ca="1" t="shared" si="48" ref="Y466:Y468">IFERROR(T466-X466,"")</f>
        <v/>
      </c>
      <c r="Z466" s="410" t="str">
        <f t="shared" si="49" ref="Z466:Z468">IFERROR(IF(X466="","",U466*X466),"")</f>
        <v/>
      </c>
    </row>
    <row r="467" spans="1:26" ht="18.75" customHeight="1">
      <c r="A467" s="140"/>
      <c r="B467" s="140"/>
      <c r="D467" s="172" t="s">
        <v>240</v>
      </c>
      <c r="E467" s="407" t="str">
        <f ca="1">_xlfn.IFNA(VLOOKUP(F464,BEGIN_CURRENT_HEALTH:END_CURRENT_HEALTH,CURRENT_COL_EC_count,FALSE),"")</f>
        <v/>
      </c>
      <c r="F467" s="408" t="str">
        <f ca="1">_xlfn.IFNA(VLOOKUP(F464,BEGIN_CURRENT_HEALTH:END_CURRENT_HEALTH,CURRENT_COL_EC,FALSE),"")</f>
        <v/>
      </c>
      <c r="G467" s="468" t="str">
        <f t="shared" ca="1" si="45"/>
        <v/>
      </c>
      <c r="H467" s="408" t="str">
        <f ca="1">_xlfn.IFNA(VLOOKUP(F464,BEGIN_CURRENT_HEALTH:END_CURRENT_HEALTH,CURRENT_COL_ECContrib,FALSE),"")</f>
        <v/>
      </c>
      <c r="I467" s="409" t="str">
        <f t="shared" ca="1" si="46"/>
        <v/>
      </c>
      <c r="J467" s="410" t="str">
        <f ca="1">IF(F467="","",H467*E467)</f>
        <v/>
      </c>
      <c r="K467" s="411"/>
      <c r="L467" s="408" t="str" cm="1">
        <f t="array" ca="1" aca="1" ref="L467">_xlfn.IFNA(VLOOKUP(INDIRECT("L"&amp;ROW()-3)&amp;"_"&amp;$D$12,BEGIN_RENEW_HEALTH:END_RENEW_HEALTH,RENEW_COL_EC,FALSE),"")</f>
        <v/>
      </c>
      <c r="M467" s="412" t="str">
        <f ca="1">IF(E467="","",E467)</f>
        <v/>
      </c>
      <c r="N467" s="413"/>
      <c r="O467" s="414"/>
      <c r="P467" s="415" t="str">
        <f>IFERROR(IF($N464="Keep Contribution Same",H467,IF($N464="Enter Percentages",IF(N467="","",N467*L467),IF($N464="Keep Percentage Same",IF(G467="","",G467*L467),IF($N464="Enter Dollar Amount",IF(O467="","",O467),"")))),"")</f>
        <v/>
      </c>
      <c r="Q467" s="408" t="str">
        <f ca="1">IFERROR(L467-P467,"")</f>
        <v/>
      </c>
      <c r="R467" s="410" t="str">
        <f>IFERROR(IF(P467="","",M467*P467),"")</f>
        <v/>
      </c>
      <c r="S467" s="411"/>
      <c r="T467" s="408" t="str" cm="1">
        <f t="array" ca="1" aca="1" ref="T467">_xlfn.IFNA(VLOOKUP(INDIRECT("T"&amp;ROW()-3)&amp;"_"&amp;$D$12,BEGIN_RENEW_HEALTH:END_RENEW_HEALTH,RENEW_COL_EC,FALSE),"")</f>
        <v/>
      </c>
      <c r="U467" s="412" t="str">
        <f t="shared" ca="1" si="47"/>
        <v/>
      </c>
      <c r="V467" s="413"/>
      <c r="W467" s="414"/>
      <c r="X467" s="415" t="str">
        <f>IFERROR(IF($V464="Keep Contribution Same",H467,IF($V464="Enter Percentages",IF(V467="","",V467*T467),IF($V464="Keep Percentage Same",IF(G467="","",G467*T467),IF($V464="Enter Dollar Amount",IF(W467="","",W467),"")))),"")</f>
        <v/>
      </c>
      <c r="Y467" s="408" t="str">
        <f t="shared" ca="1" si="48"/>
        <v/>
      </c>
      <c r="Z467" s="410" t="str">
        <f t="shared" si="49"/>
        <v/>
      </c>
    </row>
    <row r="468" spans="1:26" ht="18.75" customHeight="1" thickBot="1">
      <c r="A468" s="140"/>
      <c r="B468" s="140"/>
      <c r="D468" s="174" t="s">
        <v>241</v>
      </c>
      <c r="E468" s="416" t="str">
        <f ca="1">_xlfn.IFNA(VLOOKUP(F464,BEGIN_CURRENT_HEALTH:END_CURRENT_HEALTH,CURRENT_COL_FAM_count,FALSE),"")</f>
        <v/>
      </c>
      <c r="F468" s="417" t="str">
        <f ca="1">_xlfn.IFNA(VLOOKUP(F464,BEGIN_CURRENT_HEALTH:END_CURRENT_HEALTH,CURRENT_COL_FAM,FALSE),"")</f>
        <v/>
      </c>
      <c r="G468" s="469" t="str">
        <f t="shared" ca="1" si="45"/>
        <v/>
      </c>
      <c r="H468" s="417" t="str">
        <f ca="1">_xlfn.IFNA(VLOOKUP(F464,BEGIN_CURRENT_HEALTH:END_CURRENT_HEALTH,CURRENT_COL_FAMContrib,FALSE),"")</f>
        <v/>
      </c>
      <c r="I468" s="418" t="str">
        <f t="shared" ca="1" si="46"/>
        <v/>
      </c>
      <c r="J468" s="419" t="str">
        <f ca="1">IF(F468="","",H468*E468)</f>
        <v/>
      </c>
      <c r="K468" s="411"/>
      <c r="L468" s="417" t="str" cm="1">
        <f t="array" ca="1" aca="1" ref="L468">_xlfn.IFNA(VLOOKUP(INDIRECT("L"&amp;ROW()-4)&amp;"_"&amp;$D$12,BEGIN_RENEW_HEALTH:END_RENEW_HEALTH,RENEW_COL_FAM,FALSE),"")</f>
        <v/>
      </c>
      <c r="M468" s="423" t="str">
        <f ca="1">IF(E468="","",E468)</f>
        <v/>
      </c>
      <c r="N468" s="420"/>
      <c r="O468" s="421"/>
      <c r="P468" s="422" t="str">
        <f>IFERROR(IF($N464="Keep Contribution Same",H468,IF($N464="Enter Percentages",IF(N468="","",N468*L468),IF($N464="Keep Percentage Same",IF(G468="","",G468*L468),IF($N464="Enter Dollar Amount",IF(O468="","",O468),"")))),"")</f>
        <v/>
      </c>
      <c r="Q468" s="417" t="str">
        <f ca="1">IFERROR(L468-P468,"")</f>
        <v/>
      </c>
      <c r="R468" s="419" t="str">
        <f>IFERROR(IF(P468="","",M468*P468),"")</f>
        <v/>
      </c>
      <c r="S468" s="411"/>
      <c r="T468" s="417" t="str" cm="1">
        <f t="array" ca="1" aca="1" ref="T468">_xlfn.IFNA(VLOOKUP(INDIRECT("T"&amp;ROW()-4)&amp;"_"&amp;$D$12,BEGIN_RENEW_HEALTH:END_RENEW_HEALTH,RENEW_COL_FAM,FALSE),"")</f>
        <v/>
      </c>
      <c r="U468" s="423" t="str">
        <f t="shared" ca="1" si="47"/>
        <v/>
      </c>
      <c r="V468" s="420"/>
      <c r="W468" s="421"/>
      <c r="X468" s="422" t="str">
        <f>IFERROR(IF($V464="Keep Contribution Same",H468,IF($V464="Enter Percentages",IF(V468="","",V468*T468),IF($V464="Keep Percentage Same",IF(G468="","",G468*T468),IF($V464="Enter Dollar Amount",IF(W468="","",W468),"")))),"")</f>
        <v/>
      </c>
      <c r="Y468" s="417" t="str">
        <f t="shared" ca="1" si="48"/>
        <v/>
      </c>
      <c r="Z468" s="419" t="str">
        <f t="shared" si="49"/>
        <v/>
      </c>
    </row>
    <row r="469" spans="1:26" ht="19.5" customHeight="1" thickTop="1">
      <c r="A469" s="140"/>
      <c r="B469" s="140"/>
      <c r="D469" s="175" t="s">
        <v>242</v>
      </c>
      <c r="E469" s="424"/>
      <c r="F469" s="447" t="str">
        <f ca="1">IFERROR((F465*E465)+(F466*E466)+(F467*E467)+(F468*E468),"")</f>
        <v/>
      </c>
      <c r="G469" s="426"/>
      <c r="H469" s="427"/>
      <c r="I469" s="428"/>
      <c r="J469" s="429" t="str">
        <f ca="1">IFERROR(IF(J465="","",SUM(J465:J468)),0)</f>
        <v/>
      </c>
      <c r="K469" s="1"/>
      <c r="L469" s="430" t="str">
        <f ca="1">IFERROR((M465*L465)+(M466*L466)+(M467*L467)+(M468*L468),"")</f>
        <v/>
      </c>
      <c r="M469" s="427"/>
      <c r="N469" s="426"/>
      <c r="O469" s="427"/>
      <c r="P469" s="431"/>
      <c r="Q469" s="432"/>
      <c r="R469" s="429" t="str">
        <f>IFERROR(IF(R465="","",SUM(R465:R468)),0)</f>
        <v/>
      </c>
      <c r="T469" s="430" t="str">
        <f ca="1">IFERROR((U465*T465)+(U466*T466)+(U467*T467)+(U468*T468),"")</f>
        <v/>
      </c>
      <c r="U469" s="427"/>
      <c r="V469" s="426"/>
      <c r="W469" s="427"/>
      <c r="X469" s="431"/>
      <c r="Y469" s="432"/>
      <c r="Z469" s="429" t="str">
        <f>IFERROR(IF(Z465="","",SUM(Z465:Z468)),0)</f>
        <v/>
      </c>
    </row>
    <row r="470" spans="1:26" ht="19.5" customHeight="1">
      <c r="A470" s="140"/>
      <c r="B470" s="140"/>
      <c r="D470" s="177" t="s">
        <v>243</v>
      </c>
      <c r="E470" s="433"/>
      <c r="F470" s="448" t="str">
        <f ca="1">IFERROR(F469*12,"")</f>
        <v/>
      </c>
      <c r="G470" s="435"/>
      <c r="H470" s="436"/>
      <c r="I470" s="432"/>
      <c r="J470" s="437" t="str">
        <f ca="1">IF(J469="","",J469*12)</f>
        <v/>
      </c>
      <c r="K470" s="1"/>
      <c r="L470" s="438" t="str">
        <f ca="1">IFERROR(L469*12,"")</f>
        <v/>
      </c>
      <c r="M470" s="436"/>
      <c r="N470" s="435"/>
      <c r="O470" s="436"/>
      <c r="P470" s="432"/>
      <c r="Q470" s="432"/>
      <c r="R470" s="437" t="str">
        <f>IF(R469="","",R469*12)</f>
        <v/>
      </c>
      <c r="T470" s="438" t="str">
        <f ca="1">IFERROR(T469*12,"")</f>
        <v/>
      </c>
      <c r="U470" s="436"/>
      <c r="V470" s="435"/>
      <c r="W470" s="436"/>
      <c r="X470" s="432"/>
      <c r="Y470" s="432"/>
      <c r="Z470" s="437" t="str">
        <f>IF(Z469="","",Z469*12)</f>
        <v/>
      </c>
    </row>
    <row r="471" spans="1:26" ht="18" customHeight="1">
      <c r="A471" s="140"/>
      <c r="B471" s="140"/>
      <c r="D471" s="177" t="s">
        <v>244</v>
      </c>
      <c r="E471" s="433"/>
      <c r="F471" s="436"/>
      <c r="G471" s="435"/>
      <c r="H471" s="436"/>
      <c r="I471" s="432"/>
      <c r="J471" s="437"/>
      <c r="K471" s="1"/>
      <c r="L471" s="434" t="str">
        <f ca="1">IFERROR(L470-F470,"")</f>
        <v/>
      </c>
      <c r="M471" s="436"/>
      <c r="N471" s="435"/>
      <c r="O471" s="436"/>
      <c r="P471" s="432"/>
      <c r="Q471" s="432"/>
      <c r="R471" s="437" t="str">
        <f ca="1">IFERROR(IF(J470="","",R470-J470),0)</f>
        <v/>
      </c>
      <c r="T471" s="434" t="str">
        <f ca="1">IFERROR(T470-F470,"")</f>
        <v/>
      </c>
      <c r="U471" s="436"/>
      <c r="V471" s="435"/>
      <c r="W471" s="436"/>
      <c r="X471" s="432"/>
      <c r="Y471" s="432"/>
      <c r="Z471" s="437" t="str">
        <f>IFERROR(IF(R470="","",Z470-R470),0)</f>
        <v/>
      </c>
    </row>
    <row r="472" spans="1:26" ht="18" customHeight="1" thickBot="1">
      <c r="A472" s="140"/>
      <c r="B472" s="140"/>
      <c r="D472" s="180" t="s">
        <v>245</v>
      </c>
      <c r="E472" s="439"/>
      <c r="F472" s="440"/>
      <c r="G472" s="441"/>
      <c r="H472" s="440"/>
      <c r="I472" s="442"/>
      <c r="J472" s="443"/>
      <c r="K472" s="1"/>
      <c r="L472" s="444" t="str">
        <f ca="1">IFERROR(L470/F470-1,"")</f>
        <v/>
      </c>
      <c r="M472" s="440"/>
      <c r="N472" s="441"/>
      <c r="O472" s="440"/>
      <c r="P472" s="445"/>
      <c r="Q472" s="445"/>
      <c r="R472" s="446" t="str">
        <f ca="1">IFERROR(IF(J470="","",(R470/J470)-1),0)</f>
        <v/>
      </c>
      <c r="T472" s="444" t="str">
        <f ca="1">IFERROR(T470/F470-1,"")</f>
        <v/>
      </c>
      <c r="U472" s="440"/>
      <c r="V472" s="441"/>
      <c r="W472" s="440"/>
      <c r="X472" s="445"/>
      <c r="Y472" s="445"/>
      <c r="Z472" s="446" t="str">
        <f>IFERROR(IF(R470="","",(Z470/R470)-1),0)</f>
        <v/>
      </c>
    </row>
    <row r="473" spans="1:26" ht="18" customHeight="1">
      <c r="A473" s="140"/>
      <c r="B473" s="140"/>
      <c r="D473" s="181" t="s">
        <v>246</v>
      </c>
      <c r="E473" s="182"/>
      <c r="F473" s="182"/>
      <c r="G473" s="182"/>
      <c r="H473" s="182"/>
      <c r="I473" s="182"/>
      <c r="J473" s="183"/>
      <c r="K473"/>
      <c r="L473" s="184"/>
      <c r="M473" s="182"/>
      <c r="N473" s="182"/>
      <c r="O473" s="182"/>
      <c r="P473" s="182"/>
      <c r="Q473" s="182"/>
      <c r="R473" s="183"/>
      <c r="T473" s="184"/>
      <c r="U473" s="182"/>
      <c r="V473" s="182"/>
      <c r="W473" s="182"/>
      <c r="X473" s="182"/>
      <c r="Y473" s="182"/>
      <c r="Z473" s="183"/>
    </row>
    <row r="474" spans="1:26" ht="18" customHeight="1" hidden="1">
      <c r="A474" s="140"/>
      <c r="B474" s="140"/>
      <c r="D474" s="185" t="s">
        <v>247</v>
      </c>
      <c r="E474" s="186"/>
      <c r="F474" s="186"/>
      <c r="G474" s="186"/>
      <c r="H474" s="186"/>
      <c r="I474" s="186"/>
      <c r="J474" s="187"/>
      <c r="K474"/>
      <c r="L474" s="188"/>
      <c r="M474" s="186"/>
      <c r="N474" s="186"/>
      <c r="O474" s="186"/>
      <c r="P474" s="186"/>
      <c r="Q474" s="186"/>
      <c r="R474" s="187"/>
      <c r="T474" s="188"/>
      <c r="U474" s="186"/>
      <c r="V474" s="186"/>
      <c r="W474" s="186"/>
      <c r="X474" s="186"/>
      <c r="Y474" s="186"/>
      <c r="Z474" s="187"/>
    </row>
    <row r="475" spans="1:26" ht="18" customHeight="1" hidden="1">
      <c r="A475" s="140"/>
      <c r="B475" s="140"/>
      <c r="D475" s="189" t="s">
        <v>248</v>
      </c>
      <c r="E475" s="190" t="str">
        <f>D464&amp;"_"&amp;D12</f>
        <v>_</v>
      </c>
      <c r="F475" s="191"/>
      <c r="G475" s="191"/>
      <c r="H475" s="191"/>
      <c r="I475" s="190"/>
      <c r="J475" s="192"/>
      <c r="K475"/>
      <c r="L475" s="193" t="str">
        <f ca="1">L464&amp;"_"&amp;D12</f>
        <v>SELECT PLAN_</v>
      </c>
      <c r="M475" s="191"/>
      <c r="N475" s="191"/>
      <c r="O475" s="191"/>
      <c r="P475" s="190"/>
      <c r="Q475" s="191"/>
      <c r="R475" s="192"/>
      <c r="T475" s="193" t="str">
        <f>T464&amp;"_"&amp;D12</f>
        <v>SELECT PLAN_</v>
      </c>
      <c r="U475" s="191"/>
      <c r="V475" s="191"/>
      <c r="W475" s="191"/>
      <c r="X475" s="190"/>
      <c r="Y475" s="191"/>
      <c r="Z475" s="192"/>
    </row>
    <row r="476" spans="1:26" ht="18" customHeight="1" hidden="1">
      <c r="A476" s="140"/>
      <c r="B476" s="140"/>
      <c r="D476" s="189" t="s">
        <v>249</v>
      </c>
      <c r="E476" s="191"/>
      <c r="F476" s="191"/>
      <c r="G476" s="191"/>
      <c r="H476" s="191"/>
      <c r="I476" s="191"/>
      <c r="J476" s="192"/>
      <c r="K476"/>
      <c r="L476" s="189"/>
      <c r="M476" s="191"/>
      <c r="N476" s="191"/>
      <c r="O476" s="191"/>
      <c r="P476" s="191"/>
      <c r="Q476" s="191"/>
      <c r="R476" s="192"/>
      <c r="T476" s="189"/>
      <c r="U476" s="191"/>
      <c r="V476" s="191"/>
      <c r="W476" s="191"/>
      <c r="X476" s="191"/>
      <c r="Y476" s="191"/>
      <c r="Z476" s="192"/>
    </row>
    <row r="477" spans="1:26" ht="18" customHeight="1" hidden="1">
      <c r="A477" s="140"/>
      <c r="B477" s="140"/>
      <c r="D477" s="194" t="s">
        <v>250</v>
      </c>
      <c r="E477" s="195"/>
      <c r="F477" s="195"/>
      <c r="G477" s="195"/>
      <c r="H477" s="195"/>
      <c r="I477" s="195"/>
      <c r="J477" s="196"/>
      <c r="K477"/>
      <c r="L477" s="197"/>
      <c r="M477" s="195"/>
      <c r="N477" s="195"/>
      <c r="O477" s="195"/>
      <c r="P477" s="195"/>
      <c r="Q477" s="195"/>
      <c r="R477" s="196"/>
      <c r="T477" s="197"/>
      <c r="U477" s="195"/>
      <c r="V477" s="195"/>
      <c r="W477" s="195"/>
      <c r="X477" s="195"/>
      <c r="Y477" s="195"/>
      <c r="Z477" s="196"/>
    </row>
    <row r="478" spans="1:26" ht="18" customHeight="1" hidden="1">
      <c r="A478" s="140"/>
      <c r="B478" s="140"/>
      <c r="D478" s="198" t="s">
        <v>251</v>
      </c>
      <c r="E478" s="199" t="str">
        <f>_xlfn.XLOOKUP(E475,CurrentPlans!B:B,CurrentPlans!X:X,"NA",0,1)</f>
        <v>NA</v>
      </c>
      <c r="F478" s="200"/>
      <c r="G478" s="200"/>
      <c r="H478" s="200"/>
      <c r="I478" s="199"/>
      <c r="J478" s="201"/>
      <c r="K478"/>
      <c r="L478" s="202" t="str">
        <f ca="1">_xlfn.XLOOKUP(L475,RenewalPlans!B:B,RenewalPlans!AA:AA,"NA",0,1)</f>
        <v>NA</v>
      </c>
      <c r="M478" s="200"/>
      <c r="N478" s="200"/>
      <c r="O478" s="200"/>
      <c r="P478" s="199"/>
      <c r="Q478" s="200"/>
      <c r="R478" s="201"/>
      <c r="T478" s="202" t="str">
        <f>_xlfn.XLOOKUP(T475,RenewalPlans!B:B,RenewalPlans!AA:AA,"NA",0,1)</f>
        <v>NA</v>
      </c>
      <c r="U478" s="200"/>
      <c r="V478" s="200"/>
      <c r="W478" s="200"/>
      <c r="X478" s="199"/>
      <c r="Y478" s="200"/>
      <c r="Z478" s="201"/>
    </row>
    <row r="479" spans="1:26" ht="18" customHeight="1" hidden="1">
      <c r="A479" s="140"/>
      <c r="B479" s="140"/>
      <c r="D479" s="198" t="s">
        <v>252</v>
      </c>
      <c r="E479" s="199" t="str">
        <f>_xlfn.XLOOKUP(E475,CurrentPlans!B:B,CurrentPlans!Y:Y,"NA",0,1)</f>
        <v>NA</v>
      </c>
      <c r="F479" s="200"/>
      <c r="G479" s="200"/>
      <c r="H479" s="200"/>
      <c r="I479" s="199"/>
      <c r="J479" s="201"/>
      <c r="K479"/>
      <c r="L479" s="202" t="str">
        <f ca="1">_xlfn.XLOOKUP(L475,RenewalPlans!B:B,RenewalPlans!AB:AB,"NA",0,1)</f>
        <v>NA</v>
      </c>
      <c r="M479" s="200"/>
      <c r="N479" s="200"/>
      <c r="O479" s="200"/>
      <c r="P479" s="199"/>
      <c r="Q479" s="200"/>
      <c r="R479" s="201"/>
      <c r="T479" s="202" t="str">
        <f>_xlfn.XLOOKUP(T475,RenewalPlans!B:B,RenewalPlans!AB:AB,"NA",0,1)</f>
        <v>NA</v>
      </c>
      <c r="U479" s="200"/>
      <c r="V479" s="200"/>
      <c r="W479" s="200"/>
      <c r="X479" s="199"/>
      <c r="Y479" s="200"/>
      <c r="Z479" s="201"/>
    </row>
    <row r="480" spans="1:26" ht="18" customHeight="1" hidden="1">
      <c r="A480" s="140"/>
      <c r="B480" s="140"/>
      <c r="D480" s="120" t="s">
        <v>253</v>
      </c>
      <c r="E480" s="121" t="str">
        <f>_xlfn.XLOOKUP(E475,CurrentPlans!B:B,CurrentPlans!W:W,"NA",0,1)</f>
        <v>NA</v>
      </c>
      <c r="F480" s="122"/>
      <c r="G480" s="122"/>
      <c r="H480" s="122"/>
      <c r="I480" s="121"/>
      <c r="J480" s="123"/>
      <c r="K480"/>
      <c r="L480" s="124" t="str">
        <f ca="1">_xlfn.XLOOKUP(L475,RenewalPlans!B:B,RenewalPlans!Z:Z,"NA",0,1)</f>
        <v>NA</v>
      </c>
      <c r="M480" s="122"/>
      <c r="N480" s="122"/>
      <c r="O480" s="122"/>
      <c r="P480" s="121"/>
      <c r="Q480" s="122"/>
      <c r="R480" s="123"/>
      <c r="T480" s="124" t="str">
        <f>_xlfn.XLOOKUP(T475,RenewalPlans!B:B,RenewalPlans!Z:Z,"NA",0,1)</f>
        <v>NA</v>
      </c>
      <c r="U480" s="122"/>
      <c r="V480" s="122"/>
      <c r="W480" s="122"/>
      <c r="X480" s="121"/>
      <c r="Y480" s="122"/>
      <c r="Z480" s="123"/>
    </row>
    <row r="481" spans="1:26" ht="18" customHeight="1" hidden="1">
      <c r="A481" s="140"/>
      <c r="B481" s="140"/>
      <c r="D481" s="203" t="s">
        <v>254</v>
      </c>
      <c r="E481" s="204"/>
      <c r="F481" s="205"/>
      <c r="G481" s="205"/>
      <c r="H481" s="205"/>
      <c r="I481" s="204"/>
      <c r="J481" s="206"/>
      <c r="K481"/>
      <c r="L481" s="207"/>
      <c r="M481" s="205"/>
      <c r="N481" s="205"/>
      <c r="O481" s="205"/>
      <c r="P481" s="204"/>
      <c r="Q481" s="205"/>
      <c r="R481" s="206"/>
      <c r="T481" s="207"/>
      <c r="U481" s="205"/>
      <c r="V481" s="205"/>
      <c r="W481" s="205"/>
      <c r="X481" s="204"/>
      <c r="Y481" s="205"/>
      <c r="Z481" s="206"/>
    </row>
    <row r="482" spans="1:26" ht="18" customHeight="1" hidden="1">
      <c r="A482" s="140"/>
      <c r="B482" s="140"/>
      <c r="D482" s="125" t="s">
        <v>255</v>
      </c>
      <c r="E482" s="126" t="str">
        <f>_xlfn.XLOOKUP(E475,CurrentPlans!B:B,CurrentPlans!Z:Z,"NA",0,1)</f>
        <v>NA</v>
      </c>
      <c r="F482" s="127"/>
      <c r="G482" s="127"/>
      <c r="H482" s="127"/>
      <c r="I482" s="126"/>
      <c r="J482" s="128"/>
      <c r="K482"/>
      <c r="L482" s="129" t="str">
        <f ca="1">_xlfn.XLOOKUP(L475,RenewalPlans!B:B,RenewalPlans!AC:AC,"NA",0,1)</f>
        <v>NA</v>
      </c>
      <c r="M482" s="127"/>
      <c r="N482" s="127"/>
      <c r="O482" s="127"/>
      <c r="P482" s="126"/>
      <c r="Q482" s="127"/>
      <c r="R482" s="128"/>
      <c r="T482" s="129" t="str">
        <f>_xlfn.XLOOKUP(T475,RenewalPlans!B:B,RenewalPlans!AC:AC,"NA",0,1)</f>
        <v>NA</v>
      </c>
      <c r="U482" s="127"/>
      <c r="V482" s="127"/>
      <c r="W482" s="127"/>
      <c r="X482" s="126"/>
      <c r="Y482" s="127"/>
      <c r="Z482" s="128"/>
    </row>
    <row r="483" spans="1:26" ht="18" customHeight="1" hidden="1">
      <c r="A483" s="140"/>
      <c r="B483" s="140"/>
      <c r="D483" s="198" t="s">
        <v>256</v>
      </c>
      <c r="E483" s="208" t="str">
        <f>_xlfn.XLOOKUP(E475,CurrentPlans!B:B,CurrentPlans!AA:AA,"NA",0,1)</f>
        <v>NA</v>
      </c>
      <c r="F483" s="200"/>
      <c r="G483" s="200"/>
      <c r="H483" s="200"/>
      <c r="I483" s="208"/>
      <c r="J483" s="201"/>
      <c r="K483"/>
      <c r="L483" s="209" t="str">
        <f ca="1">_xlfn.XLOOKUP(L475,RenewalPlans!B:B,RenewalPlans!AD:AD,"NA",0,1)</f>
        <v>NA</v>
      </c>
      <c r="M483" s="200"/>
      <c r="N483" s="200"/>
      <c r="O483" s="200"/>
      <c r="P483" s="208"/>
      <c r="Q483" s="200"/>
      <c r="R483" s="201"/>
      <c r="T483" s="209" t="str">
        <f>_xlfn.XLOOKUP(T475,RenewalPlans!B:B,RenewalPlans!AD:AD,"NA",0,1)</f>
        <v>NA</v>
      </c>
      <c r="U483" s="200"/>
      <c r="V483" s="200"/>
      <c r="W483" s="200"/>
      <c r="X483" s="208"/>
      <c r="Y483" s="200"/>
      <c r="Z483" s="201"/>
    </row>
    <row r="484" spans="1:26" ht="18" customHeight="1" hidden="1">
      <c r="A484" s="140"/>
      <c r="B484" s="140"/>
      <c r="D484" s="203" t="s">
        <v>257</v>
      </c>
      <c r="E484" s="204"/>
      <c r="F484" s="205"/>
      <c r="G484" s="205"/>
      <c r="H484" s="205"/>
      <c r="I484" s="204"/>
      <c r="J484" s="206"/>
      <c r="K484"/>
      <c r="L484" s="207"/>
      <c r="M484" s="205"/>
      <c r="N484" s="205"/>
      <c r="O484" s="205"/>
      <c r="P484" s="204"/>
      <c r="Q484" s="205"/>
      <c r="R484" s="206"/>
      <c r="T484" s="207"/>
      <c r="U484" s="205"/>
      <c r="V484" s="205"/>
      <c r="W484" s="205"/>
      <c r="X484" s="204"/>
      <c r="Y484" s="205"/>
      <c r="Z484" s="206"/>
    </row>
    <row r="485" spans="1:26" ht="18" customHeight="1" hidden="1">
      <c r="A485" s="140"/>
      <c r="B485" s="140"/>
      <c r="D485" s="198" t="s">
        <v>258</v>
      </c>
      <c r="E485" s="208" t="str">
        <f>_xlfn.XLOOKUP(E475,CurrentPlans!B:B,CurrentPlans!AB:AB,"NA",0,1)</f>
        <v>NA</v>
      </c>
      <c r="F485" s="200"/>
      <c r="G485" s="200"/>
      <c r="H485" s="200"/>
      <c r="I485" s="208"/>
      <c r="J485" s="201"/>
      <c r="K485"/>
      <c r="L485" s="209" t="str">
        <f ca="1">_xlfn.XLOOKUP(L475,RenewalPlans!B:B,RenewalPlans!AE:AE,"NA",0,1)</f>
        <v>NA</v>
      </c>
      <c r="M485" s="200"/>
      <c r="N485" s="200"/>
      <c r="O485" s="200"/>
      <c r="P485" s="208"/>
      <c r="Q485" s="200"/>
      <c r="R485" s="201"/>
      <c r="T485" s="209" t="str">
        <f>_xlfn.XLOOKUP(T475,RenewalPlans!B:B,RenewalPlans!AE:AE,"NA",0,1)</f>
        <v>NA</v>
      </c>
      <c r="U485" s="200"/>
      <c r="V485" s="200"/>
      <c r="W485" s="200"/>
      <c r="X485" s="208"/>
      <c r="Y485" s="200"/>
      <c r="Z485" s="201"/>
    </row>
    <row r="486" spans="1:26" ht="18" customHeight="1" hidden="1">
      <c r="A486" s="140"/>
      <c r="B486" s="140"/>
      <c r="D486" s="198" t="s">
        <v>259</v>
      </c>
      <c r="E486" s="208" t="str">
        <f>_xlfn.XLOOKUP(E475,CurrentPlans!B:B,CurrentPlans!AC:AC,"NA",0,1)</f>
        <v>NA</v>
      </c>
      <c r="F486" s="200"/>
      <c r="G486" s="200"/>
      <c r="H486" s="200"/>
      <c r="I486" s="208"/>
      <c r="J486" s="201"/>
      <c r="K486"/>
      <c r="L486" s="209" t="str">
        <f ca="1">_xlfn.XLOOKUP(L475,RenewalPlans!B:B,RenewalPlans!AF:AF,"NA",0,1)</f>
        <v>NA</v>
      </c>
      <c r="M486" s="200"/>
      <c r="N486" s="200"/>
      <c r="O486" s="200"/>
      <c r="P486" s="208"/>
      <c r="Q486" s="200"/>
      <c r="R486" s="201"/>
      <c r="T486" s="209" t="str">
        <f>_xlfn.XLOOKUP(T475,RenewalPlans!B:B,RenewalPlans!AF:AF,"NA",0,1)</f>
        <v>NA</v>
      </c>
      <c r="U486" s="200"/>
      <c r="V486" s="200"/>
      <c r="W486" s="200"/>
      <c r="X486" s="208"/>
      <c r="Y486" s="200"/>
      <c r="Z486" s="201"/>
    </row>
    <row r="487" spans="1:26" ht="18" customHeight="1" hidden="1">
      <c r="A487" s="140"/>
      <c r="B487" s="140"/>
      <c r="D487" s="210"/>
      <c r="E487" s="211"/>
      <c r="F487" s="211"/>
      <c r="G487" s="211"/>
      <c r="H487" s="211"/>
      <c r="I487" s="211"/>
      <c r="J487" s="212"/>
      <c r="K487"/>
      <c r="L487" s="210"/>
      <c r="M487" s="211"/>
      <c r="N487" s="211"/>
      <c r="O487" s="211"/>
      <c r="P487" s="211"/>
      <c r="Q487" s="211"/>
      <c r="R487" s="212"/>
      <c r="T487" s="210"/>
      <c r="U487" s="211"/>
      <c r="V487" s="211"/>
      <c r="W487" s="211"/>
      <c r="X487" s="211"/>
      <c r="Y487" s="211"/>
      <c r="Z487" s="212"/>
    </row>
    <row r="488" spans="1:26" ht="18" customHeight="1" hidden="1">
      <c r="A488" s="140"/>
      <c r="B488" s="140"/>
      <c r="D488" s="185" t="s">
        <v>260</v>
      </c>
      <c r="E488" s="186"/>
      <c r="F488" s="186"/>
      <c r="G488" s="186"/>
      <c r="H488" s="186"/>
      <c r="I488" s="186"/>
      <c r="J488" s="187"/>
      <c r="K488"/>
      <c r="L488" s="188"/>
      <c r="M488" s="186"/>
      <c r="N488" s="186"/>
      <c r="O488" s="186"/>
      <c r="P488" s="186"/>
      <c r="Q488" s="186"/>
      <c r="R488" s="187"/>
      <c r="T488" s="188"/>
      <c r="U488" s="186"/>
      <c r="V488" s="186"/>
      <c r="W488" s="186"/>
      <c r="X488" s="186"/>
      <c r="Y488" s="186"/>
      <c r="Z488" s="187"/>
    </row>
    <row r="489" spans="1:26" ht="18" customHeight="1" hidden="1">
      <c r="A489" s="140"/>
      <c r="B489" s="140"/>
      <c r="D489" s="213" t="s">
        <v>261</v>
      </c>
      <c r="E489" s="130" t="str">
        <f>_xlfn.XLOOKUP(E475,CurrentPlans!B:B,CurrentPlans!AJ:AJ,"NA",0,1)</f>
        <v>NA</v>
      </c>
      <c r="F489" s="214"/>
      <c r="G489" s="214"/>
      <c r="H489" s="214"/>
      <c r="I489" s="130"/>
      <c r="J489" s="215"/>
      <c r="K489"/>
      <c r="L489" s="131" t="str">
        <f ca="1">_xlfn.XLOOKUP(L475,RenewalPlans!B:B,RenewalPlans!AM:AM,"NA",0,1)</f>
        <v>NA</v>
      </c>
      <c r="M489" s="214"/>
      <c r="N489" s="214"/>
      <c r="O489" s="214"/>
      <c r="P489" s="130"/>
      <c r="Q489" s="214"/>
      <c r="R489" s="215"/>
      <c r="T489" s="131" t="str">
        <f>_xlfn.XLOOKUP(T475,RenewalPlans!B:B,RenewalPlans!AM:AM,"NA",0,1)</f>
        <v>NA</v>
      </c>
      <c r="U489" s="214"/>
      <c r="V489" s="214"/>
      <c r="W489" s="214"/>
      <c r="X489" s="130"/>
      <c r="Y489" s="214"/>
      <c r="Z489" s="215"/>
    </row>
    <row r="490" spans="1:26" ht="18" customHeight="1" hidden="1">
      <c r="A490" s="140"/>
      <c r="B490" s="140"/>
      <c r="D490" s="198" t="s">
        <v>262</v>
      </c>
      <c r="E490" s="130" t="str">
        <f>_xlfn.XLOOKUP(E475,CurrentPlans!B:B,CurrentPlans!AM:AM,"NA",0,1)</f>
        <v>NA</v>
      </c>
      <c r="F490" s="200"/>
      <c r="G490" s="200"/>
      <c r="H490" s="200"/>
      <c r="I490" s="130"/>
      <c r="J490" s="201"/>
      <c r="K490"/>
      <c r="L490" s="131" t="str">
        <f ca="1">_xlfn.XLOOKUP(L475,RenewalPlans!B:B,RenewalPlans!AP:AP,"NA",0,1)</f>
        <v>NA</v>
      </c>
      <c r="M490" s="200"/>
      <c r="N490" s="200"/>
      <c r="O490" s="200"/>
      <c r="P490" s="130"/>
      <c r="Q490" s="200"/>
      <c r="R490" s="201"/>
      <c r="T490" s="131" t="str">
        <f>_xlfn.XLOOKUP(T475,RenewalPlans!B:B,RenewalPlans!AP:AP,"NA",0,1)</f>
        <v>NA</v>
      </c>
      <c r="U490" s="200"/>
      <c r="V490" s="200"/>
      <c r="W490" s="200"/>
      <c r="X490" s="130"/>
      <c r="Y490" s="200"/>
      <c r="Z490" s="201"/>
    </row>
    <row r="491" spans="1:26" ht="18" customHeight="1" hidden="1">
      <c r="A491" s="140"/>
      <c r="B491" s="140"/>
      <c r="D491" s="198" t="s">
        <v>263</v>
      </c>
      <c r="E491" s="130" t="str">
        <f>_xlfn.XLOOKUP(E475,CurrentPlans!B:B,CurrentPlans!AI:AI,"NA",0,1)</f>
        <v>NA</v>
      </c>
      <c r="F491" s="200"/>
      <c r="G491" s="200"/>
      <c r="H491" s="200"/>
      <c r="I491" s="130"/>
      <c r="J491" s="201"/>
      <c r="K491"/>
      <c r="L491" s="131" t="str">
        <f ca="1">_xlfn.XLOOKUP(L475,RenewalPlans!B:B,RenewalPlans!AL:AL,"NA",0,1)</f>
        <v>NA</v>
      </c>
      <c r="M491" s="200"/>
      <c r="N491" s="200"/>
      <c r="O491" s="200"/>
      <c r="P491" s="130"/>
      <c r="Q491" s="200"/>
      <c r="R491" s="201"/>
      <c r="T491" s="131" t="str">
        <f>_xlfn.XLOOKUP(T475,RenewalPlans!B:B,RenewalPlans!AL:AL,"NA",0,1)</f>
        <v>NA</v>
      </c>
      <c r="U491" s="200"/>
      <c r="V491" s="200"/>
      <c r="W491" s="200"/>
      <c r="X491" s="130"/>
      <c r="Y491" s="200"/>
      <c r="Z491" s="201"/>
    </row>
    <row r="492" spans="1:26" ht="18" customHeight="1" hidden="1">
      <c r="A492" s="140"/>
      <c r="B492" s="140"/>
      <c r="D492" s="198" t="s">
        <v>264</v>
      </c>
      <c r="E492" s="208" t="str">
        <f>_xlfn.XLOOKUP(E475,CurrentPlans!B:B,CurrentPlans!AN:AN,"NA",0,1)</f>
        <v>NA</v>
      </c>
      <c r="F492" s="200"/>
      <c r="G492" s="200"/>
      <c r="H492" s="200"/>
      <c r="I492" s="208"/>
      <c r="J492" s="201"/>
      <c r="K492"/>
      <c r="L492" s="209" t="str">
        <f ca="1">_xlfn.XLOOKUP(L475,RenewalPlans!B:B,RenewalPlans!AQ:AQ,"NA",0,1)</f>
        <v>NA</v>
      </c>
      <c r="M492" s="200"/>
      <c r="N492" s="200"/>
      <c r="O492" s="200"/>
      <c r="P492" s="208"/>
      <c r="Q492" s="200"/>
      <c r="R492" s="201"/>
      <c r="T492" s="209" t="str">
        <f>_xlfn.XLOOKUP(T475,RenewalPlans!B:B,RenewalPlans!AQ:AQ,"NA",0,1)</f>
        <v>NA</v>
      </c>
      <c r="U492" s="200"/>
      <c r="V492" s="200"/>
      <c r="W492" s="200"/>
      <c r="X492" s="208"/>
      <c r="Y492" s="200"/>
      <c r="Z492" s="201"/>
    </row>
    <row r="493" spans="1:26" ht="18" customHeight="1" hidden="1">
      <c r="A493" s="140"/>
      <c r="B493" s="140"/>
      <c r="D493" s="210"/>
      <c r="E493" s="211"/>
      <c r="F493" s="211"/>
      <c r="G493" s="211"/>
      <c r="H493" s="211"/>
      <c r="I493" s="211"/>
      <c r="J493" s="212"/>
      <c r="K493"/>
      <c r="L493" s="210"/>
      <c r="M493" s="211"/>
      <c r="N493" s="211"/>
      <c r="O493" s="211"/>
      <c r="P493" s="211"/>
      <c r="Q493" s="211"/>
      <c r="R493" s="212"/>
      <c r="T493" s="210"/>
      <c r="U493" s="211"/>
      <c r="V493" s="211"/>
      <c r="W493" s="211"/>
      <c r="X493" s="211"/>
      <c r="Y493" s="211"/>
      <c r="Z493" s="212"/>
    </row>
    <row r="494" spans="1:26" ht="18" customHeight="1" hidden="1">
      <c r="A494" s="140"/>
      <c r="B494" s="140"/>
      <c r="D494" s="185" t="s">
        <v>265</v>
      </c>
      <c r="E494" s="186"/>
      <c r="F494" s="186"/>
      <c r="G494" s="186"/>
      <c r="H494" s="186"/>
      <c r="I494" s="186"/>
      <c r="J494" s="187"/>
      <c r="K494"/>
      <c r="L494" s="188"/>
      <c r="M494" s="186"/>
      <c r="N494" s="186"/>
      <c r="O494" s="186"/>
      <c r="P494" s="186"/>
      <c r="Q494" s="186"/>
      <c r="R494" s="187"/>
      <c r="T494" s="188"/>
      <c r="U494" s="186"/>
      <c r="V494" s="186"/>
      <c r="W494" s="186"/>
      <c r="X494" s="186"/>
      <c r="Y494" s="186"/>
      <c r="Z494" s="187"/>
    </row>
    <row r="495" spans="1:26" ht="18" customHeight="1" hidden="1">
      <c r="A495" s="140"/>
      <c r="B495" s="140"/>
      <c r="D495" s="132" t="s">
        <v>266</v>
      </c>
      <c r="E495" s="133" t="str">
        <f>_xlfn.XLOOKUP(E475,CurrentPlans!B:B,CurrentPlans!AE:AE,"NA",0,1)</f>
        <v>NA</v>
      </c>
      <c r="F495" s="134"/>
      <c r="G495" s="134"/>
      <c r="H495" s="134"/>
      <c r="I495" s="133"/>
      <c r="J495" s="135"/>
      <c r="K495"/>
      <c r="L495" s="136" t="str">
        <f ca="1">_xlfn.XLOOKUP(L475,RenewalPlans!B:B,RenewalPlans!AH:AH,"NA",0,1)</f>
        <v>NA</v>
      </c>
      <c r="M495" s="134"/>
      <c r="N495" s="134"/>
      <c r="O495" s="134"/>
      <c r="P495" s="133"/>
      <c r="Q495" s="134"/>
      <c r="R495" s="135"/>
      <c r="T495" s="136" t="str">
        <f>_xlfn.XLOOKUP(T475,RenewalPlans!B:B,RenewalPlans!AH:AH,"NA",0,1)</f>
        <v>NA</v>
      </c>
      <c r="U495" s="134"/>
      <c r="V495" s="134"/>
      <c r="W495" s="134"/>
      <c r="X495" s="133"/>
      <c r="Y495" s="134"/>
      <c r="Z495" s="135"/>
    </row>
    <row r="496" spans="1:26" ht="18" customHeight="1" hidden="1">
      <c r="A496" s="140"/>
      <c r="B496" s="140"/>
      <c r="D496" s="120" t="s">
        <v>267</v>
      </c>
      <c r="E496" s="130" t="str">
        <f>_xlfn.XLOOKUP(E475,CurrentPlans!B:B,CurrentPlans!AF:AF,"NA",0,1)</f>
        <v>NA</v>
      </c>
      <c r="F496" s="122"/>
      <c r="G496" s="122"/>
      <c r="H496" s="122"/>
      <c r="I496" s="130"/>
      <c r="J496" s="123"/>
      <c r="K496"/>
      <c r="L496" s="131" t="str">
        <f ca="1">_xlfn.XLOOKUP(L475,RenewalPlans!B:B,RenewalPlans!AI:AI,"NA",0,1)</f>
        <v>NA</v>
      </c>
      <c r="M496" s="122"/>
      <c r="N496" s="122"/>
      <c r="O496" s="122"/>
      <c r="P496" s="130"/>
      <c r="Q496" s="122"/>
      <c r="R496" s="123"/>
      <c r="T496" s="131" t="str">
        <f>_xlfn.XLOOKUP(T475,RenewalPlans!B:B,RenewalPlans!AI:AI,"NA",0,1)</f>
        <v>NA</v>
      </c>
      <c r="U496" s="122"/>
      <c r="V496" s="122"/>
      <c r="W496" s="122"/>
      <c r="X496" s="130"/>
      <c r="Y496" s="122"/>
      <c r="Z496" s="123"/>
    </row>
    <row r="497" spans="1:26" ht="18" customHeight="1" hidden="1">
      <c r="A497" s="140"/>
      <c r="B497" s="140"/>
      <c r="D497" s="198" t="s">
        <v>268</v>
      </c>
      <c r="E497" s="130" t="str">
        <f>_xlfn.XLOOKUP(E475,CurrentPlans!B:B,CurrentPlans!AH:AH,"NA",0,1)</f>
        <v>NA</v>
      </c>
      <c r="F497" s="200"/>
      <c r="G497" s="200"/>
      <c r="H497" s="200"/>
      <c r="I497" s="130"/>
      <c r="J497" s="201"/>
      <c r="K497"/>
      <c r="L497" s="131" t="str">
        <f ca="1">_xlfn.XLOOKUP(L475,RenewalPlans!B:B,RenewalPlans!AK:AK,"NA",0,1)</f>
        <v>NA</v>
      </c>
      <c r="M497" s="200"/>
      <c r="N497" s="200"/>
      <c r="O497" s="200"/>
      <c r="P497" s="130"/>
      <c r="Q497" s="200"/>
      <c r="R497" s="201"/>
      <c r="T497" s="131" t="str">
        <f>_xlfn.XLOOKUP(T475,RenewalPlans!B:B,RenewalPlans!AK:AK,"NA",0,1)</f>
        <v>NA</v>
      </c>
      <c r="U497" s="200"/>
      <c r="V497" s="200"/>
      <c r="W497" s="200"/>
      <c r="X497" s="130"/>
      <c r="Y497" s="200"/>
      <c r="Z497" s="201"/>
    </row>
    <row r="498" spans="1:26" ht="18" customHeight="1" hidden="1">
      <c r="A498" s="140"/>
      <c r="B498" s="140"/>
      <c r="D498" s="198" t="s">
        <v>269</v>
      </c>
      <c r="E498" s="130" t="str">
        <f>_xlfn.XLOOKUP(E475,CurrentPlans!B:B,CurrentPlans!AG:AG,"NA",0,1)</f>
        <v>NA</v>
      </c>
      <c r="F498" s="200"/>
      <c r="G498" s="200"/>
      <c r="H498" s="200"/>
      <c r="I498" s="130"/>
      <c r="J498" s="201"/>
      <c r="K498"/>
      <c r="L498" s="131" t="str">
        <f ca="1">_xlfn.XLOOKUP(L475,RenewalPlans!B:B,RenewalPlans!AJ:AJ,"NA",0,1)</f>
        <v>NA</v>
      </c>
      <c r="M498" s="200"/>
      <c r="N498" s="200"/>
      <c r="O498" s="200"/>
      <c r="P498" s="130"/>
      <c r="Q498" s="200"/>
      <c r="R498" s="201"/>
      <c r="T498" s="131" t="str">
        <f>_xlfn.XLOOKUP(T475,RenewalPlans!B:B,RenewalPlans!AJ:AJ,"NA",0,1)</f>
        <v>NA</v>
      </c>
      <c r="U498" s="200"/>
      <c r="V498" s="200"/>
      <c r="W498" s="200"/>
      <c r="X498" s="130"/>
      <c r="Y498" s="200"/>
      <c r="Z498" s="201"/>
    </row>
    <row r="499" spans="1:26" ht="18" customHeight="1" hidden="1">
      <c r="A499" s="140"/>
      <c r="B499" s="140"/>
      <c r="D499" s="213" t="s">
        <v>270</v>
      </c>
      <c r="E499" s="216" t="str">
        <f>_xlfn.XLOOKUP(E475,CurrentPlans!B:B,CurrentPlans!AU:AU,"NA",0,1)</f>
        <v>NA</v>
      </c>
      <c r="F499" s="214"/>
      <c r="G499" s="214"/>
      <c r="H499" s="214"/>
      <c r="I499" s="217"/>
      <c r="J499" s="215"/>
      <c r="K499"/>
      <c r="L499" s="218" t="str">
        <f ca="1">_xlfn.XLOOKUP(L475,RenewalPlans!B:B,RenewalPlans!AX:AX,"NA",0,1)</f>
        <v>NA</v>
      </c>
      <c r="M499" s="214"/>
      <c r="N499" s="214"/>
      <c r="O499" s="214"/>
      <c r="P499" s="217"/>
      <c r="Q499" s="214"/>
      <c r="R499" s="215"/>
      <c r="T499" s="218" t="str">
        <f>_xlfn.XLOOKUP(T475,RenewalPlans!B:B,RenewalPlans!AX:AX,"NA",0,1)</f>
        <v>NA</v>
      </c>
      <c r="U499" s="214"/>
      <c r="V499" s="214"/>
      <c r="W499" s="214"/>
      <c r="X499" s="217"/>
      <c r="Y499" s="214"/>
      <c r="Z499" s="215"/>
    </row>
    <row r="500" spans="1:26" ht="18" customHeight="1" hidden="1">
      <c r="A500" s="140"/>
      <c r="B500" s="140"/>
      <c r="D500" s="213" t="s">
        <v>271</v>
      </c>
      <c r="E500" s="216" t="str">
        <f>_xlfn.XLOOKUP(E475,CurrentPlans!B:B,CurrentPlans!AT:AT,"NA",0,1)</f>
        <v>NA</v>
      </c>
      <c r="F500" s="214"/>
      <c r="G500" s="214"/>
      <c r="H500" s="214"/>
      <c r="I500" s="217"/>
      <c r="J500" s="215"/>
      <c r="K500"/>
      <c r="L500" s="218" t="str">
        <f ca="1">_xlfn.XLOOKUP(L475,RenewalPlans!B:B,RenewalPlans!AW:AW,"NA",0,1)</f>
        <v>NA</v>
      </c>
      <c r="M500" s="214"/>
      <c r="N500" s="214"/>
      <c r="O500" s="214"/>
      <c r="P500" s="217"/>
      <c r="Q500" s="214"/>
      <c r="R500" s="215"/>
      <c r="T500" s="218" t="str">
        <f>_xlfn.XLOOKUP(T475,RenewalPlans!B:B,RenewalPlans!AW:AW,"NA",0,1)</f>
        <v>NA</v>
      </c>
      <c r="U500" s="214"/>
      <c r="V500" s="214"/>
      <c r="W500" s="214"/>
      <c r="X500" s="217"/>
      <c r="Y500" s="214"/>
      <c r="Z500" s="215"/>
    </row>
    <row r="501" spans="1:26" ht="18" customHeight="1" hidden="1">
      <c r="A501" s="140"/>
      <c r="B501" s="140"/>
      <c r="D501" s="198" t="s">
        <v>272</v>
      </c>
      <c r="E501" s="130" t="str">
        <f>_xlfn.XLOOKUP(E475,CurrentPlans!B:B,CurrentPlans!AD:AD,"NA",0,1)</f>
        <v>NA</v>
      </c>
      <c r="F501" s="200"/>
      <c r="G501" s="200"/>
      <c r="H501" s="200"/>
      <c r="I501" s="130"/>
      <c r="J501" s="201"/>
      <c r="K501"/>
      <c r="L501" s="131" t="str">
        <f ca="1">_xlfn.XLOOKUP(L475,RenewalPlans!B:B,RenewalPlans!AG:AG,"NA",0,1)</f>
        <v>NA</v>
      </c>
      <c r="M501" s="200"/>
      <c r="N501" s="200"/>
      <c r="O501" s="200"/>
      <c r="P501" s="130"/>
      <c r="Q501" s="200"/>
      <c r="R501" s="201"/>
      <c r="T501" s="131" t="str">
        <f>_xlfn.XLOOKUP(T475,RenewalPlans!B:B,RenewalPlans!AG:AG,"NA",0,1)</f>
        <v>NA</v>
      </c>
      <c r="U501" s="200"/>
      <c r="V501" s="200"/>
      <c r="W501" s="200"/>
      <c r="X501" s="130"/>
      <c r="Y501" s="200"/>
      <c r="Z501" s="201"/>
    </row>
    <row r="502" spans="1:26" ht="18" customHeight="1" hidden="1">
      <c r="A502" s="140"/>
      <c r="B502" s="140"/>
      <c r="D502" s="198" t="s">
        <v>273</v>
      </c>
      <c r="E502" s="200"/>
      <c r="F502" s="200"/>
      <c r="G502" s="200"/>
      <c r="H502" s="200"/>
      <c r="I502" s="200"/>
      <c r="J502" s="201"/>
      <c r="K502"/>
      <c r="L502" s="198"/>
      <c r="M502" s="200"/>
      <c r="N502" s="200"/>
      <c r="O502" s="200"/>
      <c r="P502" s="200"/>
      <c r="Q502" s="200"/>
      <c r="R502" s="201"/>
      <c r="T502" s="198"/>
      <c r="U502" s="200"/>
      <c r="V502" s="200"/>
      <c r="W502" s="200"/>
      <c r="X502" s="200"/>
      <c r="Y502" s="200"/>
      <c r="Z502" s="201"/>
    </row>
    <row r="503" spans="1:26" ht="18" customHeight="1" hidden="1">
      <c r="A503" s="140"/>
      <c r="B503" s="140"/>
      <c r="D503" s="210"/>
      <c r="E503" s="211"/>
      <c r="F503" s="211"/>
      <c r="G503" s="211"/>
      <c r="H503" s="211"/>
      <c r="I503" s="211"/>
      <c r="J503" s="212"/>
      <c r="K503"/>
      <c r="L503" s="210"/>
      <c r="M503" s="211"/>
      <c r="N503" s="211"/>
      <c r="O503" s="211"/>
      <c r="P503" s="211"/>
      <c r="Q503" s="211"/>
      <c r="R503" s="212"/>
      <c r="T503" s="210"/>
      <c r="U503" s="211"/>
      <c r="V503" s="211"/>
      <c r="W503" s="211"/>
      <c r="X503" s="211"/>
      <c r="Y503" s="211"/>
      <c r="Z503" s="212"/>
    </row>
    <row r="504" spans="1:26" ht="18" customHeight="1" hidden="1">
      <c r="A504" s="140"/>
      <c r="B504" s="140"/>
      <c r="D504" s="219" t="s">
        <v>274</v>
      </c>
      <c r="E504" s="220"/>
      <c r="F504" s="220"/>
      <c r="G504" s="220"/>
      <c r="H504" s="220"/>
      <c r="I504" s="220"/>
      <c r="J504" s="221"/>
      <c r="K504"/>
      <c r="L504" s="222"/>
      <c r="M504" s="220"/>
      <c r="N504" s="220"/>
      <c r="O504" s="220"/>
      <c r="P504" s="220"/>
      <c r="Q504" s="220"/>
      <c r="R504" s="221"/>
      <c r="T504" s="222"/>
      <c r="U504" s="220"/>
      <c r="V504" s="220"/>
      <c r="W504" s="220"/>
      <c r="X504" s="220"/>
      <c r="Y504" s="220"/>
      <c r="Z504" s="221"/>
    </row>
    <row r="505" spans="1:26" ht="18" customHeight="1" hidden="1">
      <c r="A505" s="140"/>
      <c r="B505" s="140"/>
      <c r="D505" s="223" t="s">
        <v>250</v>
      </c>
      <c r="E505" s="205"/>
      <c r="F505" s="205"/>
      <c r="G505" s="205"/>
      <c r="H505" s="205"/>
      <c r="I505" s="205"/>
      <c r="J505" s="206"/>
      <c r="K505"/>
      <c r="L505" s="203"/>
      <c r="M505" s="205"/>
      <c r="N505" s="205"/>
      <c r="O505" s="205"/>
      <c r="P505" s="205"/>
      <c r="Q505" s="205"/>
      <c r="R505" s="206"/>
      <c r="T505" s="203"/>
      <c r="U505" s="205"/>
      <c r="V505" s="205"/>
      <c r="W505" s="205"/>
      <c r="X505" s="205"/>
      <c r="Y505" s="205"/>
      <c r="Z505" s="206"/>
    </row>
    <row r="506" spans="1:26" ht="18" customHeight="1" hidden="1">
      <c r="A506" s="140"/>
      <c r="B506" s="140"/>
      <c r="D506" s="198" t="s">
        <v>251</v>
      </c>
      <c r="E506" s="130" t="str">
        <f>_xlfn.XLOOKUP(E475,CurrentPlans!B:B,CurrentPlans!AP:AP,"NA",0,1)</f>
        <v>NA</v>
      </c>
      <c r="F506" s="200"/>
      <c r="G506" s="200"/>
      <c r="H506" s="200"/>
      <c r="I506" s="130"/>
      <c r="J506" s="201"/>
      <c r="K506"/>
      <c r="L506" s="131" t="str">
        <f ca="1">_xlfn.XLOOKUP(L475,RenewalPlans!B:B,RenewalPlans!AS:AS,"NA",0,1)</f>
        <v>NA</v>
      </c>
      <c r="M506" s="200"/>
      <c r="N506" s="200"/>
      <c r="O506" s="200"/>
      <c r="P506" s="130"/>
      <c r="Q506" s="200"/>
      <c r="R506" s="201"/>
      <c r="T506" s="131" t="str">
        <f>_xlfn.XLOOKUP(T475,RenewalPlans!B:B,RenewalPlans!AS:AS,"NA",0,1)</f>
        <v>NA</v>
      </c>
      <c r="U506" s="200"/>
      <c r="V506" s="200"/>
      <c r="W506" s="200"/>
      <c r="X506" s="130"/>
      <c r="Y506" s="200"/>
      <c r="Z506" s="201"/>
    </row>
    <row r="507" spans="1:26" ht="18" customHeight="1" hidden="1">
      <c r="A507" s="140"/>
      <c r="B507" s="140"/>
      <c r="D507" s="198" t="s">
        <v>252</v>
      </c>
      <c r="E507" s="130" t="str">
        <f>_xlfn.XLOOKUP(E475,CurrentPlans!B:B,CurrentPlans!AQ:AQ,"NA",0,1)</f>
        <v>NA</v>
      </c>
      <c r="F507" s="200"/>
      <c r="G507" s="200"/>
      <c r="H507" s="200"/>
      <c r="I507" s="130"/>
      <c r="J507" s="201"/>
      <c r="K507"/>
      <c r="L507" s="131" t="str">
        <f ca="1">_xlfn.XLOOKUP(L475,RenewalPlans!B:B,RenewalPlans!AT:AT,"NA",0,1)</f>
        <v>NA</v>
      </c>
      <c r="M507" s="200"/>
      <c r="N507" s="200"/>
      <c r="O507" s="200"/>
      <c r="P507" s="130"/>
      <c r="Q507" s="200"/>
      <c r="R507" s="201"/>
      <c r="T507" s="131" t="str">
        <f>_xlfn.XLOOKUP(T475,RenewalPlans!B:B,RenewalPlans!AT:AT,"NA",0,1)</f>
        <v>NA</v>
      </c>
      <c r="U507" s="200"/>
      <c r="V507" s="200"/>
      <c r="W507" s="200"/>
      <c r="X507" s="130"/>
      <c r="Y507" s="200"/>
      <c r="Z507" s="201"/>
    </row>
    <row r="508" spans="1:26" ht="18" customHeight="1" hidden="1">
      <c r="A508" s="140"/>
      <c r="B508" s="140"/>
      <c r="D508" s="120" t="s">
        <v>253</v>
      </c>
      <c r="E508" s="133" t="str">
        <f>_xlfn.XLOOKUP(E475,CurrentPlans!B:B,CurrentPlans!AO:AO,"NA",0,1)</f>
        <v>NA</v>
      </c>
      <c r="F508" s="122"/>
      <c r="G508" s="122"/>
      <c r="H508" s="122"/>
      <c r="I508" s="133"/>
      <c r="J508" s="123"/>
      <c r="K508"/>
      <c r="L508" s="136" t="str">
        <f ca="1">_xlfn.XLOOKUP(L475,RenewalPlans!B:B,RenewalPlans!AR:AR,"NA",0,1)</f>
        <v>NA</v>
      </c>
      <c r="M508" s="122"/>
      <c r="N508" s="122"/>
      <c r="O508" s="122"/>
      <c r="P508" s="133"/>
      <c r="Q508" s="122"/>
      <c r="R508" s="123"/>
      <c r="T508" s="136" t="str">
        <f>_xlfn.XLOOKUP(T475,RenewalPlans!B:B,RenewalPlans!AR:AR,"NA",0,1)</f>
        <v>NA</v>
      </c>
      <c r="U508" s="122"/>
      <c r="V508" s="122"/>
      <c r="W508" s="122"/>
      <c r="X508" s="133"/>
      <c r="Y508" s="122"/>
      <c r="Z508" s="123"/>
    </row>
    <row r="509" spans="1:26" ht="18" customHeight="1" hidden="1">
      <c r="A509" s="140"/>
      <c r="B509" s="140"/>
      <c r="D509" s="223" t="s">
        <v>254</v>
      </c>
      <c r="E509" s="205"/>
      <c r="F509" s="205"/>
      <c r="G509" s="205"/>
      <c r="H509" s="205"/>
      <c r="I509" s="205"/>
      <c r="J509" s="206"/>
      <c r="K509"/>
      <c r="L509" s="203"/>
      <c r="M509" s="205"/>
      <c r="N509" s="205"/>
      <c r="O509" s="205"/>
      <c r="P509" s="205"/>
      <c r="Q509" s="205"/>
      <c r="R509" s="206"/>
      <c r="T509" s="203"/>
      <c r="U509" s="205"/>
      <c r="V509" s="205"/>
      <c r="W509" s="205"/>
      <c r="X509" s="205"/>
      <c r="Y509" s="205"/>
      <c r="Z509" s="206"/>
    </row>
    <row r="510" spans="1:26" ht="18" customHeight="1" hidden="1">
      <c r="A510" s="140"/>
      <c r="B510" s="140"/>
      <c r="D510" s="198" t="s">
        <v>255</v>
      </c>
      <c r="E510" s="130" t="str">
        <f>_xlfn.XLOOKUP(E475,CurrentPlans!B:B,CurrentPlans!AR:AR,"NA",0,1)</f>
        <v>NA</v>
      </c>
      <c r="F510" s="200"/>
      <c r="G510" s="200"/>
      <c r="H510" s="200"/>
      <c r="I510" s="130"/>
      <c r="J510" s="201"/>
      <c r="K510"/>
      <c r="L510" s="131" t="str">
        <f ca="1">_xlfn.XLOOKUP(L475,RenewalPlans!B:B,RenewalPlans!AU:AU,"NA",0,1)</f>
        <v>NA</v>
      </c>
      <c r="M510" s="200"/>
      <c r="N510" s="200"/>
      <c r="O510" s="200"/>
      <c r="P510" s="130"/>
      <c r="Q510" s="200"/>
      <c r="R510" s="201"/>
      <c r="T510" s="131" t="str">
        <f>_xlfn.XLOOKUP(T475,RenewalPlans!B:B,RenewalPlans!AU:AU,"NA",0,1)</f>
        <v>NA</v>
      </c>
      <c r="U510" s="200"/>
      <c r="V510" s="200"/>
      <c r="W510" s="200"/>
      <c r="X510" s="130"/>
      <c r="Y510" s="200"/>
      <c r="Z510" s="201"/>
    </row>
    <row r="511" spans="1:26" ht="18" customHeight="1" hidden="1" thickBot="1">
      <c r="A511" s="140"/>
      <c r="B511" s="140"/>
      <c r="D511" s="224" t="s">
        <v>256</v>
      </c>
      <c r="E511" s="137" t="str">
        <f>_xlfn.XLOOKUP(E475,CurrentPlans!B:B,CurrentPlans!AS:AS,"NA",0,1)</f>
        <v>NA</v>
      </c>
      <c r="F511" s="225"/>
      <c r="G511" s="225"/>
      <c r="H511" s="225"/>
      <c r="I511" s="137"/>
      <c r="J511" s="226"/>
      <c r="K511"/>
      <c r="L511" s="138" t="str">
        <f ca="1">_xlfn.XLOOKUP(L475,RenewalPlans!B:B,RenewalPlans!AV:AV,"NA",0,1)</f>
        <v>NA</v>
      </c>
      <c r="M511" s="225"/>
      <c r="N511" s="225"/>
      <c r="O511" s="225"/>
      <c r="P511" s="137"/>
      <c r="Q511" s="225"/>
      <c r="R511" s="226"/>
      <c r="T511" s="138" t="str">
        <f>_xlfn.XLOOKUP(T475,RenewalPlans!B:B,RenewalPlans!AV:AV,"NA",0,1)</f>
        <v>NA</v>
      </c>
      <c r="U511" s="225"/>
      <c r="V511" s="225"/>
      <c r="W511" s="225"/>
      <c r="X511" s="137"/>
      <c r="Y511" s="225"/>
      <c r="Z511" s="226"/>
    </row>
    <row r="512" spans="1:26" ht="18" customHeight="1">
      <c r="A512" s="140"/>
      <c r="B512" s="140"/>
      <c r="D512" s="227"/>
      <c r="E512" s="176"/>
      <c r="F512" s="178"/>
      <c r="G512" s="179"/>
      <c r="H512" s="178"/>
      <c r="I512" s="176"/>
      <c r="J512" s="228"/>
      <c r="K512"/>
      <c r="L512" s="178"/>
      <c r="M512" s="176"/>
      <c r="N512" s="139"/>
      <c r="O512" s="178"/>
      <c r="P512" s="178"/>
      <c r="Q512" s="178"/>
      <c r="R512" s="228"/>
      <c r="T512" s="178"/>
      <c r="U512" s="176"/>
      <c r="V512" s="139"/>
      <c r="W512" s="178"/>
      <c r="X512" s="178"/>
      <c r="Y512" s="178"/>
      <c r="Z512" s="228"/>
    </row>
    <row r="513" spans="1:26" ht="5.25" customHeight="1" thickBot="1">
      <c r="A513" s="140"/>
      <c r="B513" s="140"/>
      <c r="D513" s="229"/>
      <c r="E513" s="229"/>
      <c r="F513" s="230"/>
      <c r="G513" s="231"/>
      <c r="H513" s="232"/>
      <c r="I513" s="233"/>
      <c r="J513" s="233"/>
      <c r="K513"/>
      <c r="L513" s="233"/>
      <c r="M513" s="233"/>
      <c r="N513" s="233"/>
      <c r="O513" s="233"/>
      <c r="P513" s="233"/>
      <c r="Q513" s="233"/>
      <c r="R513" s="233"/>
      <c r="T513" s="233"/>
      <c r="U513" s="233"/>
      <c r="V513" s="233"/>
      <c r="W513" s="233"/>
      <c r="X513" s="233"/>
      <c r="Y513" s="233"/>
      <c r="Z513" s="233"/>
    </row>
    <row r="514" spans="1:26" ht="50.15" customHeight="1">
      <c r="A514" s="140"/>
      <c r="B514" s="140"/>
      <c r="C514" s="164" t="s">
        <v>284</v>
      </c>
      <c r="D514" s="275" t="s">
        <v>285</v>
      </c>
      <c r="E514" s="165"/>
      <c r="F514" s="321"/>
      <c r="G514" s="166"/>
      <c r="H514" s="167"/>
      <c r="I514" s="168"/>
      <c r="J514" s="169"/>
      <c r="K514"/>
      <c r="L514" s="274" t="s">
        <v>38</v>
      </c>
      <c r="M514" s="170"/>
      <c r="N514" s="274" t="s">
        <v>237</v>
      </c>
      <c r="O514" s="171"/>
      <c r="P514" s="171"/>
      <c r="Q514" s="171"/>
      <c r="R514" s="169"/>
      <c r="T514" s="274" t="s">
        <v>38</v>
      </c>
      <c r="U514" s="170"/>
      <c r="V514" s="274" t="s">
        <v>237</v>
      </c>
      <c r="W514" s="171"/>
      <c r="X514" s="171"/>
      <c r="Y514" s="171"/>
      <c r="Z514" s="169"/>
    </row>
    <row r="515" spans="1:26" ht="18.75" customHeight="1">
      <c r="A515" s="140"/>
      <c r="B515" s="140"/>
      <c r="D515" s="172" t="s">
        <v>238</v>
      </c>
      <c r="E515" s="407"/>
      <c r="F515" s="449"/>
      <c r="G515" s="470"/>
      <c r="H515" s="449"/>
      <c r="I515" s="450"/>
      <c r="J515" s="410"/>
      <c r="K515" s="411"/>
      <c r="L515" s="408" t="str" cm="1">
        <f t="array" ca="1" aca="1" ref="L515">_xlfn.IFNA(VLOOKUP(INDIRECT("L"&amp;ROW()-1)&amp;"_"&amp;$D$12,BEGIN_RENEW_HEALTH:END_RENEW_HEALTH,RENEW_COL_EO,FALSE),"")</f>
        <v/>
      </c>
      <c r="M515" s="412" t="str">
        <f>IF(E515="","",E515)</f>
        <v/>
      </c>
      <c r="N515" s="413"/>
      <c r="O515" s="414"/>
      <c r="P515" s="415" t="str">
        <f>IFERROR(IF($N514="Keep Contribution Same",H515,IF($N514="Enter Percentages",IF(N515="","",N515*L515),IF($N514="Keep Percentage Same",IF(G515="","",G515*L515),IF($N514="Enter Dollar Amount",IF(O515="","",O515),"")))),"")</f>
        <v/>
      </c>
      <c r="Q515" s="408" t="str">
        <f ca="1">IFERROR(L515-P515,"")</f>
        <v/>
      </c>
      <c r="R515" s="410" t="str">
        <f>IFERROR(IF(P515="","",M515*P515),"")</f>
        <v/>
      </c>
      <c r="S515" s="411"/>
      <c r="T515" s="408" t="str" cm="1">
        <f t="array" ca="1" aca="1" ref="T515">_xlfn.IFNA(VLOOKUP(INDIRECT("T"&amp;ROW()-1)&amp;"_"&amp;$D$12,BEGIN_RENEW_HEALTH:END_RENEW_HEALTH,RENEW_COL_EO,FALSE),"")</f>
        <v/>
      </c>
      <c r="U515" s="412" t="str">
        <f>IF(E515="","",E515)</f>
        <v/>
      </c>
      <c r="V515" s="413"/>
      <c r="W515" s="414"/>
      <c r="X515" s="415" t="str">
        <f>IFERROR(IF($V514="Keep Contribution Same",H515,IF($V514="Enter Percentages",IF(V515="","",V515*T515),IF($V514="Keep Percentage Same",IF(G515="","",G515*T515),IF($V514="Enter Dollar Amount",IF(W515="","",W515),"")))),"")</f>
        <v/>
      </c>
      <c r="Y515" s="408" t="str">
        <f ca="1">IFERROR(T515-X515,"")</f>
        <v/>
      </c>
      <c r="Z515" s="410" t="str">
        <f>IFERROR(IF(X515="","",U515*X515),"")</f>
        <v/>
      </c>
    </row>
    <row r="516" spans="1:26" ht="18.75" customHeight="1">
      <c r="A516" s="140"/>
      <c r="B516" s="140"/>
      <c r="D516" s="172" t="s">
        <v>239</v>
      </c>
      <c r="E516" s="407"/>
      <c r="F516" s="449"/>
      <c r="G516" s="470"/>
      <c r="H516" s="449"/>
      <c r="I516" s="450"/>
      <c r="J516" s="410"/>
      <c r="K516" s="411"/>
      <c r="L516" s="408" t="str" cm="1">
        <f t="array" ca="1" aca="1" ref="L516">_xlfn.IFNA(VLOOKUP(INDIRECT("L"&amp;ROW()-2)&amp;"_"&amp;$D$12,BEGIN_RENEW_HEALTH:END_RENEW_HEALTH,RENEW_COL_ES,FALSE),"")</f>
        <v/>
      </c>
      <c r="M516" s="412" t="str">
        <f>IF(E516="","",E516)</f>
        <v/>
      </c>
      <c r="N516" s="413"/>
      <c r="O516" s="414"/>
      <c r="P516" s="415" t="str">
        <f>IFERROR(IF($N514="Keep Contribution Same",H516,IF($N514="Enter Percentages",IF(N516="","",N516*L516),IF($N514="Keep Percentage Same",IF(G516="","",G516*L516),IF($N514="Enter Dollar Amount",IF(O516="","",O516),"")))),"")</f>
        <v/>
      </c>
      <c r="Q516" s="408" t="str">
        <f ca="1" t="shared" si="50" ref="Q516:Q518">IFERROR(L516-P516,"")</f>
        <v/>
      </c>
      <c r="R516" s="410" t="str">
        <f>IFERROR(IF(P516="","",M516*P516),"")</f>
        <v/>
      </c>
      <c r="S516" s="411"/>
      <c r="T516" s="408" t="str" cm="1">
        <f t="array" ca="1" aca="1" ref="T516">_xlfn.IFNA(VLOOKUP(INDIRECT("T"&amp;ROW()-2)&amp;"_"&amp;$D$12,BEGIN_RENEW_HEALTH:END_RENEW_HEALTH,RENEW_COL_ES,FALSE),"")</f>
        <v/>
      </c>
      <c r="U516" s="412" t="str">
        <f t="shared" si="51" ref="U516:U518">IF(E516="","",E516)</f>
        <v/>
      </c>
      <c r="V516" s="413"/>
      <c r="W516" s="414"/>
      <c r="X516" s="415" t="str">
        <f>IFERROR(IF($V514="Keep Contribution Same",H516,IF($V514="Enter Percentages",IF(V516="","",V516*T516),IF($V514="Keep Percentage Same",IF(G516="","",G516*T516),IF($V514="Enter Dollar Amount",IF(W516="","",W516),"")))),"")</f>
        <v/>
      </c>
      <c r="Y516" s="408" t="str">
        <f ca="1" t="shared" si="52" ref="Y516:Y518">IFERROR(T516-X516,"")</f>
        <v/>
      </c>
      <c r="Z516" s="410" t="str">
        <f t="shared" si="53" ref="Z516:Z518">IFERROR(IF(X516="","",U516*X516),"")</f>
        <v/>
      </c>
    </row>
    <row r="517" spans="1:26" ht="18.75" customHeight="1">
      <c r="A517" s="140"/>
      <c r="B517" s="140"/>
      <c r="D517" s="172" t="s">
        <v>240</v>
      </c>
      <c r="E517" s="407"/>
      <c r="F517" s="449"/>
      <c r="G517" s="470"/>
      <c r="H517" s="449"/>
      <c r="I517" s="450"/>
      <c r="J517" s="410"/>
      <c r="K517" s="411"/>
      <c r="L517" s="408" t="str" cm="1">
        <f t="array" ca="1" aca="1" ref="L517">_xlfn.IFNA(VLOOKUP(INDIRECT("L"&amp;ROW()-3)&amp;"_"&amp;$D$12,BEGIN_RENEW_HEALTH:END_RENEW_HEALTH,RENEW_COL_EC,FALSE),"")</f>
        <v/>
      </c>
      <c r="M517" s="412" t="str">
        <f>IF(E517="","",E517)</f>
        <v/>
      </c>
      <c r="N517" s="413"/>
      <c r="O517" s="414"/>
      <c r="P517" s="415" t="str">
        <f>IFERROR(IF($N514="Keep Contribution Same",H517,IF($N514="Enter Percentages",IF(N517="","",N517*L517),IF($N514="Keep Percentage Same",IF(G517="","",G517*L517),IF($N514="Enter Dollar Amount",IF(O517="","",O517),"")))),"")</f>
        <v/>
      </c>
      <c r="Q517" s="408" t="str">
        <f t="shared" ca="1" si="50"/>
        <v/>
      </c>
      <c r="R517" s="410" t="str">
        <f>IFERROR(IF(P517="","",M517*P517),"")</f>
        <v/>
      </c>
      <c r="S517" s="411"/>
      <c r="T517" s="408" t="str" cm="1">
        <f t="array" ca="1" aca="1" ref="T517">_xlfn.IFNA(VLOOKUP(INDIRECT("T"&amp;ROW()-3)&amp;"_"&amp;$D$12,BEGIN_RENEW_HEALTH:END_RENEW_HEALTH,RENEW_COL_EC,FALSE),"")</f>
        <v/>
      </c>
      <c r="U517" s="412" t="str">
        <f t="shared" si="51"/>
        <v/>
      </c>
      <c r="V517" s="413"/>
      <c r="W517" s="414"/>
      <c r="X517" s="415" t="str">
        <f>IFERROR(IF($V514="Keep Contribution Same",H517,IF($V514="Enter Percentages",IF(V517="","",V517*T517),IF($V514="Keep Percentage Same",IF(G517="","",G517*T517),IF($V514="Enter Dollar Amount",IF(W517="","",W517),"")))),"")</f>
        <v/>
      </c>
      <c r="Y517" s="408" t="str">
        <f t="shared" ca="1" si="52"/>
        <v/>
      </c>
      <c r="Z517" s="410" t="str">
        <f t="shared" si="53"/>
        <v/>
      </c>
    </row>
    <row r="518" spans="1:26" ht="18.75" customHeight="1" thickBot="1">
      <c r="A518" s="140"/>
      <c r="B518" s="140"/>
      <c r="D518" s="174" t="s">
        <v>241</v>
      </c>
      <c r="E518" s="416"/>
      <c r="F518" s="451"/>
      <c r="G518" s="471"/>
      <c r="H518" s="451"/>
      <c r="I518" s="452"/>
      <c r="J518" s="419"/>
      <c r="K518" s="411"/>
      <c r="L518" s="417" t="str" cm="1">
        <f t="array" ca="1" aca="1" ref="L518">_xlfn.IFNA(VLOOKUP(INDIRECT("L"&amp;ROW()-4)&amp;"_"&amp;$D$12,BEGIN_RENEW_HEALTH:END_RENEW_HEALTH,RENEW_COL_FAM,FALSE),"")</f>
        <v/>
      </c>
      <c r="M518" s="423" t="str">
        <f>IF(E518="","",E518)</f>
        <v/>
      </c>
      <c r="N518" s="420"/>
      <c r="O518" s="421"/>
      <c r="P518" s="422" t="str">
        <f>IFERROR(IF($N514="Keep Contribution Same",H518,IF($N514="Enter Percentages",IF(N518="","",N518*L518),IF($N514="Keep Percentage Same",IF(G518="","",G518*L518),IF($N514="Enter Dollar Amount",IF(O518="","",O518),"")))),"")</f>
        <v/>
      </c>
      <c r="Q518" s="417" t="str">
        <f t="shared" ca="1" si="50"/>
        <v/>
      </c>
      <c r="R518" s="419" t="str">
        <f>IFERROR(IF(P518="","",M518*P518),"")</f>
        <v/>
      </c>
      <c r="S518" s="411"/>
      <c r="T518" s="417" t="str" cm="1">
        <f t="array" ca="1" aca="1" ref="T518">_xlfn.IFNA(VLOOKUP(INDIRECT("T"&amp;ROW()-4)&amp;"_"&amp;$D$12,BEGIN_RENEW_HEALTH:END_RENEW_HEALTH,RENEW_COL_FAM,FALSE),"")</f>
        <v/>
      </c>
      <c r="U518" s="423" t="str">
        <f t="shared" si="51"/>
        <v/>
      </c>
      <c r="V518" s="420"/>
      <c r="W518" s="421"/>
      <c r="X518" s="422" t="str">
        <f>IFERROR(IF($V514="Keep Contribution Same",H518,IF($V514="Enter Percentages",IF(V518="","",V518*T518),IF($V514="Keep Percentage Same",IF(G518="","",G518*T518),IF($V514="Enter Dollar Amount",IF(W518="","",W518),"")))),"")</f>
        <v/>
      </c>
      <c r="Y518" s="417" t="str">
        <f t="shared" ca="1" si="52"/>
        <v/>
      </c>
      <c r="Z518" s="419" t="str">
        <f t="shared" si="53"/>
        <v/>
      </c>
    </row>
    <row r="519" spans="1:26" ht="18.75" customHeight="1" thickTop="1">
      <c r="A519" s="140"/>
      <c r="B519" s="140"/>
      <c r="D519" s="175" t="s">
        <v>329</v>
      </c>
      <c r="E519" s="424"/>
      <c r="F519" s="447">
        <f>IFERROR((F515*E515)+(F516*E516)+(F517*E517)+(F518*E518),"")</f>
        <v>0</v>
      </c>
      <c r="G519" s="426"/>
      <c r="H519" s="427"/>
      <c r="I519" s="428"/>
      <c r="J519" s="429" t="str">
        <f>IFERROR(IF(J515="","",SUM(J515:J518)),0)</f>
        <v/>
      </c>
      <c r="K519" s="1"/>
      <c r="L519" s="430" t="str">
        <f ca="1">IFERROR((M515*L515)+(M516*L516)+(M517*L517)+(M518*L518),"")</f>
        <v/>
      </c>
      <c r="M519" s="427"/>
      <c r="N519" s="426"/>
      <c r="O519" s="427"/>
      <c r="P519" s="431"/>
      <c r="Q519" s="432"/>
      <c r="R519" s="429" t="str">
        <f>IFERROR(IF(R515="","",SUM(R515:R518)),0)</f>
        <v/>
      </c>
      <c r="T519" s="430" t="str">
        <f ca="1">IFERROR((U515*T515)+(U516*T516)+(U517*T517)+(U518*T518),"")</f>
        <v/>
      </c>
      <c r="U519" s="427"/>
      <c r="V519" s="426"/>
      <c r="W519" s="427"/>
      <c r="X519" s="431"/>
      <c r="Y519" s="432"/>
      <c r="Z519" s="429" t="str">
        <f>IFERROR(IF(Z515="","",SUM(Z515:Z518)),0)</f>
        <v/>
      </c>
    </row>
    <row r="520" spans="1:26" ht="18.75" customHeight="1">
      <c r="A520" s="140"/>
      <c r="B520" s="140"/>
      <c r="D520" s="177" t="s">
        <v>243</v>
      </c>
      <c r="E520" s="433"/>
      <c r="F520" s="448">
        <f>IFERROR(F519*12,"")</f>
        <v>0</v>
      </c>
      <c r="G520" s="435"/>
      <c r="H520" s="436"/>
      <c r="I520" s="432"/>
      <c r="J520" s="437" t="str">
        <f>IF(J519="","",J519*12)</f>
        <v/>
      </c>
      <c r="K520" s="1"/>
      <c r="L520" s="438" t="str">
        <f ca="1">IFERROR(L519*12,"")</f>
        <v/>
      </c>
      <c r="M520" s="436"/>
      <c r="N520" s="435"/>
      <c r="O520" s="436"/>
      <c r="P520" s="432"/>
      <c r="Q520" s="432"/>
      <c r="R520" s="437" t="str">
        <f>IF(R519="","",R519*12)</f>
        <v/>
      </c>
      <c r="T520" s="438" t="str">
        <f ca="1">IFERROR(T519*12,"")</f>
        <v/>
      </c>
      <c r="U520" s="436"/>
      <c r="V520" s="435"/>
      <c r="W520" s="436"/>
      <c r="X520" s="432"/>
      <c r="Y520" s="432"/>
      <c r="Z520" s="437" t="str">
        <f>IF(Z519="","",Z519*12)</f>
        <v/>
      </c>
    </row>
    <row r="521" spans="1:26" ht="18" customHeight="1">
      <c r="A521" s="140"/>
      <c r="B521" s="140"/>
      <c r="D521" s="177" t="s">
        <v>244</v>
      </c>
      <c r="E521" s="433"/>
      <c r="F521" s="436"/>
      <c r="G521" s="435"/>
      <c r="H521" s="436"/>
      <c r="I521" s="432"/>
      <c r="J521" s="437" t="str">
        <f>IFERROR(IF(J520="","",R520-J520),0)</f>
        <v/>
      </c>
      <c r="K521" s="1"/>
      <c r="L521" s="434" t="str">
        <f ca="1">IFERROR(L520-F520,"")</f>
        <v/>
      </c>
      <c r="M521" s="436"/>
      <c r="N521" s="435"/>
      <c r="O521" s="436"/>
      <c r="P521" s="432"/>
      <c r="Q521" s="432"/>
      <c r="R521" s="437" t="str">
        <f>IFERROR(IF(J520="","",R520-J520),0)</f>
        <v/>
      </c>
      <c r="T521" s="434" t="str">
        <f ca="1">IFERROR(T520-F520,"")</f>
        <v/>
      </c>
      <c r="U521" s="436"/>
      <c r="V521" s="435"/>
      <c r="W521" s="436"/>
      <c r="X521" s="432"/>
      <c r="Y521" s="432"/>
      <c r="Z521" s="437" t="str">
        <f>IFERROR(IF(R520="","",Z520-R520),0)</f>
        <v/>
      </c>
    </row>
    <row r="522" spans="1:26" ht="18" customHeight="1" thickBot="1">
      <c r="A522" s="140"/>
      <c r="B522" s="140"/>
      <c r="D522" s="180" t="s">
        <v>245</v>
      </c>
      <c r="E522" s="439"/>
      <c r="F522" s="440"/>
      <c r="G522" s="441"/>
      <c r="H522" s="440"/>
      <c r="I522" s="442"/>
      <c r="J522" s="443" t="str">
        <f>IFERROR(IF(J520="","",(R520/J520)-1),0)</f>
        <v/>
      </c>
      <c r="K522" s="1"/>
      <c r="L522" s="444" t="str">
        <f ca="1">IFERROR(L520/F520-1,"")</f>
        <v/>
      </c>
      <c r="M522" s="440"/>
      <c r="N522" s="441"/>
      <c r="O522" s="440"/>
      <c r="P522" s="445"/>
      <c r="Q522" s="445"/>
      <c r="R522" s="446" t="str">
        <f>IFERROR(IF(J520="","",(R520/J520)-1),0)</f>
        <v/>
      </c>
      <c r="T522" s="444" t="str">
        <f ca="1">IFERROR(T520/F520-1,"")</f>
        <v/>
      </c>
      <c r="U522" s="440"/>
      <c r="V522" s="441"/>
      <c r="W522" s="440"/>
      <c r="X522" s="445"/>
      <c r="Y522" s="445"/>
      <c r="Z522" s="446" t="str">
        <f>IFERROR(IF(R520="","",(Z520/R520)-1),0)</f>
        <v/>
      </c>
    </row>
    <row r="523" spans="1:26" ht="18" customHeight="1">
      <c r="A523" s="140"/>
      <c r="B523" s="140"/>
      <c r="D523" s="181" t="s">
        <v>246</v>
      </c>
      <c r="E523" s="182"/>
      <c r="F523" s="182"/>
      <c r="G523" s="182"/>
      <c r="H523" s="182"/>
      <c r="I523" s="182"/>
      <c r="J523" s="183"/>
      <c r="K523"/>
      <c r="L523" s="184"/>
      <c r="M523" s="182"/>
      <c r="N523" s="182"/>
      <c r="O523" s="182"/>
      <c r="P523" s="182"/>
      <c r="Q523" s="182"/>
      <c r="R523" s="183"/>
      <c r="T523" s="184"/>
      <c r="U523" s="182"/>
      <c r="V523" s="182"/>
      <c r="W523" s="182"/>
      <c r="X523" s="182"/>
      <c r="Y523" s="182"/>
      <c r="Z523" s="183"/>
    </row>
    <row r="524" spans="1:26" ht="18" customHeight="1" hidden="1">
      <c r="A524" s="140"/>
      <c r="B524" s="140"/>
      <c r="D524" s="185" t="s">
        <v>247</v>
      </c>
      <c r="E524" s="186"/>
      <c r="F524" s="186"/>
      <c r="G524" s="186"/>
      <c r="H524" s="186"/>
      <c r="I524" s="186"/>
      <c r="J524" s="187"/>
      <c r="K524"/>
      <c r="L524" s="188"/>
      <c r="M524" s="186"/>
      <c r="N524" s="186"/>
      <c r="O524" s="186"/>
      <c r="P524" s="186"/>
      <c r="Q524" s="186"/>
      <c r="R524" s="187"/>
      <c r="T524" s="188"/>
      <c r="U524" s="186"/>
      <c r="V524" s="186"/>
      <c r="W524" s="186"/>
      <c r="X524" s="186"/>
      <c r="Y524" s="186"/>
      <c r="Z524" s="187"/>
    </row>
    <row r="525" spans="1:26" ht="18" customHeight="1" hidden="1">
      <c r="A525" s="140"/>
      <c r="B525" s="140"/>
      <c r="D525" s="189" t="s">
        <v>248</v>
      </c>
      <c r="E525" s="190" t="str">
        <f>D514&amp;"_"&amp;D12</f>
        <v>NEW PLAN_</v>
      </c>
      <c r="F525" s="191"/>
      <c r="G525" s="191"/>
      <c r="H525" s="191"/>
      <c r="I525" s="190"/>
      <c r="J525" s="192"/>
      <c r="K525"/>
      <c r="L525" s="193" t="str">
        <f>L514&amp;"_"&amp;D12</f>
        <v>SELECT PLAN_</v>
      </c>
      <c r="M525" s="191"/>
      <c r="N525" s="191"/>
      <c r="O525" s="191"/>
      <c r="P525" s="190"/>
      <c r="Q525" s="191"/>
      <c r="R525" s="192"/>
      <c r="T525" s="193" t="str">
        <f>T514&amp;"_"&amp;D12</f>
        <v>SELECT PLAN_</v>
      </c>
      <c r="U525" s="191"/>
      <c r="V525" s="191"/>
      <c r="W525" s="191"/>
      <c r="X525" s="190"/>
      <c r="Y525" s="191"/>
      <c r="Z525" s="192"/>
    </row>
    <row r="526" spans="1:26" ht="18" customHeight="1" hidden="1">
      <c r="A526" s="140"/>
      <c r="B526" s="140"/>
      <c r="D526" s="189" t="s">
        <v>249</v>
      </c>
      <c r="E526" s="191"/>
      <c r="F526" s="191"/>
      <c r="G526" s="191"/>
      <c r="H526" s="191"/>
      <c r="I526" s="191"/>
      <c r="J526" s="192"/>
      <c r="K526"/>
      <c r="L526" s="189"/>
      <c r="M526" s="191"/>
      <c r="N526" s="191"/>
      <c r="O526" s="191"/>
      <c r="P526" s="191"/>
      <c r="Q526" s="191"/>
      <c r="R526" s="192"/>
      <c r="T526" s="189"/>
      <c r="U526" s="191"/>
      <c r="V526" s="191"/>
      <c r="W526" s="191"/>
      <c r="X526" s="191"/>
      <c r="Y526" s="191"/>
      <c r="Z526" s="192"/>
    </row>
    <row r="527" spans="1:26" ht="18" customHeight="1" hidden="1">
      <c r="A527" s="140"/>
      <c r="B527" s="140"/>
      <c r="D527" s="194" t="s">
        <v>250</v>
      </c>
      <c r="E527" s="195"/>
      <c r="F527" s="195"/>
      <c r="G527" s="195"/>
      <c r="H527" s="195"/>
      <c r="I527" s="195"/>
      <c r="J527" s="196"/>
      <c r="K527"/>
      <c r="L527" s="197"/>
      <c r="M527" s="195"/>
      <c r="N527" s="195"/>
      <c r="O527" s="195"/>
      <c r="P527" s="195"/>
      <c r="Q527" s="195"/>
      <c r="R527" s="196"/>
      <c r="T527" s="197"/>
      <c r="U527" s="195"/>
      <c r="V527" s="195"/>
      <c r="W527" s="195"/>
      <c r="X527" s="195"/>
      <c r="Y527" s="195"/>
      <c r="Z527" s="196"/>
    </row>
    <row r="528" spans="1:26" ht="18" customHeight="1" hidden="1">
      <c r="A528" s="140"/>
      <c r="B528" s="140"/>
      <c r="D528" s="198" t="s">
        <v>251</v>
      </c>
      <c r="E528" s="199" t="str">
        <f>_xlfn.XLOOKUP(E525,CurrentPlans!B:B,CurrentPlans!X:X,"NA",0,1)</f>
        <v>NA</v>
      </c>
      <c r="F528" s="200"/>
      <c r="G528" s="200"/>
      <c r="H528" s="200"/>
      <c r="I528" s="199"/>
      <c r="J528" s="201"/>
      <c r="K528"/>
      <c r="L528" s="202" t="str">
        <f>_xlfn.XLOOKUP(L525,RenewalPlans!B:B,RenewalPlans!AA:AA,"NA",0,1)</f>
        <v>NA</v>
      </c>
      <c r="M528" s="200"/>
      <c r="N528" s="200"/>
      <c r="O528" s="200"/>
      <c r="P528" s="199"/>
      <c r="Q528" s="200"/>
      <c r="R528" s="201"/>
      <c r="T528" s="202" t="str">
        <f>_xlfn.XLOOKUP(T525,RenewalPlans!B:B,RenewalPlans!AA:AA,"NA",0,1)</f>
        <v>NA</v>
      </c>
      <c r="U528" s="200"/>
      <c r="V528" s="200"/>
      <c r="W528" s="200"/>
      <c r="X528" s="199"/>
      <c r="Y528" s="200"/>
      <c r="Z528" s="201"/>
    </row>
    <row r="529" spans="1:26" ht="18" customHeight="1" hidden="1">
      <c r="A529" s="140"/>
      <c r="B529" s="140"/>
      <c r="D529" s="198" t="s">
        <v>252</v>
      </c>
      <c r="E529" s="199" t="str">
        <f>_xlfn.XLOOKUP(E525,CurrentPlans!B:B,CurrentPlans!Y:Y,"NA",0,1)</f>
        <v>NA</v>
      </c>
      <c r="F529" s="200"/>
      <c r="G529" s="200"/>
      <c r="H529" s="200"/>
      <c r="I529" s="199"/>
      <c r="J529" s="201"/>
      <c r="K529"/>
      <c r="L529" s="202" t="str">
        <f>_xlfn.XLOOKUP(L525,RenewalPlans!B:B,RenewalPlans!AB:AB,"NA",0,1)</f>
        <v>NA</v>
      </c>
      <c r="M529" s="200"/>
      <c r="N529" s="200"/>
      <c r="O529" s="200"/>
      <c r="P529" s="199"/>
      <c r="Q529" s="200"/>
      <c r="R529" s="201"/>
      <c r="T529" s="202" t="str">
        <f>_xlfn.XLOOKUP(T525,RenewalPlans!B:B,RenewalPlans!AB:AB,"NA",0,1)</f>
        <v>NA</v>
      </c>
      <c r="U529" s="200"/>
      <c r="V529" s="200"/>
      <c r="W529" s="200"/>
      <c r="X529" s="199"/>
      <c r="Y529" s="200"/>
      <c r="Z529" s="201"/>
    </row>
    <row r="530" spans="1:26" ht="18" customHeight="1" hidden="1">
      <c r="A530" s="140"/>
      <c r="B530" s="140"/>
      <c r="D530" s="120" t="s">
        <v>253</v>
      </c>
      <c r="E530" s="121" t="str">
        <f>_xlfn.XLOOKUP(E525,CurrentPlans!B:B,CurrentPlans!W:W,"NA",0,1)</f>
        <v>NA</v>
      </c>
      <c r="F530" s="122"/>
      <c r="G530" s="122"/>
      <c r="H530" s="122"/>
      <c r="I530" s="121"/>
      <c r="J530" s="123"/>
      <c r="K530"/>
      <c r="L530" s="124" t="str">
        <f>_xlfn.XLOOKUP(L525,RenewalPlans!B:B,RenewalPlans!Z:Z,"NA",0,1)</f>
        <v>NA</v>
      </c>
      <c r="M530" s="122"/>
      <c r="N530" s="122"/>
      <c r="O530" s="122"/>
      <c r="P530" s="121"/>
      <c r="Q530" s="122"/>
      <c r="R530" s="123"/>
      <c r="T530" s="124" t="str">
        <f>_xlfn.XLOOKUP(T525,RenewalPlans!B:B,RenewalPlans!Z:Z,"NA",0,1)</f>
        <v>NA</v>
      </c>
      <c r="U530" s="122"/>
      <c r="V530" s="122"/>
      <c r="W530" s="122"/>
      <c r="X530" s="121"/>
      <c r="Y530" s="122"/>
      <c r="Z530" s="123"/>
    </row>
    <row r="531" spans="1:26" ht="18" customHeight="1" hidden="1">
      <c r="A531" s="140"/>
      <c r="B531" s="140"/>
      <c r="D531" s="203" t="s">
        <v>254</v>
      </c>
      <c r="E531" s="204"/>
      <c r="F531" s="205"/>
      <c r="G531" s="205"/>
      <c r="H531" s="205"/>
      <c r="I531" s="204"/>
      <c r="J531" s="206"/>
      <c r="K531"/>
      <c r="L531" s="207"/>
      <c r="M531" s="205"/>
      <c r="N531" s="205"/>
      <c r="O531" s="205"/>
      <c r="P531" s="204"/>
      <c r="Q531" s="205"/>
      <c r="R531" s="206"/>
      <c r="T531" s="207"/>
      <c r="U531" s="205"/>
      <c r="V531" s="205"/>
      <c r="W531" s="205"/>
      <c r="X531" s="204"/>
      <c r="Y531" s="205"/>
      <c r="Z531" s="206"/>
    </row>
    <row r="532" spans="1:26" ht="18" customHeight="1" hidden="1">
      <c r="A532" s="140"/>
      <c r="B532" s="140"/>
      <c r="D532" s="125" t="s">
        <v>255</v>
      </c>
      <c r="E532" s="126" t="str">
        <f>_xlfn.XLOOKUP(E525,CurrentPlans!B:B,CurrentPlans!Z:Z,"NA",0,1)</f>
        <v>NA</v>
      </c>
      <c r="F532" s="127"/>
      <c r="G532" s="127"/>
      <c r="H532" s="127"/>
      <c r="I532" s="126"/>
      <c r="J532" s="128"/>
      <c r="K532"/>
      <c r="L532" s="129" t="str">
        <f>_xlfn.XLOOKUP(L525,RenewalPlans!B:B,RenewalPlans!AC:AC,"NA",0,1)</f>
        <v>NA</v>
      </c>
      <c r="M532" s="127"/>
      <c r="N532" s="127"/>
      <c r="O532" s="127"/>
      <c r="P532" s="126"/>
      <c r="Q532" s="127"/>
      <c r="R532" s="128"/>
      <c r="T532" s="129" t="str">
        <f>_xlfn.XLOOKUP(T525,RenewalPlans!B:B,RenewalPlans!AC:AC,"NA",0,1)</f>
        <v>NA</v>
      </c>
      <c r="U532" s="127"/>
      <c r="V532" s="127"/>
      <c r="W532" s="127"/>
      <c r="X532" s="126"/>
      <c r="Y532" s="127"/>
      <c r="Z532" s="128"/>
    </row>
    <row r="533" spans="1:26" ht="18" customHeight="1" hidden="1">
      <c r="A533" s="140"/>
      <c r="B533" s="140"/>
      <c r="D533" s="198" t="s">
        <v>256</v>
      </c>
      <c r="E533" s="208" t="str">
        <f>_xlfn.XLOOKUP(E525,CurrentPlans!B:B,CurrentPlans!AA:AA,"NA",0,1)</f>
        <v>NA</v>
      </c>
      <c r="F533" s="200"/>
      <c r="G533" s="200"/>
      <c r="H533" s="200"/>
      <c r="I533" s="208"/>
      <c r="J533" s="201"/>
      <c r="K533"/>
      <c r="L533" s="209" t="str">
        <f>_xlfn.XLOOKUP(L525,RenewalPlans!B:B,RenewalPlans!AD:AD,"NA",0,1)</f>
        <v>NA</v>
      </c>
      <c r="M533" s="200"/>
      <c r="N533" s="200"/>
      <c r="O533" s="200"/>
      <c r="P533" s="208"/>
      <c r="Q533" s="200"/>
      <c r="R533" s="201"/>
      <c r="T533" s="209" t="str">
        <f>_xlfn.XLOOKUP(T525,RenewalPlans!B:B,RenewalPlans!AD:AD,"NA",0,1)</f>
        <v>NA</v>
      </c>
      <c r="U533" s="200"/>
      <c r="V533" s="200"/>
      <c r="W533" s="200"/>
      <c r="X533" s="208"/>
      <c r="Y533" s="200"/>
      <c r="Z533" s="201"/>
    </row>
    <row r="534" spans="1:26" ht="18" customHeight="1" hidden="1">
      <c r="A534" s="140"/>
      <c r="B534" s="140"/>
      <c r="D534" s="203" t="s">
        <v>257</v>
      </c>
      <c r="E534" s="204"/>
      <c r="F534" s="205"/>
      <c r="G534" s="205"/>
      <c r="H534" s="205"/>
      <c r="I534" s="204"/>
      <c r="J534" s="206"/>
      <c r="K534"/>
      <c r="L534" s="207"/>
      <c r="M534" s="205"/>
      <c r="N534" s="205"/>
      <c r="O534" s="205"/>
      <c r="P534" s="204"/>
      <c r="Q534" s="205"/>
      <c r="R534" s="206"/>
      <c r="T534" s="207"/>
      <c r="U534" s="205"/>
      <c r="V534" s="205"/>
      <c r="W534" s="205"/>
      <c r="X534" s="204"/>
      <c r="Y534" s="205"/>
      <c r="Z534" s="206"/>
    </row>
    <row r="535" spans="1:26" ht="18" customHeight="1" hidden="1">
      <c r="A535" s="140"/>
      <c r="B535" s="140"/>
      <c r="D535" s="198" t="s">
        <v>258</v>
      </c>
      <c r="E535" s="208" t="str">
        <f>_xlfn.XLOOKUP(E525,CurrentPlans!B:B,CurrentPlans!AB:AB,"NA",0,1)</f>
        <v>NA</v>
      </c>
      <c r="F535" s="200"/>
      <c r="G535" s="200"/>
      <c r="H535" s="200"/>
      <c r="I535" s="208"/>
      <c r="J535" s="201"/>
      <c r="K535"/>
      <c r="L535" s="209" t="str">
        <f>_xlfn.XLOOKUP(L525,RenewalPlans!B:B,RenewalPlans!AE:AE,"NA",0,1)</f>
        <v>NA</v>
      </c>
      <c r="M535" s="200"/>
      <c r="N535" s="200"/>
      <c r="O535" s="200"/>
      <c r="P535" s="208"/>
      <c r="Q535" s="200"/>
      <c r="R535" s="201"/>
      <c r="T535" s="209" t="str">
        <f>_xlfn.XLOOKUP(T525,RenewalPlans!B:B,RenewalPlans!AE:AE,"NA",0,1)</f>
        <v>NA</v>
      </c>
      <c r="U535" s="200"/>
      <c r="V535" s="200"/>
      <c r="W535" s="200"/>
      <c r="X535" s="208"/>
      <c r="Y535" s="200"/>
      <c r="Z535" s="201"/>
    </row>
    <row r="536" spans="1:26" ht="18" customHeight="1" hidden="1">
      <c r="A536" s="140"/>
      <c r="B536" s="140"/>
      <c r="D536" s="198" t="s">
        <v>259</v>
      </c>
      <c r="E536" s="208" t="str">
        <f>_xlfn.XLOOKUP(E525,CurrentPlans!B:B,CurrentPlans!AC:AC,"NA",0,1)</f>
        <v>NA</v>
      </c>
      <c r="F536" s="200"/>
      <c r="G536" s="200"/>
      <c r="H536" s="200"/>
      <c r="I536" s="208"/>
      <c r="J536" s="201"/>
      <c r="K536"/>
      <c r="L536" s="209" t="str">
        <f>_xlfn.XLOOKUP(L525,RenewalPlans!B:B,RenewalPlans!AF:AF,"NA",0,1)</f>
        <v>NA</v>
      </c>
      <c r="M536" s="200"/>
      <c r="N536" s="200"/>
      <c r="O536" s="200"/>
      <c r="P536" s="208"/>
      <c r="Q536" s="200"/>
      <c r="R536" s="201"/>
      <c r="T536" s="209" t="str">
        <f>_xlfn.XLOOKUP(T525,RenewalPlans!B:B,RenewalPlans!AF:AF,"NA",0,1)</f>
        <v>NA</v>
      </c>
      <c r="U536" s="200"/>
      <c r="V536" s="200"/>
      <c r="W536" s="200"/>
      <c r="X536" s="208"/>
      <c r="Y536" s="200"/>
      <c r="Z536" s="201"/>
    </row>
    <row r="537" spans="1:26" ht="18" customHeight="1" hidden="1">
      <c r="A537" s="140"/>
      <c r="B537" s="140"/>
      <c r="D537" s="210"/>
      <c r="E537" s="211"/>
      <c r="F537" s="211"/>
      <c r="G537" s="211"/>
      <c r="H537" s="211"/>
      <c r="I537" s="211"/>
      <c r="J537" s="212"/>
      <c r="K537"/>
      <c r="L537" s="210"/>
      <c r="M537" s="211"/>
      <c r="N537" s="211"/>
      <c r="O537" s="211"/>
      <c r="P537" s="211"/>
      <c r="Q537" s="211"/>
      <c r="R537" s="212"/>
      <c r="T537" s="210"/>
      <c r="U537" s="211"/>
      <c r="V537" s="211"/>
      <c r="W537" s="211"/>
      <c r="X537" s="211"/>
      <c r="Y537" s="211"/>
      <c r="Z537" s="212"/>
    </row>
    <row r="538" spans="1:26" ht="18" customHeight="1" hidden="1">
      <c r="A538" s="140"/>
      <c r="B538" s="140"/>
      <c r="D538" s="185" t="s">
        <v>260</v>
      </c>
      <c r="E538" s="186"/>
      <c r="F538" s="186"/>
      <c r="G538" s="186"/>
      <c r="H538" s="186"/>
      <c r="I538" s="186"/>
      <c r="J538" s="187"/>
      <c r="K538"/>
      <c r="L538" s="188"/>
      <c r="M538" s="186"/>
      <c r="N538" s="186"/>
      <c r="O538" s="186"/>
      <c r="P538" s="186"/>
      <c r="Q538" s="186"/>
      <c r="R538" s="187"/>
      <c r="T538" s="188"/>
      <c r="U538" s="186"/>
      <c r="V538" s="186"/>
      <c r="W538" s="186"/>
      <c r="X538" s="186"/>
      <c r="Y538" s="186"/>
      <c r="Z538" s="187"/>
    </row>
    <row r="539" spans="1:26" ht="18" customHeight="1" hidden="1">
      <c r="A539" s="140"/>
      <c r="B539" s="140"/>
      <c r="D539" s="213" t="s">
        <v>261</v>
      </c>
      <c r="E539" s="130" t="str">
        <f>_xlfn.XLOOKUP(E525,CurrentPlans!B:B,CurrentPlans!AJ:AJ,"NA",0,1)</f>
        <v>NA</v>
      </c>
      <c r="F539" s="214"/>
      <c r="G539" s="214"/>
      <c r="H539" s="214"/>
      <c r="I539" s="130"/>
      <c r="J539" s="215"/>
      <c r="K539"/>
      <c r="L539" s="131" t="str">
        <f>_xlfn.XLOOKUP(L525,RenewalPlans!B:B,RenewalPlans!AM:AM,"NA",0,1)</f>
        <v>NA</v>
      </c>
      <c r="M539" s="214"/>
      <c r="N539" s="214"/>
      <c r="O539" s="214"/>
      <c r="P539" s="130"/>
      <c r="Q539" s="214"/>
      <c r="R539" s="215"/>
      <c r="T539" s="131" t="str">
        <f>_xlfn.XLOOKUP(T525,RenewalPlans!B:B,RenewalPlans!AM:AM,"NA",0,1)</f>
        <v>NA</v>
      </c>
      <c r="U539" s="214"/>
      <c r="V539" s="214"/>
      <c r="W539" s="214"/>
      <c r="X539" s="130"/>
      <c r="Y539" s="214"/>
      <c r="Z539" s="215"/>
    </row>
    <row r="540" spans="1:26" ht="18" customHeight="1" hidden="1">
      <c r="A540" s="140"/>
      <c r="B540" s="140"/>
      <c r="D540" s="198" t="s">
        <v>262</v>
      </c>
      <c r="E540" s="130" t="str">
        <f>_xlfn.XLOOKUP(E525,CurrentPlans!B:B,CurrentPlans!AM:AM,"NA",0,1)</f>
        <v>NA</v>
      </c>
      <c r="F540" s="200"/>
      <c r="G540" s="200"/>
      <c r="H540" s="200"/>
      <c r="I540" s="130"/>
      <c r="J540" s="201"/>
      <c r="K540"/>
      <c r="L540" s="131" t="str">
        <f>_xlfn.XLOOKUP(L525,RenewalPlans!B:B,RenewalPlans!AP:AP,"NA",0,1)</f>
        <v>NA</v>
      </c>
      <c r="M540" s="200"/>
      <c r="N540" s="200"/>
      <c r="O540" s="200"/>
      <c r="P540" s="130"/>
      <c r="Q540" s="200"/>
      <c r="R540" s="201"/>
      <c r="T540" s="131" t="str">
        <f>_xlfn.XLOOKUP(T525,RenewalPlans!B:B,RenewalPlans!AP:AP,"NA",0,1)</f>
        <v>NA</v>
      </c>
      <c r="U540" s="200"/>
      <c r="V540" s="200"/>
      <c r="W540" s="200"/>
      <c r="X540" s="130"/>
      <c r="Y540" s="200"/>
      <c r="Z540" s="201"/>
    </row>
    <row r="541" spans="1:26" ht="18" customHeight="1" hidden="1">
      <c r="A541" s="140"/>
      <c r="B541" s="140"/>
      <c r="D541" s="198" t="s">
        <v>263</v>
      </c>
      <c r="E541" s="130" t="str">
        <f>_xlfn.XLOOKUP(E525,CurrentPlans!B:B,CurrentPlans!AI:AI,"NA",0,1)</f>
        <v>NA</v>
      </c>
      <c r="F541" s="200"/>
      <c r="G541" s="200"/>
      <c r="H541" s="200"/>
      <c r="I541" s="130"/>
      <c r="J541" s="201"/>
      <c r="K541"/>
      <c r="L541" s="131" t="str">
        <f>_xlfn.XLOOKUP(L525,RenewalPlans!B:B,RenewalPlans!AL:AL,"NA",0,1)</f>
        <v>NA</v>
      </c>
      <c r="M541" s="200"/>
      <c r="N541" s="200"/>
      <c r="O541" s="200"/>
      <c r="P541" s="130"/>
      <c r="Q541" s="200"/>
      <c r="R541" s="201"/>
      <c r="T541" s="131" t="str">
        <f>_xlfn.XLOOKUP(T525,RenewalPlans!B:B,RenewalPlans!AL:AL,"NA",0,1)</f>
        <v>NA</v>
      </c>
      <c r="U541" s="200"/>
      <c r="V541" s="200"/>
      <c r="W541" s="200"/>
      <c r="X541" s="130"/>
      <c r="Y541" s="200"/>
      <c r="Z541" s="201"/>
    </row>
    <row r="542" spans="1:26" ht="18" customHeight="1" hidden="1">
      <c r="A542" s="140"/>
      <c r="B542" s="140"/>
      <c r="D542" s="198" t="s">
        <v>264</v>
      </c>
      <c r="E542" s="208" t="str">
        <f>_xlfn.XLOOKUP(E525,CurrentPlans!B:B,CurrentPlans!AN:AN,"NA",0,1)</f>
        <v>NA</v>
      </c>
      <c r="F542" s="200"/>
      <c r="G542" s="200"/>
      <c r="H542" s="200"/>
      <c r="I542" s="208"/>
      <c r="J542" s="201"/>
      <c r="K542"/>
      <c r="L542" s="209" t="str">
        <f>_xlfn.XLOOKUP(L525,RenewalPlans!B:B,RenewalPlans!AQ:AQ,"NA",0,1)</f>
        <v>NA</v>
      </c>
      <c r="M542" s="200"/>
      <c r="N542" s="200"/>
      <c r="O542" s="200"/>
      <c r="P542" s="208"/>
      <c r="Q542" s="200"/>
      <c r="R542" s="201"/>
      <c r="T542" s="209" t="str">
        <f>_xlfn.XLOOKUP(T525,RenewalPlans!B:B,RenewalPlans!AQ:AQ,"NA",0,1)</f>
        <v>NA</v>
      </c>
      <c r="U542" s="200"/>
      <c r="V542" s="200"/>
      <c r="W542" s="200"/>
      <c r="X542" s="208"/>
      <c r="Y542" s="200"/>
      <c r="Z542" s="201"/>
    </row>
    <row r="543" spans="1:26" ht="18" customHeight="1" hidden="1">
      <c r="A543" s="140"/>
      <c r="B543" s="140"/>
      <c r="D543" s="210"/>
      <c r="E543" s="211"/>
      <c r="F543" s="211"/>
      <c r="G543" s="211"/>
      <c r="H543" s="211"/>
      <c r="I543" s="211"/>
      <c r="J543" s="212"/>
      <c r="K543"/>
      <c r="L543" s="210"/>
      <c r="M543" s="211"/>
      <c r="N543" s="211"/>
      <c r="O543" s="211"/>
      <c r="P543" s="211"/>
      <c r="Q543" s="211"/>
      <c r="R543" s="212"/>
      <c r="T543" s="210"/>
      <c r="U543" s="211"/>
      <c r="V543" s="211"/>
      <c r="W543" s="211"/>
      <c r="X543" s="211"/>
      <c r="Y543" s="211"/>
      <c r="Z543" s="212"/>
    </row>
    <row r="544" spans="1:26" ht="18" customHeight="1" hidden="1">
      <c r="A544" s="140"/>
      <c r="B544" s="140"/>
      <c r="D544" s="185" t="s">
        <v>265</v>
      </c>
      <c r="E544" s="186"/>
      <c r="F544" s="186"/>
      <c r="G544" s="186"/>
      <c r="H544" s="186"/>
      <c r="I544" s="186"/>
      <c r="J544" s="187"/>
      <c r="K544"/>
      <c r="L544" s="188"/>
      <c r="M544" s="186"/>
      <c r="N544" s="186"/>
      <c r="O544" s="186"/>
      <c r="P544" s="186"/>
      <c r="Q544" s="186"/>
      <c r="R544" s="187"/>
      <c r="T544" s="188"/>
      <c r="U544" s="186"/>
      <c r="V544" s="186"/>
      <c r="W544" s="186"/>
      <c r="X544" s="186"/>
      <c r="Y544" s="186"/>
      <c r="Z544" s="187"/>
    </row>
    <row r="545" spans="1:26" ht="18" customHeight="1" hidden="1">
      <c r="A545" s="140"/>
      <c r="B545" s="140"/>
      <c r="D545" s="132" t="s">
        <v>266</v>
      </c>
      <c r="E545" s="133" t="str">
        <f>_xlfn.XLOOKUP(E525,CurrentPlans!B:B,CurrentPlans!AE:AE,"NA",0,1)</f>
        <v>NA</v>
      </c>
      <c r="F545" s="134"/>
      <c r="G545" s="134"/>
      <c r="H545" s="134"/>
      <c r="I545" s="133"/>
      <c r="J545" s="135"/>
      <c r="K545"/>
      <c r="L545" s="136" t="str">
        <f>_xlfn.XLOOKUP(L525,RenewalPlans!B:B,RenewalPlans!AH:AH,"NA",0,1)</f>
        <v>NA</v>
      </c>
      <c r="M545" s="134"/>
      <c r="N545" s="134"/>
      <c r="O545" s="134"/>
      <c r="P545" s="133"/>
      <c r="Q545" s="134"/>
      <c r="R545" s="135"/>
      <c r="T545" s="136" t="str">
        <f>_xlfn.XLOOKUP(T525,RenewalPlans!B:B,RenewalPlans!AH:AH,"NA",0,1)</f>
        <v>NA</v>
      </c>
      <c r="U545" s="134"/>
      <c r="V545" s="134"/>
      <c r="W545" s="134"/>
      <c r="X545" s="133"/>
      <c r="Y545" s="134"/>
      <c r="Z545" s="135"/>
    </row>
    <row r="546" spans="1:26" ht="18" customHeight="1" hidden="1">
      <c r="A546" s="140"/>
      <c r="B546" s="140"/>
      <c r="D546" s="120" t="s">
        <v>267</v>
      </c>
      <c r="E546" s="130" t="str">
        <f>_xlfn.XLOOKUP(E525,CurrentPlans!B:B,CurrentPlans!AF:AF,"NA",0,1)</f>
        <v>NA</v>
      </c>
      <c r="F546" s="122"/>
      <c r="G546" s="122"/>
      <c r="H546" s="122"/>
      <c r="I546" s="130"/>
      <c r="J546" s="123"/>
      <c r="K546"/>
      <c r="L546" s="131" t="str">
        <f>_xlfn.XLOOKUP(L525,RenewalPlans!B:B,RenewalPlans!AI:AI,"NA",0,1)</f>
        <v>NA</v>
      </c>
      <c r="M546" s="122"/>
      <c r="N546" s="122"/>
      <c r="O546" s="122"/>
      <c r="P546" s="130"/>
      <c r="Q546" s="122"/>
      <c r="R546" s="123"/>
      <c r="T546" s="131" t="str">
        <f>_xlfn.XLOOKUP(T525,RenewalPlans!B:B,RenewalPlans!AI:AI,"NA",0,1)</f>
        <v>NA</v>
      </c>
      <c r="U546" s="122"/>
      <c r="V546" s="122"/>
      <c r="W546" s="122"/>
      <c r="X546" s="130"/>
      <c r="Y546" s="122"/>
      <c r="Z546" s="123"/>
    </row>
    <row r="547" spans="1:26" ht="18" customHeight="1" hidden="1">
      <c r="A547" s="140"/>
      <c r="B547" s="140"/>
      <c r="D547" s="198" t="s">
        <v>268</v>
      </c>
      <c r="E547" s="130" t="str">
        <f>_xlfn.XLOOKUP(E525,CurrentPlans!B:B,CurrentPlans!AH:AH,"NA",0,1)</f>
        <v>NA</v>
      </c>
      <c r="F547" s="200"/>
      <c r="G547" s="200"/>
      <c r="H547" s="200"/>
      <c r="I547" s="130"/>
      <c r="J547" s="201"/>
      <c r="K547"/>
      <c r="L547" s="131" t="str">
        <f>_xlfn.XLOOKUP(L525,RenewalPlans!B:B,RenewalPlans!AK:AK,"NA",0,1)</f>
        <v>NA</v>
      </c>
      <c r="M547" s="200"/>
      <c r="N547" s="200"/>
      <c r="O547" s="200"/>
      <c r="P547" s="130"/>
      <c r="Q547" s="200"/>
      <c r="R547" s="201"/>
      <c r="T547" s="131" t="str">
        <f>_xlfn.XLOOKUP(T525,RenewalPlans!B:B,RenewalPlans!AK:AK,"NA",0,1)</f>
        <v>NA</v>
      </c>
      <c r="U547" s="200"/>
      <c r="V547" s="200"/>
      <c r="W547" s="200"/>
      <c r="X547" s="130"/>
      <c r="Y547" s="200"/>
      <c r="Z547" s="201"/>
    </row>
    <row r="548" spans="1:26" ht="18" customHeight="1" hidden="1">
      <c r="A548" s="140"/>
      <c r="B548" s="140"/>
      <c r="D548" s="198" t="s">
        <v>269</v>
      </c>
      <c r="E548" s="130" t="str">
        <f>_xlfn.XLOOKUP(E525,CurrentPlans!B:B,CurrentPlans!AG:AG,"NA",0,1)</f>
        <v>NA</v>
      </c>
      <c r="F548" s="200"/>
      <c r="G548" s="200"/>
      <c r="H548" s="200"/>
      <c r="I548" s="130"/>
      <c r="J548" s="201"/>
      <c r="K548"/>
      <c r="L548" s="131" t="str">
        <f>_xlfn.XLOOKUP(L525,RenewalPlans!B:B,RenewalPlans!AJ:AJ,"NA",0,1)</f>
        <v>NA</v>
      </c>
      <c r="M548" s="200"/>
      <c r="N548" s="200"/>
      <c r="O548" s="200"/>
      <c r="P548" s="130"/>
      <c r="Q548" s="200"/>
      <c r="R548" s="201"/>
      <c r="T548" s="131" t="str">
        <f>_xlfn.XLOOKUP(T525,RenewalPlans!B:B,RenewalPlans!AJ:AJ,"NA",0,1)</f>
        <v>NA</v>
      </c>
      <c r="U548" s="200"/>
      <c r="V548" s="200"/>
      <c r="W548" s="200"/>
      <c r="X548" s="130"/>
      <c r="Y548" s="200"/>
      <c r="Z548" s="201"/>
    </row>
    <row r="549" spans="1:26" ht="18" customHeight="1" hidden="1">
      <c r="A549" s="140"/>
      <c r="B549" s="140"/>
      <c r="D549" s="213" t="s">
        <v>270</v>
      </c>
      <c r="E549" s="216" t="str">
        <f>_xlfn.XLOOKUP(E525,CurrentPlans!B:B,CurrentPlans!AU:AU,"NA",0,1)</f>
        <v>NA</v>
      </c>
      <c r="F549" s="214"/>
      <c r="G549" s="214"/>
      <c r="H549" s="214"/>
      <c r="I549" s="217"/>
      <c r="J549" s="215"/>
      <c r="K549"/>
      <c r="L549" s="218" t="str">
        <f>_xlfn.XLOOKUP(L525,RenewalPlans!B:B,RenewalPlans!AX:AX,"NA",0,1)</f>
        <v>NA</v>
      </c>
      <c r="M549" s="214"/>
      <c r="N549" s="214"/>
      <c r="O549" s="214"/>
      <c r="P549" s="217"/>
      <c r="Q549" s="214"/>
      <c r="R549" s="215"/>
      <c r="T549" s="218" t="str">
        <f>_xlfn.XLOOKUP(T525,RenewalPlans!B:B,RenewalPlans!AX:AX,"NA",0,1)</f>
        <v>NA</v>
      </c>
      <c r="U549" s="214"/>
      <c r="V549" s="214"/>
      <c r="W549" s="214"/>
      <c r="X549" s="217"/>
      <c r="Y549" s="214"/>
      <c r="Z549" s="215"/>
    </row>
    <row r="550" spans="1:26" ht="18" customHeight="1" hidden="1">
      <c r="A550" s="140"/>
      <c r="B550" s="140"/>
      <c r="D550" s="213" t="s">
        <v>271</v>
      </c>
      <c r="E550" s="216" t="str">
        <f>_xlfn.XLOOKUP(E525,CurrentPlans!B:B,CurrentPlans!AT:AT,"NA",0,1)</f>
        <v>NA</v>
      </c>
      <c r="F550" s="214"/>
      <c r="G550" s="214"/>
      <c r="H550" s="214"/>
      <c r="I550" s="217"/>
      <c r="J550" s="215"/>
      <c r="K550"/>
      <c r="L550" s="218" t="str">
        <f>_xlfn.XLOOKUP(L525,RenewalPlans!B:B,RenewalPlans!AW:AW,"NA",0,1)</f>
        <v>NA</v>
      </c>
      <c r="M550" s="214"/>
      <c r="N550" s="214"/>
      <c r="O550" s="214"/>
      <c r="P550" s="217"/>
      <c r="Q550" s="214"/>
      <c r="R550" s="215"/>
      <c r="T550" s="218" t="str">
        <f>_xlfn.XLOOKUP(T525,RenewalPlans!B:B,RenewalPlans!AW:AW,"NA",0,1)</f>
        <v>NA</v>
      </c>
      <c r="U550" s="214"/>
      <c r="V550" s="214"/>
      <c r="W550" s="214"/>
      <c r="X550" s="217"/>
      <c r="Y550" s="214"/>
      <c r="Z550" s="215"/>
    </row>
    <row r="551" spans="1:26" ht="18" customHeight="1" hidden="1">
      <c r="A551" s="140"/>
      <c r="B551" s="140"/>
      <c r="D551" s="198" t="s">
        <v>272</v>
      </c>
      <c r="E551" s="130" t="str">
        <f>_xlfn.XLOOKUP(E525,CurrentPlans!B:B,CurrentPlans!AD:AD,"NA",0,1)</f>
        <v>NA</v>
      </c>
      <c r="F551" s="200"/>
      <c r="G551" s="200"/>
      <c r="H551" s="200"/>
      <c r="I551" s="130"/>
      <c r="J551" s="201"/>
      <c r="K551"/>
      <c r="L551" s="131" t="str">
        <f>_xlfn.XLOOKUP(L525,RenewalPlans!B:B,RenewalPlans!AG:AG,"NA",0,1)</f>
        <v>NA</v>
      </c>
      <c r="M551" s="200"/>
      <c r="N551" s="200"/>
      <c r="O551" s="200"/>
      <c r="P551" s="130"/>
      <c r="Q551" s="200"/>
      <c r="R551" s="201"/>
      <c r="T551" s="131" t="str">
        <f>_xlfn.XLOOKUP(T525,RenewalPlans!B:B,RenewalPlans!AG:AG,"NA",0,1)</f>
        <v>NA</v>
      </c>
      <c r="U551" s="200"/>
      <c r="V551" s="200"/>
      <c r="W551" s="200"/>
      <c r="X551" s="130"/>
      <c r="Y551" s="200"/>
      <c r="Z551" s="201"/>
    </row>
    <row r="552" spans="1:26" ht="18" customHeight="1" hidden="1">
      <c r="A552" s="140"/>
      <c r="B552" s="140"/>
      <c r="D552" s="198" t="s">
        <v>273</v>
      </c>
      <c r="E552" s="200"/>
      <c r="F552" s="200"/>
      <c r="G552" s="200"/>
      <c r="H552" s="200"/>
      <c r="I552" s="200"/>
      <c r="J552" s="201"/>
      <c r="K552"/>
      <c r="L552" s="198"/>
      <c r="M552" s="200"/>
      <c r="N552" s="200"/>
      <c r="O552" s="200"/>
      <c r="P552" s="200"/>
      <c r="Q552" s="200"/>
      <c r="R552" s="201"/>
      <c r="T552" s="198"/>
      <c r="U552" s="200"/>
      <c r="V552" s="200"/>
      <c r="W552" s="200"/>
      <c r="X552" s="200"/>
      <c r="Y552" s="200"/>
      <c r="Z552" s="201"/>
    </row>
    <row r="553" spans="1:26" ht="18" customHeight="1" hidden="1">
      <c r="A553" s="140"/>
      <c r="B553" s="140"/>
      <c r="D553" s="210"/>
      <c r="E553" s="211"/>
      <c r="F553" s="211"/>
      <c r="G553" s="211"/>
      <c r="H553" s="211"/>
      <c r="I553" s="211"/>
      <c r="J553" s="212"/>
      <c r="K553"/>
      <c r="L553" s="210"/>
      <c r="M553" s="211"/>
      <c r="N553" s="211"/>
      <c r="O553" s="211"/>
      <c r="P553" s="211"/>
      <c r="Q553" s="211"/>
      <c r="R553" s="212"/>
      <c r="T553" s="210"/>
      <c r="U553" s="211"/>
      <c r="V553" s="211"/>
      <c r="W553" s="211"/>
      <c r="X553" s="211"/>
      <c r="Y553" s="211"/>
      <c r="Z553" s="212"/>
    </row>
    <row r="554" spans="1:26" ht="18" customHeight="1" hidden="1">
      <c r="A554" s="140"/>
      <c r="B554" s="140"/>
      <c r="D554" s="219" t="s">
        <v>274</v>
      </c>
      <c r="E554" s="220"/>
      <c r="F554" s="220"/>
      <c r="G554" s="220"/>
      <c r="H554" s="220"/>
      <c r="I554" s="220"/>
      <c r="J554" s="221"/>
      <c r="K554"/>
      <c r="L554" s="222"/>
      <c r="M554" s="220"/>
      <c r="N554" s="220"/>
      <c r="O554" s="220"/>
      <c r="P554" s="220"/>
      <c r="Q554" s="220"/>
      <c r="R554" s="221"/>
      <c r="T554" s="222"/>
      <c r="U554" s="220"/>
      <c r="V554" s="220"/>
      <c r="W554" s="220"/>
      <c r="X554" s="220"/>
      <c r="Y554" s="220"/>
      <c r="Z554" s="221"/>
    </row>
    <row r="555" spans="1:26" ht="18" customHeight="1" hidden="1">
      <c r="A555" s="140"/>
      <c r="B555" s="140"/>
      <c r="D555" s="223" t="s">
        <v>250</v>
      </c>
      <c r="E555" s="205"/>
      <c r="F555" s="205"/>
      <c r="G555" s="205"/>
      <c r="H555" s="205"/>
      <c r="I555" s="205"/>
      <c r="J555" s="206"/>
      <c r="K555"/>
      <c r="L555" s="203"/>
      <c r="M555" s="205"/>
      <c r="N555" s="205"/>
      <c r="O555" s="205"/>
      <c r="P555" s="205"/>
      <c r="Q555" s="205"/>
      <c r="R555" s="206"/>
      <c r="T555" s="203"/>
      <c r="U555" s="205"/>
      <c r="V555" s="205"/>
      <c r="W555" s="205"/>
      <c r="X555" s="205"/>
      <c r="Y555" s="205"/>
      <c r="Z555" s="206"/>
    </row>
    <row r="556" spans="1:26" ht="18" customHeight="1" hidden="1">
      <c r="A556" s="140"/>
      <c r="B556" s="140"/>
      <c r="D556" s="198" t="s">
        <v>251</v>
      </c>
      <c r="E556" s="130" t="str">
        <f>_xlfn.XLOOKUP(E525,CurrentPlans!B:B,CurrentPlans!AP:AP,"NA",0,1)</f>
        <v>NA</v>
      </c>
      <c r="F556" s="200"/>
      <c r="G556" s="200"/>
      <c r="H556" s="200"/>
      <c r="I556" s="130"/>
      <c r="J556" s="201"/>
      <c r="K556"/>
      <c r="L556" s="131" t="str">
        <f>_xlfn.XLOOKUP(L525,RenewalPlans!B:B,RenewalPlans!AS:AS,"NA",0,1)</f>
        <v>NA</v>
      </c>
      <c r="M556" s="200"/>
      <c r="N556" s="200"/>
      <c r="O556" s="200"/>
      <c r="P556" s="130"/>
      <c r="Q556" s="200"/>
      <c r="R556" s="201"/>
      <c r="T556" s="131" t="str">
        <f>_xlfn.XLOOKUP(T525,RenewalPlans!B:B,RenewalPlans!AS:AS,"NA",0,1)</f>
        <v>NA</v>
      </c>
      <c r="U556" s="200"/>
      <c r="V556" s="200"/>
      <c r="W556" s="200"/>
      <c r="X556" s="130"/>
      <c r="Y556" s="200"/>
      <c r="Z556" s="201"/>
    </row>
    <row r="557" spans="1:26" ht="18" customHeight="1" hidden="1">
      <c r="A557" s="140"/>
      <c r="B557" s="140"/>
      <c r="D557" s="198" t="s">
        <v>252</v>
      </c>
      <c r="E557" s="130" t="str">
        <f>_xlfn.XLOOKUP(E525,CurrentPlans!B:B,CurrentPlans!AQ:AQ,"NA",0,1)</f>
        <v>NA</v>
      </c>
      <c r="F557" s="200"/>
      <c r="G557" s="200"/>
      <c r="H557" s="200"/>
      <c r="I557" s="130"/>
      <c r="J557" s="201"/>
      <c r="K557"/>
      <c r="L557" s="131" t="str">
        <f>_xlfn.XLOOKUP(L525,RenewalPlans!B:B,RenewalPlans!AT:AT,"NA",0,1)</f>
        <v>NA</v>
      </c>
      <c r="M557" s="200"/>
      <c r="N557" s="200"/>
      <c r="O557" s="200"/>
      <c r="P557" s="130"/>
      <c r="Q557" s="200"/>
      <c r="R557" s="201"/>
      <c r="T557" s="131" t="str">
        <f>_xlfn.XLOOKUP(T525,RenewalPlans!B:B,RenewalPlans!AT:AT,"NA",0,1)</f>
        <v>NA</v>
      </c>
      <c r="U557" s="200"/>
      <c r="V557" s="200"/>
      <c r="W557" s="200"/>
      <c r="X557" s="130"/>
      <c r="Y557" s="200"/>
      <c r="Z557" s="201"/>
    </row>
    <row r="558" spans="1:26" ht="18" customHeight="1" hidden="1">
      <c r="A558" s="140"/>
      <c r="B558" s="140"/>
      <c r="D558" s="120" t="s">
        <v>253</v>
      </c>
      <c r="E558" s="133" t="str">
        <f>_xlfn.XLOOKUP(E525,CurrentPlans!B:B,CurrentPlans!AO:AO,"NA",0,1)</f>
        <v>NA</v>
      </c>
      <c r="F558" s="122"/>
      <c r="G558" s="122"/>
      <c r="H558" s="122"/>
      <c r="I558" s="133"/>
      <c r="J558" s="123"/>
      <c r="K558"/>
      <c r="L558" s="136" t="str">
        <f>_xlfn.XLOOKUP(L525,RenewalPlans!B:B,RenewalPlans!AR:AR,"NA",0,1)</f>
        <v>NA</v>
      </c>
      <c r="M558" s="122"/>
      <c r="N558" s="122"/>
      <c r="O558" s="122"/>
      <c r="P558" s="133"/>
      <c r="Q558" s="122"/>
      <c r="R558" s="123"/>
      <c r="T558" s="136" t="str">
        <f>_xlfn.XLOOKUP(T525,RenewalPlans!B:B,RenewalPlans!AR:AR,"NA",0,1)</f>
        <v>NA</v>
      </c>
      <c r="U558" s="122"/>
      <c r="V558" s="122"/>
      <c r="W558" s="122"/>
      <c r="X558" s="133"/>
      <c r="Y558" s="122"/>
      <c r="Z558" s="123"/>
    </row>
    <row r="559" spans="1:26" ht="18" customHeight="1" hidden="1">
      <c r="A559" s="140"/>
      <c r="B559" s="140"/>
      <c r="D559" s="223" t="s">
        <v>254</v>
      </c>
      <c r="E559" s="205"/>
      <c r="F559" s="205"/>
      <c r="G559" s="205"/>
      <c r="H559" s="205"/>
      <c r="I559" s="205"/>
      <c r="J559" s="206"/>
      <c r="K559"/>
      <c r="L559" s="203"/>
      <c r="M559" s="205"/>
      <c r="N559" s="205"/>
      <c r="O559" s="205"/>
      <c r="P559" s="205"/>
      <c r="Q559" s="205"/>
      <c r="R559" s="206"/>
      <c r="T559" s="203"/>
      <c r="U559" s="205"/>
      <c r="V559" s="205"/>
      <c r="W559" s="205"/>
      <c r="X559" s="205"/>
      <c r="Y559" s="205"/>
      <c r="Z559" s="206"/>
    </row>
    <row r="560" spans="1:26" ht="18" customHeight="1" hidden="1">
      <c r="A560" s="140"/>
      <c r="B560" s="140"/>
      <c r="D560" s="198" t="s">
        <v>255</v>
      </c>
      <c r="E560" s="130" t="str">
        <f>_xlfn.XLOOKUP(E525,CurrentPlans!B:B,CurrentPlans!AR:AR,"NA",0,1)</f>
        <v>NA</v>
      </c>
      <c r="F560" s="200"/>
      <c r="G560" s="200"/>
      <c r="H560" s="200"/>
      <c r="I560" s="130"/>
      <c r="J560" s="201"/>
      <c r="K560"/>
      <c r="L560" s="131" t="str">
        <f>_xlfn.XLOOKUP(L525,RenewalPlans!B:B,RenewalPlans!AU:AU,"NA",0,1)</f>
        <v>NA</v>
      </c>
      <c r="M560" s="200"/>
      <c r="N560" s="200"/>
      <c r="O560" s="200"/>
      <c r="P560" s="130"/>
      <c r="Q560" s="200"/>
      <c r="R560" s="201"/>
      <c r="T560" s="131" t="str">
        <f>_xlfn.XLOOKUP(T525,RenewalPlans!B:B,RenewalPlans!AU:AU,"NA",0,1)</f>
        <v>NA</v>
      </c>
      <c r="U560" s="200"/>
      <c r="V560" s="200"/>
      <c r="W560" s="200"/>
      <c r="X560" s="130"/>
      <c r="Y560" s="200"/>
      <c r="Z560" s="201"/>
    </row>
    <row r="561" spans="1:26" ht="18" customHeight="1" hidden="1" thickBot="1">
      <c r="A561" s="140"/>
      <c r="B561" s="140"/>
      <c r="D561" s="224" t="s">
        <v>256</v>
      </c>
      <c r="E561" s="137" t="str">
        <f>_xlfn.XLOOKUP(E525,CurrentPlans!B:B,CurrentPlans!AS:AS,"NA",0,1)</f>
        <v>NA</v>
      </c>
      <c r="F561" s="225"/>
      <c r="G561" s="225"/>
      <c r="H561" s="225"/>
      <c r="I561" s="137"/>
      <c r="J561" s="226"/>
      <c r="K561"/>
      <c r="L561" s="138" t="str">
        <f>_xlfn.XLOOKUP(L525,RenewalPlans!B:B,RenewalPlans!AV:AV,"NA",0,1)</f>
        <v>NA</v>
      </c>
      <c r="M561" s="225"/>
      <c r="N561" s="225"/>
      <c r="O561" s="225"/>
      <c r="P561" s="137"/>
      <c r="Q561" s="225"/>
      <c r="R561" s="226"/>
      <c r="T561" s="138" t="str">
        <f>_xlfn.XLOOKUP(T525,RenewalPlans!B:B,RenewalPlans!AV:AV,"NA",0,1)</f>
        <v>NA</v>
      </c>
      <c r="U561" s="225"/>
      <c r="V561" s="225"/>
      <c r="W561" s="225"/>
      <c r="X561" s="137"/>
      <c r="Y561" s="225"/>
      <c r="Z561" s="226"/>
    </row>
    <row r="562" spans="1:26" ht="18" customHeight="1">
      <c r="A562" s="140"/>
      <c r="B562" s="140"/>
      <c r="D562" s="227"/>
      <c r="E562" s="176"/>
      <c r="F562" s="178"/>
      <c r="G562" s="179"/>
      <c r="H562" s="178"/>
      <c r="I562" s="176"/>
      <c r="J562" s="228"/>
      <c r="K562"/>
      <c r="L562" s="178"/>
      <c r="M562" s="176"/>
      <c r="N562" s="139"/>
      <c r="O562" s="178"/>
      <c r="P562" s="178"/>
      <c r="Q562" s="178"/>
      <c r="R562" s="228"/>
      <c r="T562" s="178"/>
      <c r="U562" s="176"/>
      <c r="V562" s="139"/>
      <c r="W562" s="178"/>
      <c r="X562" s="178"/>
      <c r="Y562" s="178"/>
      <c r="Z562" s="228"/>
    </row>
    <row r="563" spans="1:26" ht="5.25" customHeight="1" thickBot="1">
      <c r="A563" s="140"/>
      <c r="B563" s="140"/>
      <c r="D563" s="229"/>
      <c r="E563" s="229"/>
      <c r="F563" s="230"/>
      <c r="G563" s="231"/>
      <c r="H563" s="232"/>
      <c r="I563" s="233"/>
      <c r="J563" s="233"/>
      <c r="K563"/>
      <c r="L563" s="233"/>
      <c r="M563" s="233"/>
      <c r="N563" s="233"/>
      <c r="O563" s="233"/>
      <c r="P563" s="233"/>
      <c r="Q563" s="233"/>
      <c r="R563" s="233"/>
      <c r="T563" s="233"/>
      <c r="U563" s="233"/>
      <c r="V563" s="233"/>
      <c r="W563" s="233"/>
      <c r="X563" s="233"/>
      <c r="Y563" s="233"/>
      <c r="Z563" s="233"/>
    </row>
    <row r="564" spans="1:26" ht="50.15" customHeight="1">
      <c r="A564" s="140"/>
      <c r="B564" s="140"/>
      <c r="C564" s="164" t="s">
        <v>286</v>
      </c>
      <c r="D564" s="275" t="s">
        <v>285</v>
      </c>
      <c r="E564" s="165"/>
      <c r="F564" s="272"/>
      <c r="G564" s="166"/>
      <c r="H564" s="167"/>
      <c r="I564" s="168"/>
      <c r="J564" s="169"/>
      <c r="K564"/>
      <c r="L564" s="274" t="s">
        <v>38</v>
      </c>
      <c r="M564" s="170"/>
      <c r="N564" s="274" t="s">
        <v>237</v>
      </c>
      <c r="O564" s="171"/>
      <c r="P564" s="171"/>
      <c r="Q564" s="171"/>
      <c r="R564" s="169"/>
      <c r="T564" s="274" t="s">
        <v>38</v>
      </c>
      <c r="U564" s="170"/>
      <c r="V564" s="274" t="s">
        <v>237</v>
      </c>
      <c r="W564" s="171"/>
      <c r="X564" s="171"/>
      <c r="Y564" s="171"/>
      <c r="Z564" s="169"/>
    </row>
    <row r="565" spans="1:26" ht="18.75" customHeight="1">
      <c r="A565" s="140"/>
      <c r="B565" s="140"/>
      <c r="D565" s="172" t="s">
        <v>238</v>
      </c>
      <c r="E565" s="407"/>
      <c r="F565" s="449"/>
      <c r="G565" s="470"/>
      <c r="H565" s="449"/>
      <c r="I565" s="450"/>
      <c r="J565" s="410"/>
      <c r="K565" s="411"/>
      <c r="L565" s="408" t="str" cm="1">
        <f t="array" ca="1" aca="1" ref="L565">_xlfn.IFNA(VLOOKUP(INDIRECT("L"&amp;ROW()-1)&amp;"_"&amp;$D$12,BEGIN_RENEW_HEALTH:END_RENEW_HEALTH,RENEW_COL_EO,FALSE),"")</f>
        <v/>
      </c>
      <c r="M565" s="412" t="str">
        <f>IF(E565="","",E565)</f>
        <v/>
      </c>
      <c r="N565" s="413"/>
      <c r="O565" s="414"/>
      <c r="P565" s="415" t="str">
        <f>IFERROR(IF($N564="Keep Contribution Same",H565,IF($N564="Enter Percentages",IF(N565="","",N565*L565),IF($N564="Keep Percentage Same",IF(G565="","",G565*L565),IF($N564="Enter Dollar Amount",IF(O565="","",O565),"")))),"")</f>
        <v/>
      </c>
      <c r="Q565" s="408" t="str">
        <f ca="1">IFERROR(L565-P565,"")</f>
        <v/>
      </c>
      <c r="R565" s="410" t="str">
        <f>IFERROR(IF(P565="","",M565*P565),"")</f>
        <v/>
      </c>
      <c r="S565" s="411"/>
      <c r="T565" s="408" t="str" cm="1">
        <f t="array" ca="1" aca="1" ref="T565">_xlfn.IFNA(VLOOKUP(INDIRECT("T"&amp;ROW()-1)&amp;"_"&amp;$D$12,BEGIN_RENEW_HEALTH:END_RENEW_HEALTH,RENEW_COL_EO,FALSE),"")</f>
        <v/>
      </c>
      <c r="U565" s="412" t="str">
        <f>IF(E565="","",E565)</f>
        <v/>
      </c>
      <c r="V565" s="413"/>
      <c r="W565" s="414"/>
      <c r="X565" s="415" t="str">
        <f>IFERROR(IF($V564="Keep Contribution Same",H565,IF($V564="Enter Percentages",IF(V565="","",V565*T565),IF($V564="Keep Percentage Same",IF(G565="","",G565*T565),IF($V564="Enter Dollar Amount",IF(W565="","",W565),"")))),"")</f>
        <v/>
      </c>
      <c r="Y565" s="408" t="str">
        <f ca="1">IFERROR(T565-X565,"")</f>
        <v/>
      </c>
      <c r="Z565" s="410" t="str">
        <f>IFERROR(IF(X565="","",U565*X565),"")</f>
        <v/>
      </c>
    </row>
    <row r="566" spans="1:26" ht="18.75" customHeight="1">
      <c r="A566" s="140"/>
      <c r="B566" s="140"/>
      <c r="D566" s="172" t="s">
        <v>239</v>
      </c>
      <c r="E566" s="407"/>
      <c r="F566" s="449"/>
      <c r="G566" s="470"/>
      <c r="H566" s="449"/>
      <c r="I566" s="450"/>
      <c r="J566" s="410"/>
      <c r="K566" s="411"/>
      <c r="L566" s="408" t="str" cm="1">
        <f t="array" ca="1" aca="1" ref="L566">_xlfn.IFNA(VLOOKUP(INDIRECT("L"&amp;ROW()-2)&amp;"_"&amp;$D$12,BEGIN_RENEW_HEALTH:END_RENEW_HEALTH,RENEW_COL_ES,FALSE),"")</f>
        <v/>
      </c>
      <c r="M566" s="412" t="str">
        <f>IF(E566="","",E566)</f>
        <v/>
      </c>
      <c r="N566" s="413"/>
      <c r="O566" s="414"/>
      <c r="P566" s="415" t="str">
        <f>IFERROR(IF($N564="Keep Contribution Same",H566,IF($N564="Enter Percentages",IF(N566="","",N566*L566),IF($N564="Keep Percentage Same",IF(G566="","",G566*L566),IF($N564="Enter Dollar Amount",IF(O566="","",O566),"")))),"")</f>
        <v/>
      </c>
      <c r="Q566" s="408" t="str">
        <f ca="1" t="shared" si="54" ref="Q566:Q568">IFERROR(L566-P566,"")</f>
        <v/>
      </c>
      <c r="R566" s="410" t="str">
        <f>IFERROR(IF(P566="","",M566*P566),"")</f>
        <v/>
      </c>
      <c r="S566" s="411"/>
      <c r="T566" s="408" t="str" cm="1">
        <f t="array" ca="1" aca="1" ref="T566">_xlfn.IFNA(VLOOKUP(INDIRECT("T"&amp;ROW()-2)&amp;"_"&amp;$D$12,BEGIN_RENEW_HEALTH:END_RENEW_HEALTH,RENEW_COL_ES,FALSE),"")</f>
        <v/>
      </c>
      <c r="U566" s="412" t="str">
        <f t="shared" si="55" ref="U566:U568">IF(E566="","",E566)</f>
        <v/>
      </c>
      <c r="V566" s="413"/>
      <c r="W566" s="414"/>
      <c r="X566" s="415" t="str">
        <f>IFERROR(IF($V564="Keep Contribution Same",H566,IF($V564="Enter Percentages",IF(V566="","",V566*T566),IF($V564="Keep Percentage Same",IF(G566="","",G566*T566),IF($V564="Enter Dollar Amount",IF(W566="","",W566),"")))),"")</f>
        <v/>
      </c>
      <c r="Y566" s="408" t="str">
        <f ca="1" t="shared" si="56" ref="Y566:Y568">IFERROR(T566-X566,"")</f>
        <v/>
      </c>
      <c r="Z566" s="410" t="str">
        <f t="shared" si="57" ref="Z566:Z568">IFERROR(IF(X566="","",U566*X566),"")</f>
        <v/>
      </c>
    </row>
    <row r="567" spans="1:26" ht="18.75" customHeight="1">
      <c r="A567" s="140"/>
      <c r="B567" s="140"/>
      <c r="D567" s="172" t="s">
        <v>240</v>
      </c>
      <c r="E567" s="407"/>
      <c r="F567" s="449"/>
      <c r="G567" s="470"/>
      <c r="H567" s="449"/>
      <c r="I567" s="450"/>
      <c r="J567" s="410"/>
      <c r="K567" s="411"/>
      <c r="L567" s="408" t="str" cm="1">
        <f t="array" ca="1" aca="1" ref="L567">_xlfn.IFNA(VLOOKUP(INDIRECT("L"&amp;ROW()-3)&amp;"_"&amp;$D$12,BEGIN_RENEW_HEALTH:END_RENEW_HEALTH,RENEW_COL_EC,FALSE),"")</f>
        <v/>
      </c>
      <c r="M567" s="412" t="str">
        <f>IF(E567="","",E567)</f>
        <v/>
      </c>
      <c r="N567" s="413"/>
      <c r="O567" s="414"/>
      <c r="P567" s="415" t="str">
        <f>IFERROR(IF($N564="Keep Contribution Same",H567,IF($N564="Enter Percentages",IF(N567="","",N567*L567),IF($N564="Keep Percentage Same",IF(G567="","",G567*L567),IF($N564="Enter Dollar Amount",IF(O567="","",O567),"")))),"")</f>
        <v/>
      </c>
      <c r="Q567" s="408" t="str">
        <f t="shared" ca="1" si="54"/>
        <v/>
      </c>
      <c r="R567" s="410" t="str">
        <f>IFERROR(IF(P567="","",M567*P567),"")</f>
        <v/>
      </c>
      <c r="S567" s="411"/>
      <c r="T567" s="408" t="str" cm="1">
        <f t="array" ca="1" aca="1" ref="T567">_xlfn.IFNA(VLOOKUP(INDIRECT("T"&amp;ROW()-3)&amp;"_"&amp;$D$12,BEGIN_RENEW_HEALTH:END_RENEW_HEALTH,RENEW_COL_EC,FALSE),"")</f>
        <v/>
      </c>
      <c r="U567" s="412" t="str">
        <f t="shared" si="55"/>
        <v/>
      </c>
      <c r="V567" s="413"/>
      <c r="W567" s="414"/>
      <c r="X567" s="415" t="str">
        <f>IFERROR(IF($V564="Keep Contribution Same",H567,IF($V564="Enter Percentages",IF(V567="","",V567*T567),IF($V564="Keep Percentage Same",IF(G567="","",G567*T567),IF($V564="Enter Dollar Amount",IF(W567="","",W567),"")))),"")</f>
        <v/>
      </c>
      <c r="Y567" s="408" t="str">
        <f t="shared" ca="1" si="56"/>
        <v/>
      </c>
      <c r="Z567" s="410" t="str">
        <f t="shared" si="57"/>
        <v/>
      </c>
    </row>
    <row r="568" spans="1:26" ht="18.75" customHeight="1" thickBot="1">
      <c r="A568" s="140"/>
      <c r="B568" s="140"/>
      <c r="D568" s="174" t="s">
        <v>241</v>
      </c>
      <c r="E568" s="416"/>
      <c r="F568" s="451"/>
      <c r="G568" s="471"/>
      <c r="H568" s="451"/>
      <c r="I568" s="452"/>
      <c r="J568" s="419"/>
      <c r="K568" s="411"/>
      <c r="L568" s="417" t="str" cm="1">
        <f t="array" ca="1" aca="1" ref="L568">_xlfn.IFNA(VLOOKUP(INDIRECT("L"&amp;ROW()-4)&amp;"_"&amp;$D$12,BEGIN_RENEW_HEALTH:END_RENEW_HEALTH,RENEW_COL_FAM,FALSE),"")</f>
        <v/>
      </c>
      <c r="M568" s="423" t="str">
        <f>IF(E568="","",E568)</f>
        <v/>
      </c>
      <c r="N568" s="420"/>
      <c r="O568" s="421"/>
      <c r="P568" s="422" t="str">
        <f>IFERROR(IF($N564="Keep Contribution Same",H568,IF($N564="Enter Percentages",IF(N568="","",N568*L568),IF($N564="Keep Percentage Same",IF(G568="","",G568*L568),IF($N564="Enter Dollar Amount",IF(O568="","",O568),"")))),"")</f>
        <v/>
      </c>
      <c r="Q568" s="417" t="str">
        <f t="shared" ca="1" si="54"/>
        <v/>
      </c>
      <c r="R568" s="419" t="str">
        <f>IFERROR(IF(P568="","",M568*P568),"")</f>
        <v/>
      </c>
      <c r="S568" s="411"/>
      <c r="T568" s="417" t="str" cm="1">
        <f t="array" ca="1" aca="1" ref="T568">_xlfn.IFNA(VLOOKUP(INDIRECT("T"&amp;ROW()-4)&amp;"_"&amp;$D$12,BEGIN_RENEW_HEALTH:END_RENEW_HEALTH,RENEW_COL_FAM,FALSE),"")</f>
        <v/>
      </c>
      <c r="U568" s="423" t="str">
        <f t="shared" si="55"/>
        <v/>
      </c>
      <c r="V568" s="420"/>
      <c r="W568" s="421"/>
      <c r="X568" s="422" t="str">
        <f>IFERROR(IF($V564="Keep Contribution Same",H568,IF($V564="Enter Percentages",IF(V568="","",V568*T568),IF($V564="Keep Percentage Same",IF(G568="","",G568*T568),IF($V564="Enter Dollar Amount",IF(W568="","",W568),"")))),"")</f>
        <v/>
      </c>
      <c r="Y568" s="417" t="str">
        <f t="shared" ca="1" si="56"/>
        <v/>
      </c>
      <c r="Z568" s="419" t="str">
        <f t="shared" si="57"/>
        <v/>
      </c>
    </row>
    <row r="569" spans="1:26" ht="18.75" customHeight="1" thickTop="1">
      <c r="A569" s="140"/>
      <c r="B569" s="140"/>
      <c r="D569" s="175" t="s">
        <v>329</v>
      </c>
      <c r="E569" s="424"/>
      <c r="F569" s="447">
        <f>IFERROR((F565*E565)+(F566*E566)+(F567*E567)+(F568*E568),"")</f>
        <v>0</v>
      </c>
      <c r="G569" s="426"/>
      <c r="H569" s="427"/>
      <c r="I569" s="428"/>
      <c r="J569" s="429" t="str">
        <f>IFERROR(IF(J565="","",SUM(J565:J568)),0)</f>
        <v/>
      </c>
      <c r="K569" s="1"/>
      <c r="L569" s="430" t="str">
        <f ca="1">IFERROR((M565*L565)+(M566*L566)+(M567*L567)+(M568*L568),"")</f>
        <v/>
      </c>
      <c r="M569" s="427"/>
      <c r="N569" s="426"/>
      <c r="O569" s="427"/>
      <c r="P569" s="431"/>
      <c r="Q569" s="432"/>
      <c r="R569" s="429" t="str">
        <f>IFERROR(IF(R565="","",SUM(R565:R568)),0)</f>
        <v/>
      </c>
      <c r="T569" s="430" t="str">
        <f ca="1">IFERROR((U565*T565)+(U566*T566)+(U567*T567)+(U568*T568),"")</f>
        <v/>
      </c>
      <c r="U569" s="427"/>
      <c r="V569" s="426"/>
      <c r="W569" s="427"/>
      <c r="X569" s="431"/>
      <c r="Y569" s="432"/>
      <c r="Z569" s="429" t="str">
        <f>IFERROR(IF(Z565="","",SUM(Z565:Z568)),0)</f>
        <v/>
      </c>
    </row>
    <row r="570" spans="1:26" ht="18.75" customHeight="1">
      <c r="A570" s="140"/>
      <c r="B570" s="140"/>
      <c r="D570" s="177" t="s">
        <v>243</v>
      </c>
      <c r="E570" s="433"/>
      <c r="F570" s="448">
        <f>IFERROR(F569*12,"")</f>
        <v>0</v>
      </c>
      <c r="G570" s="435"/>
      <c r="H570" s="436"/>
      <c r="I570" s="432"/>
      <c r="J570" s="437" t="str">
        <f>IF(J569="","",J569*12)</f>
        <v/>
      </c>
      <c r="K570" s="1"/>
      <c r="L570" s="438" t="str">
        <f ca="1">IFERROR(L569*12,"")</f>
        <v/>
      </c>
      <c r="M570" s="436"/>
      <c r="N570" s="435"/>
      <c r="O570" s="436"/>
      <c r="P570" s="432"/>
      <c r="Q570" s="432"/>
      <c r="R570" s="437" t="str">
        <f>IF(R569="","",R569*12)</f>
        <v/>
      </c>
      <c r="T570" s="438" t="str">
        <f ca="1">IFERROR(T569*12,"")</f>
        <v/>
      </c>
      <c r="U570" s="436"/>
      <c r="V570" s="435"/>
      <c r="W570" s="436"/>
      <c r="X570" s="432"/>
      <c r="Y570" s="432"/>
      <c r="Z570" s="437" t="str">
        <f>IF(Z569="","",Z569*12)</f>
        <v/>
      </c>
    </row>
    <row r="571" spans="1:26" ht="18" customHeight="1">
      <c r="A571" s="140"/>
      <c r="B571" s="140"/>
      <c r="D571" s="177" t="s">
        <v>244</v>
      </c>
      <c r="E571" s="433"/>
      <c r="F571" s="436"/>
      <c r="G571" s="435"/>
      <c r="H571" s="436"/>
      <c r="I571" s="432"/>
      <c r="J571" s="437" t="str">
        <f>IFERROR(IF(J570="","",R570-J570),0)</f>
        <v/>
      </c>
      <c r="K571" s="1"/>
      <c r="L571" s="434" t="str">
        <f ca="1">IFERROR(L570-F570,"")</f>
        <v/>
      </c>
      <c r="M571" s="436"/>
      <c r="N571" s="435"/>
      <c r="O571" s="436"/>
      <c r="P571" s="432"/>
      <c r="Q571" s="432"/>
      <c r="R571" s="437" t="str">
        <f>IFERROR(IF(J570="","",R570-J570),0)</f>
        <v/>
      </c>
      <c r="T571" s="434" t="str">
        <f ca="1">IFERROR(T570-F570,"")</f>
        <v/>
      </c>
      <c r="U571" s="436"/>
      <c r="V571" s="435"/>
      <c r="W571" s="436"/>
      <c r="X571" s="432"/>
      <c r="Y571" s="432"/>
      <c r="Z571" s="437" t="str">
        <f>IFERROR(IF(R570="","",Z570-R570),0)</f>
        <v/>
      </c>
    </row>
    <row r="572" spans="1:26" ht="18" customHeight="1" thickBot="1">
      <c r="A572" s="140"/>
      <c r="B572" s="140"/>
      <c r="D572" s="180" t="s">
        <v>245</v>
      </c>
      <c r="E572" s="439"/>
      <c r="F572" s="440"/>
      <c r="G572" s="441"/>
      <c r="H572" s="440"/>
      <c r="I572" s="442"/>
      <c r="J572" s="443" t="str">
        <f>IFERROR(IF(J570="","",(R570/J570)-1),0)</f>
        <v/>
      </c>
      <c r="K572" s="1"/>
      <c r="L572" s="444" t="str">
        <f ca="1">IFERROR(L570/F570-1,"")</f>
        <v/>
      </c>
      <c r="M572" s="440"/>
      <c r="N572" s="441"/>
      <c r="O572" s="440"/>
      <c r="P572" s="445"/>
      <c r="Q572" s="445"/>
      <c r="R572" s="446" t="str">
        <f>IFERROR(IF(J570="","",(R570/J570)-1),0)</f>
        <v/>
      </c>
      <c r="T572" s="444" t="str">
        <f ca="1">IFERROR(T570/F570-1,"")</f>
        <v/>
      </c>
      <c r="U572" s="440"/>
      <c r="V572" s="441"/>
      <c r="W572" s="440"/>
      <c r="X572" s="445"/>
      <c r="Y572" s="445"/>
      <c r="Z572" s="446" t="str">
        <f>IFERROR(IF(R570="","",(Z570/R570)-1),0)</f>
        <v/>
      </c>
    </row>
    <row r="573" spans="1:26" ht="18" customHeight="1">
      <c r="A573" s="140"/>
      <c r="B573" s="140"/>
      <c r="D573" s="181" t="s">
        <v>246</v>
      </c>
      <c r="E573" s="182"/>
      <c r="F573" s="182"/>
      <c r="G573" s="182"/>
      <c r="H573" s="182"/>
      <c r="I573" s="182"/>
      <c r="J573" s="183"/>
      <c r="K573"/>
      <c r="L573" s="184"/>
      <c r="M573" s="182"/>
      <c r="N573" s="182"/>
      <c r="O573" s="182"/>
      <c r="P573" s="182"/>
      <c r="Q573" s="182"/>
      <c r="R573" s="183"/>
      <c r="T573" s="184"/>
      <c r="U573" s="182"/>
      <c r="V573" s="182"/>
      <c r="W573" s="182"/>
      <c r="X573" s="182"/>
      <c r="Y573" s="182"/>
      <c r="Z573" s="183"/>
    </row>
    <row r="574" spans="1:26" ht="18" customHeight="1" hidden="1">
      <c r="A574" s="140"/>
      <c r="B574" s="140"/>
      <c r="D574" s="185" t="s">
        <v>247</v>
      </c>
      <c r="E574" s="186"/>
      <c r="F574" s="186"/>
      <c r="G574" s="186"/>
      <c r="H574" s="186"/>
      <c r="I574" s="186"/>
      <c r="J574" s="187"/>
      <c r="K574"/>
      <c r="L574" s="188"/>
      <c r="M574" s="186"/>
      <c r="N574" s="186"/>
      <c r="O574" s="186"/>
      <c r="P574" s="186"/>
      <c r="Q574" s="186"/>
      <c r="R574" s="187"/>
      <c r="T574" s="188"/>
      <c r="U574" s="186"/>
      <c r="V574" s="186"/>
      <c r="W574" s="186"/>
      <c r="X574" s="186"/>
      <c r="Y574" s="186"/>
      <c r="Z574" s="187"/>
    </row>
    <row r="575" spans="1:26" ht="18" customHeight="1" hidden="1">
      <c r="A575" s="140"/>
      <c r="B575" s="140"/>
      <c r="D575" s="189" t="s">
        <v>248</v>
      </c>
      <c r="E575" s="190" t="str">
        <f>D564&amp;"_"&amp;D12</f>
        <v>NEW PLAN_</v>
      </c>
      <c r="F575" s="191"/>
      <c r="G575" s="191"/>
      <c r="H575" s="191"/>
      <c r="I575" s="190"/>
      <c r="J575" s="192"/>
      <c r="K575"/>
      <c r="L575" s="193" t="str">
        <f>L564&amp;"_"&amp;D12</f>
        <v>SELECT PLAN_</v>
      </c>
      <c r="M575" s="191"/>
      <c r="N575" s="191"/>
      <c r="O575" s="191"/>
      <c r="P575" s="190"/>
      <c r="Q575" s="191"/>
      <c r="R575" s="192"/>
      <c r="T575" s="193" t="str">
        <f>T564&amp;"_"&amp;D12</f>
        <v>SELECT PLAN_</v>
      </c>
      <c r="U575" s="191"/>
      <c r="V575" s="191"/>
      <c r="W575" s="191"/>
      <c r="X575" s="190"/>
      <c r="Y575" s="191"/>
      <c r="Z575" s="192"/>
    </row>
    <row r="576" spans="1:26" ht="18" customHeight="1" hidden="1">
      <c r="A576" s="140"/>
      <c r="B576" s="140"/>
      <c r="D576" s="189" t="s">
        <v>249</v>
      </c>
      <c r="E576" s="191"/>
      <c r="F576" s="191"/>
      <c r="G576" s="191"/>
      <c r="H576" s="191"/>
      <c r="I576" s="191"/>
      <c r="J576" s="192"/>
      <c r="K576"/>
      <c r="L576" s="189"/>
      <c r="M576" s="191"/>
      <c r="N576" s="191"/>
      <c r="O576" s="191"/>
      <c r="P576" s="191"/>
      <c r="Q576" s="191"/>
      <c r="R576" s="192"/>
      <c r="T576" s="189"/>
      <c r="U576" s="191"/>
      <c r="V576" s="191"/>
      <c r="W576" s="191"/>
      <c r="X576" s="191"/>
      <c r="Y576" s="191"/>
      <c r="Z576" s="192"/>
    </row>
    <row r="577" spans="1:26" ht="18" customHeight="1" hidden="1">
      <c r="A577" s="140"/>
      <c r="B577" s="140"/>
      <c r="D577" s="194" t="s">
        <v>250</v>
      </c>
      <c r="E577" s="195"/>
      <c r="F577" s="195"/>
      <c r="G577" s="195"/>
      <c r="H577" s="195"/>
      <c r="I577" s="195"/>
      <c r="J577" s="196"/>
      <c r="K577"/>
      <c r="L577" s="197"/>
      <c r="M577" s="195"/>
      <c r="N577" s="195"/>
      <c r="O577" s="195"/>
      <c r="P577" s="195"/>
      <c r="Q577" s="195"/>
      <c r="R577" s="196"/>
      <c r="T577" s="197"/>
      <c r="U577" s="195"/>
      <c r="V577" s="195"/>
      <c r="W577" s="195"/>
      <c r="X577" s="195"/>
      <c r="Y577" s="195"/>
      <c r="Z577" s="196"/>
    </row>
    <row r="578" spans="1:26" ht="18" customHeight="1" hidden="1">
      <c r="A578" s="140"/>
      <c r="B578" s="140"/>
      <c r="D578" s="198" t="s">
        <v>251</v>
      </c>
      <c r="E578" s="199" t="str">
        <f>_xlfn.XLOOKUP(E575,CurrentPlans!B:B,CurrentPlans!X:X,"NA",0,1)</f>
        <v>NA</v>
      </c>
      <c r="F578" s="200"/>
      <c r="G578" s="200"/>
      <c r="H578" s="200"/>
      <c r="I578" s="199"/>
      <c r="J578" s="201"/>
      <c r="K578"/>
      <c r="L578" s="202" t="str">
        <f>_xlfn.XLOOKUP(L575,RenewalPlans!B:B,RenewalPlans!AA:AA,"NA",0,1)</f>
        <v>NA</v>
      </c>
      <c r="M578" s="200"/>
      <c r="N578" s="200"/>
      <c r="O578" s="200"/>
      <c r="P578" s="199"/>
      <c r="Q578" s="200"/>
      <c r="R578" s="201"/>
      <c r="T578" s="202" t="str">
        <f>_xlfn.XLOOKUP(T575,RenewalPlans!B:B,RenewalPlans!AA:AA,"NA",0,1)</f>
        <v>NA</v>
      </c>
      <c r="U578" s="200"/>
      <c r="V578" s="200"/>
      <c r="W578" s="200"/>
      <c r="X578" s="199"/>
      <c r="Y578" s="200"/>
      <c r="Z578" s="201"/>
    </row>
    <row r="579" spans="1:26" ht="18" customHeight="1" hidden="1">
      <c r="A579" s="140"/>
      <c r="B579" s="140"/>
      <c r="D579" s="198" t="s">
        <v>252</v>
      </c>
      <c r="E579" s="199" t="str">
        <f>_xlfn.XLOOKUP(E575,CurrentPlans!B:B,CurrentPlans!Y:Y,"NA",0,1)</f>
        <v>NA</v>
      </c>
      <c r="F579" s="200"/>
      <c r="G579" s="200"/>
      <c r="H579" s="200"/>
      <c r="I579" s="199"/>
      <c r="J579" s="201"/>
      <c r="K579"/>
      <c r="L579" s="202" t="str">
        <f>_xlfn.XLOOKUP(L575,RenewalPlans!B:B,RenewalPlans!AB:AB,"NA",0,1)</f>
        <v>NA</v>
      </c>
      <c r="M579" s="200"/>
      <c r="N579" s="200"/>
      <c r="O579" s="200"/>
      <c r="P579" s="199"/>
      <c r="Q579" s="200"/>
      <c r="R579" s="201"/>
      <c r="T579" s="202" t="str">
        <f>_xlfn.XLOOKUP(T575,RenewalPlans!B:B,RenewalPlans!AB:AB,"NA",0,1)</f>
        <v>NA</v>
      </c>
      <c r="U579" s="200"/>
      <c r="V579" s="200"/>
      <c r="W579" s="200"/>
      <c r="X579" s="199"/>
      <c r="Y579" s="200"/>
      <c r="Z579" s="201"/>
    </row>
    <row r="580" spans="1:26" ht="18" customHeight="1" hidden="1">
      <c r="A580" s="140"/>
      <c r="B580" s="140"/>
      <c r="D580" s="120" t="s">
        <v>253</v>
      </c>
      <c r="E580" s="121" t="str">
        <f>_xlfn.XLOOKUP(E575,CurrentPlans!B:B,CurrentPlans!W:W,"NA",0,1)</f>
        <v>NA</v>
      </c>
      <c r="F580" s="122"/>
      <c r="G580" s="122"/>
      <c r="H580" s="122"/>
      <c r="I580" s="121"/>
      <c r="J580" s="123"/>
      <c r="K580"/>
      <c r="L580" s="124" t="str">
        <f>_xlfn.XLOOKUP(L575,RenewalPlans!B:B,RenewalPlans!Z:Z,"NA",0,1)</f>
        <v>NA</v>
      </c>
      <c r="M580" s="122"/>
      <c r="N580" s="122"/>
      <c r="O580" s="122"/>
      <c r="P580" s="121"/>
      <c r="Q580" s="122"/>
      <c r="R580" s="123"/>
      <c r="T580" s="124" t="str">
        <f>_xlfn.XLOOKUP(T575,RenewalPlans!B:B,RenewalPlans!Z:Z,"NA",0,1)</f>
        <v>NA</v>
      </c>
      <c r="U580" s="122"/>
      <c r="V580" s="122"/>
      <c r="W580" s="122"/>
      <c r="X580" s="121"/>
      <c r="Y580" s="122"/>
      <c r="Z580" s="123"/>
    </row>
    <row r="581" spans="1:26" ht="18" customHeight="1" hidden="1">
      <c r="A581" s="140"/>
      <c r="B581" s="140"/>
      <c r="D581" s="203" t="s">
        <v>254</v>
      </c>
      <c r="E581" s="204"/>
      <c r="F581" s="205"/>
      <c r="G581" s="205"/>
      <c r="H581" s="205"/>
      <c r="I581" s="204"/>
      <c r="J581" s="206"/>
      <c r="K581"/>
      <c r="L581" s="207"/>
      <c r="M581" s="205"/>
      <c r="N581" s="205"/>
      <c r="O581" s="205"/>
      <c r="P581" s="204"/>
      <c r="Q581" s="205"/>
      <c r="R581" s="206"/>
      <c r="T581" s="207"/>
      <c r="U581" s="205"/>
      <c r="V581" s="205"/>
      <c r="W581" s="205"/>
      <c r="X581" s="204"/>
      <c r="Y581" s="205"/>
      <c r="Z581" s="206"/>
    </row>
    <row r="582" spans="1:26" ht="18" customHeight="1" hidden="1">
      <c r="A582" s="140"/>
      <c r="B582" s="140"/>
      <c r="D582" s="125" t="s">
        <v>255</v>
      </c>
      <c r="E582" s="126" t="str">
        <f>_xlfn.XLOOKUP(E575,CurrentPlans!B:B,CurrentPlans!Z:Z,"NA",0,1)</f>
        <v>NA</v>
      </c>
      <c r="F582" s="127"/>
      <c r="G582" s="127"/>
      <c r="H582" s="127"/>
      <c r="I582" s="126"/>
      <c r="J582" s="128"/>
      <c r="K582"/>
      <c r="L582" s="129" t="str">
        <f>_xlfn.XLOOKUP(L575,RenewalPlans!B:B,RenewalPlans!AC:AC,"NA",0,1)</f>
        <v>NA</v>
      </c>
      <c r="M582" s="127"/>
      <c r="N582" s="127"/>
      <c r="O582" s="127"/>
      <c r="P582" s="126"/>
      <c r="Q582" s="127"/>
      <c r="R582" s="128"/>
      <c r="T582" s="129" t="str">
        <f>_xlfn.XLOOKUP(T575,RenewalPlans!B:B,RenewalPlans!AC:AC,"NA",0,1)</f>
        <v>NA</v>
      </c>
      <c r="U582" s="127"/>
      <c r="V582" s="127"/>
      <c r="W582" s="127"/>
      <c r="X582" s="126"/>
      <c r="Y582" s="127"/>
      <c r="Z582" s="128"/>
    </row>
    <row r="583" spans="1:26" ht="18" customHeight="1" hidden="1">
      <c r="A583" s="140"/>
      <c r="B583" s="140"/>
      <c r="D583" s="198" t="s">
        <v>256</v>
      </c>
      <c r="E583" s="208" t="str">
        <f>_xlfn.XLOOKUP(E575,CurrentPlans!B:B,CurrentPlans!AA:AA,"NA",0,1)</f>
        <v>NA</v>
      </c>
      <c r="F583" s="200"/>
      <c r="G583" s="200"/>
      <c r="H583" s="200"/>
      <c r="I583" s="208"/>
      <c r="J583" s="201"/>
      <c r="K583"/>
      <c r="L583" s="209" t="str">
        <f>_xlfn.XLOOKUP(L575,RenewalPlans!B:B,RenewalPlans!AD:AD,"NA",0,1)</f>
        <v>NA</v>
      </c>
      <c r="M583" s="200"/>
      <c r="N583" s="200"/>
      <c r="O583" s="200"/>
      <c r="P583" s="208"/>
      <c r="Q583" s="200"/>
      <c r="R583" s="201"/>
      <c r="T583" s="209" t="str">
        <f>_xlfn.XLOOKUP(T575,RenewalPlans!B:B,RenewalPlans!AD:AD,"NA",0,1)</f>
        <v>NA</v>
      </c>
      <c r="U583" s="200"/>
      <c r="V583" s="200"/>
      <c r="W583" s="200"/>
      <c r="X583" s="208"/>
      <c r="Y583" s="200"/>
      <c r="Z583" s="201"/>
    </row>
    <row r="584" spans="1:26" ht="18" customHeight="1" hidden="1">
      <c r="A584" s="140"/>
      <c r="B584" s="140"/>
      <c r="D584" s="203" t="s">
        <v>257</v>
      </c>
      <c r="E584" s="204"/>
      <c r="F584" s="205"/>
      <c r="G584" s="205"/>
      <c r="H584" s="205"/>
      <c r="I584" s="204"/>
      <c r="J584" s="206"/>
      <c r="K584"/>
      <c r="L584" s="207"/>
      <c r="M584" s="205"/>
      <c r="N584" s="205"/>
      <c r="O584" s="205"/>
      <c r="P584" s="204"/>
      <c r="Q584" s="205"/>
      <c r="R584" s="206"/>
      <c r="T584" s="207"/>
      <c r="U584" s="205"/>
      <c r="V584" s="205"/>
      <c r="W584" s="205"/>
      <c r="X584" s="204"/>
      <c r="Y584" s="205"/>
      <c r="Z584" s="206"/>
    </row>
    <row r="585" spans="1:26" ht="18" customHeight="1" hidden="1">
      <c r="A585" s="140"/>
      <c r="B585" s="140"/>
      <c r="D585" s="198" t="s">
        <v>258</v>
      </c>
      <c r="E585" s="208" t="str">
        <f>_xlfn.XLOOKUP(E575,CurrentPlans!B:B,CurrentPlans!AB:AB,"NA",0,1)</f>
        <v>NA</v>
      </c>
      <c r="F585" s="200"/>
      <c r="G585" s="200"/>
      <c r="H585" s="200"/>
      <c r="I585" s="208"/>
      <c r="J585" s="201"/>
      <c r="K585"/>
      <c r="L585" s="209" t="str">
        <f>_xlfn.XLOOKUP(L575,RenewalPlans!B:B,RenewalPlans!AE:AE,"NA",0,1)</f>
        <v>NA</v>
      </c>
      <c r="M585" s="200"/>
      <c r="N585" s="200"/>
      <c r="O585" s="200"/>
      <c r="P585" s="208"/>
      <c r="Q585" s="200"/>
      <c r="R585" s="201"/>
      <c r="T585" s="209" t="str">
        <f>_xlfn.XLOOKUP(T575,RenewalPlans!B:B,RenewalPlans!AE:AE,"NA",0,1)</f>
        <v>NA</v>
      </c>
      <c r="U585" s="200"/>
      <c r="V585" s="200"/>
      <c r="W585" s="200"/>
      <c r="X585" s="208"/>
      <c r="Y585" s="200"/>
      <c r="Z585" s="201"/>
    </row>
    <row r="586" spans="1:26" ht="18" customHeight="1" hidden="1">
      <c r="A586" s="140"/>
      <c r="B586" s="140"/>
      <c r="D586" s="198" t="s">
        <v>259</v>
      </c>
      <c r="E586" s="208" t="str">
        <f>_xlfn.XLOOKUP(E575,CurrentPlans!B:B,CurrentPlans!AC:AC,"NA",0,1)</f>
        <v>NA</v>
      </c>
      <c r="F586" s="200"/>
      <c r="G586" s="200"/>
      <c r="H586" s="200"/>
      <c r="I586" s="208"/>
      <c r="J586" s="201"/>
      <c r="K586"/>
      <c r="L586" s="209" t="str">
        <f>_xlfn.XLOOKUP(L575,RenewalPlans!B:B,RenewalPlans!AF:AF,"NA",0,1)</f>
        <v>NA</v>
      </c>
      <c r="M586" s="200"/>
      <c r="N586" s="200"/>
      <c r="O586" s="200"/>
      <c r="P586" s="208"/>
      <c r="Q586" s="200"/>
      <c r="R586" s="201"/>
      <c r="T586" s="209" t="str">
        <f>_xlfn.XLOOKUP(T575,RenewalPlans!B:B,RenewalPlans!AF:AF,"NA",0,1)</f>
        <v>NA</v>
      </c>
      <c r="U586" s="200"/>
      <c r="V586" s="200"/>
      <c r="W586" s="200"/>
      <c r="X586" s="208"/>
      <c r="Y586" s="200"/>
      <c r="Z586" s="201"/>
    </row>
    <row r="587" spans="1:26" ht="18" customHeight="1" hidden="1">
      <c r="A587" s="140"/>
      <c r="B587" s="140"/>
      <c r="D587" s="210"/>
      <c r="E587" s="211"/>
      <c r="F587" s="211"/>
      <c r="G587" s="211"/>
      <c r="H587" s="211"/>
      <c r="I587" s="211"/>
      <c r="J587" s="212"/>
      <c r="K587"/>
      <c r="L587" s="210"/>
      <c r="M587" s="211"/>
      <c r="N587" s="211"/>
      <c r="O587" s="211"/>
      <c r="P587" s="211"/>
      <c r="Q587" s="211"/>
      <c r="R587" s="212"/>
      <c r="T587" s="210"/>
      <c r="U587" s="211"/>
      <c r="V587" s="211"/>
      <c r="W587" s="211"/>
      <c r="X587" s="211"/>
      <c r="Y587" s="211"/>
      <c r="Z587" s="212"/>
    </row>
    <row r="588" spans="1:26" ht="18" customHeight="1" hidden="1">
      <c r="A588" s="140"/>
      <c r="B588" s="140"/>
      <c r="D588" s="185" t="s">
        <v>260</v>
      </c>
      <c r="E588" s="186"/>
      <c r="F588" s="186"/>
      <c r="G588" s="186"/>
      <c r="H588" s="186"/>
      <c r="I588" s="186"/>
      <c r="J588" s="187"/>
      <c r="K588"/>
      <c r="L588" s="188"/>
      <c r="M588" s="186"/>
      <c r="N588" s="186"/>
      <c r="O588" s="186"/>
      <c r="P588" s="186"/>
      <c r="Q588" s="186"/>
      <c r="R588" s="187"/>
      <c r="T588" s="188"/>
      <c r="U588" s="186"/>
      <c r="V588" s="186"/>
      <c r="W588" s="186"/>
      <c r="X588" s="186"/>
      <c r="Y588" s="186"/>
      <c r="Z588" s="187"/>
    </row>
    <row r="589" spans="1:26" ht="18" customHeight="1" hidden="1">
      <c r="A589" s="140"/>
      <c r="B589" s="140"/>
      <c r="D589" s="213" t="s">
        <v>261</v>
      </c>
      <c r="E589" s="130" t="str">
        <f>_xlfn.XLOOKUP(E575,CurrentPlans!B:B,CurrentPlans!AJ:AJ,"NA",0,1)</f>
        <v>NA</v>
      </c>
      <c r="F589" s="214"/>
      <c r="G589" s="214"/>
      <c r="H589" s="214"/>
      <c r="I589" s="130"/>
      <c r="J589" s="215"/>
      <c r="K589"/>
      <c r="L589" s="131" t="str">
        <f>_xlfn.XLOOKUP(L575,RenewalPlans!B:B,RenewalPlans!AM:AM,"NA",0,1)</f>
        <v>NA</v>
      </c>
      <c r="M589" s="214"/>
      <c r="N589" s="214"/>
      <c r="O589" s="214"/>
      <c r="P589" s="130"/>
      <c r="Q589" s="214"/>
      <c r="R589" s="215"/>
      <c r="T589" s="131" t="str">
        <f>_xlfn.XLOOKUP(T575,RenewalPlans!B:B,RenewalPlans!AM:AM,"NA",0,1)</f>
        <v>NA</v>
      </c>
      <c r="U589" s="214"/>
      <c r="V589" s="214"/>
      <c r="W589" s="214"/>
      <c r="X589" s="130"/>
      <c r="Y589" s="214"/>
      <c r="Z589" s="215"/>
    </row>
    <row r="590" spans="1:26" ht="18" customHeight="1" hidden="1">
      <c r="A590" s="140"/>
      <c r="B590" s="140"/>
      <c r="D590" s="198" t="s">
        <v>262</v>
      </c>
      <c r="E590" s="130" t="str">
        <f>_xlfn.XLOOKUP(E575,CurrentPlans!B:B,CurrentPlans!AM:AM,"NA",0,1)</f>
        <v>NA</v>
      </c>
      <c r="F590" s="200"/>
      <c r="G590" s="200"/>
      <c r="H590" s="200"/>
      <c r="I590" s="130"/>
      <c r="J590" s="201"/>
      <c r="K590"/>
      <c r="L590" s="131" t="str">
        <f>_xlfn.XLOOKUP(L575,RenewalPlans!B:B,RenewalPlans!AP:AP,"NA",0,1)</f>
        <v>NA</v>
      </c>
      <c r="M590" s="200"/>
      <c r="N590" s="200"/>
      <c r="O590" s="200"/>
      <c r="P590" s="130"/>
      <c r="Q590" s="200"/>
      <c r="R590" s="201"/>
      <c r="T590" s="131" t="str">
        <f>_xlfn.XLOOKUP(T575,RenewalPlans!B:B,RenewalPlans!AP:AP,"NA",0,1)</f>
        <v>NA</v>
      </c>
      <c r="U590" s="200"/>
      <c r="V590" s="200"/>
      <c r="W590" s="200"/>
      <c r="X590" s="130"/>
      <c r="Y590" s="200"/>
      <c r="Z590" s="201"/>
    </row>
    <row r="591" spans="1:26" ht="18" customHeight="1" hidden="1">
      <c r="A591" s="140"/>
      <c r="B591" s="140"/>
      <c r="D591" s="198" t="s">
        <v>263</v>
      </c>
      <c r="E591" s="130" t="str">
        <f>_xlfn.XLOOKUP(E575,CurrentPlans!B:B,CurrentPlans!AI:AI,"NA",0,1)</f>
        <v>NA</v>
      </c>
      <c r="F591" s="200"/>
      <c r="G591" s="200"/>
      <c r="H591" s="200"/>
      <c r="I591" s="130"/>
      <c r="J591" s="201"/>
      <c r="K591"/>
      <c r="L591" s="131" t="str">
        <f>_xlfn.XLOOKUP(L575,RenewalPlans!B:B,RenewalPlans!AL:AL,"NA",0,1)</f>
        <v>NA</v>
      </c>
      <c r="M591" s="200"/>
      <c r="N591" s="200"/>
      <c r="O591" s="200"/>
      <c r="P591" s="130"/>
      <c r="Q591" s="200"/>
      <c r="R591" s="201"/>
      <c r="T591" s="131" t="str">
        <f>_xlfn.XLOOKUP(T575,RenewalPlans!B:B,RenewalPlans!AL:AL,"NA",0,1)</f>
        <v>NA</v>
      </c>
      <c r="U591" s="200"/>
      <c r="V591" s="200"/>
      <c r="W591" s="200"/>
      <c r="X591" s="130"/>
      <c r="Y591" s="200"/>
      <c r="Z591" s="201"/>
    </row>
    <row r="592" spans="1:26" ht="18" customHeight="1" hidden="1">
      <c r="A592" s="140"/>
      <c r="B592" s="140"/>
      <c r="D592" s="198" t="s">
        <v>264</v>
      </c>
      <c r="E592" s="208" t="str">
        <f>_xlfn.XLOOKUP(E575,CurrentPlans!B:B,CurrentPlans!AN:AN,"NA",0,1)</f>
        <v>NA</v>
      </c>
      <c r="F592" s="200"/>
      <c r="G592" s="200"/>
      <c r="H592" s="200"/>
      <c r="I592" s="208"/>
      <c r="J592" s="201"/>
      <c r="K592"/>
      <c r="L592" s="209" t="str">
        <f>_xlfn.XLOOKUP(L575,RenewalPlans!B:B,RenewalPlans!AQ:AQ,"NA",0,1)</f>
        <v>NA</v>
      </c>
      <c r="M592" s="200"/>
      <c r="N592" s="200"/>
      <c r="O592" s="200"/>
      <c r="P592" s="208"/>
      <c r="Q592" s="200"/>
      <c r="R592" s="201"/>
      <c r="T592" s="209" t="str">
        <f>_xlfn.XLOOKUP(T575,RenewalPlans!B:B,RenewalPlans!AQ:AQ,"NA",0,1)</f>
        <v>NA</v>
      </c>
      <c r="U592" s="200"/>
      <c r="V592" s="200"/>
      <c r="W592" s="200"/>
      <c r="X592" s="208"/>
      <c r="Y592" s="200"/>
      <c r="Z592" s="201"/>
    </row>
    <row r="593" spans="1:26" ht="18" customHeight="1" hidden="1">
      <c r="A593" s="140"/>
      <c r="B593" s="140"/>
      <c r="D593" s="210"/>
      <c r="E593" s="211"/>
      <c r="F593" s="211"/>
      <c r="G593" s="211"/>
      <c r="H593" s="211"/>
      <c r="I593" s="211"/>
      <c r="J593" s="212"/>
      <c r="K593"/>
      <c r="L593" s="210"/>
      <c r="M593" s="211"/>
      <c r="N593" s="211"/>
      <c r="O593" s="211"/>
      <c r="P593" s="211"/>
      <c r="Q593" s="211"/>
      <c r="R593" s="212"/>
      <c r="T593" s="210"/>
      <c r="U593" s="211"/>
      <c r="V593" s="211"/>
      <c r="W593" s="211"/>
      <c r="X593" s="211"/>
      <c r="Y593" s="211"/>
      <c r="Z593" s="212"/>
    </row>
    <row r="594" spans="1:26" ht="18" customHeight="1" hidden="1">
      <c r="A594" s="140"/>
      <c r="B594" s="140"/>
      <c r="D594" s="185" t="s">
        <v>265</v>
      </c>
      <c r="E594" s="186"/>
      <c r="F594" s="186"/>
      <c r="G594" s="186"/>
      <c r="H594" s="186"/>
      <c r="I594" s="186"/>
      <c r="J594" s="187"/>
      <c r="K594"/>
      <c r="L594" s="188"/>
      <c r="M594" s="186"/>
      <c r="N594" s="186"/>
      <c r="O594" s="186"/>
      <c r="P594" s="186"/>
      <c r="Q594" s="186"/>
      <c r="R594" s="187"/>
      <c r="T594" s="188"/>
      <c r="U594" s="186"/>
      <c r="V594" s="186"/>
      <c r="W594" s="186"/>
      <c r="X594" s="186"/>
      <c r="Y594" s="186"/>
      <c r="Z594" s="187"/>
    </row>
    <row r="595" spans="1:26" ht="18" customHeight="1" hidden="1">
      <c r="A595" s="140"/>
      <c r="B595" s="140"/>
      <c r="D595" s="132" t="s">
        <v>266</v>
      </c>
      <c r="E595" s="133" t="str">
        <f>_xlfn.XLOOKUP(E575,CurrentPlans!B:B,CurrentPlans!AE:AE,"NA",0,1)</f>
        <v>NA</v>
      </c>
      <c r="F595" s="134"/>
      <c r="G595" s="134"/>
      <c r="H595" s="134"/>
      <c r="I595" s="133"/>
      <c r="J595" s="135"/>
      <c r="K595"/>
      <c r="L595" s="136" t="str">
        <f>_xlfn.XLOOKUP(L575,RenewalPlans!B:B,RenewalPlans!AH:AH,"NA",0,1)</f>
        <v>NA</v>
      </c>
      <c r="M595" s="134"/>
      <c r="N595" s="134"/>
      <c r="O595" s="134"/>
      <c r="P595" s="133"/>
      <c r="Q595" s="134"/>
      <c r="R595" s="135"/>
      <c r="T595" s="136" t="str">
        <f>_xlfn.XLOOKUP(T575,RenewalPlans!B:B,RenewalPlans!AH:AH,"NA",0,1)</f>
        <v>NA</v>
      </c>
      <c r="U595" s="134"/>
      <c r="V595" s="134"/>
      <c r="W595" s="134"/>
      <c r="X595" s="133"/>
      <c r="Y595" s="134"/>
      <c r="Z595" s="135"/>
    </row>
    <row r="596" spans="1:26" ht="18" customHeight="1" hidden="1">
      <c r="A596" s="140"/>
      <c r="B596" s="140"/>
      <c r="D596" s="120" t="s">
        <v>267</v>
      </c>
      <c r="E596" s="130" t="str">
        <f>_xlfn.XLOOKUP(E575,CurrentPlans!B:B,CurrentPlans!AF:AF,"NA",0,1)</f>
        <v>NA</v>
      </c>
      <c r="F596" s="122"/>
      <c r="G596" s="122"/>
      <c r="H596" s="122"/>
      <c r="I596" s="130"/>
      <c r="J596" s="123"/>
      <c r="K596"/>
      <c r="L596" s="131" t="str">
        <f>_xlfn.XLOOKUP(L575,RenewalPlans!B:B,RenewalPlans!AI:AI,"NA",0,1)</f>
        <v>NA</v>
      </c>
      <c r="M596" s="122"/>
      <c r="N596" s="122"/>
      <c r="O596" s="122"/>
      <c r="P596" s="130"/>
      <c r="Q596" s="122"/>
      <c r="R596" s="123"/>
      <c r="T596" s="131" t="str">
        <f>_xlfn.XLOOKUP(T575,RenewalPlans!B:B,RenewalPlans!AI:AI,"NA",0,1)</f>
        <v>NA</v>
      </c>
      <c r="U596" s="122"/>
      <c r="V596" s="122"/>
      <c r="W596" s="122"/>
      <c r="X596" s="130"/>
      <c r="Y596" s="122"/>
      <c r="Z596" s="123"/>
    </row>
    <row r="597" spans="1:26" ht="18" customHeight="1" hidden="1">
      <c r="A597" s="140"/>
      <c r="B597" s="140"/>
      <c r="D597" s="198" t="s">
        <v>268</v>
      </c>
      <c r="E597" s="130" t="str">
        <f>_xlfn.XLOOKUP(E575,CurrentPlans!B:B,CurrentPlans!AH:AH,"NA",0,1)</f>
        <v>NA</v>
      </c>
      <c r="F597" s="200"/>
      <c r="G597" s="200"/>
      <c r="H597" s="200"/>
      <c r="I597" s="130"/>
      <c r="J597" s="201"/>
      <c r="K597"/>
      <c r="L597" s="131" t="str">
        <f>_xlfn.XLOOKUP(L575,RenewalPlans!B:B,RenewalPlans!AK:AK,"NA",0,1)</f>
        <v>NA</v>
      </c>
      <c r="M597" s="200"/>
      <c r="N597" s="200"/>
      <c r="O597" s="200"/>
      <c r="P597" s="130"/>
      <c r="Q597" s="200"/>
      <c r="R597" s="201"/>
      <c r="T597" s="131" t="str">
        <f>_xlfn.XLOOKUP(T575,RenewalPlans!B:B,RenewalPlans!AK:AK,"NA",0,1)</f>
        <v>NA</v>
      </c>
      <c r="U597" s="200"/>
      <c r="V597" s="200"/>
      <c r="W597" s="200"/>
      <c r="X597" s="130"/>
      <c r="Y597" s="200"/>
      <c r="Z597" s="201"/>
    </row>
    <row r="598" spans="1:26" ht="18" customHeight="1" hidden="1">
      <c r="A598" s="140"/>
      <c r="B598" s="140"/>
      <c r="D598" s="198" t="s">
        <v>269</v>
      </c>
      <c r="E598" s="130" t="str">
        <f>_xlfn.XLOOKUP(E575,CurrentPlans!B:B,CurrentPlans!AG:AG,"NA",0,1)</f>
        <v>NA</v>
      </c>
      <c r="F598" s="200"/>
      <c r="G598" s="200"/>
      <c r="H598" s="200"/>
      <c r="I598" s="130"/>
      <c r="J598" s="201"/>
      <c r="K598"/>
      <c r="L598" s="131" t="str">
        <f>_xlfn.XLOOKUP(L575,RenewalPlans!B:B,RenewalPlans!AJ:AJ,"NA",0,1)</f>
        <v>NA</v>
      </c>
      <c r="M598" s="200"/>
      <c r="N598" s="200"/>
      <c r="O598" s="200"/>
      <c r="P598" s="130"/>
      <c r="Q598" s="200"/>
      <c r="R598" s="201"/>
      <c r="T598" s="131" t="str">
        <f>_xlfn.XLOOKUP(T575,RenewalPlans!B:B,RenewalPlans!AJ:AJ,"NA",0,1)</f>
        <v>NA</v>
      </c>
      <c r="U598" s="200"/>
      <c r="V598" s="200"/>
      <c r="W598" s="200"/>
      <c r="X598" s="130"/>
      <c r="Y598" s="200"/>
      <c r="Z598" s="201"/>
    </row>
    <row r="599" spans="1:26" ht="18" customHeight="1" hidden="1">
      <c r="A599" s="140"/>
      <c r="B599" s="140"/>
      <c r="D599" s="213" t="s">
        <v>270</v>
      </c>
      <c r="E599" s="216" t="str">
        <f>_xlfn.XLOOKUP(E575,CurrentPlans!B:B,CurrentPlans!AU:AU,"NA",0,1)</f>
        <v>NA</v>
      </c>
      <c r="F599" s="214"/>
      <c r="G599" s="214"/>
      <c r="H599" s="214"/>
      <c r="I599" s="217"/>
      <c r="J599" s="215"/>
      <c r="K599"/>
      <c r="L599" s="218" t="str">
        <f>_xlfn.XLOOKUP(L575,RenewalPlans!B:B,RenewalPlans!AX:AX,"NA",0,1)</f>
        <v>NA</v>
      </c>
      <c r="M599" s="214"/>
      <c r="N599" s="214"/>
      <c r="O599" s="214"/>
      <c r="P599" s="217"/>
      <c r="Q599" s="214"/>
      <c r="R599" s="215"/>
      <c r="T599" s="218" t="str">
        <f>_xlfn.XLOOKUP(T575,RenewalPlans!B:B,RenewalPlans!AX:AX,"NA",0,1)</f>
        <v>NA</v>
      </c>
      <c r="U599" s="214"/>
      <c r="V599" s="214"/>
      <c r="W599" s="214"/>
      <c r="X599" s="217"/>
      <c r="Y599" s="214"/>
      <c r="Z599" s="215"/>
    </row>
    <row r="600" spans="1:26" ht="18" customHeight="1" hidden="1">
      <c r="A600" s="140"/>
      <c r="B600" s="140"/>
      <c r="D600" s="213" t="s">
        <v>271</v>
      </c>
      <c r="E600" s="216" t="str">
        <f>_xlfn.XLOOKUP(E575,CurrentPlans!B:B,CurrentPlans!AT:AT,"NA",0,1)</f>
        <v>NA</v>
      </c>
      <c r="F600" s="214"/>
      <c r="G600" s="214"/>
      <c r="H600" s="214"/>
      <c r="I600" s="217"/>
      <c r="J600" s="215"/>
      <c r="K600"/>
      <c r="L600" s="218" t="str">
        <f>_xlfn.XLOOKUP(L575,RenewalPlans!B:B,RenewalPlans!AW:AW,"NA",0,1)</f>
        <v>NA</v>
      </c>
      <c r="M600" s="214"/>
      <c r="N600" s="214"/>
      <c r="O600" s="214"/>
      <c r="P600" s="217"/>
      <c r="Q600" s="214"/>
      <c r="R600" s="215"/>
      <c r="T600" s="218" t="str">
        <f>_xlfn.XLOOKUP(T575,RenewalPlans!B:B,RenewalPlans!AW:AW,"NA",0,1)</f>
        <v>NA</v>
      </c>
      <c r="U600" s="214"/>
      <c r="V600" s="214"/>
      <c r="W600" s="214"/>
      <c r="X600" s="217"/>
      <c r="Y600" s="214"/>
      <c r="Z600" s="215"/>
    </row>
    <row r="601" spans="1:26" ht="18" customHeight="1" hidden="1">
      <c r="A601" s="140"/>
      <c r="B601" s="140"/>
      <c r="D601" s="198" t="s">
        <v>272</v>
      </c>
      <c r="E601" s="130" t="str">
        <f>_xlfn.XLOOKUP(E575,CurrentPlans!B:B,CurrentPlans!AD:AD,"NA",0,1)</f>
        <v>NA</v>
      </c>
      <c r="F601" s="200"/>
      <c r="G601" s="200"/>
      <c r="H601" s="200"/>
      <c r="I601" s="130"/>
      <c r="J601" s="201"/>
      <c r="K601"/>
      <c r="L601" s="131" t="str">
        <f>_xlfn.XLOOKUP(L575,RenewalPlans!B:B,RenewalPlans!AG:AG,"NA",0,1)</f>
        <v>NA</v>
      </c>
      <c r="M601" s="200"/>
      <c r="N601" s="200"/>
      <c r="O601" s="200"/>
      <c r="P601" s="130"/>
      <c r="Q601" s="200"/>
      <c r="R601" s="201"/>
      <c r="T601" s="131" t="str">
        <f>_xlfn.XLOOKUP(T575,RenewalPlans!B:B,RenewalPlans!AG:AG,"NA",0,1)</f>
        <v>NA</v>
      </c>
      <c r="U601" s="200"/>
      <c r="V601" s="200"/>
      <c r="W601" s="200"/>
      <c r="X601" s="130"/>
      <c r="Y601" s="200"/>
      <c r="Z601" s="201"/>
    </row>
    <row r="602" spans="1:26" ht="18" customHeight="1" hidden="1">
      <c r="A602" s="140"/>
      <c r="B602" s="140"/>
      <c r="D602" s="198" t="s">
        <v>273</v>
      </c>
      <c r="E602" s="200"/>
      <c r="F602" s="200"/>
      <c r="G602" s="200"/>
      <c r="H602" s="200"/>
      <c r="I602" s="200"/>
      <c r="J602" s="201"/>
      <c r="K602"/>
      <c r="L602" s="198"/>
      <c r="M602" s="200"/>
      <c r="N602" s="200"/>
      <c r="O602" s="200"/>
      <c r="P602" s="200"/>
      <c r="Q602" s="200"/>
      <c r="R602" s="201"/>
      <c r="T602" s="198"/>
      <c r="U602" s="200"/>
      <c r="V602" s="200"/>
      <c r="W602" s="200"/>
      <c r="X602" s="200"/>
      <c r="Y602" s="200"/>
      <c r="Z602" s="201"/>
    </row>
    <row r="603" spans="1:26" ht="18" customHeight="1" hidden="1">
      <c r="A603" s="140"/>
      <c r="B603" s="140"/>
      <c r="D603" s="210"/>
      <c r="E603" s="211"/>
      <c r="F603" s="211"/>
      <c r="G603" s="211"/>
      <c r="H603" s="211"/>
      <c r="I603" s="211"/>
      <c r="J603" s="212"/>
      <c r="K603"/>
      <c r="L603" s="210"/>
      <c r="M603" s="211"/>
      <c r="N603" s="211"/>
      <c r="O603" s="211"/>
      <c r="P603" s="211"/>
      <c r="Q603" s="211"/>
      <c r="R603" s="212"/>
      <c r="T603" s="210"/>
      <c r="U603" s="211"/>
      <c r="V603" s="211"/>
      <c r="W603" s="211"/>
      <c r="X603" s="211"/>
      <c r="Y603" s="211"/>
      <c r="Z603" s="212"/>
    </row>
    <row r="604" spans="1:26" ht="18" customHeight="1" hidden="1">
      <c r="A604" s="140"/>
      <c r="B604" s="140"/>
      <c r="D604" s="219" t="s">
        <v>274</v>
      </c>
      <c r="E604" s="220"/>
      <c r="F604" s="220"/>
      <c r="G604" s="220"/>
      <c r="H604" s="220"/>
      <c r="I604" s="220"/>
      <c r="J604" s="221"/>
      <c r="K604"/>
      <c r="L604" s="222"/>
      <c r="M604" s="220"/>
      <c r="N604" s="220"/>
      <c r="O604" s="220"/>
      <c r="P604" s="220"/>
      <c r="Q604" s="220"/>
      <c r="R604" s="221"/>
      <c r="T604" s="222"/>
      <c r="U604" s="220"/>
      <c r="V604" s="220"/>
      <c r="W604" s="220"/>
      <c r="X604" s="220"/>
      <c r="Y604" s="220"/>
      <c r="Z604" s="221"/>
    </row>
    <row r="605" spans="1:26" ht="18" customHeight="1" hidden="1">
      <c r="A605" s="140"/>
      <c r="B605" s="140"/>
      <c r="D605" s="223" t="s">
        <v>250</v>
      </c>
      <c r="E605" s="205"/>
      <c r="F605" s="205"/>
      <c r="G605" s="205"/>
      <c r="H605" s="205"/>
      <c r="I605" s="205"/>
      <c r="J605" s="206"/>
      <c r="K605"/>
      <c r="L605" s="203"/>
      <c r="M605" s="205"/>
      <c r="N605" s="205"/>
      <c r="O605" s="205"/>
      <c r="P605" s="205"/>
      <c r="Q605" s="205"/>
      <c r="R605" s="206"/>
      <c r="T605" s="203"/>
      <c r="U605" s="205"/>
      <c r="V605" s="205"/>
      <c r="W605" s="205"/>
      <c r="X605" s="205"/>
      <c r="Y605" s="205"/>
      <c r="Z605" s="206"/>
    </row>
    <row r="606" spans="1:26" ht="18" customHeight="1" hidden="1">
      <c r="A606" s="140"/>
      <c r="B606" s="140"/>
      <c r="D606" s="198" t="s">
        <v>251</v>
      </c>
      <c r="E606" s="130" t="str">
        <f>_xlfn.XLOOKUP(E575,CurrentPlans!B:B,CurrentPlans!AP:AP,"NA",0,1)</f>
        <v>NA</v>
      </c>
      <c r="F606" s="200"/>
      <c r="G606" s="200"/>
      <c r="H606" s="200"/>
      <c r="I606" s="130"/>
      <c r="J606" s="201"/>
      <c r="K606"/>
      <c r="L606" s="131" t="str">
        <f>_xlfn.XLOOKUP(L575,RenewalPlans!B:B,RenewalPlans!AS:AS,"NA",0,1)</f>
        <v>NA</v>
      </c>
      <c r="M606" s="200"/>
      <c r="N606" s="200"/>
      <c r="O606" s="200"/>
      <c r="P606" s="130"/>
      <c r="Q606" s="200"/>
      <c r="R606" s="201"/>
      <c r="T606" s="131" t="str">
        <f>_xlfn.XLOOKUP(T575,RenewalPlans!B:B,RenewalPlans!AS:AS,"NA",0,1)</f>
        <v>NA</v>
      </c>
      <c r="U606" s="200"/>
      <c r="V606" s="200"/>
      <c r="W606" s="200"/>
      <c r="X606" s="130"/>
      <c r="Y606" s="200"/>
      <c r="Z606" s="201"/>
    </row>
    <row r="607" spans="1:26" ht="18" customHeight="1" hidden="1">
      <c r="A607" s="140"/>
      <c r="B607" s="140"/>
      <c r="D607" s="198" t="s">
        <v>252</v>
      </c>
      <c r="E607" s="130" t="str">
        <f>_xlfn.XLOOKUP(E575,CurrentPlans!B:B,CurrentPlans!AQ:AQ,"NA",0,1)</f>
        <v>NA</v>
      </c>
      <c r="F607" s="200"/>
      <c r="G607" s="200"/>
      <c r="H607" s="200"/>
      <c r="I607" s="130"/>
      <c r="J607" s="201"/>
      <c r="K607"/>
      <c r="L607" s="131" t="str">
        <f>_xlfn.XLOOKUP(L575,RenewalPlans!B:B,RenewalPlans!AT:AT,"NA",0,1)</f>
        <v>NA</v>
      </c>
      <c r="M607" s="200"/>
      <c r="N607" s="200"/>
      <c r="O607" s="200"/>
      <c r="P607" s="130"/>
      <c r="Q607" s="200"/>
      <c r="R607" s="201"/>
      <c r="T607" s="131" t="str">
        <f>_xlfn.XLOOKUP(T575,RenewalPlans!B:B,RenewalPlans!AT:AT,"NA",0,1)</f>
        <v>NA</v>
      </c>
      <c r="U607" s="200"/>
      <c r="V607" s="200"/>
      <c r="W607" s="200"/>
      <c r="X607" s="130"/>
      <c r="Y607" s="200"/>
      <c r="Z607" s="201"/>
    </row>
    <row r="608" spans="1:26" ht="18" customHeight="1" hidden="1">
      <c r="A608" s="140"/>
      <c r="B608" s="140"/>
      <c r="D608" s="120" t="s">
        <v>253</v>
      </c>
      <c r="E608" s="133" t="str">
        <f>_xlfn.XLOOKUP(E575,CurrentPlans!B:B,CurrentPlans!AO:AO,"NA",0,1)</f>
        <v>NA</v>
      </c>
      <c r="F608" s="122"/>
      <c r="G608" s="122"/>
      <c r="H608" s="122"/>
      <c r="I608" s="133"/>
      <c r="J608" s="123"/>
      <c r="K608"/>
      <c r="L608" s="136" t="str">
        <f>_xlfn.XLOOKUP(L575,RenewalPlans!B:B,RenewalPlans!AR:AR,"NA",0,1)</f>
        <v>NA</v>
      </c>
      <c r="M608" s="122"/>
      <c r="N608" s="122"/>
      <c r="O608" s="122"/>
      <c r="P608" s="133"/>
      <c r="Q608" s="122"/>
      <c r="R608" s="123"/>
      <c r="T608" s="136" t="str">
        <f>_xlfn.XLOOKUP(T575,RenewalPlans!B:B,RenewalPlans!AR:AR,"NA",0,1)</f>
        <v>NA</v>
      </c>
      <c r="U608" s="122"/>
      <c r="V608" s="122"/>
      <c r="W608" s="122"/>
      <c r="X608" s="133"/>
      <c r="Y608" s="122"/>
      <c r="Z608" s="123"/>
    </row>
    <row r="609" spans="1:26" ht="18" customHeight="1" hidden="1">
      <c r="A609" s="140"/>
      <c r="B609" s="140"/>
      <c r="D609" s="223" t="s">
        <v>254</v>
      </c>
      <c r="E609" s="205"/>
      <c r="F609" s="205"/>
      <c r="G609" s="205"/>
      <c r="H609" s="205"/>
      <c r="I609" s="205"/>
      <c r="J609" s="206"/>
      <c r="K609"/>
      <c r="L609" s="203"/>
      <c r="M609" s="205"/>
      <c r="N609" s="205"/>
      <c r="O609" s="205"/>
      <c r="P609" s="205"/>
      <c r="Q609" s="205"/>
      <c r="R609" s="206"/>
      <c r="T609" s="203"/>
      <c r="U609" s="205"/>
      <c r="V609" s="205"/>
      <c r="W609" s="205"/>
      <c r="X609" s="205"/>
      <c r="Y609" s="205"/>
      <c r="Z609" s="206"/>
    </row>
    <row r="610" spans="1:26" ht="18" customHeight="1" hidden="1">
      <c r="A610" s="140"/>
      <c r="B610" s="140"/>
      <c r="D610" s="198" t="s">
        <v>255</v>
      </c>
      <c r="E610" s="130" t="str">
        <f>_xlfn.XLOOKUP(E575,CurrentPlans!B:B,CurrentPlans!AR:AR,"NA",0,1)</f>
        <v>NA</v>
      </c>
      <c r="F610" s="200"/>
      <c r="G610" s="200"/>
      <c r="H610" s="200"/>
      <c r="I610" s="130"/>
      <c r="J610" s="201"/>
      <c r="K610"/>
      <c r="L610" s="131" t="str">
        <f>_xlfn.XLOOKUP(L575,RenewalPlans!B:B,RenewalPlans!AU:AU,"NA",0,1)</f>
        <v>NA</v>
      </c>
      <c r="M610" s="200"/>
      <c r="N610" s="200"/>
      <c r="O610" s="200"/>
      <c r="P610" s="130"/>
      <c r="Q610" s="200"/>
      <c r="R610" s="201"/>
      <c r="T610" s="131" t="str">
        <f>_xlfn.XLOOKUP(T575,RenewalPlans!B:B,RenewalPlans!AU:AU,"NA",0,1)</f>
        <v>NA</v>
      </c>
      <c r="U610" s="200"/>
      <c r="V610" s="200"/>
      <c r="W610" s="200"/>
      <c r="X610" s="130"/>
      <c r="Y610" s="200"/>
      <c r="Z610" s="201"/>
    </row>
    <row r="611" spans="1:26" ht="18" customHeight="1" hidden="1" thickBot="1">
      <c r="A611" s="140"/>
      <c r="B611" s="140"/>
      <c r="D611" s="224" t="s">
        <v>256</v>
      </c>
      <c r="E611" s="137" t="str">
        <f>_xlfn.XLOOKUP(E575,CurrentPlans!B:B,CurrentPlans!AS:AS,"NA",0,1)</f>
        <v>NA</v>
      </c>
      <c r="F611" s="225"/>
      <c r="G611" s="225"/>
      <c r="H611" s="225"/>
      <c r="I611" s="137"/>
      <c r="J611" s="226"/>
      <c r="K611"/>
      <c r="L611" s="138" t="str">
        <f>_xlfn.XLOOKUP(L575,RenewalPlans!B:B,RenewalPlans!AV:AV,"NA",0,1)</f>
        <v>NA</v>
      </c>
      <c r="M611" s="225"/>
      <c r="N611" s="225"/>
      <c r="O611" s="225"/>
      <c r="P611" s="137"/>
      <c r="Q611" s="225"/>
      <c r="R611" s="226"/>
      <c r="T611" s="138" t="str">
        <f>_xlfn.XLOOKUP(T575,RenewalPlans!B:B,RenewalPlans!AV:AV,"NA",0,1)</f>
        <v>NA</v>
      </c>
      <c r="U611" s="225"/>
      <c r="V611" s="225"/>
      <c r="W611" s="225"/>
      <c r="X611" s="137"/>
      <c r="Y611" s="225"/>
      <c r="Z611" s="226"/>
    </row>
    <row r="612" spans="1:26" ht="18" customHeight="1">
      <c r="A612" s="140"/>
      <c r="B612" s="140"/>
      <c r="D612" s="227"/>
      <c r="E612" s="176"/>
      <c r="F612" s="178"/>
      <c r="G612" s="179"/>
      <c r="H612" s="178"/>
      <c r="I612" s="176"/>
      <c r="J612" s="228"/>
      <c r="K612"/>
      <c r="L612" s="178"/>
      <c r="M612" s="176"/>
      <c r="N612" s="139"/>
      <c r="O612" s="178"/>
      <c r="P612" s="178"/>
      <c r="Q612" s="178"/>
      <c r="R612" s="228"/>
      <c r="T612" s="178"/>
      <c r="U612" s="176"/>
      <c r="V612" s="139"/>
      <c r="W612" s="178"/>
      <c r="X612" s="178"/>
      <c r="Y612" s="178"/>
      <c r="Z612" s="228"/>
    </row>
    <row r="613" spans="1:26" ht="5.25" customHeight="1" thickBot="1">
      <c r="A613" s="140"/>
      <c r="B613" s="140"/>
      <c r="D613" s="229"/>
      <c r="E613" s="229"/>
      <c r="F613" s="230"/>
      <c r="G613" s="231"/>
      <c r="H613" s="232"/>
      <c r="I613" s="233"/>
      <c r="J613" s="233"/>
      <c r="K613"/>
      <c r="L613" s="233"/>
      <c r="M613" s="233"/>
      <c r="N613" s="233"/>
      <c r="O613" s="233"/>
      <c r="P613" s="233"/>
      <c r="Q613" s="233"/>
      <c r="R613" s="233"/>
      <c r="T613" s="233"/>
      <c r="U613" s="233"/>
      <c r="V613" s="233"/>
      <c r="W613" s="233"/>
      <c r="X613" s="233"/>
      <c r="Y613" s="233"/>
      <c r="Z613" s="233"/>
    </row>
    <row r="614" spans="1:26" ht="50.15" customHeight="1">
      <c r="A614" s="140"/>
      <c r="B614" s="140"/>
      <c r="C614" s="164" t="s">
        <v>287</v>
      </c>
      <c r="D614" s="275" t="s">
        <v>285</v>
      </c>
      <c r="E614" s="165"/>
      <c r="F614" s="272"/>
      <c r="G614" s="166"/>
      <c r="H614" s="167"/>
      <c r="I614" s="168"/>
      <c r="J614" s="169"/>
      <c r="K614"/>
      <c r="L614" s="274" t="s">
        <v>38</v>
      </c>
      <c r="M614" s="170"/>
      <c r="N614" s="274" t="s">
        <v>237</v>
      </c>
      <c r="O614" s="171"/>
      <c r="P614" s="171"/>
      <c r="Q614" s="171"/>
      <c r="R614" s="169"/>
      <c r="T614" s="274" t="s">
        <v>38</v>
      </c>
      <c r="U614" s="170"/>
      <c r="V614" s="274" t="s">
        <v>237</v>
      </c>
      <c r="W614" s="171"/>
      <c r="X614" s="171"/>
      <c r="Y614" s="171"/>
      <c r="Z614" s="169"/>
    </row>
    <row r="615" spans="1:26" ht="18.75" customHeight="1">
      <c r="A615" s="140"/>
      <c r="B615" s="140"/>
      <c r="D615" s="172" t="s">
        <v>238</v>
      </c>
      <c r="E615" s="407"/>
      <c r="F615" s="449"/>
      <c r="G615" s="470"/>
      <c r="H615" s="449"/>
      <c r="I615" s="450"/>
      <c r="J615" s="410"/>
      <c r="K615" s="411"/>
      <c r="L615" s="408" t="str" cm="1">
        <f t="array" ca="1" aca="1" ref="L615">_xlfn.IFNA(VLOOKUP(INDIRECT("L"&amp;ROW()-1)&amp;"_"&amp;$D$12,BEGIN_RENEW_HEALTH:END_RENEW_HEALTH,RENEW_COL_EO,FALSE),"")</f>
        <v/>
      </c>
      <c r="M615" s="412" t="str">
        <f>IF(E615="","",E615)</f>
        <v/>
      </c>
      <c r="N615" s="413"/>
      <c r="O615" s="414"/>
      <c r="P615" s="415" t="str">
        <f>IFERROR(IF($N614="Keep Contribution Same",H615,IF($N614="Enter Percentages",IF(N615="","",N615*L615),IF($N614="Keep Percentage Same",IF(G615="","",G615*L615),IF($N614="Enter Dollar Amount",IF(O615="","",O615),"")))),"")</f>
        <v/>
      </c>
      <c r="Q615" s="408" t="str">
        <f ca="1">IFERROR(L615-P615,"")</f>
        <v/>
      </c>
      <c r="R615" s="410" t="str">
        <f>IFERROR(IF(P615="","",M615*P615),"")</f>
        <v/>
      </c>
      <c r="S615" s="411"/>
      <c r="T615" s="408" t="str" cm="1">
        <f t="array" ca="1" aca="1" ref="T615">_xlfn.IFNA(VLOOKUP(INDIRECT("T"&amp;ROW()-1)&amp;"_"&amp;$D$12,BEGIN_RENEW_HEALTH:END_RENEW_HEALTH,RENEW_COL_EO,FALSE),"")</f>
        <v/>
      </c>
      <c r="U615" s="412" t="str">
        <f>IF(E615="","",E615)</f>
        <v/>
      </c>
      <c r="V615" s="413"/>
      <c r="W615" s="414"/>
      <c r="X615" s="415" t="str">
        <f>IFERROR(IF($V614="Keep Contribution Same",H615,IF($V614="Enter Percentages",IF(V615="","",V615*T615),IF($V614="Keep Percentage Same",IF(G615="","",G615*T615),IF($V614="Enter Dollar Amount",IF(W615="","",W615),"")))),"")</f>
        <v/>
      </c>
      <c r="Y615" s="408" t="str">
        <f ca="1">IFERROR(T615-X615,"")</f>
        <v/>
      </c>
      <c r="Z615" s="410" t="str">
        <f>IFERROR(IF(X615="","",U615*X615),"")</f>
        <v/>
      </c>
    </row>
    <row r="616" spans="1:26" ht="18.75" customHeight="1">
      <c r="A616" s="140"/>
      <c r="B616" s="140"/>
      <c r="D616" s="172" t="s">
        <v>239</v>
      </c>
      <c r="E616" s="407"/>
      <c r="F616" s="449"/>
      <c r="G616" s="470"/>
      <c r="H616" s="449"/>
      <c r="I616" s="450"/>
      <c r="J616" s="410"/>
      <c r="K616" s="411"/>
      <c r="L616" s="408" t="str" cm="1">
        <f t="array" ca="1" aca="1" ref="L616">_xlfn.IFNA(VLOOKUP(INDIRECT("L"&amp;ROW()-2)&amp;"_"&amp;$D$12,BEGIN_RENEW_HEALTH:END_RENEW_HEALTH,RENEW_COL_ES,FALSE),"")</f>
        <v/>
      </c>
      <c r="M616" s="412" t="str">
        <f>IF(E616="","",E616)</f>
        <v/>
      </c>
      <c r="N616" s="413"/>
      <c r="O616" s="414"/>
      <c r="P616" s="415" t="str">
        <f>IFERROR(IF($N614="Keep Contribution Same",H616,IF($N614="Enter Percentages",IF(N616="","",N616*L616),IF($N614="Keep Percentage Same",IF(G616="","",G616*L616),IF($N614="Enter Dollar Amount",IF(O616="","",O616),"")))),"")</f>
        <v/>
      </c>
      <c r="Q616" s="408" t="str">
        <f ca="1" t="shared" si="58" ref="Q616:Q618">IFERROR(L616-P616,"")</f>
        <v/>
      </c>
      <c r="R616" s="410" t="str">
        <f>IFERROR(IF(P616="","",M616*P616),"")</f>
        <v/>
      </c>
      <c r="S616" s="411"/>
      <c r="T616" s="408" t="str" cm="1">
        <f t="array" ca="1" aca="1" ref="T616">_xlfn.IFNA(VLOOKUP(INDIRECT("T"&amp;ROW()-2)&amp;"_"&amp;$D$12,BEGIN_RENEW_HEALTH:END_RENEW_HEALTH,RENEW_COL_ES,FALSE),"")</f>
        <v/>
      </c>
      <c r="U616" s="412" t="str">
        <f t="shared" si="59" ref="U616:U618">IF(E616="","",E616)</f>
        <v/>
      </c>
      <c r="V616" s="413"/>
      <c r="W616" s="414"/>
      <c r="X616" s="415" t="str">
        <f>IFERROR(IF($V614="Keep Contribution Same",H616,IF($V614="Enter Percentages",IF(V616="","",V616*T616),IF($V614="Keep Percentage Same",IF(G616="","",G616*T616),IF($V614="Enter Dollar Amount",IF(W616="","",W616),"")))),"")</f>
        <v/>
      </c>
      <c r="Y616" s="408" t="str">
        <f ca="1" t="shared" si="60" ref="Y616:Y618">IFERROR(T616-X616,"")</f>
        <v/>
      </c>
      <c r="Z616" s="410" t="str">
        <f t="shared" si="61" ref="Z616:Z618">IFERROR(IF(X616="","",U616*X616),"")</f>
        <v/>
      </c>
    </row>
    <row r="617" spans="1:26" ht="18.75" customHeight="1">
      <c r="A617" s="140"/>
      <c r="B617" s="140"/>
      <c r="D617" s="172" t="s">
        <v>240</v>
      </c>
      <c r="E617" s="407"/>
      <c r="F617" s="449"/>
      <c r="G617" s="470"/>
      <c r="H617" s="449"/>
      <c r="I617" s="450"/>
      <c r="J617" s="410"/>
      <c r="K617" s="411"/>
      <c r="L617" s="408" t="str" cm="1">
        <f t="array" ca="1" aca="1" ref="L617">_xlfn.IFNA(VLOOKUP(INDIRECT("L"&amp;ROW()-3)&amp;"_"&amp;$D$12,BEGIN_RENEW_HEALTH:END_RENEW_HEALTH,RENEW_COL_EC,FALSE),"")</f>
        <v/>
      </c>
      <c r="M617" s="412" t="str">
        <f>IF(E617="","",E617)</f>
        <v/>
      </c>
      <c r="N617" s="413"/>
      <c r="O617" s="414"/>
      <c r="P617" s="415" t="str">
        <f>IFERROR(IF($N614="Keep Contribution Same",H617,IF($N614="Enter Percentages",IF(N617="","",N617*L617),IF($N614="Keep Percentage Same",IF(G617="","",G617*L617),IF($N614="Enter Dollar Amount",IF(O617="","",O617),"")))),"")</f>
        <v/>
      </c>
      <c r="Q617" s="408" t="str">
        <f t="shared" ca="1" si="58"/>
        <v/>
      </c>
      <c r="R617" s="410" t="str">
        <f>IFERROR(IF(P617="","",M617*P617),"")</f>
        <v/>
      </c>
      <c r="S617" s="411"/>
      <c r="T617" s="408" t="str" cm="1">
        <f t="array" ca="1" aca="1" ref="T617">_xlfn.IFNA(VLOOKUP(INDIRECT("T"&amp;ROW()-3)&amp;"_"&amp;$D$12,BEGIN_RENEW_HEALTH:END_RENEW_HEALTH,RENEW_COL_EC,FALSE),"")</f>
        <v/>
      </c>
      <c r="U617" s="412" t="str">
        <f t="shared" si="59"/>
        <v/>
      </c>
      <c r="V617" s="413"/>
      <c r="W617" s="414"/>
      <c r="X617" s="415" t="str">
        <f>IFERROR(IF($V614="Keep Contribution Same",H617,IF($V614="Enter Percentages",IF(V617="","",V617*T617),IF($V614="Keep Percentage Same",IF(G617="","",G617*T617),IF($V614="Enter Dollar Amount",IF(W617="","",W617),"")))),"")</f>
        <v/>
      </c>
      <c r="Y617" s="408" t="str">
        <f t="shared" ca="1" si="60"/>
        <v/>
      </c>
      <c r="Z617" s="410" t="str">
        <f t="shared" si="61"/>
        <v/>
      </c>
    </row>
    <row r="618" spans="1:26" ht="18.75" customHeight="1" thickBot="1">
      <c r="A618" s="140"/>
      <c r="B618" s="140"/>
      <c r="D618" s="174" t="s">
        <v>241</v>
      </c>
      <c r="E618" s="416"/>
      <c r="F618" s="451"/>
      <c r="G618" s="471"/>
      <c r="H618" s="451"/>
      <c r="I618" s="452"/>
      <c r="J618" s="419"/>
      <c r="K618" s="411"/>
      <c r="L618" s="417" t="str" cm="1">
        <f t="array" ca="1" aca="1" ref="L618">_xlfn.IFNA(VLOOKUP(INDIRECT("L"&amp;ROW()-4)&amp;"_"&amp;$D$12,BEGIN_RENEW_HEALTH:END_RENEW_HEALTH,RENEW_COL_FAM,FALSE),"")</f>
        <v/>
      </c>
      <c r="M618" s="423" t="str">
        <f>IF(E618="","",E618)</f>
        <v/>
      </c>
      <c r="N618" s="420"/>
      <c r="O618" s="421"/>
      <c r="P618" s="422" t="str">
        <f>IFERROR(IF($N614="Keep Contribution Same",H618,IF($N614="Enter Percentages",IF(N618="","",N618*L618),IF($N614="Keep Percentage Same",IF(G618="","",G618*L618),IF($N614="Enter Dollar Amount",IF(O618="","",O618),"")))),"")</f>
        <v/>
      </c>
      <c r="Q618" s="417" t="str">
        <f t="shared" ca="1" si="58"/>
        <v/>
      </c>
      <c r="R618" s="419" t="str">
        <f>IFERROR(IF(P618="","",M618*P618),"")</f>
        <v/>
      </c>
      <c r="S618" s="411"/>
      <c r="T618" s="417" t="str" cm="1">
        <f t="array" ca="1" aca="1" ref="T618">_xlfn.IFNA(VLOOKUP(INDIRECT("T"&amp;ROW()-4)&amp;"_"&amp;$D$12,BEGIN_RENEW_HEALTH:END_RENEW_HEALTH,RENEW_COL_FAM,FALSE),"")</f>
        <v/>
      </c>
      <c r="U618" s="423" t="str">
        <f t="shared" si="59"/>
        <v/>
      </c>
      <c r="V618" s="420"/>
      <c r="W618" s="421"/>
      <c r="X618" s="422" t="str">
        <f>IFERROR(IF($V614="Keep Contribution Same",H618,IF($V614="Enter Percentages",IF(V618="","",V618*T618),IF($V614="Keep Percentage Same",IF(G618="","",G618*T618),IF($V614="Enter Dollar Amount",IF(W618="","",W618),"")))),"")</f>
        <v/>
      </c>
      <c r="Y618" s="417" t="str">
        <f t="shared" ca="1" si="60"/>
        <v/>
      </c>
      <c r="Z618" s="419" t="str">
        <f t="shared" si="61"/>
        <v/>
      </c>
    </row>
    <row r="619" spans="1:26" ht="18.75" customHeight="1" thickTop="1">
      <c r="A619" s="140"/>
      <c r="B619" s="140"/>
      <c r="D619" s="175" t="s">
        <v>329</v>
      </c>
      <c r="E619" s="459"/>
      <c r="F619" s="447">
        <f>IFERROR((F615*E615)+(F616*E616)+(F617*E617)+(F618*E618),"")</f>
        <v>0</v>
      </c>
      <c r="G619" s="426"/>
      <c r="H619" s="427"/>
      <c r="I619" s="428"/>
      <c r="J619" s="429" t="str">
        <f>IFERROR(IF(J615="","",SUM(J615:J618)),0)</f>
        <v/>
      </c>
      <c r="K619" s="1"/>
      <c r="L619" s="430" t="str">
        <f ca="1">IFERROR((M615*L615)+(M616*L616)+(M617*L617)+(M618*L618),"")</f>
        <v/>
      </c>
      <c r="M619" s="427"/>
      <c r="N619" s="426"/>
      <c r="O619" s="427"/>
      <c r="P619" s="431"/>
      <c r="Q619" s="432"/>
      <c r="R619" s="429" t="str">
        <f>IFERROR(IF(R615="","",SUM(R615:R618)),0)</f>
        <v/>
      </c>
      <c r="T619" s="430" t="str">
        <f ca="1">IFERROR((U615*T615)+(U616*T616)+(U617*T617)+(U618*T618),"")</f>
        <v/>
      </c>
      <c r="U619" s="427"/>
      <c r="V619" s="426"/>
      <c r="W619" s="427"/>
      <c r="X619" s="431"/>
      <c r="Y619" s="432"/>
      <c r="Z619" s="429" t="str">
        <f>IFERROR(IF(Z615="","",SUM(Z615:Z618)),0)</f>
        <v/>
      </c>
    </row>
    <row r="620" spans="1:26" ht="18.75" customHeight="1">
      <c r="A620" s="140"/>
      <c r="B620" s="140"/>
      <c r="D620" s="177" t="s">
        <v>243</v>
      </c>
      <c r="E620" s="460"/>
      <c r="F620" s="448">
        <f>IFERROR(F619*12,"")</f>
        <v>0</v>
      </c>
      <c r="G620" s="435"/>
      <c r="H620" s="436"/>
      <c r="I620" s="432"/>
      <c r="J620" s="437" t="str">
        <f>IF(J619="","",J619*12)</f>
        <v/>
      </c>
      <c r="K620" s="1"/>
      <c r="L620" s="438" t="str">
        <f ca="1">IFERROR(L619*12,"")</f>
        <v/>
      </c>
      <c r="M620" s="436"/>
      <c r="N620" s="435"/>
      <c r="O620" s="436"/>
      <c r="P620" s="432"/>
      <c r="Q620" s="432"/>
      <c r="R620" s="437" t="str">
        <f>IF(R619="","",R619*12)</f>
        <v/>
      </c>
      <c r="T620" s="438" t="str">
        <f ca="1">IFERROR(T619*12,"")</f>
        <v/>
      </c>
      <c r="U620" s="436"/>
      <c r="V620" s="435"/>
      <c r="W620" s="436"/>
      <c r="X620" s="432"/>
      <c r="Y620" s="432"/>
      <c r="Z620" s="437" t="str">
        <f>IF(Z619="","",Z619*12)</f>
        <v/>
      </c>
    </row>
    <row r="621" spans="1:26" ht="18.75" customHeight="1">
      <c r="A621" s="140"/>
      <c r="B621" s="140"/>
      <c r="D621" s="177" t="s">
        <v>244</v>
      </c>
      <c r="E621" s="433"/>
      <c r="F621" s="436"/>
      <c r="G621" s="435"/>
      <c r="H621" s="436"/>
      <c r="I621" s="432"/>
      <c r="J621" s="437" t="str">
        <f>IFERROR(IF(J620="","",R620-J620),0)</f>
        <v/>
      </c>
      <c r="K621" s="1"/>
      <c r="L621" s="434" t="str">
        <f ca="1">IFERROR(L620-F620,"")</f>
        <v/>
      </c>
      <c r="M621" s="436"/>
      <c r="N621" s="435"/>
      <c r="O621" s="436"/>
      <c r="P621" s="432"/>
      <c r="Q621" s="432"/>
      <c r="R621" s="437" t="str">
        <f>IFERROR(IF(J620="","",R620-J620),0)</f>
        <v/>
      </c>
      <c r="T621" s="434" t="str">
        <f ca="1">IFERROR(T620-F620,"")</f>
        <v/>
      </c>
      <c r="U621" s="436"/>
      <c r="V621" s="435"/>
      <c r="W621" s="436"/>
      <c r="X621" s="432"/>
      <c r="Y621" s="432"/>
      <c r="Z621" s="437" t="str">
        <f>IFERROR(IF(R620="","",Z620-R620),0)</f>
        <v/>
      </c>
    </row>
    <row r="622" spans="1:26" ht="18" customHeight="1" thickBot="1">
      <c r="A622" s="140"/>
      <c r="B622" s="140"/>
      <c r="D622" s="180" t="s">
        <v>245</v>
      </c>
      <c r="E622" s="439"/>
      <c r="F622" s="440"/>
      <c r="G622" s="441"/>
      <c r="H622" s="440"/>
      <c r="I622" s="442"/>
      <c r="J622" s="443" t="str">
        <f>IFERROR(IF(J620="","",(R620/J620)-1),0)</f>
        <v/>
      </c>
      <c r="K622" s="1"/>
      <c r="L622" s="444" t="str">
        <f ca="1">IFERROR(L620/F620-1,"")</f>
        <v/>
      </c>
      <c r="M622" s="440"/>
      <c r="N622" s="441"/>
      <c r="O622" s="440"/>
      <c r="P622" s="445"/>
      <c r="Q622" s="445"/>
      <c r="R622" s="446" t="str">
        <f>IFERROR(IF(J620="","",(R620/J620)-1),0)</f>
        <v/>
      </c>
      <c r="T622" s="444" t="str">
        <f ca="1">IFERROR(T620/F620-1,"")</f>
        <v/>
      </c>
      <c r="U622" s="440"/>
      <c r="V622" s="441"/>
      <c r="W622" s="440"/>
      <c r="X622" s="445"/>
      <c r="Y622" s="445"/>
      <c r="Z622" s="446" t="str">
        <f>IFERROR(IF(R620="","",(Z620/R620)-1),0)</f>
        <v/>
      </c>
    </row>
    <row r="623" spans="1:26" ht="18" customHeight="1">
      <c r="A623" s="140"/>
      <c r="B623" s="140"/>
      <c r="D623" s="181" t="s">
        <v>246</v>
      </c>
      <c r="E623" s="182"/>
      <c r="F623" s="182"/>
      <c r="G623" s="182"/>
      <c r="H623" s="182"/>
      <c r="I623" s="182"/>
      <c r="J623" s="183"/>
      <c r="K623"/>
      <c r="L623" s="184"/>
      <c r="M623" s="182"/>
      <c r="N623" s="182"/>
      <c r="O623" s="182"/>
      <c r="P623" s="182"/>
      <c r="Q623" s="182"/>
      <c r="R623" s="183"/>
      <c r="T623" s="184"/>
      <c r="U623" s="182"/>
      <c r="V623" s="182"/>
      <c r="W623" s="182"/>
      <c r="X623" s="182"/>
      <c r="Y623" s="182"/>
      <c r="Z623" s="183"/>
    </row>
    <row r="624" spans="1:26" ht="18" customHeight="1" hidden="1">
      <c r="A624" s="140"/>
      <c r="B624" s="140"/>
      <c r="D624" s="185" t="s">
        <v>247</v>
      </c>
      <c r="E624" s="186"/>
      <c r="F624" s="186"/>
      <c r="G624" s="186"/>
      <c r="H624" s="186"/>
      <c r="I624" s="186"/>
      <c r="J624" s="187"/>
      <c r="K624"/>
      <c r="L624" s="188"/>
      <c r="M624" s="186"/>
      <c r="N624" s="186"/>
      <c r="O624" s="186"/>
      <c r="P624" s="186"/>
      <c r="Q624" s="186"/>
      <c r="R624" s="187"/>
      <c r="T624" s="188"/>
      <c r="U624" s="186"/>
      <c r="V624" s="186"/>
      <c r="W624" s="186"/>
      <c r="X624" s="186"/>
      <c r="Y624" s="186"/>
      <c r="Z624" s="187"/>
    </row>
    <row r="625" spans="1:26" ht="18" customHeight="1" hidden="1">
      <c r="A625" s="140"/>
      <c r="B625" s="140"/>
      <c r="D625" s="189" t="s">
        <v>248</v>
      </c>
      <c r="E625" s="190" t="str">
        <f>D614&amp;"_"&amp;D12</f>
        <v>NEW PLAN_</v>
      </c>
      <c r="F625" s="191"/>
      <c r="G625" s="191"/>
      <c r="H625" s="191"/>
      <c r="I625" s="190"/>
      <c r="J625" s="192"/>
      <c r="K625"/>
      <c r="L625" s="193" t="str">
        <f>L614&amp;"_"&amp;D12</f>
        <v>SELECT PLAN_</v>
      </c>
      <c r="M625" s="191"/>
      <c r="N625" s="191"/>
      <c r="O625" s="191"/>
      <c r="P625" s="190"/>
      <c r="Q625" s="191"/>
      <c r="R625" s="192"/>
      <c r="T625" s="193" t="str">
        <f>T614&amp;"_"&amp;D12</f>
        <v>SELECT PLAN_</v>
      </c>
      <c r="U625" s="191"/>
      <c r="V625" s="191"/>
      <c r="W625" s="191"/>
      <c r="X625" s="190"/>
      <c r="Y625" s="191"/>
      <c r="Z625" s="192"/>
    </row>
    <row r="626" spans="1:26" ht="18" customHeight="1" hidden="1">
      <c r="A626" s="140"/>
      <c r="B626" s="140"/>
      <c r="D626" s="189" t="s">
        <v>249</v>
      </c>
      <c r="E626" s="191"/>
      <c r="F626" s="191"/>
      <c r="G626" s="191"/>
      <c r="H626" s="191"/>
      <c r="I626" s="191"/>
      <c r="J626" s="192"/>
      <c r="K626"/>
      <c r="L626" s="189"/>
      <c r="M626" s="191"/>
      <c r="N626" s="191"/>
      <c r="O626" s="191"/>
      <c r="P626" s="191"/>
      <c r="Q626" s="191"/>
      <c r="R626" s="192"/>
      <c r="T626" s="189"/>
      <c r="U626" s="191"/>
      <c r="V626" s="191"/>
      <c r="W626" s="191"/>
      <c r="X626" s="191"/>
      <c r="Y626" s="191"/>
      <c r="Z626" s="192"/>
    </row>
    <row r="627" spans="1:26" ht="32.25" customHeight="1" hidden="1">
      <c r="A627" s="140"/>
      <c r="B627" s="140"/>
      <c r="D627" s="194" t="s">
        <v>250</v>
      </c>
      <c r="E627" s="195"/>
      <c r="F627" s="195"/>
      <c r="G627" s="195"/>
      <c r="H627" s="195"/>
      <c r="I627" s="195"/>
      <c r="J627" s="196"/>
      <c r="K627"/>
      <c r="L627" s="197"/>
      <c r="M627" s="195"/>
      <c r="N627" s="195"/>
      <c r="O627" s="195"/>
      <c r="P627" s="195"/>
      <c r="Q627" s="195"/>
      <c r="R627" s="196"/>
      <c r="T627" s="197"/>
      <c r="U627" s="195"/>
      <c r="V627" s="195"/>
      <c r="W627" s="195"/>
      <c r="X627" s="195"/>
      <c r="Y627" s="195"/>
      <c r="Z627" s="196"/>
    </row>
    <row r="628" spans="1:26" ht="18" customHeight="1" hidden="1">
      <c r="A628" s="140"/>
      <c r="B628" s="140"/>
      <c r="D628" s="198" t="s">
        <v>251</v>
      </c>
      <c r="E628" s="199" t="str">
        <f>_xlfn.XLOOKUP(E625,CurrentPlans!B:B,CurrentPlans!X:X,"NA",0,1)</f>
        <v>NA</v>
      </c>
      <c r="F628" s="200"/>
      <c r="G628" s="200"/>
      <c r="H628" s="200"/>
      <c r="I628" s="199"/>
      <c r="J628" s="201"/>
      <c r="K628"/>
      <c r="L628" s="202" t="str">
        <f>_xlfn.XLOOKUP(L625,RenewalPlans!B:B,RenewalPlans!AA:AA,"NA",0,1)</f>
        <v>NA</v>
      </c>
      <c r="M628" s="200"/>
      <c r="N628" s="200"/>
      <c r="O628" s="200"/>
      <c r="P628" s="199"/>
      <c r="Q628" s="200"/>
      <c r="R628" s="201"/>
      <c r="T628" s="202" t="str">
        <f>_xlfn.XLOOKUP(T625,RenewalPlans!B:B,RenewalPlans!AA:AA,"NA",0,1)</f>
        <v>NA</v>
      </c>
      <c r="U628" s="200"/>
      <c r="V628" s="200"/>
      <c r="W628" s="200"/>
      <c r="X628" s="199"/>
      <c r="Y628" s="200"/>
      <c r="Z628" s="201"/>
    </row>
    <row r="629" spans="1:26" ht="18" customHeight="1" hidden="1">
      <c r="A629" s="140"/>
      <c r="B629" s="140"/>
      <c r="D629" s="198" t="s">
        <v>252</v>
      </c>
      <c r="E629" s="199" t="str">
        <f>_xlfn.XLOOKUP(E625,CurrentPlans!B:B,CurrentPlans!Y:Y,"NA",0,1)</f>
        <v>NA</v>
      </c>
      <c r="F629" s="200"/>
      <c r="G629" s="200"/>
      <c r="H629" s="200"/>
      <c r="I629" s="199"/>
      <c r="J629" s="201"/>
      <c r="K629"/>
      <c r="L629" s="202" t="str">
        <f>_xlfn.XLOOKUP(L625,RenewalPlans!B:B,RenewalPlans!AB:AB,"NA",0,1)</f>
        <v>NA</v>
      </c>
      <c r="M629" s="200"/>
      <c r="N629" s="200"/>
      <c r="O629" s="200"/>
      <c r="P629" s="199"/>
      <c r="Q629" s="200"/>
      <c r="R629" s="201"/>
      <c r="T629" s="202" t="str">
        <f>_xlfn.XLOOKUP(T625,RenewalPlans!B:B,RenewalPlans!AB:AB,"NA",0,1)</f>
        <v>NA</v>
      </c>
      <c r="U629" s="200"/>
      <c r="V629" s="200"/>
      <c r="W629" s="200"/>
      <c r="X629" s="199"/>
      <c r="Y629" s="200"/>
      <c r="Z629" s="201"/>
    </row>
    <row r="630" spans="1:26" ht="18" customHeight="1" hidden="1">
      <c r="A630" s="140"/>
      <c r="B630" s="140"/>
      <c r="D630" s="120" t="s">
        <v>253</v>
      </c>
      <c r="E630" s="121" t="str">
        <f>_xlfn.XLOOKUP(E625,CurrentPlans!B:B,CurrentPlans!W:W,"NA",0,1)</f>
        <v>NA</v>
      </c>
      <c r="F630" s="122"/>
      <c r="G630" s="122"/>
      <c r="H630" s="122"/>
      <c r="I630" s="121"/>
      <c r="J630" s="123"/>
      <c r="K630"/>
      <c r="L630" s="124" t="str">
        <f>_xlfn.XLOOKUP(L625,RenewalPlans!B:B,RenewalPlans!Z:Z,"NA",0,1)</f>
        <v>NA</v>
      </c>
      <c r="M630" s="122"/>
      <c r="N630" s="122"/>
      <c r="O630" s="122"/>
      <c r="P630" s="121"/>
      <c r="Q630" s="122"/>
      <c r="R630" s="123"/>
      <c r="T630" s="124" t="str">
        <f>_xlfn.XLOOKUP(T625,RenewalPlans!B:B,RenewalPlans!Z:Z,"NA",0,1)</f>
        <v>NA</v>
      </c>
      <c r="U630" s="122"/>
      <c r="V630" s="122"/>
      <c r="W630" s="122"/>
      <c r="X630" s="121"/>
      <c r="Y630" s="122"/>
      <c r="Z630" s="123"/>
    </row>
    <row r="631" spans="1:26" ht="18" customHeight="1" hidden="1">
      <c r="A631" s="140"/>
      <c r="B631" s="140"/>
      <c r="D631" s="203" t="s">
        <v>254</v>
      </c>
      <c r="E631" s="204"/>
      <c r="F631" s="205"/>
      <c r="G631" s="205"/>
      <c r="H631" s="205"/>
      <c r="I631" s="204"/>
      <c r="J631" s="206"/>
      <c r="K631"/>
      <c r="L631" s="207"/>
      <c r="M631" s="205"/>
      <c r="N631" s="205"/>
      <c r="O631" s="205"/>
      <c r="P631" s="204"/>
      <c r="Q631" s="205"/>
      <c r="R631" s="206"/>
      <c r="T631" s="207"/>
      <c r="U631" s="205"/>
      <c r="V631" s="205"/>
      <c r="W631" s="205"/>
      <c r="X631" s="204"/>
      <c r="Y631" s="205"/>
      <c r="Z631" s="206"/>
    </row>
    <row r="632" spans="1:26" ht="18" customHeight="1" hidden="1">
      <c r="A632" s="140"/>
      <c r="B632" s="140"/>
      <c r="D632" s="125" t="s">
        <v>255</v>
      </c>
      <c r="E632" s="126" t="str">
        <f>_xlfn.XLOOKUP(E625,CurrentPlans!B:B,CurrentPlans!Z:Z,"NA",0,1)</f>
        <v>NA</v>
      </c>
      <c r="F632" s="127"/>
      <c r="G632" s="127"/>
      <c r="H632" s="127"/>
      <c r="I632" s="126"/>
      <c r="J632" s="128"/>
      <c r="K632"/>
      <c r="L632" s="129" t="str">
        <f>_xlfn.XLOOKUP(L625,RenewalPlans!B:B,RenewalPlans!AC:AC,"NA",0,1)</f>
        <v>NA</v>
      </c>
      <c r="M632" s="127"/>
      <c r="N632" s="127"/>
      <c r="O632" s="127"/>
      <c r="P632" s="126"/>
      <c r="Q632" s="127"/>
      <c r="R632" s="128"/>
      <c r="T632" s="129" t="str">
        <f>_xlfn.XLOOKUP(T625,RenewalPlans!B:B,RenewalPlans!AC:AC,"NA",0,1)</f>
        <v>NA</v>
      </c>
      <c r="U632" s="127"/>
      <c r="V632" s="127"/>
      <c r="W632" s="127"/>
      <c r="X632" s="126"/>
      <c r="Y632" s="127"/>
      <c r="Z632" s="128"/>
    </row>
    <row r="633" spans="1:26" ht="18" customHeight="1" hidden="1">
      <c r="A633" s="140"/>
      <c r="B633" s="140"/>
      <c r="D633" s="198" t="s">
        <v>256</v>
      </c>
      <c r="E633" s="208" t="str">
        <f>_xlfn.XLOOKUP(E625,CurrentPlans!B:B,CurrentPlans!AA:AA,"NA",0,1)</f>
        <v>NA</v>
      </c>
      <c r="F633" s="200"/>
      <c r="G633" s="200"/>
      <c r="H633" s="200"/>
      <c r="I633" s="208"/>
      <c r="J633" s="201"/>
      <c r="K633"/>
      <c r="L633" s="209" t="str">
        <f>_xlfn.XLOOKUP(L625,RenewalPlans!B:B,RenewalPlans!AD:AD,"NA",0,1)</f>
        <v>NA</v>
      </c>
      <c r="M633" s="200"/>
      <c r="N633" s="200"/>
      <c r="O633" s="200"/>
      <c r="P633" s="208"/>
      <c r="Q633" s="200"/>
      <c r="R633" s="201"/>
      <c r="T633" s="209" t="str">
        <f>_xlfn.XLOOKUP(T625,RenewalPlans!B:B,RenewalPlans!AD:AD,"NA",0,1)</f>
        <v>NA</v>
      </c>
      <c r="U633" s="200"/>
      <c r="V633" s="200"/>
      <c r="W633" s="200"/>
      <c r="X633" s="208"/>
      <c r="Y633" s="200"/>
      <c r="Z633" s="201"/>
    </row>
    <row r="634" spans="1:26" ht="18" customHeight="1" hidden="1">
      <c r="A634" s="140"/>
      <c r="B634" s="140"/>
      <c r="D634" s="203" t="s">
        <v>257</v>
      </c>
      <c r="E634" s="204"/>
      <c r="F634" s="205"/>
      <c r="G634" s="205"/>
      <c r="H634" s="205"/>
      <c r="I634" s="204"/>
      <c r="J634" s="206"/>
      <c r="K634"/>
      <c r="L634" s="207"/>
      <c r="M634" s="205"/>
      <c r="N634" s="205"/>
      <c r="O634" s="205"/>
      <c r="P634" s="204"/>
      <c r="Q634" s="205"/>
      <c r="R634" s="206"/>
      <c r="T634" s="207"/>
      <c r="U634" s="205"/>
      <c r="V634" s="205"/>
      <c r="W634" s="205"/>
      <c r="X634" s="204"/>
      <c r="Y634" s="205"/>
      <c r="Z634" s="206"/>
    </row>
    <row r="635" spans="1:26" ht="18" customHeight="1" hidden="1">
      <c r="A635" s="140"/>
      <c r="B635" s="140"/>
      <c r="D635" s="198" t="s">
        <v>258</v>
      </c>
      <c r="E635" s="208" t="str">
        <f>_xlfn.XLOOKUP(E625,CurrentPlans!B:B,CurrentPlans!AB:AB,"NA",0,1)</f>
        <v>NA</v>
      </c>
      <c r="F635" s="200"/>
      <c r="G635" s="200"/>
      <c r="H635" s="200"/>
      <c r="I635" s="208"/>
      <c r="J635" s="201"/>
      <c r="K635"/>
      <c r="L635" s="209" t="str">
        <f>_xlfn.XLOOKUP(L625,RenewalPlans!B:B,RenewalPlans!AE:AE,"NA",0,1)</f>
        <v>NA</v>
      </c>
      <c r="M635" s="200"/>
      <c r="N635" s="200"/>
      <c r="O635" s="200"/>
      <c r="P635" s="208"/>
      <c r="Q635" s="200"/>
      <c r="R635" s="201"/>
      <c r="T635" s="209" t="str">
        <f>_xlfn.XLOOKUP(T625,RenewalPlans!B:B,RenewalPlans!AE:AE,"NA",0,1)</f>
        <v>NA</v>
      </c>
      <c r="U635" s="200"/>
      <c r="V635" s="200"/>
      <c r="W635" s="200"/>
      <c r="X635" s="208"/>
      <c r="Y635" s="200"/>
      <c r="Z635" s="201"/>
    </row>
    <row r="636" spans="1:26" ht="18" customHeight="1" hidden="1">
      <c r="A636" s="140"/>
      <c r="B636" s="140"/>
      <c r="D636" s="198" t="s">
        <v>259</v>
      </c>
      <c r="E636" s="208" t="str">
        <f>_xlfn.XLOOKUP(E625,CurrentPlans!B:B,CurrentPlans!AC:AC,"NA",0,1)</f>
        <v>NA</v>
      </c>
      <c r="F636" s="200"/>
      <c r="G636" s="200"/>
      <c r="H636" s="200"/>
      <c r="I636" s="208"/>
      <c r="J636" s="201"/>
      <c r="K636"/>
      <c r="L636" s="209" t="str">
        <f>_xlfn.XLOOKUP(L625,RenewalPlans!B:B,RenewalPlans!AF:AF,"NA",0,1)</f>
        <v>NA</v>
      </c>
      <c r="M636" s="200"/>
      <c r="N636" s="200"/>
      <c r="O636" s="200"/>
      <c r="P636" s="208"/>
      <c r="Q636" s="200"/>
      <c r="R636" s="201"/>
      <c r="T636" s="209" t="str">
        <f>_xlfn.XLOOKUP(T625,RenewalPlans!B:B,RenewalPlans!AF:AF,"NA",0,1)</f>
        <v>NA</v>
      </c>
      <c r="U636" s="200"/>
      <c r="V636" s="200"/>
      <c r="W636" s="200"/>
      <c r="X636" s="208"/>
      <c r="Y636" s="200"/>
      <c r="Z636" s="201"/>
    </row>
    <row r="637" spans="1:26" ht="18" customHeight="1" hidden="1">
      <c r="A637" s="140"/>
      <c r="B637" s="140"/>
      <c r="D637" s="210"/>
      <c r="E637" s="211"/>
      <c r="F637" s="211"/>
      <c r="G637" s="211"/>
      <c r="H637" s="211"/>
      <c r="I637" s="211"/>
      <c r="J637" s="212"/>
      <c r="K637"/>
      <c r="L637" s="210"/>
      <c r="M637" s="211"/>
      <c r="N637" s="211"/>
      <c r="O637" s="211"/>
      <c r="P637" s="211"/>
      <c r="Q637" s="211"/>
      <c r="R637" s="212"/>
      <c r="T637" s="210"/>
      <c r="U637" s="211"/>
      <c r="V637" s="211"/>
      <c r="W637" s="211"/>
      <c r="X637" s="211"/>
      <c r="Y637" s="211"/>
      <c r="Z637" s="212"/>
    </row>
    <row r="638" spans="1:26" ht="18" customHeight="1" hidden="1">
      <c r="A638" s="140"/>
      <c r="B638" s="140"/>
      <c r="D638" s="185" t="s">
        <v>260</v>
      </c>
      <c r="E638" s="186"/>
      <c r="F638" s="186"/>
      <c r="G638" s="186"/>
      <c r="H638" s="186"/>
      <c r="I638" s="186"/>
      <c r="J638" s="187"/>
      <c r="K638"/>
      <c r="L638" s="188"/>
      <c r="M638" s="186"/>
      <c r="N638" s="186"/>
      <c r="O638" s="186"/>
      <c r="P638" s="186"/>
      <c r="Q638" s="186"/>
      <c r="R638" s="187"/>
      <c r="T638" s="188"/>
      <c r="U638" s="186"/>
      <c r="V638" s="186"/>
      <c r="W638" s="186"/>
      <c r="X638" s="186"/>
      <c r="Y638" s="186"/>
      <c r="Z638" s="187"/>
    </row>
    <row r="639" spans="1:26" ht="18" customHeight="1" hidden="1">
      <c r="A639" s="140"/>
      <c r="B639" s="140"/>
      <c r="D639" s="213" t="s">
        <v>261</v>
      </c>
      <c r="E639" s="130" t="str">
        <f>_xlfn.XLOOKUP(E625,CurrentPlans!B:B,CurrentPlans!AJ:AJ,"NA",0,1)</f>
        <v>NA</v>
      </c>
      <c r="F639" s="214"/>
      <c r="G639" s="214"/>
      <c r="H639" s="214"/>
      <c r="I639" s="130"/>
      <c r="J639" s="215"/>
      <c r="K639"/>
      <c r="L639" s="131" t="str">
        <f>_xlfn.XLOOKUP(L625,RenewalPlans!B:B,RenewalPlans!AM:AM,"NA",0,1)</f>
        <v>NA</v>
      </c>
      <c r="M639" s="214"/>
      <c r="N639" s="214"/>
      <c r="O639" s="214"/>
      <c r="P639" s="130"/>
      <c r="Q639" s="214"/>
      <c r="R639" s="215"/>
      <c r="T639" s="131" t="str">
        <f>_xlfn.XLOOKUP(T625,RenewalPlans!B:B,RenewalPlans!AM:AM,"NA",0,1)</f>
        <v>NA</v>
      </c>
      <c r="U639" s="214"/>
      <c r="V639" s="214"/>
      <c r="W639" s="214"/>
      <c r="X639" s="130"/>
      <c r="Y639" s="214"/>
      <c r="Z639" s="215"/>
    </row>
    <row r="640" spans="1:26" ht="18" customHeight="1" hidden="1">
      <c r="A640" s="140"/>
      <c r="B640" s="140"/>
      <c r="D640" s="198" t="s">
        <v>262</v>
      </c>
      <c r="E640" s="130" t="str">
        <f>_xlfn.XLOOKUP(E625,CurrentPlans!B:B,CurrentPlans!AM:AM,"NA",0,1)</f>
        <v>NA</v>
      </c>
      <c r="F640" s="200"/>
      <c r="G640" s="200"/>
      <c r="H640" s="200"/>
      <c r="I640" s="130"/>
      <c r="J640" s="201"/>
      <c r="K640"/>
      <c r="L640" s="131" t="str">
        <f>_xlfn.XLOOKUP(L625,RenewalPlans!B:B,RenewalPlans!AP:AP,"NA",0,1)</f>
        <v>NA</v>
      </c>
      <c r="M640" s="200"/>
      <c r="N640" s="200"/>
      <c r="O640" s="200"/>
      <c r="P640" s="130"/>
      <c r="Q640" s="200"/>
      <c r="R640" s="201"/>
      <c r="T640" s="131" t="str">
        <f>_xlfn.XLOOKUP(T625,RenewalPlans!B:B,RenewalPlans!AP:AP,"NA",0,1)</f>
        <v>NA</v>
      </c>
      <c r="U640" s="200"/>
      <c r="V640" s="200"/>
      <c r="W640" s="200"/>
      <c r="X640" s="130"/>
      <c r="Y640" s="200"/>
      <c r="Z640" s="201"/>
    </row>
    <row r="641" spans="1:26" ht="18" customHeight="1" hidden="1">
      <c r="A641" s="140"/>
      <c r="B641" s="140"/>
      <c r="D641" s="198" t="s">
        <v>263</v>
      </c>
      <c r="E641" s="130" t="str">
        <f>_xlfn.XLOOKUP(E625,CurrentPlans!B:B,CurrentPlans!AI:AI,"NA",0,1)</f>
        <v>NA</v>
      </c>
      <c r="F641" s="200"/>
      <c r="G641" s="200"/>
      <c r="H641" s="200"/>
      <c r="I641" s="130"/>
      <c r="J641" s="201"/>
      <c r="K641"/>
      <c r="L641" s="131" t="str">
        <f>_xlfn.XLOOKUP(L625,RenewalPlans!B:B,RenewalPlans!AL:AL,"NA",0,1)</f>
        <v>NA</v>
      </c>
      <c r="M641" s="200"/>
      <c r="N641" s="200"/>
      <c r="O641" s="200"/>
      <c r="P641" s="130"/>
      <c r="Q641" s="200"/>
      <c r="R641" s="201"/>
      <c r="T641" s="131" t="str">
        <f>_xlfn.XLOOKUP(T625,RenewalPlans!B:B,RenewalPlans!AL:AL,"NA",0,1)</f>
        <v>NA</v>
      </c>
      <c r="U641" s="200"/>
      <c r="V641" s="200"/>
      <c r="W641" s="200"/>
      <c r="X641" s="130"/>
      <c r="Y641" s="200"/>
      <c r="Z641" s="201"/>
    </row>
    <row r="642" spans="1:26" ht="18" customHeight="1" hidden="1">
      <c r="A642" s="140"/>
      <c r="B642" s="140"/>
      <c r="D642" s="198" t="s">
        <v>264</v>
      </c>
      <c r="E642" s="208" t="str">
        <f>_xlfn.XLOOKUP(E625,CurrentPlans!B:B,CurrentPlans!AN:AN,"NA",0,1)</f>
        <v>NA</v>
      </c>
      <c r="F642" s="200"/>
      <c r="G642" s="200"/>
      <c r="H642" s="200"/>
      <c r="I642" s="208"/>
      <c r="J642" s="201"/>
      <c r="K642"/>
      <c r="L642" s="209" t="str">
        <f>_xlfn.XLOOKUP(L625,RenewalPlans!B:B,RenewalPlans!AQ:AQ,"NA",0,1)</f>
        <v>NA</v>
      </c>
      <c r="M642" s="200"/>
      <c r="N642" s="200"/>
      <c r="O642" s="200"/>
      <c r="P642" s="208"/>
      <c r="Q642" s="200"/>
      <c r="R642" s="201"/>
      <c r="T642" s="209" t="str">
        <f>_xlfn.XLOOKUP(T625,RenewalPlans!B:B,RenewalPlans!AQ:AQ,"NA",0,1)</f>
        <v>NA</v>
      </c>
      <c r="U642" s="200"/>
      <c r="V642" s="200"/>
      <c r="W642" s="200"/>
      <c r="X642" s="208"/>
      <c r="Y642" s="200"/>
      <c r="Z642" s="201"/>
    </row>
    <row r="643" spans="1:26" ht="18" customHeight="1" hidden="1">
      <c r="A643" s="140"/>
      <c r="B643" s="140"/>
      <c r="D643" s="210"/>
      <c r="E643" s="211"/>
      <c r="F643" s="211"/>
      <c r="G643" s="211"/>
      <c r="H643" s="211"/>
      <c r="I643" s="211"/>
      <c r="J643" s="212"/>
      <c r="K643"/>
      <c r="L643" s="210"/>
      <c r="M643" s="211"/>
      <c r="N643" s="211"/>
      <c r="O643" s="211"/>
      <c r="P643" s="211"/>
      <c r="Q643" s="211"/>
      <c r="R643" s="212"/>
      <c r="T643" s="210"/>
      <c r="U643" s="211"/>
      <c r="V643" s="211"/>
      <c r="W643" s="211"/>
      <c r="X643" s="211"/>
      <c r="Y643" s="211"/>
      <c r="Z643" s="212"/>
    </row>
    <row r="644" spans="1:26" ht="18" customHeight="1" hidden="1">
      <c r="A644" s="140"/>
      <c r="B644" s="140"/>
      <c r="D644" s="185" t="s">
        <v>265</v>
      </c>
      <c r="E644" s="186"/>
      <c r="F644" s="186"/>
      <c r="G644" s="186"/>
      <c r="H644" s="186"/>
      <c r="I644" s="186"/>
      <c r="J644" s="187"/>
      <c r="K644"/>
      <c r="L644" s="188"/>
      <c r="M644" s="186"/>
      <c r="N644" s="186"/>
      <c r="O644" s="186"/>
      <c r="P644" s="186"/>
      <c r="Q644" s="186"/>
      <c r="R644" s="187"/>
      <c r="T644" s="188"/>
      <c r="U644" s="186"/>
      <c r="V644" s="186"/>
      <c r="W644" s="186"/>
      <c r="X644" s="186"/>
      <c r="Y644" s="186"/>
      <c r="Z644" s="187"/>
    </row>
    <row r="645" spans="1:26" ht="18" customHeight="1" hidden="1">
      <c r="A645" s="140"/>
      <c r="B645" s="140"/>
      <c r="D645" s="132" t="s">
        <v>266</v>
      </c>
      <c r="E645" s="133" t="str">
        <f>_xlfn.XLOOKUP(E625,CurrentPlans!B:B,CurrentPlans!AE:AE,"NA",0,1)</f>
        <v>NA</v>
      </c>
      <c r="F645" s="134"/>
      <c r="G645" s="134"/>
      <c r="H645" s="134"/>
      <c r="I645" s="133"/>
      <c r="J645" s="135"/>
      <c r="K645"/>
      <c r="L645" s="136" t="str">
        <f>_xlfn.XLOOKUP(L625,RenewalPlans!B:B,RenewalPlans!AH:AH,"NA",0,1)</f>
        <v>NA</v>
      </c>
      <c r="M645" s="134"/>
      <c r="N645" s="134"/>
      <c r="O645" s="134"/>
      <c r="P645" s="133"/>
      <c r="Q645" s="134"/>
      <c r="R645" s="135"/>
      <c r="T645" s="136" t="str">
        <f>_xlfn.XLOOKUP(T625,RenewalPlans!B:B,RenewalPlans!AH:AH,"NA",0,1)</f>
        <v>NA</v>
      </c>
      <c r="U645" s="134"/>
      <c r="V645" s="134"/>
      <c r="W645" s="134"/>
      <c r="X645" s="133"/>
      <c r="Y645" s="134"/>
      <c r="Z645" s="135"/>
    </row>
    <row r="646" spans="1:26" ht="18" customHeight="1" hidden="1">
      <c r="A646" s="140"/>
      <c r="B646" s="140"/>
      <c r="D646" s="120" t="s">
        <v>267</v>
      </c>
      <c r="E646" s="130" t="str">
        <f>_xlfn.XLOOKUP(E625,CurrentPlans!B:B,CurrentPlans!AF:AF,"NA",0,1)</f>
        <v>NA</v>
      </c>
      <c r="F646" s="122"/>
      <c r="G646" s="122"/>
      <c r="H646" s="122"/>
      <c r="I646" s="130"/>
      <c r="J646" s="123"/>
      <c r="K646"/>
      <c r="L646" s="131" t="str">
        <f>_xlfn.XLOOKUP(L625,RenewalPlans!B:B,RenewalPlans!AI:AI,"NA",0,1)</f>
        <v>NA</v>
      </c>
      <c r="M646" s="122"/>
      <c r="N646" s="122"/>
      <c r="O646" s="122"/>
      <c r="P646" s="130"/>
      <c r="Q646" s="122"/>
      <c r="R646" s="123"/>
      <c r="T646" s="131" t="str">
        <f>_xlfn.XLOOKUP(T625,RenewalPlans!B:B,RenewalPlans!AI:AI,"NA",0,1)</f>
        <v>NA</v>
      </c>
      <c r="U646" s="122"/>
      <c r="V646" s="122"/>
      <c r="W646" s="122"/>
      <c r="X646" s="130"/>
      <c r="Y646" s="122"/>
      <c r="Z646" s="123"/>
    </row>
    <row r="647" spans="1:26" ht="18" customHeight="1" hidden="1">
      <c r="A647" s="140"/>
      <c r="B647" s="140"/>
      <c r="D647" s="198" t="s">
        <v>268</v>
      </c>
      <c r="E647" s="130" t="str">
        <f>_xlfn.XLOOKUP(E625,CurrentPlans!B:B,CurrentPlans!AH:AH,"NA",0,1)</f>
        <v>NA</v>
      </c>
      <c r="F647" s="200"/>
      <c r="G647" s="200"/>
      <c r="H647" s="200"/>
      <c r="I647" s="130"/>
      <c r="J647" s="201"/>
      <c r="K647"/>
      <c r="L647" s="131" t="str">
        <f>_xlfn.XLOOKUP(L625,RenewalPlans!B:B,RenewalPlans!AK:AK,"NA",0,1)</f>
        <v>NA</v>
      </c>
      <c r="M647" s="200"/>
      <c r="N647" s="200"/>
      <c r="O647" s="200"/>
      <c r="P647" s="130"/>
      <c r="Q647" s="200"/>
      <c r="R647" s="201"/>
      <c r="T647" s="131" t="str">
        <f>_xlfn.XLOOKUP(T625,RenewalPlans!B:B,RenewalPlans!AK:AK,"NA",0,1)</f>
        <v>NA</v>
      </c>
      <c r="U647" s="200"/>
      <c r="V647" s="200"/>
      <c r="W647" s="200"/>
      <c r="X647" s="130"/>
      <c r="Y647" s="200"/>
      <c r="Z647" s="201"/>
    </row>
    <row r="648" spans="1:26" ht="18" customHeight="1" hidden="1">
      <c r="A648" s="140"/>
      <c r="B648" s="140"/>
      <c r="D648" s="198" t="s">
        <v>269</v>
      </c>
      <c r="E648" s="130" t="str">
        <f>_xlfn.XLOOKUP(E625,CurrentPlans!B:B,CurrentPlans!AG:AG,"NA",0,1)</f>
        <v>NA</v>
      </c>
      <c r="F648" s="200"/>
      <c r="G648" s="200"/>
      <c r="H648" s="200"/>
      <c r="I648" s="130"/>
      <c r="J648" s="201"/>
      <c r="K648"/>
      <c r="L648" s="131" t="str">
        <f>_xlfn.XLOOKUP(L625,RenewalPlans!B:B,RenewalPlans!AJ:AJ,"NA",0,1)</f>
        <v>NA</v>
      </c>
      <c r="M648" s="200"/>
      <c r="N648" s="200"/>
      <c r="O648" s="200"/>
      <c r="P648" s="130"/>
      <c r="Q648" s="200"/>
      <c r="R648" s="201"/>
      <c r="T648" s="131" t="str">
        <f>_xlfn.XLOOKUP(T625,RenewalPlans!B:B,RenewalPlans!AJ:AJ,"NA",0,1)</f>
        <v>NA</v>
      </c>
      <c r="U648" s="200"/>
      <c r="V648" s="200"/>
      <c r="W648" s="200"/>
      <c r="X648" s="130"/>
      <c r="Y648" s="200"/>
      <c r="Z648" s="201"/>
    </row>
    <row r="649" spans="1:26" ht="18" customHeight="1" hidden="1">
      <c r="A649" s="140"/>
      <c r="B649" s="140"/>
      <c r="D649" s="213" t="s">
        <v>270</v>
      </c>
      <c r="E649" s="216" t="str">
        <f>_xlfn.XLOOKUP(E625,CurrentPlans!B:B,CurrentPlans!AU:AU,"NA",0,1)</f>
        <v>NA</v>
      </c>
      <c r="F649" s="214"/>
      <c r="G649" s="214"/>
      <c r="H649" s="214"/>
      <c r="I649" s="217"/>
      <c r="J649" s="215"/>
      <c r="K649"/>
      <c r="L649" s="218" t="str">
        <f>_xlfn.XLOOKUP(L625,RenewalPlans!B:B,RenewalPlans!AX:AX,"NA",0,1)</f>
        <v>NA</v>
      </c>
      <c r="M649" s="214"/>
      <c r="N649" s="214"/>
      <c r="O649" s="214"/>
      <c r="P649" s="217"/>
      <c r="Q649" s="214"/>
      <c r="R649" s="215"/>
      <c r="T649" s="218" t="str">
        <f>_xlfn.XLOOKUP(T625,RenewalPlans!B:B,RenewalPlans!AX:AX,"NA",0,1)</f>
        <v>NA</v>
      </c>
      <c r="U649" s="214"/>
      <c r="V649" s="214"/>
      <c r="W649" s="214"/>
      <c r="X649" s="217"/>
      <c r="Y649" s="214"/>
      <c r="Z649" s="215"/>
    </row>
    <row r="650" spans="1:26" ht="18" customHeight="1" hidden="1">
      <c r="A650" s="140"/>
      <c r="B650" s="140"/>
      <c r="D650" s="213" t="s">
        <v>271</v>
      </c>
      <c r="E650" s="216" t="str">
        <f>_xlfn.XLOOKUP(E625,CurrentPlans!B:B,CurrentPlans!AT:AT,"NA",0,1)</f>
        <v>NA</v>
      </c>
      <c r="F650" s="214"/>
      <c r="G650" s="214"/>
      <c r="H650" s="214"/>
      <c r="I650" s="217"/>
      <c r="J650" s="215"/>
      <c r="K650"/>
      <c r="L650" s="218" t="str">
        <f>_xlfn.XLOOKUP(L625,RenewalPlans!B:B,RenewalPlans!AW:AW,"NA",0,1)</f>
        <v>NA</v>
      </c>
      <c r="M650" s="214"/>
      <c r="N650" s="214"/>
      <c r="O650" s="214"/>
      <c r="P650" s="217"/>
      <c r="Q650" s="214"/>
      <c r="R650" s="215"/>
      <c r="T650" s="218" t="str">
        <f>_xlfn.XLOOKUP(T625,RenewalPlans!B:B,RenewalPlans!AW:AW,"NA",0,1)</f>
        <v>NA</v>
      </c>
      <c r="U650" s="214"/>
      <c r="V650" s="214"/>
      <c r="W650" s="214"/>
      <c r="X650" s="217"/>
      <c r="Y650" s="214"/>
      <c r="Z650" s="215"/>
    </row>
    <row r="651" spans="1:26" ht="18" customHeight="1" hidden="1">
      <c r="A651" s="140"/>
      <c r="B651" s="140"/>
      <c r="D651" s="198" t="s">
        <v>272</v>
      </c>
      <c r="E651" s="130" t="str">
        <f>_xlfn.XLOOKUP(E625,CurrentPlans!B:B,CurrentPlans!AD:AD,"NA",0,1)</f>
        <v>NA</v>
      </c>
      <c r="F651" s="200"/>
      <c r="G651" s="200"/>
      <c r="H651" s="200"/>
      <c r="I651" s="130"/>
      <c r="J651" s="201"/>
      <c r="K651"/>
      <c r="L651" s="131" t="str">
        <f>_xlfn.XLOOKUP(L625,RenewalPlans!B:B,RenewalPlans!AG:AG,"NA",0,1)</f>
        <v>NA</v>
      </c>
      <c r="M651" s="200"/>
      <c r="N651" s="200"/>
      <c r="O651" s="200"/>
      <c r="P651" s="130"/>
      <c r="Q651" s="200"/>
      <c r="R651" s="201"/>
      <c r="T651" s="131" t="str">
        <f>_xlfn.XLOOKUP(T625,RenewalPlans!B:B,RenewalPlans!AG:AG,"NA",0,1)</f>
        <v>NA</v>
      </c>
      <c r="U651" s="200"/>
      <c r="V651" s="200"/>
      <c r="W651" s="200"/>
      <c r="X651" s="130"/>
      <c r="Y651" s="200"/>
      <c r="Z651" s="201"/>
    </row>
    <row r="652" spans="1:26" ht="18" customHeight="1" hidden="1">
      <c r="A652" s="140"/>
      <c r="B652" s="140"/>
      <c r="D652" s="198" t="s">
        <v>273</v>
      </c>
      <c r="E652" s="200"/>
      <c r="F652" s="200"/>
      <c r="G652" s="200"/>
      <c r="H652" s="200"/>
      <c r="I652" s="200"/>
      <c r="J652" s="201"/>
      <c r="K652"/>
      <c r="L652" s="198"/>
      <c r="M652" s="200"/>
      <c r="N652" s="200"/>
      <c r="O652" s="200"/>
      <c r="P652" s="200"/>
      <c r="Q652" s="200"/>
      <c r="R652" s="201"/>
      <c r="T652" s="198"/>
      <c r="U652" s="200"/>
      <c r="V652" s="200"/>
      <c r="W652" s="200"/>
      <c r="X652" s="200"/>
      <c r="Y652" s="200"/>
      <c r="Z652" s="201"/>
    </row>
    <row r="653" spans="1:26" ht="18" customHeight="1" hidden="1">
      <c r="A653" s="140"/>
      <c r="B653" s="140"/>
      <c r="D653" s="210"/>
      <c r="E653" s="211"/>
      <c r="F653" s="211"/>
      <c r="G653" s="211"/>
      <c r="H653" s="211"/>
      <c r="I653" s="211"/>
      <c r="J653" s="212"/>
      <c r="K653"/>
      <c r="L653" s="210"/>
      <c r="M653" s="211"/>
      <c r="N653" s="211"/>
      <c r="O653" s="211"/>
      <c r="P653" s="211"/>
      <c r="Q653" s="211"/>
      <c r="R653" s="212"/>
      <c r="T653" s="210"/>
      <c r="U653" s="211"/>
      <c r="V653" s="211"/>
      <c r="W653" s="211"/>
      <c r="X653" s="211"/>
      <c r="Y653" s="211"/>
      <c r="Z653" s="212"/>
    </row>
    <row r="654" spans="1:26" ht="18" customHeight="1" hidden="1">
      <c r="A654" s="140"/>
      <c r="B654" s="140"/>
      <c r="D654" s="219" t="s">
        <v>274</v>
      </c>
      <c r="E654" s="220"/>
      <c r="F654" s="220"/>
      <c r="G654" s="220"/>
      <c r="H654" s="220"/>
      <c r="I654" s="220"/>
      <c r="J654" s="221"/>
      <c r="K654"/>
      <c r="L654" s="222"/>
      <c r="M654" s="220"/>
      <c r="N654" s="220"/>
      <c r="O654" s="220"/>
      <c r="P654" s="220"/>
      <c r="Q654" s="220"/>
      <c r="R654" s="221"/>
      <c r="T654" s="222"/>
      <c r="U654" s="220"/>
      <c r="V654" s="220"/>
      <c r="W654" s="220"/>
      <c r="X654" s="220"/>
      <c r="Y654" s="220"/>
      <c r="Z654" s="221"/>
    </row>
    <row r="655" spans="1:26" ht="18" customHeight="1" hidden="1">
      <c r="A655" s="140"/>
      <c r="B655" s="140"/>
      <c r="D655" s="223" t="s">
        <v>250</v>
      </c>
      <c r="E655" s="205"/>
      <c r="F655" s="205"/>
      <c r="G655" s="205"/>
      <c r="H655" s="205"/>
      <c r="I655" s="205"/>
      <c r="J655" s="206"/>
      <c r="K655"/>
      <c r="L655" s="203"/>
      <c r="M655" s="205"/>
      <c r="N655" s="205"/>
      <c r="O655" s="205"/>
      <c r="P655" s="205"/>
      <c r="Q655" s="205"/>
      <c r="R655" s="206"/>
      <c r="T655" s="203"/>
      <c r="U655" s="205"/>
      <c r="V655" s="205"/>
      <c r="W655" s="205"/>
      <c r="X655" s="205"/>
      <c r="Y655" s="205"/>
      <c r="Z655" s="206"/>
    </row>
    <row r="656" spans="1:26" ht="18" customHeight="1" hidden="1">
      <c r="A656" s="140"/>
      <c r="B656" s="140"/>
      <c r="D656" s="198" t="s">
        <v>251</v>
      </c>
      <c r="E656" s="130" t="str">
        <f>_xlfn.XLOOKUP(E625,CurrentPlans!B:B,CurrentPlans!AP:AP,"NA",0,1)</f>
        <v>NA</v>
      </c>
      <c r="F656" s="200"/>
      <c r="G656" s="200"/>
      <c r="H656" s="200"/>
      <c r="I656" s="130"/>
      <c r="J656" s="201"/>
      <c r="K656"/>
      <c r="L656" s="131" t="str">
        <f>_xlfn.XLOOKUP(L625,RenewalPlans!B:B,RenewalPlans!AS:AS,"NA",0,1)</f>
        <v>NA</v>
      </c>
      <c r="M656" s="200"/>
      <c r="N656" s="200"/>
      <c r="O656" s="200"/>
      <c r="P656" s="130"/>
      <c r="Q656" s="200"/>
      <c r="R656" s="201"/>
      <c r="T656" s="131" t="str">
        <f>_xlfn.XLOOKUP(T625,RenewalPlans!B:B,RenewalPlans!AS:AS,"NA",0,1)</f>
        <v>NA</v>
      </c>
      <c r="U656" s="200"/>
      <c r="V656" s="200"/>
      <c r="W656" s="200"/>
      <c r="X656" s="130"/>
      <c r="Y656" s="200"/>
      <c r="Z656" s="201"/>
    </row>
    <row r="657" spans="1:26" ht="18" customHeight="1" hidden="1">
      <c r="A657" s="140"/>
      <c r="B657" s="140"/>
      <c r="D657" s="198" t="s">
        <v>252</v>
      </c>
      <c r="E657" s="130" t="str">
        <f>_xlfn.XLOOKUP(E625,CurrentPlans!B:B,CurrentPlans!AQ:AQ,"NA",0,1)</f>
        <v>NA</v>
      </c>
      <c r="F657" s="200"/>
      <c r="G657" s="200"/>
      <c r="H657" s="200"/>
      <c r="I657" s="130"/>
      <c r="J657" s="201"/>
      <c r="K657"/>
      <c r="L657" s="131" t="str">
        <f>_xlfn.XLOOKUP(L625,RenewalPlans!B:B,RenewalPlans!AT:AT,"NA",0,1)</f>
        <v>NA</v>
      </c>
      <c r="M657" s="200"/>
      <c r="N657" s="200"/>
      <c r="O657" s="200"/>
      <c r="P657" s="130"/>
      <c r="Q657" s="200"/>
      <c r="R657" s="201"/>
      <c r="T657" s="131" t="str">
        <f>_xlfn.XLOOKUP(T625,RenewalPlans!B:B,RenewalPlans!AT:AT,"NA",0,1)</f>
        <v>NA</v>
      </c>
      <c r="U657" s="200"/>
      <c r="V657" s="200"/>
      <c r="W657" s="200"/>
      <c r="X657" s="130"/>
      <c r="Y657" s="200"/>
      <c r="Z657" s="201"/>
    </row>
    <row r="658" spans="1:26" ht="18" customHeight="1" hidden="1">
      <c r="A658" s="140"/>
      <c r="B658" s="140"/>
      <c r="D658" s="120" t="s">
        <v>253</v>
      </c>
      <c r="E658" s="133" t="str">
        <f>_xlfn.XLOOKUP(E625,CurrentPlans!B:B,CurrentPlans!AO:AO,"NA",0,1)</f>
        <v>NA</v>
      </c>
      <c r="F658" s="122"/>
      <c r="G658" s="122"/>
      <c r="H658" s="122"/>
      <c r="I658" s="133"/>
      <c r="J658" s="123"/>
      <c r="K658"/>
      <c r="L658" s="136" t="str">
        <f>_xlfn.XLOOKUP(L625,RenewalPlans!B:B,RenewalPlans!AR:AR,"NA",0,1)</f>
        <v>NA</v>
      </c>
      <c r="M658" s="122"/>
      <c r="N658" s="122"/>
      <c r="O658" s="122"/>
      <c r="P658" s="133"/>
      <c r="Q658" s="122"/>
      <c r="R658" s="123"/>
      <c r="T658" s="136" t="str">
        <f>_xlfn.XLOOKUP(T625,RenewalPlans!B:B,RenewalPlans!AR:AR,"NA",0,1)</f>
        <v>NA</v>
      </c>
      <c r="U658" s="122"/>
      <c r="V658" s="122"/>
      <c r="W658" s="122"/>
      <c r="X658" s="133"/>
      <c r="Y658" s="122"/>
      <c r="Z658" s="123"/>
    </row>
    <row r="659" spans="1:26" ht="18" customHeight="1" hidden="1">
      <c r="A659" s="140"/>
      <c r="B659" s="140"/>
      <c r="D659" s="223" t="s">
        <v>254</v>
      </c>
      <c r="E659" s="205"/>
      <c r="F659" s="205"/>
      <c r="G659" s="205"/>
      <c r="H659" s="205"/>
      <c r="I659" s="205"/>
      <c r="J659" s="206"/>
      <c r="K659"/>
      <c r="L659" s="203"/>
      <c r="M659" s="205"/>
      <c r="N659" s="205"/>
      <c r="O659" s="205"/>
      <c r="P659" s="205"/>
      <c r="Q659" s="205"/>
      <c r="R659" s="206"/>
      <c r="T659" s="203"/>
      <c r="U659" s="205"/>
      <c r="V659" s="205"/>
      <c r="W659" s="205"/>
      <c r="X659" s="205"/>
      <c r="Y659" s="205"/>
      <c r="Z659" s="206"/>
    </row>
    <row r="660" spans="1:26" ht="18" customHeight="1" hidden="1">
      <c r="A660" s="140"/>
      <c r="B660" s="140"/>
      <c r="D660" s="198" t="s">
        <v>255</v>
      </c>
      <c r="E660" s="130" t="str">
        <f>_xlfn.XLOOKUP(E625,CurrentPlans!B:B,CurrentPlans!AR:AR,"NA",0,1)</f>
        <v>NA</v>
      </c>
      <c r="F660" s="200"/>
      <c r="G660" s="200"/>
      <c r="H660" s="200"/>
      <c r="I660" s="130"/>
      <c r="J660" s="201"/>
      <c r="K660"/>
      <c r="L660" s="131" t="str">
        <f>_xlfn.XLOOKUP(L625,RenewalPlans!B:B,RenewalPlans!AU:AU,"NA",0,1)</f>
        <v>NA</v>
      </c>
      <c r="M660" s="200"/>
      <c r="N660" s="200"/>
      <c r="O660" s="200"/>
      <c r="P660" s="130"/>
      <c r="Q660" s="200"/>
      <c r="R660" s="201"/>
      <c r="T660" s="131" t="str">
        <f>_xlfn.XLOOKUP(T625,RenewalPlans!B:B,RenewalPlans!AU:AU,"NA",0,1)</f>
        <v>NA</v>
      </c>
      <c r="U660" s="200"/>
      <c r="V660" s="200"/>
      <c r="W660" s="200"/>
      <c r="X660" s="130"/>
      <c r="Y660" s="200"/>
      <c r="Z660" s="201"/>
    </row>
    <row r="661" spans="1:26" ht="18" customHeight="1" hidden="1" thickBot="1">
      <c r="A661" s="140"/>
      <c r="B661" s="140"/>
      <c r="D661" s="224" t="s">
        <v>256</v>
      </c>
      <c r="E661" s="137" t="str">
        <f>_xlfn.XLOOKUP(E625,CurrentPlans!B:B,CurrentPlans!AS:AS,"NA",0,1)</f>
        <v>NA</v>
      </c>
      <c r="F661" s="225"/>
      <c r="G661" s="225"/>
      <c r="H661" s="225"/>
      <c r="I661" s="137"/>
      <c r="J661" s="226"/>
      <c r="K661"/>
      <c r="L661" s="138" t="str">
        <f>_xlfn.XLOOKUP(L625,RenewalPlans!B:B,RenewalPlans!AV:AV,"NA",0,1)</f>
        <v>NA</v>
      </c>
      <c r="M661" s="225"/>
      <c r="N661" s="225"/>
      <c r="O661" s="225"/>
      <c r="P661" s="137"/>
      <c r="Q661" s="225"/>
      <c r="R661" s="226"/>
      <c r="T661" s="138" t="str">
        <f>_xlfn.XLOOKUP(T625,RenewalPlans!B:B,RenewalPlans!AV:AV,"NA",0,1)</f>
        <v>NA</v>
      </c>
      <c r="U661" s="225"/>
      <c r="V661" s="225"/>
      <c r="W661" s="225"/>
      <c r="X661" s="137"/>
      <c r="Y661" s="225"/>
      <c r="Z661" s="226"/>
    </row>
    <row r="662" spans="1:27" ht="18" customHeight="1">
      <c r="A662" s="140"/>
      <c r="B662" s="140"/>
      <c r="D662" s="227"/>
      <c r="E662" s="176"/>
      <c r="F662" s="178"/>
      <c r="G662" s="179"/>
      <c r="H662" s="178"/>
      <c r="I662" s="176"/>
      <c r="J662" s="228"/>
      <c r="K662"/>
      <c r="L662" s="178"/>
      <c r="M662" s="176"/>
      <c r="N662" s="139"/>
      <c r="O662" s="178"/>
      <c r="P662" s="178"/>
      <c r="Q662" s="178"/>
      <c r="R662" s="228"/>
      <c r="T662" s="178"/>
      <c r="U662" s="176"/>
      <c r="V662" s="139"/>
      <c r="W662" s="178"/>
      <c r="X662" s="178"/>
      <c r="Y662" s="178"/>
      <c r="Z662" s="228"/>
      <c r="AA662"/>
    </row>
    <row r="663" spans="1:140" s="162" customFormat="1" ht="5.25" customHeight="1" thickBot="1">
      <c r="A663" s="140"/>
      <c r="B663" s="140"/>
      <c r="C663" s="141"/>
      <c r="D663" s="229"/>
      <c r="E663" s="229"/>
      <c r="F663" s="230"/>
      <c r="G663" s="231"/>
      <c r="H663" s="232"/>
      <c r="I663" s="233"/>
      <c r="J663" s="233"/>
      <c r="K663"/>
      <c r="L663" s="233"/>
      <c r="M663" s="233"/>
      <c r="N663" s="233"/>
      <c r="O663" s="233"/>
      <c r="P663" s="233"/>
      <c r="Q663" s="233"/>
      <c r="R663" s="233"/>
      <c r="S663" s="1"/>
      <c r="T663" s="233"/>
      <c r="U663" s="233"/>
      <c r="V663" s="233"/>
      <c r="W663" s="233"/>
      <c r="X663" s="233"/>
      <c r="Y663" s="233"/>
      <c r="Z663" s="23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row>
    <row r="664" spans="1:27" ht="38.25" customHeight="1" thickTop="1" thickBot="1">
      <c r="A664" s="153"/>
      <c r="B664" s="153"/>
      <c r="C664" s="234"/>
      <c r="D664" s="484" t="s">
        <v>288</v>
      </c>
      <c r="E664" s="485"/>
      <c r="F664" s="485"/>
      <c r="G664" s="485"/>
      <c r="H664" s="485"/>
      <c r="I664" s="485"/>
      <c r="J664" s="485"/>
      <c r="K664" s="485"/>
      <c r="L664" s="485"/>
      <c r="M664" s="485"/>
      <c r="N664" s="485"/>
      <c r="O664" s="485"/>
      <c r="P664" s="485"/>
      <c r="Q664" s="485"/>
      <c r="R664" s="486"/>
      <c r="S664" s="162"/>
      <c r="T664" s="235"/>
      <c r="U664" s="236"/>
      <c r="V664" s="236"/>
      <c r="W664" s="236"/>
      <c r="X664" s="236"/>
      <c r="Y664" s="236"/>
      <c r="Z664" s="236"/>
      <c r="AA664"/>
    </row>
    <row r="665" spans="1:27" ht="50.15" customHeight="1">
      <c r="A665" s="140">
        <v>1</v>
      </c>
      <c r="B665" s="140" t="str">
        <f>IF(A665&gt;Class4_CurrentDentalCount,"DELETE",Class4_CurrentDentalStart+A665)</f>
        <v>DELETE</v>
      </c>
      <c r="C665" s="164" t="s">
        <v>289</v>
      </c>
      <c r="D665" s="273" t="str">
        <f>IF(B665="Delete","",VLOOKUP(F665,BEGIN_CURRENT_DENTAL:END_CURRENT_DENTAL,3,FALSE))</f>
        <v/>
      </c>
      <c r="E665" s="165"/>
      <c r="F665" s="272" t="str" cm="1">
        <f t="array" ca="1" aca="1" ref="F665">IF(B665="Delete","",INDIRECT("CurrentPlans!A"&amp;B665,TRUE))</f>
        <v/>
      </c>
      <c r="G665" s="166"/>
      <c r="H665" s="167"/>
      <c r="I665" s="168"/>
      <c r="J665" s="169"/>
      <c r="K665"/>
      <c r="L665" s="274" t="str">
        <f ca="1">_xlfn.IFNA(VLOOKUP(F665,BEGIN_RENEWEDFROM_DENTAL:ROW_RenewDental_PlanID,3,FALSE),"SELECT PLAN")</f>
        <v>SELECT PLAN</v>
      </c>
      <c r="M665" s="170"/>
      <c r="N665" s="274" t="s">
        <v>237</v>
      </c>
      <c r="O665" s="171"/>
      <c r="P665" s="171"/>
      <c r="Q665" s="171"/>
      <c r="R665" s="169"/>
      <c r="T665" s="274" t="s">
        <v>38</v>
      </c>
      <c r="U665" s="170"/>
      <c r="V665" s="274" t="s">
        <v>237</v>
      </c>
      <c r="W665" s="171"/>
      <c r="X665" s="171"/>
      <c r="Y665" s="171"/>
      <c r="Z665" s="169"/>
      <c r="AA665"/>
    </row>
    <row r="666" spans="1:26" ht="18.75" customHeight="1">
      <c r="A666" s="140"/>
      <c r="B666" s="140"/>
      <c r="D666" s="172" t="s">
        <v>238</v>
      </c>
      <c r="E666" s="407" t="str">
        <f ca="1">_xlfn.IFNA(VLOOKUP(F665,BEGIN_CURRENT_DENTAL:END_CURRENT_DENTAL,CURRENT_COL_EO_count,FALSE),"")</f>
        <v/>
      </c>
      <c r="F666" s="408" t="str">
        <f ca="1">_xlfn.IFNA(VLOOKUP(F665,BEGIN_CURRENT_DENTAL:END_CURRENT_DENTAL,CURRENT_COL_EO,FALSE),"")</f>
        <v/>
      </c>
      <c r="G666" s="468" t="str">
        <f ca="1" t="shared" si="62" ref="G666:G669">IF(F666="","",H666/F666)</f>
        <v/>
      </c>
      <c r="H666" s="408" t="str">
        <f ca="1">_xlfn.IFNA(VLOOKUP(F665,BEGIN_CURRENT_DENTAL:END_CURRENT_DENTAL,CURRENT_COL_EOContrib,FALSE),"")</f>
        <v/>
      </c>
      <c r="I666" s="409" t="str">
        <f ca="1">IFERROR(F666-H666,"")</f>
        <v/>
      </c>
      <c r="J666" s="410" t="str">
        <f ca="1">IF(F666="","",H666*E666)</f>
        <v/>
      </c>
      <c r="K666" s="411"/>
      <c r="L666" s="408" t="str" cm="1">
        <f t="array" ca="1" aca="1" ref="L666">_xlfn.IFNA(VLOOKUP(INDIRECT("L"&amp;ROW()-1)&amp;"_"&amp;$D$12,BEGIN_Renew_Dental:END_RENEW_DENTAL,RENEW_COL_EO,FALSE),"")</f>
        <v/>
      </c>
      <c r="M666" s="412" t="str">
        <f ca="1">IF(E666="","",E666)</f>
        <v/>
      </c>
      <c r="N666" s="413"/>
      <c r="O666" s="414"/>
      <c r="P666" s="415" t="str">
        <f>IFERROR(IF($N665="Keep Contribution Same",H666,IF($N665="Enter Percentages",IF(N666="","",N666*L666),IF($N665="Keep Percentage Same",IF(G666="","",G666*L666),IF($N665="Enter Dollar Amount",IF(O666="","",O666),"")))),"")</f>
        <v/>
      </c>
      <c r="Q666" s="408" t="str">
        <f ca="1">IFERROR(L666-P666,"")</f>
        <v/>
      </c>
      <c r="R666" s="410" t="str">
        <f>IFERROR(IF(P666="","",M666*P666),"")</f>
        <v/>
      </c>
      <c r="S666" s="411"/>
      <c r="T666" s="408" t="str" cm="1">
        <f t="array" ca="1" aca="1" ref="T666">_xlfn.IFNA(VLOOKUP(INDIRECT("T"&amp;ROW()-1)&amp;"_"&amp;$D$12,BEGIN_Renew_Dental:END_RENEW_DENTAL,RENEW_COL_EO,FALSE),"")</f>
        <v/>
      </c>
      <c r="U666" s="412" t="str">
        <f ca="1">IF(E666="","",E666)</f>
        <v/>
      </c>
      <c r="V666" s="413"/>
      <c r="W666" s="414"/>
      <c r="X666" s="415" t="str">
        <f>IFERROR(IF($V665="Keep Contribution Same",H666,IF($V665="Enter Percentages",IF(V666="","",V666*T666),IF($V665="Keep Percentage Same",IF(G666="","",G666*T666),IF($V665="Enter Dollar Amount",IF(W666="","",W666),"")))),"")</f>
        <v/>
      </c>
      <c r="Y666" s="408" t="str">
        <f ca="1">IFERROR(T666-X666,"")</f>
        <v/>
      </c>
      <c r="Z666" s="410" t="str">
        <f>IFERROR(IF(X666="","",U666*X666),"")</f>
        <v/>
      </c>
    </row>
    <row r="667" spans="1:26" ht="18.75" customHeight="1">
      <c r="A667" s="140"/>
      <c r="B667" s="140"/>
      <c r="D667" s="172" t="s">
        <v>239</v>
      </c>
      <c r="E667" s="407" t="str">
        <f ca="1">_xlfn.IFNA(VLOOKUP(F665,BEGIN_CURRENT_DENTAL:END_CURRENT_DENTAL,CURRENT_COL_ES_count,FALSE),"")</f>
        <v/>
      </c>
      <c r="F667" s="408" t="str">
        <f ca="1">_xlfn.IFNA(VLOOKUP(F665,BEGIN_CURRENT_DENTAL:END_CURRENT_DENTAL,CURRENT_COL_ES,FALSE),"")</f>
        <v/>
      </c>
      <c r="G667" s="468" t="str">
        <f t="shared" ca="1" si="62"/>
        <v/>
      </c>
      <c r="H667" s="408" t="str">
        <f ca="1">_xlfn.IFNA(VLOOKUP(F665,BEGIN_CURRENT_DENTAL:END_CURRENT_DENTAL,CURRENT_COL_ESContrib,FALSE),"")</f>
        <v/>
      </c>
      <c r="I667" s="409" t="str">
        <f ca="1" t="shared" si="63" ref="I667:I669">IFERROR(F667-H667,"")</f>
        <v/>
      </c>
      <c r="J667" s="410" t="str">
        <f ca="1">IF(F667="","",H667*E667)</f>
        <v/>
      </c>
      <c r="K667" s="411"/>
      <c r="L667" s="408" t="str" cm="1">
        <f t="array" ca="1" aca="1" ref="L667">_xlfn.IFNA(VLOOKUP(INDIRECT("L"&amp;ROW()-2)&amp;"_"&amp;$D$12,BEGIN_Renew_Dental:END_RENEW_DENTAL,RENEW_COL_ES,FALSE),"")</f>
        <v/>
      </c>
      <c r="M667" s="412" t="str">
        <f ca="1">IF(E667="","",E667)</f>
        <v/>
      </c>
      <c r="N667" s="413"/>
      <c r="O667" s="414"/>
      <c r="P667" s="415" t="str">
        <f>IFERROR(IF($N665="Keep Contribution Same",H667,IF($N665="Enter Percentages",IF(N667="","",N667*L667),IF($N665="Keep Percentage Same",IF(G667="","",G667*L667),IF($N665="Enter Dollar Amount",IF(O667="","",O667),"")))),"")</f>
        <v/>
      </c>
      <c r="Q667" s="408" t="str">
        <f ca="1">IFERROR(L667-P667,"")</f>
        <v/>
      </c>
      <c r="R667" s="410" t="str">
        <f>IFERROR(IF(P667="","",M667*P667),"")</f>
        <v/>
      </c>
      <c r="S667" s="411"/>
      <c r="T667" s="408" t="str" cm="1">
        <f t="array" ca="1" aca="1" ref="T667">_xlfn.IFNA(VLOOKUP(INDIRECT("T"&amp;ROW()-2)&amp;"_"&amp;$D$12,BEGIN_Renew_Dental:END_RENEW_DENTAL,RENEW_COL_ES,FALSE),"")</f>
        <v/>
      </c>
      <c r="U667" s="412" t="str">
        <f ca="1" t="shared" si="64" ref="U667:U669">IF(E667="","",E667)</f>
        <v/>
      </c>
      <c r="V667" s="413"/>
      <c r="W667" s="414"/>
      <c r="X667" s="415" t="str">
        <f>IFERROR(IF($V665="Keep Contribution Same",H667,IF($V665="Enter Percentages",IF(V667="","",V667*T667),IF($V665="Keep Percentage Same",IF(G667="","",G667*T667),IF($V665="Enter Dollar Amount",IF(W667="","",W667),"")))),"")</f>
        <v/>
      </c>
      <c r="Y667" s="408" t="str">
        <f ca="1" t="shared" si="65" ref="Y667:Y669">IFERROR(T667-X667,"")</f>
        <v/>
      </c>
      <c r="Z667" s="410" t="str">
        <f t="shared" si="66" ref="Z667:Z669">IFERROR(IF(X667="","",U667*X667),"")</f>
        <v/>
      </c>
    </row>
    <row r="668" spans="1:26" ht="18.75" customHeight="1">
      <c r="A668" s="140"/>
      <c r="B668" s="140"/>
      <c r="D668" s="172" t="s">
        <v>240</v>
      </c>
      <c r="E668" s="407" t="str">
        <f ca="1">_xlfn.IFNA(VLOOKUP(F665,BEGIN_CURRENT_DENTAL:END_CURRENT_DENTAL,CURRENT_COL_EC_count,FALSE),"")</f>
        <v/>
      </c>
      <c r="F668" s="408" t="str">
        <f ca="1">_xlfn.IFNA(VLOOKUP(F665,BEGIN_CURRENT_DENTAL:END_CURRENT_DENTAL,CURRENT_COL_EC,FALSE),"")</f>
        <v/>
      </c>
      <c r="G668" s="468" t="str">
        <f t="shared" ca="1" si="62"/>
        <v/>
      </c>
      <c r="H668" s="408" t="str">
        <f ca="1">_xlfn.IFNA(VLOOKUP(F665,BEGIN_CURRENT_DENTAL:END_CURRENT_DENTAL,CURRENT_COL_ECContrib,FALSE),"")</f>
        <v/>
      </c>
      <c r="I668" s="409" t="str">
        <f t="shared" ca="1" si="63"/>
        <v/>
      </c>
      <c r="J668" s="410" t="str">
        <f ca="1">IF(F668="","",H668*E668)</f>
        <v/>
      </c>
      <c r="K668" s="411"/>
      <c r="L668" s="408" t="str" cm="1">
        <f t="array" ca="1" aca="1" ref="L668">_xlfn.IFNA(VLOOKUP(INDIRECT("L"&amp;ROW()-3)&amp;"_"&amp;$D$12,BEGIN_Renew_Dental:END_RENEW_DENTAL,RENEW_COL_EC,FALSE),"")</f>
        <v/>
      </c>
      <c r="M668" s="412" t="str">
        <f ca="1">IF(E668="","",E668)</f>
        <v/>
      </c>
      <c r="N668" s="413"/>
      <c r="O668" s="414"/>
      <c r="P668" s="415" t="str">
        <f>IFERROR(IF($N665="Keep Contribution Same",H668,IF($N665="Enter Percentages",IF(N668="","",N668*L668),IF($N665="Keep Percentage Same",IF(G668="","",G668*L668),IF($N665="Enter Dollar Amount",IF(O668="","",O668),"")))),"")</f>
        <v/>
      </c>
      <c r="Q668" s="408" t="str">
        <f ca="1">IFERROR(L668-P668,"")</f>
        <v/>
      </c>
      <c r="R668" s="410" t="str">
        <f>IFERROR(IF(P668="","",M668*P668),"")</f>
        <v/>
      </c>
      <c r="S668" s="411"/>
      <c r="T668" s="408" t="str" cm="1">
        <f t="array" ca="1" aca="1" ref="T668">_xlfn.IFNA(VLOOKUP(INDIRECT("T"&amp;ROW()-3)&amp;"_"&amp;$D$12,BEGIN_Renew_Dental:END_RENEW_DENTAL,RENEW_COL_EC,FALSE),"")</f>
        <v/>
      </c>
      <c r="U668" s="412" t="str">
        <f t="shared" ca="1" si="64"/>
        <v/>
      </c>
      <c r="V668" s="413"/>
      <c r="W668" s="414"/>
      <c r="X668" s="415" t="str">
        <f>IFERROR(IF($V665="Keep Contribution Same",H668,IF($V665="Enter Percentages",IF(V668="","",V668*T668),IF($V665="Keep Percentage Same",IF(G668="","",G668*T668),IF($V665="Enter Dollar Amount",IF(W668="","",W668),"")))),"")</f>
        <v/>
      </c>
      <c r="Y668" s="408" t="str">
        <f t="shared" ca="1" si="65"/>
        <v/>
      </c>
      <c r="Z668" s="410" t="str">
        <f t="shared" si="66"/>
        <v/>
      </c>
    </row>
    <row r="669" spans="1:26" ht="18.75" customHeight="1" thickBot="1">
      <c r="A669" s="140"/>
      <c r="B669" s="140"/>
      <c r="D669" s="174" t="s">
        <v>241</v>
      </c>
      <c r="E669" s="416" t="str">
        <f ca="1">_xlfn.IFNA(VLOOKUP(F665,BEGIN_CURRENT_DENTAL:END_CURRENT_DENTAL,CURRENT_COL_FAM_count,FALSE),"")</f>
        <v/>
      </c>
      <c r="F669" s="417" t="str">
        <f ca="1">_xlfn.IFNA(VLOOKUP(F665,BEGIN_CURRENT_DENTAL:END_CURRENT_DENTAL,CURRENT_COL_FAM,FALSE),"")</f>
        <v/>
      </c>
      <c r="G669" s="469" t="str">
        <f t="shared" ca="1" si="62"/>
        <v/>
      </c>
      <c r="H669" s="417" t="str">
        <f ca="1">_xlfn.IFNA(VLOOKUP(F665,BEGIN_CURRENT_DENTAL:END_CURRENT_DENTAL,CURRENT_COL_FAMContrib,FALSE),"")</f>
        <v/>
      </c>
      <c r="I669" s="418" t="str">
        <f t="shared" ca="1" si="63"/>
        <v/>
      </c>
      <c r="J669" s="419" t="str">
        <f ca="1">IF(F669="","",H669*E669)</f>
        <v/>
      </c>
      <c r="K669" s="411"/>
      <c r="L669" s="417" t="str" cm="1">
        <f t="array" ca="1" aca="1" ref="L669">_xlfn.IFNA(VLOOKUP(INDIRECT("L"&amp;ROW()-4)&amp;"_"&amp;$D$12,BEGIN_Renew_Dental:END_RENEW_DENTAL,RENEW_COL_FAM,FALSE),"")</f>
        <v/>
      </c>
      <c r="M669" s="423" t="str">
        <f ca="1">IF(E669="","",E669)</f>
        <v/>
      </c>
      <c r="N669" s="420"/>
      <c r="O669" s="421"/>
      <c r="P669" s="422" t="str">
        <f>IFERROR(IF($N665="Keep Contribution Same",H669,IF($N665="Enter Percentages",IF(N669="","",N669*L669),IF($N665="Keep Percentage Same",IF(G669="","",G669*L669),IF($N665="Enter Dollar Amount",IF(O669="","",O669),"")))),"")</f>
        <v/>
      </c>
      <c r="Q669" s="417" t="str">
        <f ca="1">IFERROR(L669-P669,"")</f>
        <v/>
      </c>
      <c r="R669" s="419" t="str">
        <f>IFERROR(IF(P669="","",M669*P669),"")</f>
        <v/>
      </c>
      <c r="S669" s="411"/>
      <c r="T669" s="417" t="str" cm="1">
        <f t="array" ca="1" aca="1" ref="T669">_xlfn.IFNA(VLOOKUP(INDIRECT("T"&amp;ROW()-4)&amp;"_"&amp;$D$12,BEGIN_Renew_Dental:END_RENEW_DENTAL,RENEW_COL_FAM,FALSE),"")</f>
        <v/>
      </c>
      <c r="U669" s="423" t="str">
        <f t="shared" ca="1" si="64"/>
        <v/>
      </c>
      <c r="V669" s="420"/>
      <c r="W669" s="421"/>
      <c r="X669" s="422" t="str">
        <f>IFERROR(IF($V665="Keep Contribution Same",H669,IF($V665="Enter Percentages",IF(V669="","",V669*T669),IF($V665="Keep Percentage Same",IF(G669="","",G669*T669),IF($V665="Enter Dollar Amount",IF(W669="","",W669),"")))),"")</f>
        <v/>
      </c>
      <c r="Y669" s="417" t="str">
        <f t="shared" ca="1" si="65"/>
        <v/>
      </c>
      <c r="Z669" s="419" t="str">
        <f t="shared" si="66"/>
        <v/>
      </c>
    </row>
    <row r="670" spans="1:26" ht="18.75" customHeight="1" thickTop="1">
      <c r="A670" s="140"/>
      <c r="B670" s="140"/>
      <c r="D670" s="175" t="s">
        <v>242</v>
      </c>
      <c r="E670" s="424"/>
      <c r="F670" s="427"/>
      <c r="G670" s="426"/>
      <c r="H670" s="427"/>
      <c r="I670" s="428"/>
      <c r="J670" s="429" t="str">
        <f ca="1">IFERROR(IF(J666="","",SUM(J666:J669)),0)</f>
        <v/>
      </c>
      <c r="K670" s="1"/>
      <c r="L670" s="424"/>
      <c r="M670" s="427"/>
      <c r="N670" s="426"/>
      <c r="O670" s="427"/>
      <c r="P670" s="431"/>
      <c r="Q670" s="432"/>
      <c r="R670" s="429" t="str">
        <f>IFERROR(IF(R666="","",SUM(R666:R669)),0)</f>
        <v/>
      </c>
      <c r="T670" s="424"/>
      <c r="U670" s="427"/>
      <c r="V670" s="426"/>
      <c r="W670" s="427"/>
      <c r="X670" s="431"/>
      <c r="Y670" s="432"/>
      <c r="Z670" s="429" t="str">
        <f>IFERROR(IF(Z666="","",SUM(Z666:Z669)),0)</f>
        <v/>
      </c>
    </row>
    <row r="671" spans="1:26" ht="18.75" customHeight="1">
      <c r="A671" s="140"/>
      <c r="B671" s="140"/>
      <c r="D671" s="177" t="s">
        <v>243</v>
      </c>
      <c r="E671" s="433"/>
      <c r="F671" s="436"/>
      <c r="G671" s="435"/>
      <c r="H671" s="436"/>
      <c r="I671" s="432"/>
      <c r="J671" s="437" t="str">
        <f ca="1">IF(J670="","",J670*12)</f>
        <v/>
      </c>
      <c r="K671" s="1"/>
      <c r="L671" s="433"/>
      <c r="M671" s="436"/>
      <c r="N671" s="435"/>
      <c r="O671" s="436"/>
      <c r="P671" s="432"/>
      <c r="Q671" s="432"/>
      <c r="R671" s="437" t="str">
        <f>IF(R670="","",R670*12)</f>
        <v/>
      </c>
      <c r="T671" s="433"/>
      <c r="U671" s="436"/>
      <c r="V671" s="435"/>
      <c r="W671" s="436"/>
      <c r="X671" s="432"/>
      <c r="Y671" s="432"/>
      <c r="Z671" s="437" t="str">
        <f>IF(Z670="","",Z670*12)</f>
        <v/>
      </c>
    </row>
    <row r="672" spans="1:26" ht="18.75" customHeight="1">
      <c r="A672" s="140"/>
      <c r="B672" s="140"/>
      <c r="D672" s="177" t="s">
        <v>244</v>
      </c>
      <c r="E672" s="433"/>
      <c r="F672" s="436"/>
      <c r="G672" s="435"/>
      <c r="H672" s="436"/>
      <c r="I672" s="432"/>
      <c r="J672" s="437"/>
      <c r="K672" s="1"/>
      <c r="L672" s="433"/>
      <c r="M672" s="436"/>
      <c r="N672" s="435"/>
      <c r="O672" s="436"/>
      <c r="P672" s="432"/>
      <c r="Q672" s="432"/>
      <c r="R672" s="437" t="str">
        <f ca="1">IFERROR(IF(J671="","",R671-J671),0)</f>
        <v/>
      </c>
      <c r="T672" s="433"/>
      <c r="U672" s="436"/>
      <c r="V672" s="435"/>
      <c r="W672" s="436"/>
      <c r="X672" s="432"/>
      <c r="Y672" s="432"/>
      <c r="Z672" s="437" t="str">
        <f>IFERROR(IF(R671="","",Z671-R671),0)</f>
        <v/>
      </c>
    </row>
    <row r="673" spans="1:26" ht="18" customHeight="1" thickBot="1">
      <c r="A673" s="140"/>
      <c r="B673" s="140"/>
      <c r="D673" s="180" t="s">
        <v>245</v>
      </c>
      <c r="E673" s="439"/>
      <c r="F673" s="440"/>
      <c r="G673" s="441"/>
      <c r="H673" s="440"/>
      <c r="I673" s="442"/>
      <c r="J673" s="443"/>
      <c r="K673" s="1"/>
      <c r="L673" s="439"/>
      <c r="M673" s="440"/>
      <c r="N673" s="441"/>
      <c r="O673" s="440"/>
      <c r="P673" s="445"/>
      <c r="Q673" s="445"/>
      <c r="R673" s="446" t="str">
        <f ca="1">IFERROR(IF(J671="","",(R671/J671)-1),0)</f>
        <v/>
      </c>
      <c r="T673" s="439"/>
      <c r="U673" s="440"/>
      <c r="V673" s="441"/>
      <c r="W673" s="440"/>
      <c r="X673" s="445"/>
      <c r="Y673" s="445"/>
      <c r="Z673" s="446" t="str">
        <f>IFERROR(IF(R671="","",(Z671/R671)-1),0)</f>
        <v/>
      </c>
    </row>
    <row r="674" spans="1:26" ht="5.25" customHeight="1" thickBot="1">
      <c r="A674" s="140"/>
      <c r="B674" s="140"/>
      <c r="D674" s="229"/>
      <c r="E674" s="454"/>
      <c r="F674" s="455"/>
      <c r="G674" s="456"/>
      <c r="H674" s="457"/>
      <c r="I674" s="458"/>
      <c r="J674" s="458"/>
      <c r="K674" s="1"/>
      <c r="L674" s="458"/>
      <c r="M674" s="458"/>
      <c r="N674" s="458"/>
      <c r="O674" s="458"/>
      <c r="P674" s="458"/>
      <c r="Q674" s="458"/>
      <c r="R674" s="458"/>
      <c r="T674" s="458"/>
      <c r="U674" s="458"/>
      <c r="V674" s="458"/>
      <c r="W674" s="458"/>
      <c r="X674" s="458"/>
      <c r="Y674" s="458"/>
      <c r="Z674" s="458"/>
    </row>
    <row r="675" spans="1:26" ht="50.15" customHeight="1">
      <c r="A675" s="140">
        <v>2</v>
      </c>
      <c r="B675" s="140" t="str">
        <f>IF(A675&gt;Class4_CurrentDentalCount,"DELETE",Class4_CurrentDentalStart+A675)</f>
        <v>DELETE</v>
      </c>
      <c r="C675" s="164" t="s">
        <v>290</v>
      </c>
      <c r="D675" s="273" t="str">
        <f>IF(B675="Delete","",VLOOKUP(F675,BEGIN_CURRENT_DENTAL:END_CURRENT_DENTAL,3,FALSE))</f>
        <v/>
      </c>
      <c r="E675" s="165"/>
      <c r="F675" s="272" t="str" cm="1">
        <f t="array" ca="1" aca="1" ref="F675">IF(B675="Delete","",INDIRECT("CurrentPlans!A"&amp;B675,TRUE))</f>
        <v/>
      </c>
      <c r="G675" s="166"/>
      <c r="H675" s="167"/>
      <c r="I675" s="168"/>
      <c r="J675" s="169"/>
      <c r="K675"/>
      <c r="L675" s="274" t="str">
        <f ca="1">_xlfn.IFNA(VLOOKUP(F675,BEGIN_RENEWEDFROM_DENTAL:ROW_RenewDental_PlanID,3,FALSE),"SELECT PLAN")</f>
        <v>SELECT PLAN</v>
      </c>
      <c r="M675" s="170"/>
      <c r="N675" s="274" t="s">
        <v>237</v>
      </c>
      <c r="O675" s="171"/>
      <c r="P675" s="171"/>
      <c r="Q675" s="171"/>
      <c r="R675" s="169"/>
      <c r="T675" s="274" t="s">
        <v>38</v>
      </c>
      <c r="U675" s="170"/>
      <c r="V675" s="274" t="s">
        <v>237</v>
      </c>
      <c r="W675" s="171"/>
      <c r="X675" s="171"/>
      <c r="Y675" s="171"/>
      <c r="Z675" s="169"/>
    </row>
    <row r="676" spans="1:26" ht="18.75" customHeight="1">
      <c r="A676" s="140"/>
      <c r="B676" s="140"/>
      <c r="D676" s="172" t="s">
        <v>238</v>
      </c>
      <c r="E676" s="407" t="str">
        <f ca="1">_xlfn.IFNA(VLOOKUP(F675,BEGIN_CURRENT_DENTAL:END_CURRENT_DENTAL,CURRENT_COL_EO_count,FALSE),"")</f>
        <v/>
      </c>
      <c r="F676" s="408" t="str">
        <f ca="1">_xlfn.IFNA(VLOOKUP(F675,BEGIN_CURRENT_DENTAL:END_CURRENT_DENTAL,CURRENT_COL_EO,FALSE),"")</f>
        <v/>
      </c>
      <c r="G676" s="468" t="str">
        <f ca="1" t="shared" si="67" ref="G676:G679">IF(F676="","",H676/F676)</f>
        <v/>
      </c>
      <c r="H676" s="408" t="str">
        <f ca="1">_xlfn.IFNA(VLOOKUP(F675,BEGIN_CURRENT_DENTAL:END_CURRENT_DENTAL,CURRENT_COL_EOContrib,FALSE),"")</f>
        <v/>
      </c>
      <c r="I676" s="409" t="str">
        <f ca="1">IFERROR(F676-H676,"")</f>
        <v/>
      </c>
      <c r="J676" s="410" t="str">
        <f ca="1">IF(F676="","",H676*E676)</f>
        <v/>
      </c>
      <c r="K676" s="411"/>
      <c r="L676" s="408" t="str" cm="1">
        <f t="array" ca="1" aca="1" ref="L676">_xlfn.IFNA(VLOOKUP(INDIRECT("L"&amp;ROW()-1)&amp;"_"&amp;$D$12,BEGIN_Renew_Dental:END_RENEW_DENTAL,RENEW_COL_EO,FALSE),"")</f>
        <v/>
      </c>
      <c r="M676" s="412" t="str">
        <f ca="1">IF(E676="","",E676)</f>
        <v/>
      </c>
      <c r="N676" s="413"/>
      <c r="O676" s="414"/>
      <c r="P676" s="415" t="str">
        <f>IFERROR(IF($N675="Keep Contribution Same",H676,IF($N675="Enter Percentages",IF(N676="","",N676*L676),IF($N675="Keep Percentage Same",IF(G676="","",G676*L676),IF($N675="Enter Dollar Amount",IF(O676="","",O676),"")))),"")</f>
        <v/>
      </c>
      <c r="Q676" s="408" t="str">
        <f ca="1">IFERROR(L676-P676,"")</f>
        <v/>
      </c>
      <c r="R676" s="410" t="str">
        <f>IFERROR(IF(P676="","",M676*P676),"")</f>
        <v/>
      </c>
      <c r="S676" s="411"/>
      <c r="T676" s="408" t="str" cm="1">
        <f t="array" ca="1" aca="1" ref="T676">_xlfn.IFNA(VLOOKUP(INDIRECT("T"&amp;ROW()-1)&amp;"_"&amp;$D$12,BEGIN_Renew_Dental:END_RENEW_DENTAL,RENEW_COL_EO,FALSE),"")</f>
        <v/>
      </c>
      <c r="U676" s="412" t="str">
        <f ca="1">IF(E676="","",E676)</f>
        <v/>
      </c>
      <c r="V676" s="413"/>
      <c r="W676" s="414"/>
      <c r="X676" s="415" t="str">
        <f>IFERROR(IF($V675="Keep Contribution Same",H676,IF($V675="Enter Percentages",IF(V676="","",V676*T676),IF($V675="Keep Percentage Same",IF(G676="","",G676*T676),IF($V675="Enter Dollar Amount",IF(W676="","",W676),"")))),"")</f>
        <v/>
      </c>
      <c r="Y676" s="408" t="str">
        <f ca="1">IFERROR(T676-X676,"")</f>
        <v/>
      </c>
      <c r="Z676" s="410" t="str">
        <f>IFERROR(IF(X676="","",U676*X676),"")</f>
        <v/>
      </c>
    </row>
    <row r="677" spans="1:26" ht="18.75" customHeight="1">
      <c r="A677" s="140"/>
      <c r="B677" s="140"/>
      <c r="D677" s="172" t="s">
        <v>239</v>
      </c>
      <c r="E677" s="407" t="str">
        <f ca="1">_xlfn.IFNA(VLOOKUP(F675,BEGIN_CURRENT_DENTAL:END_CURRENT_DENTAL,CURRENT_COL_ES_count,FALSE),"")</f>
        <v/>
      </c>
      <c r="F677" s="408" t="str">
        <f ca="1">_xlfn.IFNA(VLOOKUP(F675,BEGIN_CURRENT_DENTAL:END_CURRENT_DENTAL,CURRENT_COL_ES,FALSE),"")</f>
        <v/>
      </c>
      <c r="G677" s="468" t="str">
        <f t="shared" ca="1" si="67"/>
        <v/>
      </c>
      <c r="H677" s="408" t="str">
        <f ca="1">_xlfn.IFNA(VLOOKUP(F675,BEGIN_CURRENT_DENTAL:END_CURRENT_DENTAL,CURRENT_COL_ESContrib,FALSE),"")</f>
        <v/>
      </c>
      <c r="I677" s="409" t="str">
        <f ca="1" t="shared" si="68" ref="I677:I679">IFERROR(F677-H677,"")</f>
        <v/>
      </c>
      <c r="J677" s="410" t="str">
        <f ca="1">IF(F677="","",H677*E677)</f>
        <v/>
      </c>
      <c r="K677" s="411"/>
      <c r="L677" s="408" t="str" cm="1">
        <f t="array" ca="1" aca="1" ref="L677">_xlfn.IFNA(VLOOKUP(INDIRECT("L"&amp;ROW()-2)&amp;"_"&amp;$D$12,BEGIN_Renew_Dental:END_RENEW_DENTAL,RENEW_COL_ES,FALSE),"")</f>
        <v/>
      </c>
      <c r="M677" s="412" t="str">
        <f ca="1">IF(E677="","",E677)</f>
        <v/>
      </c>
      <c r="N677" s="413"/>
      <c r="O677" s="414"/>
      <c r="P677" s="415" t="str">
        <f>IFERROR(IF($N675="Keep Contribution Same",H677,IF($N675="Enter Percentages",IF(N677="","",N677*L677),IF($N675="Keep Percentage Same",IF(G677="","",G677*L677),IF($N675="Enter Dollar Amount",IF(O677="","",O677),"")))),"")</f>
        <v/>
      </c>
      <c r="Q677" s="408" t="str">
        <f ca="1">IFERROR(L677-P677,"")</f>
        <v/>
      </c>
      <c r="R677" s="410" t="str">
        <f>IFERROR(IF(P677="","",M677*P677),"")</f>
        <v/>
      </c>
      <c r="S677" s="411"/>
      <c r="T677" s="408" t="str" cm="1">
        <f t="array" ca="1" aca="1" ref="T677">_xlfn.IFNA(VLOOKUP(INDIRECT("T"&amp;ROW()-2)&amp;"_"&amp;$D$12,BEGIN_Renew_Dental:END_RENEW_DENTAL,RENEW_COL_ES,FALSE),"")</f>
        <v/>
      </c>
      <c r="U677" s="412" t="str">
        <f ca="1" t="shared" si="69" ref="U677:U679">IF(E677="","",E677)</f>
        <v/>
      </c>
      <c r="V677" s="413"/>
      <c r="W677" s="414"/>
      <c r="X677" s="415" t="str">
        <f>IFERROR(IF($V675="Keep Contribution Same",H677,IF($V675="Enter Percentages",IF(V677="","",V677*T677),IF($V675="Keep Percentage Same",IF(G677="","",G677*T677),IF($V675="Enter Dollar Amount",IF(W677="","",W677),"")))),"")</f>
        <v/>
      </c>
      <c r="Y677" s="408" t="str">
        <f ca="1" t="shared" si="70" ref="Y677:Y679">IFERROR(T677-X677,"")</f>
        <v/>
      </c>
      <c r="Z677" s="410" t="str">
        <f t="shared" si="71" ref="Z677:Z679">IFERROR(IF(X677="","",U677*X677),"")</f>
        <v/>
      </c>
    </row>
    <row r="678" spans="1:26" ht="18.75" customHeight="1">
      <c r="A678" s="140"/>
      <c r="B678" s="140"/>
      <c r="D678" s="172" t="s">
        <v>240</v>
      </c>
      <c r="E678" s="407" t="str">
        <f ca="1">_xlfn.IFNA(VLOOKUP(F675,BEGIN_CURRENT_DENTAL:END_CURRENT_DENTAL,CURRENT_COL_EC_count,FALSE),"")</f>
        <v/>
      </c>
      <c r="F678" s="408" t="str">
        <f ca="1">_xlfn.IFNA(VLOOKUP(F675,BEGIN_CURRENT_DENTAL:END_CURRENT_DENTAL,CURRENT_COL_EC,FALSE),"")</f>
        <v/>
      </c>
      <c r="G678" s="468" t="str">
        <f t="shared" ca="1" si="67"/>
        <v/>
      </c>
      <c r="H678" s="408" t="str">
        <f ca="1">_xlfn.IFNA(VLOOKUP(F675,BEGIN_CURRENT_DENTAL:END_CURRENT_DENTAL,CURRENT_COL_ECContrib,FALSE),"")</f>
        <v/>
      </c>
      <c r="I678" s="409" t="str">
        <f t="shared" ca="1" si="68"/>
        <v/>
      </c>
      <c r="J678" s="410" t="str">
        <f ca="1">IF(F678="","",H678*E678)</f>
        <v/>
      </c>
      <c r="K678" s="411"/>
      <c r="L678" s="408" t="str" cm="1">
        <f t="array" ca="1" aca="1" ref="L678">_xlfn.IFNA(VLOOKUP(INDIRECT("L"&amp;ROW()-3)&amp;"_"&amp;$D$12,BEGIN_Renew_Dental:END_RENEW_DENTAL,RENEW_COL_EC,FALSE),"")</f>
        <v/>
      </c>
      <c r="M678" s="412" t="str">
        <f ca="1">IF(E678="","",E678)</f>
        <v/>
      </c>
      <c r="N678" s="413"/>
      <c r="O678" s="414"/>
      <c r="P678" s="415" t="str">
        <f>IFERROR(IF($N675="Keep Contribution Same",H678,IF($N675="Enter Percentages",IF(N678="","",N678*L678),IF($N675="Keep Percentage Same",IF(G678="","",G678*L678),IF($N675="Enter Dollar Amount",IF(O678="","",O678),"")))),"")</f>
        <v/>
      </c>
      <c r="Q678" s="408" t="str">
        <f ca="1">IFERROR(L678-P678,"")</f>
        <v/>
      </c>
      <c r="R678" s="410" t="str">
        <f>IFERROR(IF(P678="","",M678*P678),"")</f>
        <v/>
      </c>
      <c r="S678" s="411"/>
      <c r="T678" s="408" t="str" cm="1">
        <f t="array" ca="1" aca="1" ref="T678">_xlfn.IFNA(VLOOKUP(INDIRECT("T"&amp;ROW()-3)&amp;"_"&amp;$D$12,BEGIN_Renew_Dental:END_RENEW_DENTAL,RENEW_COL_EC,FALSE),"")</f>
        <v/>
      </c>
      <c r="U678" s="412" t="str">
        <f t="shared" ca="1" si="69"/>
        <v/>
      </c>
      <c r="V678" s="413"/>
      <c r="W678" s="414"/>
      <c r="X678" s="415" t="str">
        <f>IFERROR(IF($V675="Keep Contribution Same",H678,IF($V675="Enter Percentages",IF(V678="","",V678*T678),IF($V675="Keep Percentage Same",IF(G678="","",G678*T678),IF($V675="Enter Dollar Amount",IF(W678="","",W678),"")))),"")</f>
        <v/>
      </c>
      <c r="Y678" s="408" t="str">
        <f t="shared" ca="1" si="70"/>
        <v/>
      </c>
      <c r="Z678" s="410" t="str">
        <f t="shared" si="71"/>
        <v/>
      </c>
    </row>
    <row r="679" spans="1:26" ht="18.75" customHeight="1" thickBot="1">
      <c r="A679" s="140"/>
      <c r="B679" s="140"/>
      <c r="D679" s="174" t="s">
        <v>241</v>
      </c>
      <c r="E679" s="416" t="str">
        <f ca="1">_xlfn.IFNA(VLOOKUP(F675,BEGIN_CURRENT_DENTAL:END_CURRENT_DENTAL,CURRENT_COL_FAM_count,FALSE),"")</f>
        <v/>
      </c>
      <c r="F679" s="417" t="str">
        <f ca="1">_xlfn.IFNA(VLOOKUP(F675,BEGIN_CURRENT_DENTAL:END_CURRENT_DENTAL,CURRENT_COL_FAM,FALSE),"")</f>
        <v/>
      </c>
      <c r="G679" s="469" t="str">
        <f t="shared" ca="1" si="67"/>
        <v/>
      </c>
      <c r="H679" s="417" t="str">
        <f ca="1">_xlfn.IFNA(VLOOKUP(F675,BEGIN_CURRENT_DENTAL:END_CURRENT_DENTAL,CURRENT_COL_FAMContrib,FALSE),"")</f>
        <v/>
      </c>
      <c r="I679" s="418" t="str">
        <f t="shared" ca="1" si="68"/>
        <v/>
      </c>
      <c r="J679" s="419" t="str">
        <f ca="1">IF(F679="","",H679*E679)</f>
        <v/>
      </c>
      <c r="K679" s="411"/>
      <c r="L679" s="417" t="str" cm="1">
        <f t="array" ca="1" aca="1" ref="L679">_xlfn.IFNA(VLOOKUP(INDIRECT("L"&amp;ROW()-4)&amp;"_"&amp;$D$12,BEGIN_Renew_Dental:END_RENEW_DENTAL,RENEW_COL_FAM,FALSE),"")</f>
        <v/>
      </c>
      <c r="M679" s="423" t="str">
        <f ca="1">IF(E679="","",E679)</f>
        <v/>
      </c>
      <c r="N679" s="420"/>
      <c r="O679" s="421"/>
      <c r="P679" s="422" t="str">
        <f>IFERROR(IF($N675="Keep Contribution Same",H679,IF($N675="Enter Percentages",IF(N679="","",N679*L679),IF($N675="Keep Percentage Same",IF(G679="","",G679*L679),IF($N675="Enter Dollar Amount",IF(O679="","",O679),"")))),"")</f>
        <v/>
      </c>
      <c r="Q679" s="417" t="str">
        <f ca="1">IFERROR(L679-P679,"")</f>
        <v/>
      </c>
      <c r="R679" s="419" t="str">
        <f>IFERROR(IF(P679="","",M679*P679),"")</f>
        <v/>
      </c>
      <c r="S679" s="411"/>
      <c r="T679" s="417" t="str" cm="1">
        <f t="array" ca="1" aca="1" ref="T679">_xlfn.IFNA(VLOOKUP(INDIRECT("T"&amp;ROW()-4)&amp;"_"&amp;$D$12,BEGIN_Renew_Dental:END_RENEW_DENTAL,RENEW_COL_FAM,FALSE),"")</f>
        <v/>
      </c>
      <c r="U679" s="423" t="str">
        <f t="shared" ca="1" si="69"/>
        <v/>
      </c>
      <c r="V679" s="420"/>
      <c r="W679" s="421"/>
      <c r="X679" s="422" t="str">
        <f>IFERROR(IF($V675="Keep Contribution Same",H679,IF($V675="Enter Percentages",IF(V679="","",V679*T679),IF($V675="Keep Percentage Same",IF(G679="","",G679*T679),IF($V675="Enter Dollar Amount",IF(W679="","",W679),"")))),"")</f>
        <v/>
      </c>
      <c r="Y679" s="417" t="str">
        <f t="shared" ca="1" si="70"/>
        <v/>
      </c>
      <c r="Z679" s="419" t="str">
        <f t="shared" si="71"/>
        <v/>
      </c>
    </row>
    <row r="680" spans="1:26" ht="18.75" customHeight="1" thickTop="1">
      <c r="A680" s="140"/>
      <c r="B680" s="140"/>
      <c r="D680" s="175" t="s">
        <v>242</v>
      </c>
      <c r="E680" s="424"/>
      <c r="F680" s="427"/>
      <c r="G680" s="426"/>
      <c r="H680" s="427"/>
      <c r="I680" s="428"/>
      <c r="J680" s="429" t="str">
        <f ca="1">IFERROR(IF(J676="","",SUM(J676:J679)),0)</f>
        <v/>
      </c>
      <c r="K680" s="1"/>
      <c r="L680" s="424"/>
      <c r="M680" s="427"/>
      <c r="N680" s="426"/>
      <c r="O680" s="427"/>
      <c r="P680" s="431"/>
      <c r="Q680" s="432"/>
      <c r="R680" s="429" t="str">
        <f>IFERROR(IF(R676="","",SUM(R676:R679)),0)</f>
        <v/>
      </c>
      <c r="T680" s="424"/>
      <c r="U680" s="427"/>
      <c r="V680" s="426"/>
      <c r="W680" s="427"/>
      <c r="X680" s="431"/>
      <c r="Y680" s="432"/>
      <c r="Z680" s="429" t="str">
        <f>IFERROR(IF(Z676="","",SUM(Z676:Z679)),0)</f>
        <v/>
      </c>
    </row>
    <row r="681" spans="1:26" ht="18.75" customHeight="1">
      <c r="A681" s="140"/>
      <c r="B681" s="140"/>
      <c r="D681" s="177" t="s">
        <v>243</v>
      </c>
      <c r="E681" s="433"/>
      <c r="F681" s="436"/>
      <c r="G681" s="435"/>
      <c r="H681" s="436"/>
      <c r="I681" s="432"/>
      <c r="J681" s="437" t="str">
        <f ca="1">IF(J680="","",J680*12)</f>
        <v/>
      </c>
      <c r="K681" s="1"/>
      <c r="L681" s="433"/>
      <c r="M681" s="436"/>
      <c r="N681" s="435"/>
      <c r="O681" s="436"/>
      <c r="P681" s="432"/>
      <c r="Q681" s="432"/>
      <c r="R681" s="437" t="str">
        <f>IF(R680="","",R680*12)</f>
        <v/>
      </c>
      <c r="T681" s="433"/>
      <c r="U681" s="436"/>
      <c r="V681" s="435"/>
      <c r="W681" s="436"/>
      <c r="X681" s="432"/>
      <c r="Y681" s="432"/>
      <c r="Z681" s="437" t="str">
        <f>IF(Z680="","",Z680*12)</f>
        <v/>
      </c>
    </row>
    <row r="682" spans="1:26" ht="18" customHeight="1">
      <c r="A682" s="140"/>
      <c r="B682" s="140"/>
      <c r="D682" s="177" t="s">
        <v>244</v>
      </c>
      <c r="E682" s="433"/>
      <c r="F682" s="436"/>
      <c r="G682" s="435"/>
      <c r="H682" s="436"/>
      <c r="I682" s="432"/>
      <c r="J682" s="437"/>
      <c r="K682" s="1"/>
      <c r="L682" s="433"/>
      <c r="M682" s="436"/>
      <c r="N682" s="435"/>
      <c r="O682" s="436"/>
      <c r="P682" s="432"/>
      <c r="Q682" s="432"/>
      <c r="R682" s="437" t="str">
        <f ca="1">IFERROR(IF(J681="","",R681-J681),0)</f>
        <v/>
      </c>
      <c r="T682" s="433"/>
      <c r="U682" s="436"/>
      <c r="V682" s="435"/>
      <c r="W682" s="436"/>
      <c r="X682" s="432"/>
      <c r="Y682" s="432"/>
      <c r="Z682" s="437" t="str">
        <f>IFERROR(IF(R681="","",Z681-R681),0)</f>
        <v/>
      </c>
    </row>
    <row r="683" spans="1:26" ht="18" customHeight="1" thickBot="1">
      <c r="A683" s="140"/>
      <c r="B683" s="140"/>
      <c r="D683" s="180" t="s">
        <v>245</v>
      </c>
      <c r="E683" s="439"/>
      <c r="F683" s="440"/>
      <c r="G683" s="441"/>
      <c r="H683" s="440"/>
      <c r="I683" s="442"/>
      <c r="J683" s="443"/>
      <c r="K683" s="1"/>
      <c r="L683" s="439"/>
      <c r="M683" s="440"/>
      <c r="N683" s="441"/>
      <c r="O683" s="440"/>
      <c r="P683" s="445"/>
      <c r="Q683" s="445"/>
      <c r="R683" s="446" t="str">
        <f ca="1">IFERROR(IF(J681="","",(R681/J681)-1),0)</f>
        <v/>
      </c>
      <c r="T683" s="439"/>
      <c r="U683" s="440"/>
      <c r="V683" s="441"/>
      <c r="W683" s="440"/>
      <c r="X683" s="445"/>
      <c r="Y683" s="445"/>
      <c r="Z683" s="446" t="str">
        <f>IFERROR(IF(R681="","",(Z681/R681)-1),0)</f>
        <v/>
      </c>
    </row>
    <row r="684" spans="1:26" ht="5.25" customHeight="1" thickBot="1">
      <c r="A684" s="140"/>
      <c r="B684" s="140"/>
      <c r="D684" s="229"/>
      <c r="E684" s="229"/>
      <c r="F684" s="230"/>
      <c r="G684" s="231"/>
      <c r="H684" s="232"/>
      <c r="I684" s="233"/>
      <c r="J684" s="233"/>
      <c r="K684"/>
      <c r="L684" s="233"/>
      <c r="M684" s="233"/>
      <c r="N684" s="233"/>
      <c r="O684" s="233"/>
      <c r="P684" s="233"/>
      <c r="Q684" s="233"/>
      <c r="R684" s="233"/>
      <c r="T684" s="233"/>
      <c r="U684" s="233"/>
      <c r="V684" s="233"/>
      <c r="W684" s="233"/>
      <c r="X684" s="233"/>
      <c r="Y684" s="233"/>
      <c r="Z684" s="233"/>
    </row>
    <row r="685" spans="1:26" ht="50.15" customHeight="1">
      <c r="A685" s="140">
        <v>3</v>
      </c>
      <c r="B685" s="140" t="str">
        <f>IF(A685&gt;Class4_CurrentDentalCount,"DELETE",Class4_CurrentDentalStart+A685)</f>
        <v>DELETE</v>
      </c>
      <c r="C685" s="164" t="s">
        <v>291</v>
      </c>
      <c r="D685" s="273" t="str">
        <f>IF(B685="Delete","",VLOOKUP(F685,BEGIN_CURRENT_DENTAL:END_CURRENT_DENTAL,3,FALSE))</f>
        <v/>
      </c>
      <c r="E685" s="165"/>
      <c r="F685" s="272" t="str" cm="1">
        <f t="array" ca="1" aca="1" ref="F685">IF(B685="Delete","",INDIRECT("CurrentPlans!A"&amp;B685,TRUE))</f>
        <v/>
      </c>
      <c r="G685" s="166"/>
      <c r="H685" s="167"/>
      <c r="I685" s="168"/>
      <c r="J685" s="169"/>
      <c r="K685"/>
      <c r="L685" s="274" t="str">
        <f ca="1">_xlfn.IFNA(VLOOKUP(F685,BEGIN_RENEWEDFROM_DENTAL:ROW_RenewDental_PlanID,3,FALSE),"SELECT PLAN")</f>
        <v>SELECT PLAN</v>
      </c>
      <c r="M685" s="170"/>
      <c r="N685" s="274" t="s">
        <v>237</v>
      </c>
      <c r="O685" s="171"/>
      <c r="P685" s="171"/>
      <c r="Q685" s="171"/>
      <c r="R685" s="169"/>
      <c r="T685" s="274" t="s">
        <v>38</v>
      </c>
      <c r="U685" s="170"/>
      <c r="V685" s="274" t="s">
        <v>237</v>
      </c>
      <c r="W685" s="171"/>
      <c r="X685" s="171"/>
      <c r="Y685" s="171"/>
      <c r="Z685" s="169"/>
    </row>
    <row r="686" spans="1:26" ht="18.75" customHeight="1">
      <c r="A686" s="140"/>
      <c r="B686" s="140"/>
      <c r="D686" s="172" t="s">
        <v>238</v>
      </c>
      <c r="E686" s="407" t="str">
        <f ca="1">_xlfn.IFNA(VLOOKUP(F685,BEGIN_CURRENT_DENTAL:END_CURRENT_DENTAL,CURRENT_COL_EO_count,FALSE),"")</f>
        <v/>
      </c>
      <c r="F686" s="408" t="str">
        <f ca="1">_xlfn.IFNA(VLOOKUP(F685,BEGIN_CURRENT_DENTAL:END_CURRENT_DENTAL,CURRENT_COL_EO,FALSE),"")</f>
        <v/>
      </c>
      <c r="G686" s="468" t="str">
        <f ca="1" t="shared" si="72" ref="G686:G689">IF(F686="","",H686/F686)</f>
        <v/>
      </c>
      <c r="H686" s="408" t="str">
        <f ca="1">_xlfn.IFNA(VLOOKUP(F685,BEGIN_CURRENT_DENTAL:END_CURRENT_DENTAL,CURRENT_COL_EOContrib,FALSE),"")</f>
        <v/>
      </c>
      <c r="I686" s="409" t="str">
        <f ca="1">IFERROR(F686-H686,"")</f>
        <v/>
      </c>
      <c r="J686" s="410" t="str">
        <f ca="1">IF(F686="","",H686*E686)</f>
        <v/>
      </c>
      <c r="K686" s="411"/>
      <c r="L686" s="408" t="str" cm="1">
        <f t="array" ca="1" aca="1" ref="L686">_xlfn.IFNA(VLOOKUP(INDIRECT("L"&amp;ROW()-1)&amp;"_"&amp;$D$12,BEGIN_Renew_Dental:END_RENEW_DENTAL,RENEW_COL_EO,FALSE),"")</f>
        <v/>
      </c>
      <c r="M686" s="412" t="str">
        <f ca="1">IF(E686="","",E686)</f>
        <v/>
      </c>
      <c r="N686" s="413"/>
      <c r="O686" s="414"/>
      <c r="P686" s="415" t="str">
        <f>IFERROR(IF($N685="Keep Contribution Same",H686,IF($N685="Enter Percentages",IF(N686="","",N686*L686),IF($N685="Keep Percentage Same",IF(G686="","",G686*L686),IF($N685="Enter Dollar Amount",IF(O686="","",O686),"")))),"")</f>
        <v/>
      </c>
      <c r="Q686" s="408" t="str">
        <f ca="1">IFERROR(L686-P686,"")</f>
        <v/>
      </c>
      <c r="R686" s="410" t="str">
        <f>IFERROR(IF(P686="","",M686*P686),"")</f>
        <v/>
      </c>
      <c r="S686" s="411"/>
      <c r="T686" s="408" t="str" cm="1">
        <f t="array" ca="1" aca="1" ref="T686">_xlfn.IFNA(VLOOKUP(INDIRECT("T"&amp;ROW()-1)&amp;"_"&amp;$D$12,BEGIN_Renew_Dental:END_RENEW_DENTAL,RENEW_COL_EO,FALSE),"")</f>
        <v/>
      </c>
      <c r="U686" s="412" t="str">
        <f ca="1">IF(E686="","",E686)</f>
        <v/>
      </c>
      <c r="V686" s="413"/>
      <c r="W686" s="414"/>
      <c r="X686" s="415" t="str">
        <f>IFERROR(IF($V685="Keep Contribution Same",H686,IF($V685="Enter Percentages",IF(V686="","",V686*T686),IF($V685="Keep Percentage Same",IF(G686="","",G686*T686),IF($V685="Enter Dollar Amount",IF(W686="","",W686),"")))),"")</f>
        <v/>
      </c>
      <c r="Y686" s="408" t="str">
        <f ca="1">IFERROR(T686-X686,"")</f>
        <v/>
      </c>
      <c r="Z686" s="410" t="str">
        <f>IFERROR(IF(X686="","",U686*X686),"")</f>
        <v/>
      </c>
    </row>
    <row r="687" spans="1:26" ht="18.75" customHeight="1">
      <c r="A687" s="140"/>
      <c r="B687" s="140"/>
      <c r="D687" s="172" t="s">
        <v>239</v>
      </c>
      <c r="E687" s="407" t="str">
        <f ca="1">_xlfn.IFNA(VLOOKUP(F685,BEGIN_CURRENT_DENTAL:END_CURRENT_DENTAL,CURRENT_COL_ES_count,FALSE),"")</f>
        <v/>
      </c>
      <c r="F687" s="408" t="str">
        <f ca="1">_xlfn.IFNA(VLOOKUP(F685,BEGIN_CURRENT_DENTAL:END_CURRENT_DENTAL,CURRENT_COL_ES,FALSE),"")</f>
        <v/>
      </c>
      <c r="G687" s="468" t="str">
        <f t="shared" ca="1" si="72"/>
        <v/>
      </c>
      <c r="H687" s="408" t="str">
        <f ca="1">_xlfn.IFNA(VLOOKUP(F685,BEGIN_CURRENT_DENTAL:END_CURRENT_DENTAL,CURRENT_COL_ESContrib,FALSE),"")</f>
        <v/>
      </c>
      <c r="I687" s="409" t="str">
        <f ca="1" t="shared" si="73" ref="I687:I689">IFERROR(F687-H687,"")</f>
        <v/>
      </c>
      <c r="J687" s="410" t="str">
        <f ca="1">IF(F687="","",H687*E687)</f>
        <v/>
      </c>
      <c r="K687" s="411"/>
      <c r="L687" s="408" t="str" cm="1">
        <f t="array" ca="1" aca="1" ref="L687">_xlfn.IFNA(VLOOKUP(INDIRECT("L"&amp;ROW()-2)&amp;"_"&amp;$D$12,BEGIN_Renew_Dental:END_RENEW_DENTAL,RENEW_COL_ES,FALSE),"")</f>
        <v/>
      </c>
      <c r="M687" s="412" t="str">
        <f ca="1">IF(E687="","",E687)</f>
        <v/>
      </c>
      <c r="N687" s="413"/>
      <c r="O687" s="414"/>
      <c r="P687" s="415" t="str">
        <f>IFERROR(IF($N685="Keep Contribution Same",H687,IF($N685="Enter Percentages",IF(N687="","",N687*L687),IF($N685="Keep Percentage Same",IF(G687="","",G687*L687),IF($N685="Enter Dollar Amount",IF(O687="","",O687),"")))),"")</f>
        <v/>
      </c>
      <c r="Q687" s="408" t="str">
        <f ca="1">IFERROR(L687-P687,"")</f>
        <v/>
      </c>
      <c r="R687" s="410" t="str">
        <f>IFERROR(IF(P687="","",M687*P687),"")</f>
        <v/>
      </c>
      <c r="S687" s="411"/>
      <c r="T687" s="408" t="str" cm="1">
        <f t="array" ca="1" aca="1" ref="T687">_xlfn.IFNA(VLOOKUP(INDIRECT("T"&amp;ROW()-2)&amp;"_"&amp;$D$12,BEGIN_Renew_Dental:END_RENEW_DENTAL,RENEW_COL_ES,FALSE),"")</f>
        <v/>
      </c>
      <c r="U687" s="412" t="str">
        <f ca="1" t="shared" si="74" ref="U687:U689">IF(E687="","",E687)</f>
        <v/>
      </c>
      <c r="V687" s="413"/>
      <c r="W687" s="414"/>
      <c r="X687" s="415" t="str">
        <f>IFERROR(IF($V685="Keep Contribution Same",H687,IF($V685="Enter Percentages",IF(V687="","",V687*T687),IF($V685="Keep Percentage Same",IF(G687="","",G687*T687),IF($V685="Enter Dollar Amount",IF(W687="","",W687),"")))),"")</f>
        <v/>
      </c>
      <c r="Y687" s="408" t="str">
        <f ca="1" t="shared" si="75" ref="Y687:Y689">IFERROR(T687-X687,"")</f>
        <v/>
      </c>
      <c r="Z687" s="410" t="str">
        <f t="shared" si="76" ref="Z687:Z689">IFERROR(IF(X687="","",U687*X687),"")</f>
        <v/>
      </c>
    </row>
    <row r="688" spans="1:26" ht="18.75" customHeight="1">
      <c r="A688" s="140"/>
      <c r="B688" s="140"/>
      <c r="D688" s="172" t="s">
        <v>240</v>
      </c>
      <c r="E688" s="407" t="str">
        <f ca="1">_xlfn.IFNA(VLOOKUP(F685,BEGIN_CURRENT_DENTAL:END_CURRENT_DENTAL,CURRENT_COL_EC_count,FALSE),"")</f>
        <v/>
      </c>
      <c r="F688" s="408" t="str">
        <f ca="1">_xlfn.IFNA(VLOOKUP(F685,BEGIN_CURRENT_DENTAL:END_CURRENT_DENTAL,CURRENT_COL_EC,FALSE),"")</f>
        <v/>
      </c>
      <c r="G688" s="468" t="str">
        <f t="shared" ca="1" si="72"/>
        <v/>
      </c>
      <c r="H688" s="408" t="str">
        <f ca="1">_xlfn.IFNA(VLOOKUP(F685,BEGIN_CURRENT_DENTAL:END_CURRENT_DENTAL,CURRENT_COL_ECContrib,FALSE),"")</f>
        <v/>
      </c>
      <c r="I688" s="409" t="str">
        <f t="shared" ca="1" si="73"/>
        <v/>
      </c>
      <c r="J688" s="410" t="str">
        <f ca="1">IF(F688="","",H688*E688)</f>
        <v/>
      </c>
      <c r="K688" s="411"/>
      <c r="L688" s="408" t="str" cm="1">
        <f t="array" ca="1" aca="1" ref="L688">_xlfn.IFNA(VLOOKUP(INDIRECT("L"&amp;ROW()-3)&amp;"_"&amp;$D$12,BEGIN_Renew_Dental:END_RENEW_DENTAL,RENEW_COL_EC,FALSE),"")</f>
        <v/>
      </c>
      <c r="M688" s="412" t="str">
        <f ca="1">IF(E688="","",E688)</f>
        <v/>
      </c>
      <c r="N688" s="413"/>
      <c r="O688" s="414"/>
      <c r="P688" s="415" t="str">
        <f>IFERROR(IF($N685="Keep Contribution Same",H688,IF($N685="Enter Percentages",IF(N688="","",N688*L688),IF($N685="Keep Percentage Same",IF(G688="","",G688*L688),IF($N685="Enter Dollar Amount",IF(O688="","",O688),"")))),"")</f>
        <v/>
      </c>
      <c r="Q688" s="408" t="str">
        <f ca="1">IFERROR(L688-P688,"")</f>
        <v/>
      </c>
      <c r="R688" s="410" t="str">
        <f>IFERROR(IF(P688="","",M688*P688),"")</f>
        <v/>
      </c>
      <c r="S688" s="411"/>
      <c r="T688" s="408" t="str" cm="1">
        <f t="array" ca="1" aca="1" ref="T688">_xlfn.IFNA(VLOOKUP(INDIRECT("T"&amp;ROW()-3)&amp;"_"&amp;$D$12,BEGIN_Renew_Dental:END_RENEW_DENTAL,RENEW_COL_EC,FALSE),"")</f>
        <v/>
      </c>
      <c r="U688" s="412" t="str">
        <f t="shared" ca="1" si="74"/>
        <v/>
      </c>
      <c r="V688" s="413"/>
      <c r="W688" s="414"/>
      <c r="X688" s="415" t="str">
        <f>IFERROR(IF($V685="Keep Contribution Same",H688,IF($V685="Enter Percentages",IF(V688="","",V688*T688),IF($V685="Keep Percentage Same",IF(G688="","",G688*T688),IF($V685="Enter Dollar Amount",IF(W688="","",W688),"")))),"")</f>
        <v/>
      </c>
      <c r="Y688" s="408" t="str">
        <f t="shared" ca="1" si="75"/>
        <v/>
      </c>
      <c r="Z688" s="410" t="str">
        <f t="shared" si="76"/>
        <v/>
      </c>
    </row>
    <row r="689" spans="1:26" ht="18.75" customHeight="1" thickBot="1">
      <c r="A689" s="140"/>
      <c r="B689" s="140"/>
      <c r="D689" s="174" t="s">
        <v>241</v>
      </c>
      <c r="E689" s="416" t="str">
        <f ca="1">_xlfn.IFNA(VLOOKUP(F685,BEGIN_CURRENT_DENTAL:END_CURRENT_DENTAL,CURRENT_COL_FAM_count,FALSE),"")</f>
        <v/>
      </c>
      <c r="F689" s="417" t="str">
        <f ca="1">_xlfn.IFNA(VLOOKUP(F685,BEGIN_CURRENT_DENTAL:END_CURRENT_DENTAL,CURRENT_COL_FAM,FALSE),"")</f>
        <v/>
      </c>
      <c r="G689" s="469" t="str">
        <f t="shared" ca="1" si="72"/>
        <v/>
      </c>
      <c r="H689" s="417" t="str">
        <f ca="1">_xlfn.IFNA(VLOOKUP(F685,BEGIN_CURRENT_DENTAL:END_CURRENT_DENTAL,CURRENT_COL_FAMContrib,FALSE),"")</f>
        <v/>
      </c>
      <c r="I689" s="418" t="str">
        <f t="shared" ca="1" si="73"/>
        <v/>
      </c>
      <c r="J689" s="419" t="str">
        <f ca="1">IF(F689="","",H689*E689)</f>
        <v/>
      </c>
      <c r="K689" s="411"/>
      <c r="L689" s="417" t="str" cm="1">
        <f t="array" ca="1" aca="1" ref="L689">_xlfn.IFNA(VLOOKUP(INDIRECT("L"&amp;ROW()-4)&amp;"_"&amp;$D$12,BEGIN_Renew_Dental:END_RENEW_DENTAL,RENEW_COL_FAM,FALSE),"")</f>
        <v/>
      </c>
      <c r="M689" s="423" t="str">
        <f ca="1">IF(E689="","",E689)</f>
        <v/>
      </c>
      <c r="N689" s="420"/>
      <c r="O689" s="421"/>
      <c r="P689" s="422" t="str">
        <f>IFERROR(IF($N685="Keep Contribution Same",H689,IF($N685="Enter Percentages",IF(N689="","",N689*L689),IF($N685="Keep Percentage Same",IF(G689="","",G689*L689),IF($N685="Enter Dollar Amount",IF(O689="","",O689),"")))),"")</f>
        <v/>
      </c>
      <c r="Q689" s="417" t="str">
        <f ca="1">IFERROR(L689-P689,"")</f>
        <v/>
      </c>
      <c r="R689" s="419" t="str">
        <f>IFERROR(IF(P689="","",M689*P689),"")</f>
        <v/>
      </c>
      <c r="S689" s="411"/>
      <c r="T689" s="417" t="str" cm="1">
        <f t="array" ca="1" aca="1" ref="T689">_xlfn.IFNA(VLOOKUP(INDIRECT("T"&amp;ROW()-4)&amp;"_"&amp;$D$12,BEGIN_Renew_Dental:END_RENEW_DENTAL,RENEW_COL_FAM,FALSE),"")</f>
        <v/>
      </c>
      <c r="U689" s="423" t="str">
        <f t="shared" ca="1" si="74"/>
        <v/>
      </c>
      <c r="V689" s="420"/>
      <c r="W689" s="421"/>
      <c r="X689" s="422" t="str">
        <f>IFERROR(IF($V685="Keep Contribution Same",H689,IF($V685="Enter Percentages",IF(V689="","",V689*T689),IF($V685="Keep Percentage Same",IF(G689="","",G689*T689),IF($V685="Enter Dollar Amount",IF(W689="","",W689),"")))),"")</f>
        <v/>
      </c>
      <c r="Y689" s="417" t="str">
        <f t="shared" ca="1" si="75"/>
        <v/>
      </c>
      <c r="Z689" s="419" t="str">
        <f t="shared" si="76"/>
        <v/>
      </c>
    </row>
    <row r="690" spans="1:26" ht="18.75" customHeight="1" thickTop="1">
      <c r="A690" s="140"/>
      <c r="B690" s="140"/>
      <c r="D690" s="175" t="s">
        <v>242</v>
      </c>
      <c r="E690" s="424"/>
      <c r="F690" s="427"/>
      <c r="G690" s="426"/>
      <c r="H690" s="427"/>
      <c r="I690" s="428"/>
      <c r="J690" s="429" t="str">
        <f ca="1">IFERROR(IF(J686="","",SUM(J686:J689)),0)</f>
        <v/>
      </c>
      <c r="K690" s="1"/>
      <c r="L690" s="424"/>
      <c r="M690" s="427"/>
      <c r="N690" s="426"/>
      <c r="O690" s="427"/>
      <c r="P690" s="431"/>
      <c r="Q690" s="432"/>
      <c r="R690" s="429" t="str">
        <f>IFERROR(IF(R686="","",SUM(R686:R689)),0)</f>
        <v/>
      </c>
      <c r="T690" s="424"/>
      <c r="U690" s="427"/>
      <c r="V690" s="426"/>
      <c r="W690" s="427"/>
      <c r="X690" s="431"/>
      <c r="Y690" s="432"/>
      <c r="Z690" s="429" t="str">
        <f>IFERROR(IF(Z686="","",SUM(Z686:Z689)),0)</f>
        <v/>
      </c>
    </row>
    <row r="691" spans="1:26" ht="18.75" customHeight="1">
      <c r="A691" s="140"/>
      <c r="B691" s="140"/>
      <c r="D691" s="177" t="s">
        <v>243</v>
      </c>
      <c r="E691" s="433"/>
      <c r="F691" s="436"/>
      <c r="G691" s="435"/>
      <c r="H691" s="436"/>
      <c r="I691" s="432"/>
      <c r="J691" s="437" t="str">
        <f ca="1">IF(J690="","",J690*12)</f>
        <v/>
      </c>
      <c r="K691" s="1"/>
      <c r="L691" s="433"/>
      <c r="M691" s="436"/>
      <c r="N691" s="435"/>
      <c r="O691" s="436"/>
      <c r="P691" s="432"/>
      <c r="Q691" s="432"/>
      <c r="R691" s="437" t="str">
        <f>IF(R690="","",R690*12)</f>
        <v/>
      </c>
      <c r="T691" s="433"/>
      <c r="U691" s="436"/>
      <c r="V691" s="435"/>
      <c r="W691" s="436"/>
      <c r="X691" s="432"/>
      <c r="Y691" s="432"/>
      <c r="Z691" s="437" t="str">
        <f>IF(Z690="","",Z690*12)</f>
        <v/>
      </c>
    </row>
    <row r="692" spans="1:26" ht="18" customHeight="1">
      <c r="A692" s="140"/>
      <c r="B692" s="140"/>
      <c r="D692" s="177" t="s">
        <v>244</v>
      </c>
      <c r="E692" s="433"/>
      <c r="F692" s="436"/>
      <c r="G692" s="435"/>
      <c r="H692" s="436"/>
      <c r="I692" s="432"/>
      <c r="J692" s="437"/>
      <c r="K692" s="1"/>
      <c r="L692" s="433"/>
      <c r="M692" s="436"/>
      <c r="N692" s="435"/>
      <c r="O692" s="436"/>
      <c r="P692" s="432"/>
      <c r="Q692" s="432"/>
      <c r="R692" s="437" t="str">
        <f ca="1">IFERROR(IF(J691="","",R691-J691),0)</f>
        <v/>
      </c>
      <c r="T692" s="433"/>
      <c r="U692" s="436"/>
      <c r="V692" s="435"/>
      <c r="W692" s="436"/>
      <c r="X692" s="432"/>
      <c r="Y692" s="432"/>
      <c r="Z692" s="437" t="str">
        <f>IFERROR(IF(R691="","",Z691-R691),0)</f>
        <v/>
      </c>
    </row>
    <row r="693" spans="1:26" ht="18" customHeight="1" thickBot="1">
      <c r="A693" s="140"/>
      <c r="B693" s="140"/>
      <c r="D693" s="180" t="s">
        <v>245</v>
      </c>
      <c r="E693" s="439"/>
      <c r="F693" s="440"/>
      <c r="G693" s="441"/>
      <c r="H693" s="440"/>
      <c r="I693" s="442"/>
      <c r="J693" s="443"/>
      <c r="K693" s="1"/>
      <c r="L693" s="439"/>
      <c r="M693" s="440"/>
      <c r="N693" s="441"/>
      <c r="O693" s="440"/>
      <c r="P693" s="445"/>
      <c r="Q693" s="445"/>
      <c r="R693" s="446" t="str">
        <f ca="1">IFERROR(IF(J691="","",(R691/J691)-1),0)</f>
        <v/>
      </c>
      <c r="T693" s="439"/>
      <c r="U693" s="440"/>
      <c r="V693" s="441"/>
      <c r="W693" s="440"/>
      <c r="X693" s="445"/>
      <c r="Y693" s="445"/>
      <c r="Z693" s="446" t="str">
        <f>IFERROR(IF(R691="","",(Z691/R691)-1),0)</f>
        <v/>
      </c>
    </row>
    <row r="694" spans="1:26" ht="5.25" customHeight="1" thickBot="1">
      <c r="A694" s="140"/>
      <c r="B694" s="140"/>
      <c r="D694" s="229"/>
      <c r="E694" s="229"/>
      <c r="F694" s="230"/>
      <c r="G694" s="231"/>
      <c r="H694" s="232"/>
      <c r="I694" s="233"/>
      <c r="J694" s="233"/>
      <c r="K694"/>
      <c r="L694" s="233"/>
      <c r="M694" s="233"/>
      <c r="N694" s="233"/>
      <c r="O694" s="233"/>
      <c r="P694" s="233"/>
      <c r="Q694" s="233"/>
      <c r="R694" s="233"/>
      <c r="T694" s="233"/>
      <c r="U694" s="233"/>
      <c r="V694" s="233"/>
      <c r="W694" s="233"/>
      <c r="X694" s="233"/>
      <c r="Y694" s="233"/>
      <c r="Z694" s="233"/>
    </row>
    <row r="695" spans="1:26" ht="50.15" customHeight="1">
      <c r="A695" s="140">
        <v>4</v>
      </c>
      <c r="B695" s="140" t="str">
        <f>IF(A695&gt;Class4_CurrentDentalCount,"DELETE",Class4_CurrentDentalStart+A695)</f>
        <v>DELETE</v>
      </c>
      <c r="C695" s="164" t="s">
        <v>292</v>
      </c>
      <c r="D695" s="273" t="str">
        <f>IF(B695="Delete","",VLOOKUP(F695,BEGIN_CURRENT_DENTAL:END_CURRENT_DENTAL,3,FALSE))</f>
        <v/>
      </c>
      <c r="E695" s="165"/>
      <c r="F695" s="272" t="str" cm="1">
        <f t="array" ca="1" aca="1" ref="F695">IF(B695="Delete","",INDIRECT("CurrentPlans!A"&amp;B695,TRUE))</f>
        <v/>
      </c>
      <c r="G695" s="166"/>
      <c r="H695" s="167"/>
      <c r="I695" s="168"/>
      <c r="J695" s="169"/>
      <c r="K695"/>
      <c r="L695" s="274" t="str">
        <f ca="1">_xlfn.IFNA(VLOOKUP(F695,BEGIN_RENEWEDFROM_DENTAL:ROW_RenewDental_PlanID,3,FALSE),"SELECT PLAN")</f>
        <v>SELECT PLAN</v>
      </c>
      <c r="M695" s="170"/>
      <c r="N695" s="274" t="s">
        <v>237</v>
      </c>
      <c r="O695" s="171"/>
      <c r="P695" s="171"/>
      <c r="Q695" s="171"/>
      <c r="R695" s="169"/>
      <c r="T695" s="274" t="s">
        <v>38</v>
      </c>
      <c r="U695" s="170"/>
      <c r="V695" s="274" t="s">
        <v>237</v>
      </c>
      <c r="W695" s="171"/>
      <c r="X695" s="171"/>
      <c r="Y695" s="171"/>
      <c r="Z695" s="169"/>
    </row>
    <row r="696" spans="1:26" ht="18.75" customHeight="1">
      <c r="A696" s="140"/>
      <c r="B696" s="140"/>
      <c r="D696" s="172" t="s">
        <v>238</v>
      </c>
      <c r="E696" s="407" t="str">
        <f ca="1">_xlfn.IFNA(VLOOKUP(F695,BEGIN_CURRENT_DENTAL:END_CURRENT_DENTAL,CURRENT_COL_EO_count,FALSE),"")</f>
        <v/>
      </c>
      <c r="F696" s="408" t="str">
        <f ca="1">_xlfn.IFNA(VLOOKUP(F695,BEGIN_CURRENT_DENTAL:END_CURRENT_DENTAL,CURRENT_COL_EO,FALSE),"")</f>
        <v/>
      </c>
      <c r="G696" s="468" t="str">
        <f ca="1" t="shared" si="77" ref="G696:G699">IF(F696="","",H696/F696)</f>
        <v/>
      </c>
      <c r="H696" s="408" t="str">
        <f ca="1">_xlfn.IFNA(VLOOKUP(F695,BEGIN_CURRENT_DENTAL:END_CURRENT_DENTAL,CURRENT_COL_EOContrib,FALSE),"")</f>
        <v/>
      </c>
      <c r="I696" s="409" t="str">
        <f ca="1">IFERROR(F696-H696,"")</f>
        <v/>
      </c>
      <c r="J696" s="410" t="str">
        <f ca="1">IF(F696="","",H696*E696)</f>
        <v/>
      </c>
      <c r="K696" s="411"/>
      <c r="L696" s="408" t="str" cm="1">
        <f t="array" ca="1" aca="1" ref="L696">_xlfn.IFNA(VLOOKUP(INDIRECT("L"&amp;ROW()-1)&amp;"_"&amp;$D$12,BEGIN_Renew_Dental:END_RENEW_DENTAL,RENEW_COL_EO,FALSE),"")</f>
        <v/>
      </c>
      <c r="M696" s="412" t="str">
        <f ca="1">IF(E696="","",E696)</f>
        <v/>
      </c>
      <c r="N696" s="413"/>
      <c r="O696" s="414"/>
      <c r="P696" s="415" t="str">
        <f>IFERROR(IF($N695="Keep Contribution Same",H696,IF($N695="Enter Percentages",IF(N696="","",N696*L696),IF($N695="Keep Percentage Same",IF(G696="","",G696*L696),IF($N695="Enter Dollar Amount",IF(O696="","",O696),"")))),"")</f>
        <v/>
      </c>
      <c r="Q696" s="408" t="str">
        <f ca="1">IFERROR(L696-P696,"")</f>
        <v/>
      </c>
      <c r="R696" s="410" t="str">
        <f>IFERROR(IF(P696="","",M696*P696),"")</f>
        <v/>
      </c>
      <c r="S696" s="411"/>
      <c r="T696" s="408" t="str" cm="1">
        <f t="array" ca="1" aca="1" ref="T696">_xlfn.IFNA(VLOOKUP(INDIRECT("T"&amp;ROW()-1)&amp;"_"&amp;$D$12,BEGIN_Renew_Dental:END_RENEW_DENTAL,RENEW_COL_EO,FALSE),"")</f>
        <v/>
      </c>
      <c r="U696" s="412" t="str">
        <f ca="1">IF(E696="","",E696)</f>
        <v/>
      </c>
      <c r="V696" s="413"/>
      <c r="W696" s="414"/>
      <c r="X696" s="415" t="str">
        <f>IFERROR(IF($V695="Keep Contribution Same",H696,IF($V695="Enter Percentages",IF(V696="","",V696*T696),IF($V695="Keep Percentage Same",IF(G696="","",G696*T696),IF($V695="Enter Dollar Amount",IF(W696="","",W696),"")))),"")</f>
        <v/>
      </c>
      <c r="Y696" s="408" t="str">
        <f ca="1">IFERROR(T696-X696,"")</f>
        <v/>
      </c>
      <c r="Z696" s="410" t="str">
        <f>IFERROR(IF(X696="","",U696*X696),"")</f>
        <v/>
      </c>
    </row>
    <row r="697" spans="1:26" ht="18.75" customHeight="1">
      <c r="A697" s="140"/>
      <c r="B697" s="140"/>
      <c r="D697" s="172" t="s">
        <v>239</v>
      </c>
      <c r="E697" s="407" t="str">
        <f ca="1">_xlfn.IFNA(VLOOKUP(F695,BEGIN_CURRENT_DENTAL:END_CURRENT_DENTAL,CURRENT_COL_ES_count,FALSE),"")</f>
        <v/>
      </c>
      <c r="F697" s="408" t="str">
        <f ca="1">_xlfn.IFNA(VLOOKUP(F695,BEGIN_CURRENT_DENTAL:END_CURRENT_DENTAL,CURRENT_COL_ES,FALSE),"")</f>
        <v/>
      </c>
      <c r="G697" s="468" t="str">
        <f t="shared" ca="1" si="77"/>
        <v/>
      </c>
      <c r="H697" s="408" t="str">
        <f ca="1">_xlfn.IFNA(VLOOKUP(F695,BEGIN_CURRENT_DENTAL:END_CURRENT_DENTAL,CURRENT_COL_ESContrib,FALSE),"")</f>
        <v/>
      </c>
      <c r="I697" s="409" t="str">
        <f ca="1" t="shared" si="78" ref="I697:I699">IFERROR(F697-H697,"")</f>
        <v/>
      </c>
      <c r="J697" s="410" t="str">
        <f ca="1">IF(F697="","",H697*E697)</f>
        <v/>
      </c>
      <c r="K697" s="411"/>
      <c r="L697" s="408" t="str" cm="1">
        <f t="array" ca="1" aca="1" ref="L697">_xlfn.IFNA(VLOOKUP(INDIRECT("L"&amp;ROW()-2)&amp;"_"&amp;$D$12,BEGIN_Renew_Dental:END_RENEW_DENTAL,RENEW_COL_ES,FALSE),"")</f>
        <v/>
      </c>
      <c r="M697" s="412" t="str">
        <f ca="1">IF(E697="","",E697)</f>
        <v/>
      </c>
      <c r="N697" s="413"/>
      <c r="O697" s="414"/>
      <c r="P697" s="415" t="str">
        <f>IFERROR(IF($N695="Keep Contribution Same",H697,IF($N695="Enter Percentages",IF(N697="","",N697*L697),IF($N695="Keep Percentage Same",IF(G697="","",G697*L697),IF($N695="Enter Dollar Amount",IF(O697="","",O697),"")))),"")</f>
        <v/>
      </c>
      <c r="Q697" s="408" t="str">
        <f ca="1">IFERROR(L697-P697,"")</f>
        <v/>
      </c>
      <c r="R697" s="410" t="str">
        <f>IFERROR(IF(P697="","",M697*P697),"")</f>
        <v/>
      </c>
      <c r="S697" s="411"/>
      <c r="T697" s="408" t="str" cm="1">
        <f t="array" ca="1" aca="1" ref="T697">_xlfn.IFNA(VLOOKUP(INDIRECT("T"&amp;ROW()-2)&amp;"_"&amp;$D$12,BEGIN_Renew_Dental:END_RENEW_DENTAL,RENEW_COL_ES,FALSE),"")</f>
        <v/>
      </c>
      <c r="U697" s="412" t="str">
        <f ca="1" t="shared" si="79" ref="U697:U699">IF(E697="","",E697)</f>
        <v/>
      </c>
      <c r="V697" s="413"/>
      <c r="W697" s="414"/>
      <c r="X697" s="415" t="str">
        <f>IFERROR(IF($V695="Keep Contribution Same",H697,IF($V695="Enter Percentages",IF(V697="","",V697*T697),IF($V695="Keep Percentage Same",IF(G697="","",G697*T697),IF($V695="Enter Dollar Amount",IF(W697="","",W697),"")))),"")</f>
        <v/>
      </c>
      <c r="Y697" s="408" t="str">
        <f ca="1" t="shared" si="80" ref="Y697:Y699">IFERROR(T697-X697,"")</f>
        <v/>
      </c>
      <c r="Z697" s="410" t="str">
        <f t="shared" si="81" ref="Z697:Z699">IFERROR(IF(X697="","",U697*X697),"")</f>
        <v/>
      </c>
    </row>
    <row r="698" spans="1:26" ht="18.75" customHeight="1">
      <c r="A698" s="140"/>
      <c r="B698" s="140"/>
      <c r="D698" s="172" t="s">
        <v>240</v>
      </c>
      <c r="E698" s="407" t="str">
        <f ca="1">_xlfn.IFNA(VLOOKUP(F695,BEGIN_CURRENT_DENTAL:END_CURRENT_DENTAL,CURRENT_COL_EC_count,FALSE),"")</f>
        <v/>
      </c>
      <c r="F698" s="408" t="str">
        <f ca="1">_xlfn.IFNA(VLOOKUP(F695,BEGIN_CURRENT_DENTAL:END_CURRENT_DENTAL,CURRENT_COL_EC,FALSE),"")</f>
        <v/>
      </c>
      <c r="G698" s="468" t="str">
        <f t="shared" ca="1" si="77"/>
        <v/>
      </c>
      <c r="H698" s="408" t="str">
        <f ca="1">_xlfn.IFNA(VLOOKUP(F695,BEGIN_CURRENT_DENTAL:END_CURRENT_DENTAL,CURRENT_COL_ECContrib,FALSE),"")</f>
        <v/>
      </c>
      <c r="I698" s="409" t="str">
        <f t="shared" ca="1" si="78"/>
        <v/>
      </c>
      <c r="J698" s="410" t="str">
        <f ca="1">IF(F698="","",H698*E698)</f>
        <v/>
      </c>
      <c r="K698" s="411"/>
      <c r="L698" s="408" t="str" cm="1">
        <f t="array" ca="1" aca="1" ref="L698">_xlfn.IFNA(VLOOKUP(INDIRECT("L"&amp;ROW()-3)&amp;"_"&amp;$D$12,BEGIN_Renew_Dental:END_RENEW_DENTAL,RENEW_COL_EC,FALSE),"")</f>
        <v/>
      </c>
      <c r="M698" s="412" t="str">
        <f ca="1">IF(E698="","",E698)</f>
        <v/>
      </c>
      <c r="N698" s="413"/>
      <c r="O698" s="414"/>
      <c r="P698" s="415" t="str">
        <f>IFERROR(IF($N695="Keep Contribution Same",H698,IF($N695="Enter Percentages",IF(N698="","",N698*L698),IF($N695="Keep Percentage Same",IF(G698="","",G698*L698),IF($N695="Enter Dollar Amount",IF(O698="","",O698),"")))),"")</f>
        <v/>
      </c>
      <c r="Q698" s="408" t="str">
        <f ca="1">IFERROR(L698-P698,"")</f>
        <v/>
      </c>
      <c r="R698" s="410" t="str">
        <f>IFERROR(IF(P698="","",M698*P698),"")</f>
        <v/>
      </c>
      <c r="S698" s="411"/>
      <c r="T698" s="408" t="str" cm="1">
        <f t="array" ca="1" aca="1" ref="T698">_xlfn.IFNA(VLOOKUP(INDIRECT("T"&amp;ROW()-3)&amp;"_"&amp;$D$12,BEGIN_Renew_Dental:END_RENEW_DENTAL,RENEW_COL_EC,FALSE),"")</f>
        <v/>
      </c>
      <c r="U698" s="412" t="str">
        <f t="shared" ca="1" si="79"/>
        <v/>
      </c>
      <c r="V698" s="413"/>
      <c r="W698" s="414"/>
      <c r="X698" s="415" t="str">
        <f>IFERROR(IF($V695="Keep Contribution Same",H698,IF($V695="Enter Percentages",IF(V698="","",V698*T698),IF($V695="Keep Percentage Same",IF(G698="","",G698*T698),IF($V695="Enter Dollar Amount",IF(W698="","",W698),"")))),"")</f>
        <v/>
      </c>
      <c r="Y698" s="408" t="str">
        <f t="shared" ca="1" si="80"/>
        <v/>
      </c>
      <c r="Z698" s="410" t="str">
        <f t="shared" si="81"/>
        <v/>
      </c>
    </row>
    <row r="699" spans="1:26" ht="18.75" customHeight="1" thickBot="1">
      <c r="A699" s="140"/>
      <c r="B699" s="140"/>
      <c r="D699" s="174" t="s">
        <v>241</v>
      </c>
      <c r="E699" s="416" t="str">
        <f ca="1">_xlfn.IFNA(VLOOKUP(F695,BEGIN_CURRENT_DENTAL:END_CURRENT_DENTAL,CURRENT_COL_FAM_count,FALSE),"")</f>
        <v/>
      </c>
      <c r="F699" s="417" t="str">
        <f ca="1">_xlfn.IFNA(VLOOKUP(F695,BEGIN_CURRENT_DENTAL:END_CURRENT_DENTAL,CURRENT_COL_FAM,FALSE),"")</f>
        <v/>
      </c>
      <c r="G699" s="469" t="str">
        <f t="shared" ca="1" si="77"/>
        <v/>
      </c>
      <c r="H699" s="417" t="str">
        <f ca="1">_xlfn.IFNA(VLOOKUP(F695,BEGIN_CURRENT_DENTAL:END_CURRENT_DENTAL,CURRENT_COL_FAMContrib,FALSE),"")</f>
        <v/>
      </c>
      <c r="I699" s="418" t="str">
        <f t="shared" ca="1" si="78"/>
        <v/>
      </c>
      <c r="J699" s="419" t="str">
        <f ca="1">IF(F699="","",H699*E699)</f>
        <v/>
      </c>
      <c r="K699" s="411"/>
      <c r="L699" s="417" t="str" cm="1">
        <f t="array" ca="1" aca="1" ref="L699">_xlfn.IFNA(VLOOKUP(INDIRECT("L"&amp;ROW()-4)&amp;"_"&amp;$D$12,BEGIN_Renew_Dental:END_RENEW_DENTAL,RENEW_COL_FAM,FALSE),"")</f>
        <v/>
      </c>
      <c r="M699" s="423" t="str">
        <f ca="1">IF(E699="","",E699)</f>
        <v/>
      </c>
      <c r="N699" s="420"/>
      <c r="O699" s="421"/>
      <c r="P699" s="422" t="str">
        <f>IFERROR(IF($N695="Keep Contribution Same",H699,IF($N695="Enter Percentages",IF(N699="","",N699*L699),IF($N695="Keep Percentage Same",IF(G699="","",G699*L699),IF($N695="Enter Dollar Amount",IF(O699="","",O699),"")))),"")</f>
        <v/>
      </c>
      <c r="Q699" s="417" t="str">
        <f ca="1">IFERROR(L699-P699,"")</f>
        <v/>
      </c>
      <c r="R699" s="419" t="str">
        <f>IFERROR(IF(P699="","",M699*P699),"")</f>
        <v/>
      </c>
      <c r="S699" s="411"/>
      <c r="T699" s="417" t="str" cm="1">
        <f t="array" ca="1" aca="1" ref="T699">_xlfn.IFNA(VLOOKUP(INDIRECT("T"&amp;ROW()-4)&amp;"_"&amp;$D$12,BEGIN_Renew_Dental:END_RENEW_DENTAL,RENEW_COL_FAM,FALSE),"")</f>
        <v/>
      </c>
      <c r="U699" s="423" t="str">
        <f t="shared" ca="1" si="79"/>
        <v/>
      </c>
      <c r="V699" s="420"/>
      <c r="W699" s="421"/>
      <c r="X699" s="422" t="str">
        <f>IFERROR(IF($V695="Keep Contribution Same",H699,IF($V695="Enter Percentages",IF(V699="","",V699*T699),IF($V695="Keep Percentage Same",IF(G699="","",G699*T699),IF($V695="Enter Dollar Amount",IF(W699="","",W699),"")))),"")</f>
        <v/>
      </c>
      <c r="Y699" s="417" t="str">
        <f t="shared" ca="1" si="80"/>
        <v/>
      </c>
      <c r="Z699" s="419" t="str">
        <f t="shared" si="81"/>
        <v/>
      </c>
    </row>
    <row r="700" spans="1:26" ht="18.75" customHeight="1" thickTop="1">
      <c r="A700" s="140"/>
      <c r="B700" s="140"/>
      <c r="D700" s="175" t="s">
        <v>242</v>
      </c>
      <c r="E700" s="424"/>
      <c r="F700" s="427"/>
      <c r="G700" s="426"/>
      <c r="H700" s="427"/>
      <c r="I700" s="428"/>
      <c r="J700" s="429" t="str">
        <f ca="1">IFERROR(IF(J696="","",SUM(J696:J699)),0)</f>
        <v/>
      </c>
      <c r="K700" s="1"/>
      <c r="L700" s="424"/>
      <c r="M700" s="427"/>
      <c r="N700" s="426"/>
      <c r="O700" s="427"/>
      <c r="P700" s="431"/>
      <c r="Q700" s="432"/>
      <c r="R700" s="429" t="str">
        <f>IFERROR(IF(R696="","",SUM(R696:R699)),0)</f>
        <v/>
      </c>
      <c r="T700" s="424"/>
      <c r="U700" s="427"/>
      <c r="V700" s="426"/>
      <c r="W700" s="427"/>
      <c r="X700" s="431"/>
      <c r="Y700" s="432"/>
      <c r="Z700" s="429" t="str">
        <f>IFERROR(IF(Z696="","",SUM(Z696:Z699)),0)</f>
        <v/>
      </c>
    </row>
    <row r="701" spans="1:26" ht="18.75" customHeight="1">
      <c r="A701" s="140"/>
      <c r="B701" s="140"/>
      <c r="D701" s="177" t="s">
        <v>243</v>
      </c>
      <c r="E701" s="433"/>
      <c r="F701" s="436"/>
      <c r="G701" s="435"/>
      <c r="H701" s="436"/>
      <c r="I701" s="432"/>
      <c r="J701" s="437" t="str">
        <f ca="1">IF(J700="","",J700*12)</f>
        <v/>
      </c>
      <c r="K701" s="1"/>
      <c r="L701" s="433"/>
      <c r="M701" s="436"/>
      <c r="N701" s="435"/>
      <c r="O701" s="436"/>
      <c r="P701" s="432"/>
      <c r="Q701" s="432"/>
      <c r="R701" s="437" t="str">
        <f>IF(R700="","",R700*12)</f>
        <v/>
      </c>
      <c r="T701" s="433"/>
      <c r="U701" s="436"/>
      <c r="V701" s="435"/>
      <c r="W701" s="436"/>
      <c r="X701" s="432"/>
      <c r="Y701" s="432"/>
      <c r="Z701" s="437" t="str">
        <f>IF(Z700="","",Z700*12)</f>
        <v/>
      </c>
    </row>
    <row r="702" spans="1:26" ht="18" customHeight="1">
      <c r="A702" s="140"/>
      <c r="B702" s="140"/>
      <c r="D702" s="177" t="s">
        <v>244</v>
      </c>
      <c r="E702" s="433"/>
      <c r="F702" s="436"/>
      <c r="G702" s="435"/>
      <c r="H702" s="436"/>
      <c r="I702" s="432"/>
      <c r="J702" s="437"/>
      <c r="K702" s="1"/>
      <c r="L702" s="433"/>
      <c r="M702" s="436"/>
      <c r="N702" s="435"/>
      <c r="O702" s="436"/>
      <c r="P702" s="432"/>
      <c r="Q702" s="432"/>
      <c r="R702" s="437" t="str">
        <f ca="1">IFERROR(IF(J701="","",R701-J701),0)</f>
        <v/>
      </c>
      <c r="T702" s="433"/>
      <c r="U702" s="436"/>
      <c r="V702" s="435"/>
      <c r="W702" s="436"/>
      <c r="X702" s="432"/>
      <c r="Y702" s="432"/>
      <c r="Z702" s="437" t="str">
        <f>IFERROR(IF(R701="","",Z701-R701),0)</f>
        <v/>
      </c>
    </row>
    <row r="703" spans="1:26" ht="18" customHeight="1" thickBot="1">
      <c r="A703" s="140"/>
      <c r="B703" s="140"/>
      <c r="D703" s="180" t="s">
        <v>245</v>
      </c>
      <c r="E703" s="439"/>
      <c r="F703" s="440"/>
      <c r="G703" s="441"/>
      <c r="H703" s="440"/>
      <c r="I703" s="442"/>
      <c r="J703" s="443"/>
      <c r="K703" s="1"/>
      <c r="L703" s="439"/>
      <c r="M703" s="440"/>
      <c r="N703" s="441"/>
      <c r="O703" s="440"/>
      <c r="P703" s="445"/>
      <c r="Q703" s="445"/>
      <c r="R703" s="446" t="str">
        <f ca="1">IFERROR(IF(J701="","",(R701/J701)-1),0)</f>
        <v/>
      </c>
      <c r="T703" s="439"/>
      <c r="U703" s="440"/>
      <c r="V703" s="441"/>
      <c r="W703" s="440"/>
      <c r="X703" s="445"/>
      <c r="Y703" s="445"/>
      <c r="Z703" s="446" t="str">
        <f>IFERROR(IF(R701="","",(Z701/R701)-1),0)</f>
        <v/>
      </c>
    </row>
    <row r="704" spans="1:26" ht="5.25" customHeight="1" thickBot="1">
      <c r="A704" s="140"/>
      <c r="B704" s="140"/>
      <c r="D704" s="229"/>
      <c r="E704" s="229"/>
      <c r="F704" s="230"/>
      <c r="G704" s="231"/>
      <c r="H704" s="232"/>
      <c r="I704" s="233"/>
      <c r="J704" s="233"/>
      <c r="K704"/>
      <c r="L704" s="233"/>
      <c r="M704" s="233"/>
      <c r="N704" s="233"/>
      <c r="O704" s="233"/>
      <c r="P704" s="233"/>
      <c r="Q704" s="233"/>
      <c r="R704" s="233"/>
      <c r="T704" s="233"/>
      <c r="U704" s="233"/>
      <c r="V704" s="233"/>
      <c r="W704" s="233"/>
      <c r="X704" s="233"/>
      <c r="Y704" s="233"/>
      <c r="Z704" s="233"/>
    </row>
    <row r="705" spans="1:26" ht="50.15" customHeight="1">
      <c r="A705" s="140">
        <v>5</v>
      </c>
      <c r="B705" s="140" t="str">
        <f>IF(A705&gt;Class4_CurrentDentalCount,"DELETE",Class4_CurrentDentalStart+A705)</f>
        <v>DELETE</v>
      </c>
      <c r="C705" s="164" t="s">
        <v>293</v>
      </c>
      <c r="D705" s="273" t="str">
        <f>IF(B705="Delete","",VLOOKUP(F705,BEGIN_CURRENT_DENTAL:END_CURRENT_DENTAL,3,FALSE))</f>
        <v/>
      </c>
      <c r="E705" s="165"/>
      <c r="F705" s="272" t="str" cm="1">
        <f t="array" ca="1" aca="1" ref="F705">IF(B705="Delete","",INDIRECT("CurrentPlans!A"&amp;B705,TRUE))</f>
        <v/>
      </c>
      <c r="G705" s="166"/>
      <c r="H705" s="167"/>
      <c r="I705" s="168"/>
      <c r="J705" s="169"/>
      <c r="K705"/>
      <c r="L705" s="274" t="str">
        <f ca="1">_xlfn.IFNA(VLOOKUP(F705,BEGIN_RENEWEDFROM_DENTAL:ROW_RenewDental_PlanID,3,FALSE),"SELECT PLAN")</f>
        <v>SELECT PLAN</v>
      </c>
      <c r="M705" s="170"/>
      <c r="N705" s="274" t="s">
        <v>237</v>
      </c>
      <c r="O705" s="171"/>
      <c r="P705" s="171"/>
      <c r="Q705" s="171"/>
      <c r="R705" s="169"/>
      <c r="T705" s="274" t="s">
        <v>38</v>
      </c>
      <c r="U705" s="170"/>
      <c r="V705" s="274" t="s">
        <v>237</v>
      </c>
      <c r="W705" s="171"/>
      <c r="X705" s="171"/>
      <c r="Y705" s="171"/>
      <c r="Z705" s="169"/>
    </row>
    <row r="706" spans="1:26" ht="18.75" customHeight="1">
      <c r="A706" s="140"/>
      <c r="B706" s="140"/>
      <c r="D706" s="172" t="s">
        <v>238</v>
      </c>
      <c r="E706" s="407" t="str">
        <f ca="1">_xlfn.IFNA(VLOOKUP(F705,BEGIN_CURRENT_DENTAL:END_CURRENT_DENTAL,CURRENT_COL_EO_count,FALSE),"")</f>
        <v/>
      </c>
      <c r="F706" s="408" t="str">
        <f ca="1">_xlfn.IFNA(VLOOKUP(F705,BEGIN_CURRENT_DENTAL:END_CURRENT_DENTAL,CURRENT_COL_EO,FALSE),"")</f>
        <v/>
      </c>
      <c r="G706" s="468" t="str">
        <f ca="1" t="shared" si="82" ref="G706:G709">IF(F706="","",H706/F706)</f>
        <v/>
      </c>
      <c r="H706" s="408" t="str">
        <f ca="1">_xlfn.IFNA(VLOOKUP(F705,BEGIN_CURRENT_DENTAL:END_CURRENT_DENTAL,CURRENT_COL_EOContrib,FALSE),"")</f>
        <v/>
      </c>
      <c r="I706" s="409" t="str">
        <f ca="1">IFERROR(F706-H706,"")</f>
        <v/>
      </c>
      <c r="J706" s="410" t="str">
        <f ca="1">IF(F706="","",H706*E706)</f>
        <v/>
      </c>
      <c r="K706" s="411"/>
      <c r="L706" s="408" t="str" cm="1">
        <f t="array" ca="1" aca="1" ref="L706">_xlfn.IFNA(VLOOKUP(INDIRECT("L"&amp;ROW()-1)&amp;"_"&amp;$D$12,BEGIN_Renew_Dental:END_RENEW_DENTAL,RENEW_COL_EO,FALSE),"")</f>
        <v/>
      </c>
      <c r="M706" s="412" t="str">
        <f ca="1">IF(E706="","",E706)</f>
        <v/>
      </c>
      <c r="N706" s="413"/>
      <c r="O706" s="414"/>
      <c r="P706" s="415" t="str">
        <f>IFERROR(IF($N705="Keep Contribution Same",H706,IF($N705="Enter Percentages",IF(N706="","",N706*L706),IF($N705="Keep Percentage Same",IF(G706="","",G706*L706),IF($N705="Enter Dollar Amount",IF(O706="","",O706),"")))),"")</f>
        <v/>
      </c>
      <c r="Q706" s="408" t="str">
        <f ca="1">IFERROR(L706-P706,"")</f>
        <v/>
      </c>
      <c r="R706" s="410" t="str">
        <f>IFERROR(IF(P706="","",M706*P706),"")</f>
        <v/>
      </c>
      <c r="S706" s="411"/>
      <c r="T706" s="408" t="str" cm="1">
        <f t="array" ca="1" aca="1" ref="T706">_xlfn.IFNA(VLOOKUP(INDIRECT("T"&amp;ROW()-1)&amp;"_"&amp;$D$12,BEGIN_Renew_Dental:END_RENEW_DENTAL,RENEW_COL_EO,FALSE),"")</f>
        <v/>
      </c>
      <c r="U706" s="412" t="str">
        <f ca="1">IF(E706="","",E706)</f>
        <v/>
      </c>
      <c r="V706" s="413"/>
      <c r="W706" s="414"/>
      <c r="X706" s="415" t="str">
        <f>IFERROR(IF($V705="Keep Contribution Same",H706,IF($V705="Enter Percentages",IF(V706="","",V706*T706),IF($V705="Keep Percentage Same",IF(G706="","",G706*T706),IF($V705="Enter Dollar Amount",IF(W706="","",W706),"")))),"")</f>
        <v/>
      </c>
      <c r="Y706" s="408" t="str">
        <f ca="1">IFERROR(T706-X706,"")</f>
        <v/>
      </c>
      <c r="Z706" s="410" t="str">
        <f>IFERROR(IF(X706="","",U706*X706),"")</f>
        <v/>
      </c>
    </row>
    <row r="707" spans="1:26" ht="18.75" customHeight="1">
      <c r="A707" s="140"/>
      <c r="B707" s="140"/>
      <c r="D707" s="172" t="s">
        <v>239</v>
      </c>
      <c r="E707" s="407" t="str">
        <f ca="1">_xlfn.IFNA(VLOOKUP(F705,BEGIN_CURRENT_DENTAL:END_CURRENT_DENTAL,CURRENT_COL_ES_count,FALSE),"")</f>
        <v/>
      </c>
      <c r="F707" s="408" t="str">
        <f ca="1">_xlfn.IFNA(VLOOKUP(F705,BEGIN_CURRENT_DENTAL:END_CURRENT_DENTAL,CURRENT_COL_ES,FALSE),"")</f>
        <v/>
      </c>
      <c r="G707" s="468" t="str">
        <f t="shared" ca="1" si="82"/>
        <v/>
      </c>
      <c r="H707" s="408" t="str">
        <f ca="1">_xlfn.IFNA(VLOOKUP(F705,BEGIN_CURRENT_DENTAL:END_CURRENT_DENTAL,CURRENT_COL_ESContrib,FALSE),"")</f>
        <v/>
      </c>
      <c r="I707" s="409" t="str">
        <f ca="1" t="shared" si="83" ref="I707:I709">IFERROR(F707-H707,"")</f>
        <v/>
      </c>
      <c r="J707" s="410" t="str">
        <f ca="1">IF(F707="","",H707*E707)</f>
        <v/>
      </c>
      <c r="K707" s="411"/>
      <c r="L707" s="408" t="str" cm="1">
        <f t="array" ca="1" aca="1" ref="L707">_xlfn.IFNA(VLOOKUP(INDIRECT("L"&amp;ROW()-2)&amp;"_"&amp;$D$12,BEGIN_Renew_Dental:END_RENEW_DENTAL,RENEW_COL_ES,FALSE),"")</f>
        <v/>
      </c>
      <c r="M707" s="412" t="str">
        <f ca="1">IF(E707="","",E707)</f>
        <v/>
      </c>
      <c r="N707" s="413"/>
      <c r="O707" s="414"/>
      <c r="P707" s="415" t="str">
        <f>IFERROR(IF($N705="Keep Contribution Same",H707,IF($N705="Enter Percentages",IF(N707="","",N707*L707),IF($N705="Keep Percentage Same",IF(G707="","",G707*L707),IF($N705="Enter Dollar Amount",IF(O707="","",O707),"")))),"")</f>
        <v/>
      </c>
      <c r="Q707" s="408" t="str">
        <f ca="1">IFERROR(L707-P707,"")</f>
        <v/>
      </c>
      <c r="R707" s="410" t="str">
        <f>IFERROR(IF(P707="","",M707*P707),"")</f>
        <v/>
      </c>
      <c r="S707" s="411"/>
      <c r="T707" s="408" t="str" cm="1">
        <f t="array" ca="1" aca="1" ref="T707">_xlfn.IFNA(VLOOKUP(INDIRECT("T"&amp;ROW()-2)&amp;"_"&amp;$D$12,BEGIN_Renew_Dental:END_RENEW_DENTAL,RENEW_COL_ES,FALSE),"")</f>
        <v/>
      </c>
      <c r="U707" s="412" t="str">
        <f ca="1" t="shared" si="84" ref="U707:U709">IF(E707="","",E707)</f>
        <v/>
      </c>
      <c r="V707" s="413"/>
      <c r="W707" s="414"/>
      <c r="X707" s="415" t="str">
        <f>IFERROR(IF($V705="Keep Contribution Same",H707,IF($V705="Enter Percentages",IF(V707="","",V707*T707),IF($V705="Keep Percentage Same",IF(G707="","",G707*T707),IF($V705="Enter Dollar Amount",IF(W707="","",W707),"")))),"")</f>
        <v/>
      </c>
      <c r="Y707" s="408" t="str">
        <f ca="1" t="shared" si="85" ref="Y707:Y709">IFERROR(T707-X707,"")</f>
        <v/>
      </c>
      <c r="Z707" s="410" t="str">
        <f t="shared" si="86" ref="Z707:Z709">IFERROR(IF(X707="","",U707*X707),"")</f>
        <v/>
      </c>
    </row>
    <row r="708" spans="1:26" ht="18.75" customHeight="1">
      <c r="A708" s="140"/>
      <c r="B708" s="140"/>
      <c r="D708" s="172" t="s">
        <v>240</v>
      </c>
      <c r="E708" s="407" t="str">
        <f ca="1">_xlfn.IFNA(VLOOKUP(F705,BEGIN_CURRENT_DENTAL:END_CURRENT_DENTAL,CURRENT_COL_EC_count,FALSE),"")</f>
        <v/>
      </c>
      <c r="F708" s="408" t="str">
        <f ca="1">_xlfn.IFNA(VLOOKUP(F705,BEGIN_CURRENT_DENTAL:END_CURRENT_DENTAL,CURRENT_COL_EC,FALSE),"")</f>
        <v/>
      </c>
      <c r="G708" s="468" t="str">
        <f t="shared" ca="1" si="82"/>
        <v/>
      </c>
      <c r="H708" s="408" t="str">
        <f ca="1">_xlfn.IFNA(VLOOKUP(F705,BEGIN_CURRENT_DENTAL:END_CURRENT_DENTAL,CURRENT_COL_ECContrib,FALSE),"")</f>
        <v/>
      </c>
      <c r="I708" s="409" t="str">
        <f t="shared" ca="1" si="83"/>
        <v/>
      </c>
      <c r="J708" s="410" t="str">
        <f ca="1">IF(F708="","",H708*E708)</f>
        <v/>
      </c>
      <c r="K708" s="411"/>
      <c r="L708" s="408" t="str" cm="1">
        <f t="array" ca="1" aca="1" ref="L708">_xlfn.IFNA(VLOOKUP(INDIRECT("L"&amp;ROW()-3)&amp;"_"&amp;$D$12,BEGIN_Renew_Dental:END_RENEW_DENTAL,RENEW_COL_EC,FALSE),"")</f>
        <v/>
      </c>
      <c r="M708" s="412" t="str">
        <f ca="1">IF(E708="","",E708)</f>
        <v/>
      </c>
      <c r="N708" s="413"/>
      <c r="O708" s="414"/>
      <c r="P708" s="415" t="str">
        <f>IFERROR(IF($N705="Keep Contribution Same",H708,IF($N705="Enter Percentages",IF(N708="","",N708*L708),IF($N705="Keep Percentage Same",IF(G708="","",G708*L708),IF($N705="Enter Dollar Amount",IF(O708="","",O708),"")))),"")</f>
        <v/>
      </c>
      <c r="Q708" s="408" t="str">
        <f ca="1">IFERROR(L708-P708,"")</f>
        <v/>
      </c>
      <c r="R708" s="410" t="str">
        <f>IFERROR(IF(P708="","",M708*P708),"")</f>
        <v/>
      </c>
      <c r="S708" s="411"/>
      <c r="T708" s="408" t="str" cm="1">
        <f t="array" ca="1" aca="1" ref="T708">_xlfn.IFNA(VLOOKUP(INDIRECT("T"&amp;ROW()-3)&amp;"_"&amp;$D$12,BEGIN_Renew_Dental:END_RENEW_DENTAL,RENEW_COL_EC,FALSE),"")</f>
        <v/>
      </c>
      <c r="U708" s="412" t="str">
        <f t="shared" ca="1" si="84"/>
        <v/>
      </c>
      <c r="V708" s="413"/>
      <c r="W708" s="414"/>
      <c r="X708" s="415" t="str">
        <f>IFERROR(IF($V705="Keep Contribution Same",H708,IF($V705="Enter Percentages",IF(V708="","",V708*T708),IF($V705="Keep Percentage Same",IF(G708="","",G708*T708),IF($V705="Enter Dollar Amount",IF(W708="","",W708),"")))),"")</f>
        <v/>
      </c>
      <c r="Y708" s="408" t="str">
        <f t="shared" ca="1" si="85"/>
        <v/>
      </c>
      <c r="Z708" s="410" t="str">
        <f t="shared" si="86"/>
        <v/>
      </c>
    </row>
    <row r="709" spans="1:26" ht="18.75" customHeight="1" thickBot="1">
      <c r="A709" s="140"/>
      <c r="B709" s="140"/>
      <c r="D709" s="174" t="s">
        <v>241</v>
      </c>
      <c r="E709" s="416" t="str">
        <f ca="1">_xlfn.IFNA(VLOOKUP(F705,BEGIN_CURRENT_DENTAL:END_CURRENT_DENTAL,CURRENT_COL_FAM_count,FALSE),"")</f>
        <v/>
      </c>
      <c r="F709" s="417" t="str">
        <f ca="1">_xlfn.IFNA(VLOOKUP(F705,BEGIN_CURRENT_DENTAL:END_CURRENT_DENTAL,CURRENT_COL_FAM,FALSE),"")</f>
        <v/>
      </c>
      <c r="G709" s="469" t="str">
        <f t="shared" ca="1" si="82"/>
        <v/>
      </c>
      <c r="H709" s="417" t="str">
        <f ca="1">_xlfn.IFNA(VLOOKUP(F705,BEGIN_CURRENT_DENTAL:END_CURRENT_DENTAL,CURRENT_COL_FAMContrib,FALSE),"")</f>
        <v/>
      </c>
      <c r="I709" s="418" t="str">
        <f t="shared" ca="1" si="83"/>
        <v/>
      </c>
      <c r="J709" s="419" t="str">
        <f ca="1">IF(F709="","",H709*E709)</f>
        <v/>
      </c>
      <c r="K709" s="411"/>
      <c r="L709" s="417" t="str" cm="1">
        <f t="array" ca="1" aca="1" ref="L709">_xlfn.IFNA(VLOOKUP(INDIRECT("L"&amp;ROW()-4)&amp;"_"&amp;$D$12,BEGIN_Renew_Dental:END_RENEW_DENTAL,RENEW_COL_FAM,FALSE),"")</f>
        <v/>
      </c>
      <c r="M709" s="423" t="str">
        <f ca="1">IF(E709="","",E709)</f>
        <v/>
      </c>
      <c r="N709" s="420"/>
      <c r="O709" s="421"/>
      <c r="P709" s="422" t="str">
        <f>IFERROR(IF($N705="Keep Contribution Same",H709,IF($N705="Enter Percentages",IF(N709="","",N709*L709),IF($N705="Keep Percentage Same",IF(G709="","",G709*L709),IF($N705="Enter Dollar Amount",IF(O709="","",O709),"")))),"")</f>
        <v/>
      </c>
      <c r="Q709" s="417" t="str">
        <f ca="1">IFERROR(L709-P709,"")</f>
        <v/>
      </c>
      <c r="R709" s="419" t="str">
        <f>IFERROR(IF(P709="","",M709*P709),"")</f>
        <v/>
      </c>
      <c r="S709" s="411"/>
      <c r="T709" s="417" t="str" cm="1">
        <f t="array" ca="1" aca="1" ref="T709">_xlfn.IFNA(VLOOKUP(INDIRECT("T"&amp;ROW()-4)&amp;"_"&amp;$D$12,BEGIN_Renew_Dental:END_RENEW_DENTAL,RENEW_COL_FAM,FALSE),"")</f>
        <v/>
      </c>
      <c r="U709" s="423" t="str">
        <f t="shared" ca="1" si="84"/>
        <v/>
      </c>
      <c r="V709" s="420"/>
      <c r="W709" s="421"/>
      <c r="X709" s="422" t="str">
        <f>IFERROR(IF($V705="Keep Contribution Same",H709,IF($V705="Enter Percentages",IF(V709="","",V709*T709),IF($V705="Keep Percentage Same",IF(G709="","",G709*T709),IF($V705="Enter Dollar Amount",IF(W709="","",W709),"")))),"")</f>
        <v/>
      </c>
      <c r="Y709" s="417" t="str">
        <f t="shared" ca="1" si="85"/>
        <v/>
      </c>
      <c r="Z709" s="419" t="str">
        <f t="shared" si="86"/>
        <v/>
      </c>
    </row>
    <row r="710" spans="1:26" ht="18.75" customHeight="1" thickTop="1">
      <c r="A710" s="140"/>
      <c r="B710" s="140"/>
      <c r="D710" s="175" t="s">
        <v>242</v>
      </c>
      <c r="E710" s="424"/>
      <c r="F710" s="427"/>
      <c r="G710" s="426"/>
      <c r="H710" s="427"/>
      <c r="I710" s="428"/>
      <c r="J710" s="429" t="str">
        <f ca="1">IFERROR(IF(J706="","",SUM(J706:J709)),0)</f>
        <v/>
      </c>
      <c r="K710" s="1"/>
      <c r="L710" s="424"/>
      <c r="M710" s="427"/>
      <c r="N710" s="426"/>
      <c r="O710" s="427"/>
      <c r="P710" s="431"/>
      <c r="Q710" s="432"/>
      <c r="R710" s="429" t="str">
        <f>IFERROR(IF(R706="","",SUM(R706:R709)),0)</f>
        <v/>
      </c>
      <c r="T710" s="424"/>
      <c r="U710" s="427"/>
      <c r="V710" s="426"/>
      <c r="W710" s="427"/>
      <c r="X710" s="431"/>
      <c r="Y710" s="432"/>
      <c r="Z710" s="429" t="str">
        <f>IFERROR(IF(Z706="","",SUM(Z706:Z709)),0)</f>
        <v/>
      </c>
    </row>
    <row r="711" spans="1:26" ht="18.75" customHeight="1">
      <c r="A711" s="140"/>
      <c r="B711" s="140"/>
      <c r="D711" s="177" t="s">
        <v>243</v>
      </c>
      <c r="E711" s="433"/>
      <c r="F711" s="436"/>
      <c r="G711" s="435"/>
      <c r="H711" s="436"/>
      <c r="I711" s="432"/>
      <c r="J711" s="437" t="str">
        <f ca="1">IF(J710="","",J710*12)</f>
        <v/>
      </c>
      <c r="K711" s="1"/>
      <c r="L711" s="433"/>
      <c r="M711" s="436"/>
      <c r="N711" s="435"/>
      <c r="O711" s="436"/>
      <c r="P711" s="432"/>
      <c r="Q711" s="432"/>
      <c r="R711" s="437" t="str">
        <f>IF(R710="","",R710*12)</f>
        <v/>
      </c>
      <c r="T711" s="433"/>
      <c r="U711" s="436"/>
      <c r="V711" s="435"/>
      <c r="W711" s="436"/>
      <c r="X711" s="432"/>
      <c r="Y711" s="432"/>
      <c r="Z711" s="437" t="str">
        <f>IF(Z710="","",Z710*12)</f>
        <v/>
      </c>
    </row>
    <row r="712" spans="1:26" ht="18" customHeight="1">
      <c r="A712" s="140"/>
      <c r="B712" s="140"/>
      <c r="D712" s="177" t="s">
        <v>244</v>
      </c>
      <c r="E712" s="433"/>
      <c r="F712" s="436"/>
      <c r="G712" s="435"/>
      <c r="H712" s="436"/>
      <c r="I712" s="432"/>
      <c r="J712" s="437"/>
      <c r="K712" s="1"/>
      <c r="L712" s="433"/>
      <c r="M712" s="436"/>
      <c r="N712" s="435"/>
      <c r="O712" s="436"/>
      <c r="P712" s="432"/>
      <c r="Q712" s="432"/>
      <c r="R712" s="437" t="str">
        <f ca="1">IFERROR(IF(J711="","",R711-J711),0)</f>
        <v/>
      </c>
      <c r="T712" s="433"/>
      <c r="U712" s="436"/>
      <c r="V712" s="435"/>
      <c r="W712" s="436"/>
      <c r="X712" s="432"/>
      <c r="Y712" s="432"/>
      <c r="Z712" s="437" t="str">
        <f>IFERROR(IF(R711="","",Z711-R711),0)</f>
        <v/>
      </c>
    </row>
    <row r="713" spans="1:26" ht="18" customHeight="1" thickBot="1">
      <c r="A713" s="140"/>
      <c r="B713" s="140"/>
      <c r="D713" s="180" t="s">
        <v>245</v>
      </c>
      <c r="E713" s="439"/>
      <c r="F713" s="440"/>
      <c r="G713" s="441"/>
      <c r="H713" s="440"/>
      <c r="I713" s="442"/>
      <c r="J713" s="443"/>
      <c r="K713" s="1"/>
      <c r="L713" s="439"/>
      <c r="M713" s="440"/>
      <c r="N713" s="441"/>
      <c r="O713" s="440"/>
      <c r="P713" s="445"/>
      <c r="Q713" s="445"/>
      <c r="R713" s="446" t="str">
        <f ca="1">IFERROR(IF(J711="","",(R711/J711)-1),0)</f>
        <v/>
      </c>
      <c r="T713" s="439"/>
      <c r="U713" s="440"/>
      <c r="V713" s="441"/>
      <c r="W713" s="440"/>
      <c r="X713" s="445"/>
      <c r="Y713" s="445"/>
      <c r="Z713" s="446" t="str">
        <f>IFERROR(IF(R711="","",(Z711/R711)-1),0)</f>
        <v/>
      </c>
    </row>
    <row r="714" spans="1:26" ht="5.25" customHeight="1" thickBot="1">
      <c r="A714" s="140"/>
      <c r="B714" s="140"/>
      <c r="D714" s="229"/>
      <c r="E714" s="229"/>
      <c r="F714" s="230"/>
      <c r="G714" s="231"/>
      <c r="H714" s="232"/>
      <c r="I714" s="233"/>
      <c r="J714" s="233"/>
      <c r="K714"/>
      <c r="L714" s="233"/>
      <c r="M714" s="233"/>
      <c r="N714" s="233"/>
      <c r="O714" s="233"/>
      <c r="P714" s="233"/>
      <c r="Q714" s="233"/>
      <c r="R714" s="233"/>
      <c r="T714" s="233"/>
      <c r="U714" s="233"/>
      <c r="V714" s="233"/>
      <c r="W714" s="233"/>
      <c r="X714" s="233"/>
      <c r="Y714" s="233"/>
      <c r="Z714" s="233"/>
    </row>
    <row r="715" spans="1:26" ht="50.15" customHeight="1">
      <c r="A715" s="140"/>
      <c r="B715" s="140"/>
      <c r="C715" s="164" t="s">
        <v>294</v>
      </c>
      <c r="D715" s="275" t="s">
        <v>285</v>
      </c>
      <c r="E715" s="165"/>
      <c r="F715" s="272"/>
      <c r="G715" s="166"/>
      <c r="H715" s="167"/>
      <c r="I715" s="168"/>
      <c r="J715" s="169"/>
      <c r="K715"/>
      <c r="L715" s="274" t="s">
        <v>38</v>
      </c>
      <c r="M715" s="170"/>
      <c r="N715" s="274" t="s">
        <v>237</v>
      </c>
      <c r="O715" s="171"/>
      <c r="P715" s="171"/>
      <c r="Q715" s="171"/>
      <c r="R715" s="169"/>
      <c r="T715" s="274" t="s">
        <v>38</v>
      </c>
      <c r="U715" s="170"/>
      <c r="V715" s="274" t="s">
        <v>237</v>
      </c>
      <c r="W715" s="171"/>
      <c r="X715" s="171"/>
      <c r="Y715" s="171"/>
      <c r="Z715" s="169"/>
    </row>
    <row r="716" spans="1:26" ht="18.75" customHeight="1">
      <c r="A716" s="140"/>
      <c r="B716" s="140"/>
      <c r="D716" s="172" t="s">
        <v>238</v>
      </c>
      <c r="E716" s="407"/>
      <c r="F716" s="449"/>
      <c r="G716" s="470"/>
      <c r="H716" s="449"/>
      <c r="I716" s="450"/>
      <c r="J716" s="410"/>
      <c r="K716" s="411"/>
      <c r="L716" s="408" t="str" cm="1">
        <f t="array" ca="1" aca="1" ref="L716">_xlfn.IFNA(VLOOKUP(INDIRECT("L"&amp;ROW()-1)&amp;"_"&amp;$D$12,BEGIN_Renew_Dental:END_RENEW_DENTAL,RENEW_COL_EO,FALSE),"")</f>
        <v/>
      </c>
      <c r="M716" s="412" t="str">
        <f>IF(E716="","",E716)</f>
        <v/>
      </c>
      <c r="N716" s="413"/>
      <c r="O716" s="414"/>
      <c r="P716" s="415" t="str">
        <f>IFERROR(IF($N715="Keep Contribution Same",H716,IF($N715="Enter Percentages",IF(N716="","",N716*L716),IF($N715="Keep Percentage Same",IF(G716="","",G716*L716),IF($N715="Enter Dollar Amount",IF(O716="","",O716),"")))),"")</f>
        <v/>
      </c>
      <c r="Q716" s="408" t="str">
        <f>IFERROR(R716-P716,"")</f>
        <v/>
      </c>
      <c r="R716" s="410" t="str">
        <f>IFERROR(IF(P716="","",M716*P716),"")</f>
        <v/>
      </c>
      <c r="S716" s="411"/>
      <c r="T716" s="408" t="str" cm="1">
        <f t="array" ca="1" aca="1" ref="T716">_xlfn.IFNA(VLOOKUP(INDIRECT("T"&amp;ROW()-1)&amp;"_"&amp;$D$12,BEGIN_Renew_Dental:END_RENEW_DENTAL,RENEW_COL_EO,FALSE),"")</f>
        <v/>
      </c>
      <c r="U716" s="412" t="str">
        <f>IF(E716="","",E716)</f>
        <v/>
      </c>
      <c r="V716" s="413"/>
      <c r="W716" s="414"/>
      <c r="X716" s="415" t="str">
        <f>IFERROR(IF($V715="Keep Contribution Same",H716,IF($V715="Enter Percentages",IF(V716="","",V716*T716),IF($V715="Keep Percentage Same",IF(G716="","",G716*T716),IF($V715="Enter Dollar Amount",IF(W716="","",W716),"")))),"")</f>
        <v/>
      </c>
      <c r="Y716" s="408" t="str">
        <f ca="1">IFERROR(T716-X716,"")</f>
        <v/>
      </c>
      <c r="Z716" s="410" t="str">
        <f>IFERROR(IF(X716="","",U716*X716),"")</f>
        <v/>
      </c>
    </row>
    <row r="717" spans="1:26" ht="18.75" customHeight="1">
      <c r="A717" s="140"/>
      <c r="B717" s="140"/>
      <c r="D717" s="172" t="s">
        <v>239</v>
      </c>
      <c r="E717" s="407"/>
      <c r="F717" s="449"/>
      <c r="G717" s="470"/>
      <c r="H717" s="449"/>
      <c r="I717" s="450"/>
      <c r="J717" s="410"/>
      <c r="K717" s="411"/>
      <c r="L717" s="408" t="str" cm="1">
        <f t="array" ca="1" aca="1" ref="L717">_xlfn.IFNA(VLOOKUP(INDIRECT("L"&amp;ROW()-2)&amp;"_"&amp;$D$12,BEGIN_Renew_Dental:END_RENEW_DENTAL,RENEW_COL_ES,FALSE),"")</f>
        <v/>
      </c>
      <c r="M717" s="412" t="str">
        <f>IF(E717="","",E717)</f>
        <v/>
      </c>
      <c r="N717" s="413"/>
      <c r="O717" s="414"/>
      <c r="P717" s="415" t="str">
        <f>IFERROR(IF($N715="Keep Contribution Same",H717,IF($N715="Enter Percentages",IF(N717="","",N717*L717),IF($N715="Keep Percentage Same",IF(G717="","",G717*L717),IF($N715="Enter Dollar Amount",IF(O717="","",O717),"")))),"")</f>
        <v/>
      </c>
      <c r="Q717" s="408" t="str">
        <f t="shared" si="87" ref="Q717">IFERROR(R717-P717,"")</f>
        <v/>
      </c>
      <c r="R717" s="410" t="str">
        <f>IFERROR(IF(P717="","",M717*P717),"")</f>
        <v/>
      </c>
      <c r="S717" s="411"/>
      <c r="T717" s="408" t="str" cm="1">
        <f t="array" ca="1" aca="1" ref="T717">_xlfn.IFNA(VLOOKUP(INDIRECT("T"&amp;ROW()-2)&amp;"_"&amp;$D$12,BEGIN_Renew_Dental:END_RENEW_DENTAL,RENEW_COL_ES,FALSE),"")</f>
        <v/>
      </c>
      <c r="U717" s="412" t="str">
        <f t="shared" si="88" ref="U717:U719">IF(E717="","",E717)</f>
        <v/>
      </c>
      <c r="V717" s="413"/>
      <c r="W717" s="414"/>
      <c r="X717" s="415" t="str">
        <f>IFERROR(IF($V715="Keep Contribution Same",H717,IF($V715="Enter Percentages",IF(V717="","",V717*T717),IF($V715="Keep Percentage Same",IF(G717="","",G717*T717),IF($V715="Enter Dollar Amount",IF(W717="","",W717),"")))),"")</f>
        <v/>
      </c>
      <c r="Y717" s="408" t="str">
        <f ca="1" t="shared" si="89" ref="Y717:Y719">IFERROR(T717-X717,"")</f>
        <v/>
      </c>
      <c r="Z717" s="410" t="str">
        <f t="shared" si="90" ref="Z717:Z719">IFERROR(IF(X717="","",U717*X717),"")</f>
        <v/>
      </c>
    </row>
    <row r="718" spans="1:26" ht="18.75" customHeight="1">
      <c r="A718" s="140"/>
      <c r="B718" s="140"/>
      <c r="D718" s="172" t="s">
        <v>240</v>
      </c>
      <c r="E718" s="407"/>
      <c r="F718" s="449"/>
      <c r="G718" s="470"/>
      <c r="H718" s="449"/>
      <c r="I718" s="450"/>
      <c r="J718" s="410"/>
      <c r="K718" s="411"/>
      <c r="L718" s="408" t="str" cm="1">
        <f t="array" ca="1" aca="1" ref="L718">_xlfn.IFNA(VLOOKUP(INDIRECT("L"&amp;ROW()-3)&amp;"_"&amp;$D$12,BEGIN_Renew_Dental:END_RENEW_DENTAL,RENEW_COL_EC,FALSE),"")</f>
        <v/>
      </c>
      <c r="M718" s="412" t="str">
        <f>IF(E718="","",E718)</f>
        <v/>
      </c>
      <c r="N718" s="413"/>
      <c r="O718" s="414"/>
      <c r="P718" s="415" t="str">
        <f>IFERROR(IF($N715="Keep Contribution Same",H718,IF($N715="Enter Percentages",IF(N718="","",N718*L718),IF($N715="Keep Percentage Same",IF(G718="","",G718*L718),IF($N715="Enter Dollar Amount",IF(O718="","",O718),"")))),"")</f>
        <v/>
      </c>
      <c r="Q718" s="408" t="str">
        <f>IFERROR(R718-P718,"")</f>
        <v/>
      </c>
      <c r="R718" s="410" t="str">
        <f>IFERROR(IF(P718="","",M718*P718),"")</f>
        <v/>
      </c>
      <c r="S718" s="411"/>
      <c r="T718" s="408" t="str" cm="1">
        <f t="array" ca="1" aca="1" ref="T718">_xlfn.IFNA(VLOOKUP(INDIRECT("T"&amp;ROW()-3)&amp;"_"&amp;$D$12,BEGIN_Renew_Dental:END_RENEW_DENTAL,RENEW_COL_EC,FALSE),"")</f>
        <v/>
      </c>
      <c r="U718" s="412" t="str">
        <f t="shared" si="88"/>
        <v/>
      </c>
      <c r="V718" s="413"/>
      <c r="W718" s="414"/>
      <c r="X718" s="415" t="str">
        <f>IFERROR(IF($V715="Keep Contribution Same",H718,IF($V715="Enter Percentages",IF(V718="","",V718*T718),IF($V715="Keep Percentage Same",IF(G718="","",G718*T718),IF($V715="Enter Dollar Amount",IF(W718="","",W718),"")))),"")</f>
        <v/>
      </c>
      <c r="Y718" s="408" t="str">
        <f t="shared" ca="1" si="89"/>
        <v/>
      </c>
      <c r="Z718" s="410" t="str">
        <f t="shared" si="90"/>
        <v/>
      </c>
    </row>
    <row r="719" spans="1:26" ht="18.75" customHeight="1" thickBot="1">
      <c r="A719" s="140"/>
      <c r="B719" s="140"/>
      <c r="D719" s="174" t="s">
        <v>241</v>
      </c>
      <c r="E719" s="416"/>
      <c r="F719" s="451"/>
      <c r="G719" s="471"/>
      <c r="H719" s="451"/>
      <c r="I719" s="452"/>
      <c r="J719" s="419"/>
      <c r="K719" s="411"/>
      <c r="L719" s="417" t="str" cm="1">
        <f t="array" ca="1" aca="1" ref="L719">_xlfn.IFNA(VLOOKUP(INDIRECT("L"&amp;ROW()-4)&amp;"_"&amp;$D$12,BEGIN_Renew_Dental:END_RENEW_DENTAL,RENEW_COL_FAM,FALSE),"")</f>
        <v/>
      </c>
      <c r="M719" s="423" t="str">
        <f>IF(E719="","",E719)</f>
        <v/>
      </c>
      <c r="N719" s="420"/>
      <c r="O719" s="421"/>
      <c r="P719" s="422" t="str">
        <f>IFERROR(IF($N715="Keep Contribution Same",H719,IF($N715="Enter Percentages",IF(N719="","",N719*L719),IF($N715="Keep Percentage Same",IF(G719="","",G719*L719),IF($N715="Enter Dollar Amount",IF(O719="","",O719),"")))),"")</f>
        <v/>
      </c>
      <c r="Q719" s="417" t="str">
        <f>IFERROR(R719-P719,"")</f>
        <v/>
      </c>
      <c r="R719" s="419" t="str">
        <f>IFERROR(IF(P719="","",M719*P719),"")</f>
        <v/>
      </c>
      <c r="S719" s="411"/>
      <c r="T719" s="417" t="str" cm="1">
        <f t="array" ca="1" aca="1" ref="T719">_xlfn.IFNA(VLOOKUP(INDIRECT("T"&amp;ROW()-4)&amp;"_"&amp;$D$12,BEGIN_Renew_Dental:END_RENEW_DENTAL,RENEW_COL_FAM,FALSE),"")</f>
        <v/>
      </c>
      <c r="U719" s="423" t="str">
        <f t="shared" si="88"/>
        <v/>
      </c>
      <c r="V719" s="420"/>
      <c r="W719" s="421"/>
      <c r="X719" s="422" t="str">
        <f>IFERROR(IF($V715="Keep Contribution Same",H719,IF($V715="Enter Percentages",IF(V719="","",V719*T719),IF($V715="Keep Percentage Same",IF(G719="","",G719*T719),IF($V715="Enter Dollar Amount",IF(W719="","",W719),"")))),"")</f>
        <v/>
      </c>
      <c r="Y719" s="417" t="str">
        <f t="shared" ca="1" si="89"/>
        <v/>
      </c>
      <c r="Z719" s="419" t="str">
        <f t="shared" si="90"/>
        <v/>
      </c>
    </row>
    <row r="720" spans="1:26" ht="18.75" customHeight="1" thickTop="1">
      <c r="A720" s="140"/>
      <c r="B720" s="140"/>
      <c r="D720" s="175" t="s">
        <v>329</v>
      </c>
      <c r="E720" s="424"/>
      <c r="F720" s="427"/>
      <c r="G720" s="426"/>
      <c r="H720" s="427"/>
      <c r="I720" s="428"/>
      <c r="J720" s="429" t="str">
        <f>IFERROR(IF(J716="","",SUM(J716:J719)),0)</f>
        <v/>
      </c>
      <c r="K720" s="1"/>
      <c r="L720" s="424"/>
      <c r="M720" s="427"/>
      <c r="N720" s="426"/>
      <c r="O720" s="427"/>
      <c r="P720" s="431"/>
      <c r="Q720" s="432"/>
      <c r="R720" s="429" t="str">
        <f>IFERROR(IF(R716="","",SUM(R716:R719)),0)</f>
        <v/>
      </c>
      <c r="T720" s="424"/>
      <c r="U720" s="427"/>
      <c r="V720" s="426"/>
      <c r="W720" s="427"/>
      <c r="X720" s="431"/>
      <c r="Y720" s="432"/>
      <c r="Z720" s="429" t="str">
        <f>IFERROR(IF(Z716="","",SUM(Z716:Z719)),0)</f>
        <v/>
      </c>
    </row>
    <row r="721" spans="1:26" ht="18.75" customHeight="1">
      <c r="A721" s="140"/>
      <c r="B721" s="140"/>
      <c r="D721" s="177" t="s">
        <v>243</v>
      </c>
      <c r="E721" s="433"/>
      <c r="F721" s="436"/>
      <c r="G721" s="435"/>
      <c r="H721" s="436"/>
      <c r="I721" s="432"/>
      <c r="J721" s="437" t="str">
        <f>IF(J720="","",J720*12)</f>
        <v/>
      </c>
      <c r="K721" s="1"/>
      <c r="L721" s="433"/>
      <c r="M721" s="436"/>
      <c r="N721" s="435"/>
      <c r="O721" s="436"/>
      <c r="P721" s="432"/>
      <c r="Q721" s="432"/>
      <c r="R721" s="437" t="str">
        <f>IF(R720="","",R720*12)</f>
        <v/>
      </c>
      <c r="T721" s="433"/>
      <c r="U721" s="436"/>
      <c r="V721" s="435"/>
      <c r="W721" s="436"/>
      <c r="X721" s="432"/>
      <c r="Y721" s="432"/>
      <c r="Z721" s="437" t="str">
        <f>IF(Z720="","",Z720*12)</f>
        <v/>
      </c>
    </row>
    <row r="722" spans="1:26" ht="18" customHeight="1">
      <c r="A722" s="140"/>
      <c r="B722" s="140"/>
      <c r="D722" s="177" t="s">
        <v>244</v>
      </c>
      <c r="E722" s="433"/>
      <c r="F722" s="436"/>
      <c r="G722" s="435"/>
      <c r="H722" s="436"/>
      <c r="I722" s="432"/>
      <c r="J722" s="437" t="str">
        <f>IFERROR(IF(J721="","",R721-J721),0)</f>
        <v/>
      </c>
      <c r="K722" s="1"/>
      <c r="L722" s="433"/>
      <c r="M722" s="436"/>
      <c r="N722" s="435"/>
      <c r="O722" s="436"/>
      <c r="P722" s="432"/>
      <c r="Q722" s="432"/>
      <c r="R722" s="437" t="str">
        <f>IFERROR(IF(J721="","",R721-J721),0)</f>
        <v/>
      </c>
      <c r="T722" s="433"/>
      <c r="U722" s="436"/>
      <c r="V722" s="435"/>
      <c r="W722" s="436"/>
      <c r="X722" s="432"/>
      <c r="Y722" s="432"/>
      <c r="Z722" s="437" t="str">
        <f>IFERROR(IF(R721="","",Z721-R721),0)</f>
        <v/>
      </c>
    </row>
    <row r="723" spans="1:26" ht="18" customHeight="1" thickBot="1">
      <c r="A723" s="140"/>
      <c r="B723" s="140"/>
      <c r="D723" s="180" t="s">
        <v>245</v>
      </c>
      <c r="E723" s="439"/>
      <c r="F723" s="440"/>
      <c r="G723" s="441"/>
      <c r="H723" s="440"/>
      <c r="I723" s="442"/>
      <c r="J723" s="437" t="str">
        <f>IFERROR(IF(J721="","",(R721/J721)-1),0)</f>
        <v/>
      </c>
      <c r="K723" s="1"/>
      <c r="L723" s="439"/>
      <c r="M723" s="440"/>
      <c r="N723" s="441"/>
      <c r="O723" s="440"/>
      <c r="P723" s="445"/>
      <c r="Q723" s="445"/>
      <c r="R723" s="446" t="str">
        <f>IFERROR(IF(J721="","",(R721/J721)-1),0)</f>
        <v/>
      </c>
      <c r="T723" s="439"/>
      <c r="U723" s="440"/>
      <c r="V723" s="441"/>
      <c r="W723" s="440"/>
      <c r="X723" s="445"/>
      <c r="Y723" s="445"/>
      <c r="Z723" s="446" t="str">
        <f>IFERROR(IF(R721="","",(Z721/R721)-1),0)</f>
        <v/>
      </c>
    </row>
    <row r="724" spans="1:26" ht="5.25" customHeight="1" thickBot="1">
      <c r="A724" s="140"/>
      <c r="B724" s="140"/>
      <c r="D724" s="229"/>
      <c r="E724" s="229"/>
      <c r="F724" s="230"/>
      <c r="G724" s="231"/>
      <c r="H724" s="232"/>
      <c r="I724" s="233"/>
      <c r="J724" s="233"/>
      <c r="K724"/>
      <c r="L724" s="233"/>
      <c r="M724" s="233"/>
      <c r="N724" s="233"/>
      <c r="O724" s="233"/>
      <c r="P724" s="233"/>
      <c r="Q724" s="233"/>
      <c r="R724" s="233"/>
      <c r="T724" s="233"/>
      <c r="U724" s="233"/>
      <c r="V724" s="233"/>
      <c r="W724" s="233"/>
      <c r="X724" s="233"/>
      <c r="Y724" s="233"/>
      <c r="Z724" s="233"/>
    </row>
    <row r="725" spans="1:26" ht="50.15" customHeight="1">
      <c r="A725" s="140"/>
      <c r="B725" s="140"/>
      <c r="C725" s="164" t="s">
        <v>295</v>
      </c>
      <c r="D725" s="275" t="s">
        <v>285</v>
      </c>
      <c r="E725" s="165"/>
      <c r="F725" s="272"/>
      <c r="G725" s="166"/>
      <c r="H725" s="167"/>
      <c r="I725" s="168"/>
      <c r="J725" s="169"/>
      <c r="K725"/>
      <c r="L725" s="274" t="s">
        <v>38</v>
      </c>
      <c r="M725" s="170"/>
      <c r="N725" s="274" t="s">
        <v>237</v>
      </c>
      <c r="O725" s="171"/>
      <c r="P725" s="171"/>
      <c r="Q725" s="171"/>
      <c r="R725" s="169"/>
      <c r="T725" s="274" t="s">
        <v>38</v>
      </c>
      <c r="U725" s="170"/>
      <c r="V725" s="274" t="s">
        <v>237</v>
      </c>
      <c r="W725" s="171"/>
      <c r="X725" s="171"/>
      <c r="Y725" s="171"/>
      <c r="Z725" s="169"/>
    </row>
    <row r="726" spans="1:26" ht="18.75" customHeight="1">
      <c r="A726" s="140"/>
      <c r="B726" s="140"/>
      <c r="D726" s="172" t="s">
        <v>238</v>
      </c>
      <c r="E726" s="407"/>
      <c r="F726" s="449"/>
      <c r="G726" s="470"/>
      <c r="H726" s="449"/>
      <c r="I726" s="450"/>
      <c r="J726" s="410"/>
      <c r="K726" s="411"/>
      <c r="L726" s="408" t="str" cm="1">
        <f t="array" ca="1" aca="1" ref="L726">_xlfn.IFNA(VLOOKUP(INDIRECT("L"&amp;ROW()-1)&amp;"_"&amp;$D$12,BEGIN_Renew_Dental:END_RENEW_DENTAL,RENEW_COL_EO,FALSE),"")</f>
        <v/>
      </c>
      <c r="M726" s="412" t="str">
        <f>IF(E726="","",E726)</f>
        <v/>
      </c>
      <c r="N726" s="413"/>
      <c r="O726" s="414"/>
      <c r="P726" s="415" t="str">
        <f>IFERROR(IF($N725="Keep Contribution Same",H726,IF($N725="Enter Percentages",IF(N726="","",N726*L726),IF($N725="Keep Percentage Same",IF(G726="","",G726*L726),IF($N725="Enter Dollar Amount",IF(O726="","",O726),"")))),"")</f>
        <v/>
      </c>
      <c r="Q726" s="408" t="str">
        <f>IFERROR(R726-P726,"")</f>
        <v/>
      </c>
      <c r="R726" s="410" t="str">
        <f>IFERROR(IF(P726="","",M726*P726),"")</f>
        <v/>
      </c>
      <c r="S726" s="411"/>
      <c r="T726" s="408" t="str" cm="1">
        <f t="array" ca="1" aca="1" ref="T726">_xlfn.IFNA(VLOOKUP(INDIRECT("T"&amp;ROW()-1)&amp;"_"&amp;$D$12,BEGIN_Renew_Dental:END_RENEW_DENTAL,RENEW_COL_EO,FALSE),"")</f>
        <v/>
      </c>
      <c r="U726" s="412" t="str">
        <f>IF(E726="","",E726)</f>
        <v/>
      </c>
      <c r="V726" s="413"/>
      <c r="W726" s="414"/>
      <c r="X726" s="415" t="str">
        <f>IFERROR(IF($V725="Keep Contribution Same",H726,IF($V725="Enter Percentages",IF(V726="","",V726*T726),IF($V725="Keep Percentage Same",IF(G726="","",G726*T726),IF($V725="Enter Dollar Amount",IF(W726="","",W726),"")))),"")</f>
        <v/>
      </c>
      <c r="Y726" s="408" t="str">
        <f ca="1">IFERROR(T726-X726,"")</f>
        <v/>
      </c>
      <c r="Z726" s="410" t="str">
        <f>IFERROR(IF(X726="","",U726*X726),"")</f>
        <v/>
      </c>
    </row>
    <row r="727" spans="1:26" ht="18.75" customHeight="1">
      <c r="A727" s="140"/>
      <c r="B727" s="140"/>
      <c r="D727" s="172" t="s">
        <v>239</v>
      </c>
      <c r="E727" s="407"/>
      <c r="F727" s="449"/>
      <c r="G727" s="470"/>
      <c r="H727" s="449"/>
      <c r="I727" s="450"/>
      <c r="J727" s="410"/>
      <c r="K727" s="411"/>
      <c r="L727" s="408" t="str" cm="1">
        <f t="array" ca="1" aca="1" ref="L727">_xlfn.IFNA(VLOOKUP(INDIRECT("L"&amp;ROW()-2)&amp;"_"&amp;$D$12,BEGIN_Renew_Dental:END_RENEW_DENTAL,RENEW_COL_ES,FALSE),"")</f>
        <v/>
      </c>
      <c r="M727" s="412" t="str">
        <f>IF(E727="","",E727)</f>
        <v/>
      </c>
      <c r="N727" s="413"/>
      <c r="O727" s="414"/>
      <c r="P727" s="415" t="str">
        <f>IFERROR(IF($N725="Keep Contribution Same",H727,IF($N725="Enter Percentages",IF(N727="","",N727*L727),IF($N725="Keep Percentage Same",IF(G727="","",G727*L727),IF($N725="Enter Dollar Amount",IF(O727="","",O727),"")))),"")</f>
        <v/>
      </c>
      <c r="Q727" s="408" t="str">
        <f t="shared" si="91" ref="Q727">IFERROR(R727-P727,"")</f>
        <v/>
      </c>
      <c r="R727" s="410" t="str">
        <f>IFERROR(IF(P727="","",M727*P727),"")</f>
        <v/>
      </c>
      <c r="S727" s="411"/>
      <c r="T727" s="408" t="str" cm="1">
        <f t="array" ca="1" aca="1" ref="T727">_xlfn.IFNA(VLOOKUP(INDIRECT("T"&amp;ROW()-2)&amp;"_"&amp;$D$12,BEGIN_Renew_Dental:END_RENEW_DENTAL,RENEW_COL_ES,FALSE),"")</f>
        <v/>
      </c>
      <c r="U727" s="412" t="str">
        <f t="shared" si="92" ref="U727:U729">IF(E727="","",E727)</f>
        <v/>
      </c>
      <c r="V727" s="413"/>
      <c r="W727" s="414"/>
      <c r="X727" s="415" t="str">
        <f>IFERROR(IF($V725="Keep Contribution Same",H727,IF($V725="Enter Percentages",IF(V727="","",V727*T727),IF($V725="Keep Percentage Same",IF(G727="","",G727*T727),IF($V725="Enter Dollar Amount",IF(W727="","",W727),"")))),"")</f>
        <v/>
      </c>
      <c r="Y727" s="408" t="str">
        <f ca="1" t="shared" si="93" ref="Y727:Y729">IFERROR(T727-X727,"")</f>
        <v/>
      </c>
      <c r="Z727" s="410" t="str">
        <f t="shared" si="94" ref="Z727:Z729">IFERROR(IF(X727="","",U727*X727),"")</f>
        <v/>
      </c>
    </row>
    <row r="728" spans="1:26" ht="18.75" customHeight="1">
      <c r="A728" s="140"/>
      <c r="B728" s="140"/>
      <c r="D728" s="172" t="s">
        <v>240</v>
      </c>
      <c r="E728" s="407"/>
      <c r="F728" s="449"/>
      <c r="G728" s="470"/>
      <c r="H728" s="449"/>
      <c r="I728" s="450"/>
      <c r="J728" s="410"/>
      <c r="K728" s="411"/>
      <c r="L728" s="408" t="str" cm="1">
        <f t="array" ca="1" aca="1" ref="L728">_xlfn.IFNA(VLOOKUP(INDIRECT("L"&amp;ROW()-3)&amp;"_"&amp;$D$12,BEGIN_Renew_Dental:END_RENEW_DENTAL,RENEW_COL_EC,FALSE),"")</f>
        <v/>
      </c>
      <c r="M728" s="412" t="str">
        <f>IF(E728="","",E728)</f>
        <v/>
      </c>
      <c r="N728" s="413"/>
      <c r="O728" s="414"/>
      <c r="P728" s="415" t="str">
        <f>IFERROR(IF($N725="Keep Contribution Same",H728,IF($N725="Enter Percentages",IF(N728="","",N728*L728),IF($N725="Keep Percentage Same",IF(G728="","",G728*L728),IF($N725="Enter Dollar Amount",IF(O728="","",O728),"")))),"")</f>
        <v/>
      </c>
      <c r="Q728" s="408" t="str">
        <f>IFERROR(R728-P728,"")</f>
        <v/>
      </c>
      <c r="R728" s="410" t="str">
        <f>IFERROR(IF(P728="","",M728*P728),"")</f>
        <v/>
      </c>
      <c r="S728" s="411"/>
      <c r="T728" s="408" t="str" cm="1">
        <f t="array" ca="1" aca="1" ref="T728">_xlfn.IFNA(VLOOKUP(INDIRECT("T"&amp;ROW()-3)&amp;"_"&amp;$D$12,BEGIN_Renew_Dental:END_RENEW_DENTAL,RENEW_COL_EC,FALSE),"")</f>
        <v/>
      </c>
      <c r="U728" s="412" t="str">
        <f t="shared" si="92"/>
        <v/>
      </c>
      <c r="V728" s="413"/>
      <c r="W728" s="414"/>
      <c r="X728" s="415" t="str">
        <f>IFERROR(IF($V725="Keep Contribution Same",H728,IF($V725="Enter Percentages",IF(V728="","",V728*T728),IF($V725="Keep Percentage Same",IF(G728="","",G728*T728),IF($V725="Enter Dollar Amount",IF(W728="","",W728),"")))),"")</f>
        <v/>
      </c>
      <c r="Y728" s="408" t="str">
        <f t="shared" ca="1" si="93"/>
        <v/>
      </c>
      <c r="Z728" s="410" t="str">
        <f t="shared" si="94"/>
        <v/>
      </c>
    </row>
    <row r="729" spans="1:26" ht="18.75" customHeight="1" thickBot="1">
      <c r="A729" s="140"/>
      <c r="B729" s="140"/>
      <c r="D729" s="174" t="s">
        <v>241</v>
      </c>
      <c r="E729" s="416"/>
      <c r="F729" s="451"/>
      <c r="G729" s="471"/>
      <c r="H729" s="451"/>
      <c r="I729" s="452"/>
      <c r="J729" s="419"/>
      <c r="K729" s="411"/>
      <c r="L729" s="417" t="str" cm="1">
        <f t="array" ca="1" aca="1" ref="L729">_xlfn.IFNA(VLOOKUP(INDIRECT("L"&amp;ROW()-4)&amp;"_"&amp;$D$12,BEGIN_Renew_Dental:END_RENEW_DENTAL,RENEW_COL_FAM,FALSE),"")</f>
        <v/>
      </c>
      <c r="M729" s="423" t="str">
        <f>IF(E729="","",E729)</f>
        <v/>
      </c>
      <c r="N729" s="420"/>
      <c r="O729" s="421"/>
      <c r="P729" s="422" t="str">
        <f>IFERROR(IF($N725="Keep Contribution Same",H729,IF($N725="Enter Percentages",IF(N729="","",N729*L729),IF($N725="Keep Percentage Same",IF(G729="","",G729*L729),IF($N725="Enter Dollar Amount",IF(O729="","",O729),"")))),"")</f>
        <v/>
      </c>
      <c r="Q729" s="417" t="str">
        <f>IFERROR(R729-P729,"")</f>
        <v/>
      </c>
      <c r="R729" s="419" t="str">
        <f>IFERROR(IF(P729="","",M729*P729),"")</f>
        <v/>
      </c>
      <c r="S729" s="411"/>
      <c r="T729" s="417" t="str" cm="1">
        <f t="array" ca="1" aca="1" ref="T729">_xlfn.IFNA(VLOOKUP(INDIRECT("T"&amp;ROW()-4)&amp;"_"&amp;$D$12,BEGIN_Renew_Dental:END_RENEW_DENTAL,RENEW_COL_FAM,FALSE),"")</f>
        <v/>
      </c>
      <c r="U729" s="423" t="str">
        <f t="shared" si="92"/>
        <v/>
      </c>
      <c r="V729" s="420"/>
      <c r="W729" s="421"/>
      <c r="X729" s="422" t="str">
        <f>IFERROR(IF($V725="Keep Contribution Same",H729,IF($V725="Enter Percentages",IF(V729="","",V729*T729),IF($V725="Keep Percentage Same",IF(G729="","",G729*T729),IF($V725="Enter Dollar Amount",IF(W729="","",W729),"")))),"")</f>
        <v/>
      </c>
      <c r="Y729" s="417" t="str">
        <f t="shared" ca="1" si="93"/>
        <v/>
      </c>
      <c r="Z729" s="419" t="str">
        <f t="shared" si="94"/>
        <v/>
      </c>
    </row>
    <row r="730" spans="1:26" ht="18.75" customHeight="1" thickTop="1">
      <c r="A730" s="140"/>
      <c r="B730" s="140"/>
      <c r="D730" s="175" t="s">
        <v>329</v>
      </c>
      <c r="E730" s="424"/>
      <c r="F730" s="427"/>
      <c r="G730" s="426"/>
      <c r="H730" s="427"/>
      <c r="I730" s="428"/>
      <c r="J730" s="429" t="str">
        <f>IFERROR(IF(J726="","",SUM(J726:J729)),0)</f>
        <v/>
      </c>
      <c r="K730" s="1"/>
      <c r="L730" s="424"/>
      <c r="M730" s="427"/>
      <c r="N730" s="426"/>
      <c r="O730" s="427"/>
      <c r="P730" s="431"/>
      <c r="Q730" s="432"/>
      <c r="R730" s="429" t="str">
        <f>IFERROR(IF(R726="","",SUM(R726:R729)),0)</f>
        <v/>
      </c>
      <c r="T730" s="424"/>
      <c r="U730" s="427"/>
      <c r="V730" s="426"/>
      <c r="W730" s="427"/>
      <c r="X730" s="431"/>
      <c r="Y730" s="432"/>
      <c r="Z730" s="429" t="str">
        <f>IFERROR(IF(Z726="","",SUM(Z726:Z729)),0)</f>
        <v/>
      </c>
    </row>
    <row r="731" spans="1:26" ht="18.75" customHeight="1">
      <c r="A731" s="140"/>
      <c r="B731" s="140"/>
      <c r="D731" s="177" t="s">
        <v>243</v>
      </c>
      <c r="E731" s="433"/>
      <c r="F731" s="436"/>
      <c r="G731" s="435"/>
      <c r="H731" s="436"/>
      <c r="I731" s="432"/>
      <c r="J731" s="437" t="str">
        <f>IF(J730="","",J730*12)</f>
        <v/>
      </c>
      <c r="K731" s="1"/>
      <c r="L731" s="433"/>
      <c r="M731" s="436"/>
      <c r="N731" s="435"/>
      <c r="O731" s="436"/>
      <c r="P731" s="432"/>
      <c r="Q731" s="432"/>
      <c r="R731" s="437" t="str">
        <f>IF(R730="","",R730*12)</f>
        <v/>
      </c>
      <c r="T731" s="433"/>
      <c r="U731" s="436"/>
      <c r="V731" s="435"/>
      <c r="W731" s="436"/>
      <c r="X731" s="432"/>
      <c r="Y731" s="432"/>
      <c r="Z731" s="437" t="str">
        <f>IF(Z730="","",Z730*12)</f>
        <v/>
      </c>
    </row>
    <row r="732" spans="1:26" ht="18" customHeight="1">
      <c r="A732" s="140"/>
      <c r="B732" s="140"/>
      <c r="D732" s="177" t="s">
        <v>244</v>
      </c>
      <c r="E732" s="433"/>
      <c r="F732" s="436"/>
      <c r="G732" s="435"/>
      <c r="H732" s="436"/>
      <c r="I732" s="432"/>
      <c r="J732" s="437" t="str">
        <f>IFERROR(IF(J731="","",R731-J731),0)</f>
        <v/>
      </c>
      <c r="K732" s="1"/>
      <c r="L732" s="433"/>
      <c r="M732" s="436"/>
      <c r="N732" s="435"/>
      <c r="O732" s="436"/>
      <c r="P732" s="432"/>
      <c r="Q732" s="432"/>
      <c r="R732" s="437" t="str">
        <f>IFERROR(IF(J731="","",R731-J731),0)</f>
        <v/>
      </c>
      <c r="T732" s="433"/>
      <c r="U732" s="436"/>
      <c r="V732" s="435"/>
      <c r="W732" s="436"/>
      <c r="X732" s="432"/>
      <c r="Y732" s="432"/>
      <c r="Z732" s="437" t="str">
        <f>IFERROR(IF(R731="","",Z731-R731),0)</f>
        <v/>
      </c>
    </row>
    <row r="733" spans="1:26" ht="18" customHeight="1" thickBot="1">
      <c r="A733" s="140"/>
      <c r="B733" s="140"/>
      <c r="D733" s="180" t="s">
        <v>245</v>
      </c>
      <c r="E733" s="439"/>
      <c r="F733" s="440"/>
      <c r="G733" s="441"/>
      <c r="H733" s="440"/>
      <c r="I733" s="442"/>
      <c r="J733" s="437" t="str">
        <f>IFERROR(IF(J731="","",(R731/J731)-1),0)</f>
        <v/>
      </c>
      <c r="K733" s="1"/>
      <c r="L733" s="439"/>
      <c r="M733" s="440"/>
      <c r="N733" s="441"/>
      <c r="O733" s="440"/>
      <c r="P733" s="445"/>
      <c r="Q733" s="445"/>
      <c r="R733" s="446" t="str">
        <f>IFERROR(IF(J731="","",(R731/J731)-1),0)</f>
        <v/>
      </c>
      <c r="T733" s="439"/>
      <c r="U733" s="440"/>
      <c r="V733" s="441"/>
      <c r="W733" s="440"/>
      <c r="X733" s="445"/>
      <c r="Y733" s="445"/>
      <c r="Z733" s="446" t="str">
        <f>IFERROR(IF(R731="","",(Z731/R731)-1),0)</f>
        <v/>
      </c>
    </row>
    <row r="734" spans="1:26" ht="5.25" customHeight="1" thickBot="1">
      <c r="A734" s="140"/>
      <c r="B734" s="140"/>
      <c r="D734" s="229"/>
      <c r="E734" s="229"/>
      <c r="F734" s="230"/>
      <c r="G734" s="231"/>
      <c r="H734" s="232"/>
      <c r="I734" s="233"/>
      <c r="J734" s="233"/>
      <c r="K734"/>
      <c r="L734" s="233"/>
      <c r="M734" s="233"/>
      <c r="N734" s="233"/>
      <c r="O734" s="233"/>
      <c r="P734" s="233"/>
      <c r="Q734" s="233"/>
      <c r="R734" s="233"/>
      <c r="T734" s="233"/>
      <c r="U734" s="233"/>
      <c r="V734" s="233"/>
      <c r="W734" s="233"/>
      <c r="X734" s="233"/>
      <c r="Y734" s="233"/>
      <c r="Z734" s="233"/>
    </row>
    <row r="735" spans="1:26" ht="50.15" customHeight="1">
      <c r="A735" s="140"/>
      <c r="B735" s="140"/>
      <c r="C735" s="164" t="s">
        <v>296</v>
      </c>
      <c r="D735" s="275" t="s">
        <v>285</v>
      </c>
      <c r="E735" s="165"/>
      <c r="F735" s="272"/>
      <c r="G735" s="166"/>
      <c r="H735" s="167"/>
      <c r="I735" s="168"/>
      <c r="J735" s="169"/>
      <c r="K735"/>
      <c r="L735" s="274" t="s">
        <v>38</v>
      </c>
      <c r="M735" s="170"/>
      <c r="N735" s="274" t="s">
        <v>237</v>
      </c>
      <c r="O735" s="171"/>
      <c r="P735" s="171"/>
      <c r="Q735" s="171"/>
      <c r="R735" s="169"/>
      <c r="T735" s="274" t="s">
        <v>38</v>
      </c>
      <c r="U735" s="170"/>
      <c r="V735" s="274" t="s">
        <v>237</v>
      </c>
      <c r="W735" s="171"/>
      <c r="X735" s="171"/>
      <c r="Y735" s="171"/>
      <c r="Z735" s="169"/>
    </row>
    <row r="736" spans="1:26" ht="18.75" customHeight="1">
      <c r="A736" s="140"/>
      <c r="B736" s="140"/>
      <c r="D736" s="172" t="s">
        <v>238</v>
      </c>
      <c r="E736" s="407"/>
      <c r="F736" s="449"/>
      <c r="G736" s="470"/>
      <c r="H736" s="449"/>
      <c r="I736" s="450"/>
      <c r="J736" s="410"/>
      <c r="K736" s="411"/>
      <c r="L736" s="408" t="str" cm="1">
        <f t="array" ca="1" aca="1" ref="L736">_xlfn.IFNA(VLOOKUP(INDIRECT("L"&amp;ROW()-1)&amp;"_"&amp;$D$12,BEGIN_Renew_Dental:END_RENEW_DENTAL,RENEW_COL_EO,FALSE),"")</f>
        <v/>
      </c>
      <c r="M736" s="412" t="str">
        <f>IF(E736="","",E736)</f>
        <v/>
      </c>
      <c r="N736" s="413"/>
      <c r="O736" s="414"/>
      <c r="P736" s="415" t="str">
        <f>IFERROR(IF($N735="Keep Contribution Same",H736,IF($N735="Enter Percentages",IF(N736="","",N736*L736),IF($N735="Keep Percentage Same",IF(G736="","",G736*L736),IF($N735="Enter Dollar Amount",IF(O736="","",O736),"")))),"")</f>
        <v/>
      </c>
      <c r="Q736" s="408" t="str">
        <f>IFERROR(R736-P736,"")</f>
        <v/>
      </c>
      <c r="R736" s="410" t="str">
        <f>IFERROR(IF(P736="","",M736*P736),"")</f>
        <v/>
      </c>
      <c r="S736" s="411"/>
      <c r="T736" s="408" t="str" cm="1">
        <f t="array" ca="1" aca="1" ref="T736">_xlfn.IFNA(VLOOKUP(INDIRECT("T"&amp;ROW()-1)&amp;"_"&amp;$D$12,BEGIN_Renew_Dental:END_RENEW_DENTAL,RENEW_COL_EO,FALSE),"")</f>
        <v/>
      </c>
      <c r="U736" s="412" t="str">
        <f>IF(E736="","",E736)</f>
        <v/>
      </c>
      <c r="V736" s="413"/>
      <c r="W736" s="414"/>
      <c r="X736" s="415" t="str">
        <f>IFERROR(IF($V735="Keep Contribution Same",H736,IF($V735="Enter Percentages",IF(V736="","",V736*T736),IF($V735="Keep Percentage Same",IF(G736="","",G736*T736),IF($V735="Enter Dollar Amount",IF(W736="","",W736),"")))),"")</f>
        <v/>
      </c>
      <c r="Y736" s="408" t="str">
        <f ca="1">IFERROR(T736-X736,"")</f>
        <v/>
      </c>
      <c r="Z736" s="410" t="str">
        <f>IFERROR(IF(X736="","",U736*X736),"")</f>
        <v/>
      </c>
    </row>
    <row r="737" spans="1:26" ht="18.75" customHeight="1">
      <c r="A737" s="140"/>
      <c r="B737" s="140"/>
      <c r="D737" s="172" t="s">
        <v>239</v>
      </c>
      <c r="E737" s="407"/>
      <c r="F737" s="449"/>
      <c r="G737" s="470"/>
      <c r="H737" s="449"/>
      <c r="I737" s="450"/>
      <c r="J737" s="410"/>
      <c r="K737" s="411"/>
      <c r="L737" s="408" t="str" cm="1">
        <f t="array" ca="1" aca="1" ref="L737">_xlfn.IFNA(VLOOKUP(INDIRECT("L"&amp;ROW()-2)&amp;"_"&amp;$D$12,BEGIN_Renew_Dental:END_RENEW_DENTAL,RENEW_COL_ES,FALSE),"")</f>
        <v/>
      </c>
      <c r="M737" s="412" t="str">
        <f>IF(E737="","",E737)</f>
        <v/>
      </c>
      <c r="N737" s="413"/>
      <c r="O737" s="414"/>
      <c r="P737" s="415" t="str">
        <f>IFERROR(IF($N735="Keep Contribution Same",H737,IF($N735="Enter Percentages",IF(N737="","",N737*L737),IF($N735="Keep Percentage Same",IF(G737="","",G737*L737),IF($N735="Enter Dollar Amount",IF(O737="","",O737),"")))),"")</f>
        <v/>
      </c>
      <c r="Q737" s="408" t="str">
        <f t="shared" si="95" ref="Q737">IFERROR(R737-P737,"")</f>
        <v/>
      </c>
      <c r="R737" s="410" t="str">
        <f>IFERROR(IF(P737="","",M737*P737),"")</f>
        <v/>
      </c>
      <c r="S737" s="411"/>
      <c r="T737" s="408" t="str" cm="1">
        <f t="array" ca="1" aca="1" ref="T737">_xlfn.IFNA(VLOOKUP(INDIRECT("T"&amp;ROW()-2)&amp;"_"&amp;$D$12,BEGIN_Renew_Dental:END_RENEW_DENTAL,RENEW_COL_ES,FALSE),"")</f>
        <v/>
      </c>
      <c r="U737" s="412" t="str">
        <f t="shared" si="96" ref="U737:U739">IF(E737="","",E737)</f>
        <v/>
      </c>
      <c r="V737" s="413"/>
      <c r="W737" s="414"/>
      <c r="X737" s="415" t="str">
        <f>IFERROR(IF($V735="Keep Contribution Same",H737,IF($V735="Enter Percentages",IF(V737="","",V737*T737),IF($V735="Keep Percentage Same",IF(G737="","",G737*T737),IF($V735="Enter Dollar Amount",IF(W737="","",W737),"")))),"")</f>
        <v/>
      </c>
      <c r="Y737" s="408" t="str">
        <f ca="1" t="shared" si="97" ref="Y737:Y739">IFERROR(T737-X737,"")</f>
        <v/>
      </c>
      <c r="Z737" s="410" t="str">
        <f t="shared" si="98" ref="Z737:Z739">IFERROR(IF(X737="","",U737*X737),"")</f>
        <v/>
      </c>
    </row>
    <row r="738" spans="1:26" ht="18.75" customHeight="1">
      <c r="A738" s="140"/>
      <c r="B738" s="140"/>
      <c r="D738" s="172" t="s">
        <v>240</v>
      </c>
      <c r="E738" s="407"/>
      <c r="F738" s="449"/>
      <c r="G738" s="470"/>
      <c r="H738" s="449"/>
      <c r="I738" s="450"/>
      <c r="J738" s="410"/>
      <c r="K738" s="411"/>
      <c r="L738" s="408" t="str" cm="1">
        <f t="array" ca="1" aca="1" ref="L738">_xlfn.IFNA(VLOOKUP(INDIRECT("L"&amp;ROW()-3)&amp;"_"&amp;$D$12,BEGIN_Renew_Dental:END_RENEW_DENTAL,RENEW_COL_EC,FALSE),"")</f>
        <v/>
      </c>
      <c r="M738" s="412" t="str">
        <f>IF(E738="","",E738)</f>
        <v/>
      </c>
      <c r="N738" s="413"/>
      <c r="O738" s="414"/>
      <c r="P738" s="415" t="str">
        <f>IFERROR(IF($N735="Keep Contribution Same",H738,IF($N735="Enter Percentages",IF(N738="","",N738*L738),IF($N735="Keep Percentage Same",IF(G738="","",G738*L738),IF($N735="Enter Dollar Amount",IF(O738="","",O738),"")))),"")</f>
        <v/>
      </c>
      <c r="Q738" s="408" t="str">
        <f>IFERROR(R738-P738,"")</f>
        <v/>
      </c>
      <c r="R738" s="410" t="str">
        <f>IFERROR(IF(P738="","",M738*P738),"")</f>
        <v/>
      </c>
      <c r="S738" s="411"/>
      <c r="T738" s="408" t="str" cm="1">
        <f t="array" ca="1" aca="1" ref="T738">_xlfn.IFNA(VLOOKUP(INDIRECT("T"&amp;ROW()-3)&amp;"_"&amp;$D$12,BEGIN_Renew_Dental:END_RENEW_DENTAL,RENEW_COL_EC,FALSE),"")</f>
        <v/>
      </c>
      <c r="U738" s="412" t="str">
        <f t="shared" si="96"/>
        <v/>
      </c>
      <c r="V738" s="413"/>
      <c r="W738" s="414"/>
      <c r="X738" s="415" t="str">
        <f>IFERROR(IF($V735="Keep Contribution Same",H738,IF($V735="Enter Percentages",IF(V738="","",V738*T738),IF($V735="Keep Percentage Same",IF(G738="","",G738*T738),IF($V735="Enter Dollar Amount",IF(W738="","",W738),"")))),"")</f>
        <v/>
      </c>
      <c r="Y738" s="408" t="str">
        <f t="shared" ca="1" si="97"/>
        <v/>
      </c>
      <c r="Z738" s="410" t="str">
        <f t="shared" si="98"/>
        <v/>
      </c>
    </row>
    <row r="739" spans="1:26" ht="18.75" customHeight="1" thickBot="1">
      <c r="A739" s="140"/>
      <c r="B739" s="140"/>
      <c r="D739" s="174" t="s">
        <v>241</v>
      </c>
      <c r="E739" s="416"/>
      <c r="F739" s="451"/>
      <c r="G739" s="471"/>
      <c r="H739" s="451"/>
      <c r="I739" s="452"/>
      <c r="J739" s="419"/>
      <c r="K739" s="411"/>
      <c r="L739" s="417" t="str" cm="1">
        <f t="array" ca="1" aca="1" ref="L739">_xlfn.IFNA(VLOOKUP(INDIRECT("L"&amp;ROW()-4)&amp;"_"&amp;$D$12,BEGIN_Renew_Dental:END_RENEW_DENTAL,RENEW_COL_FAM,FALSE),"")</f>
        <v/>
      </c>
      <c r="M739" s="423" t="str">
        <f>IF(E739="","",E739)</f>
        <v/>
      </c>
      <c r="N739" s="420"/>
      <c r="O739" s="421"/>
      <c r="P739" s="422" t="str">
        <f>IFERROR(IF($N735="Keep Contribution Same",H739,IF($N735="Enter Percentages",IF(N739="","",N739*L739),IF($N735="Keep Percentage Same",IF(G739="","",G739*L739),IF($N735="Enter Dollar Amount",IF(O739="","",O739),"")))),"")</f>
        <v/>
      </c>
      <c r="Q739" s="417" t="str">
        <f>IFERROR(R739-P739,"")</f>
        <v/>
      </c>
      <c r="R739" s="419" t="str">
        <f>IFERROR(IF(P739="","",M739*P739),"")</f>
        <v/>
      </c>
      <c r="S739" s="411"/>
      <c r="T739" s="417" t="str" cm="1">
        <f t="array" ca="1" aca="1" ref="T739">_xlfn.IFNA(VLOOKUP(INDIRECT("T"&amp;ROW()-4)&amp;"_"&amp;$D$12,BEGIN_Renew_Dental:END_RENEW_DENTAL,RENEW_COL_FAM,FALSE),"")</f>
        <v/>
      </c>
      <c r="U739" s="423" t="str">
        <f t="shared" si="96"/>
        <v/>
      </c>
      <c r="V739" s="420"/>
      <c r="W739" s="421"/>
      <c r="X739" s="422" t="str">
        <f>IFERROR(IF($V735="Keep Contribution Same",H739,IF($V735="Enter Percentages",IF(V739="","",V739*T739),IF($V735="Keep Percentage Same",IF(G739="","",G739*T739),IF($V735="Enter Dollar Amount",IF(W739="","",W739),"")))),"")</f>
        <v/>
      </c>
      <c r="Y739" s="417" t="str">
        <f t="shared" ca="1" si="97"/>
        <v/>
      </c>
      <c r="Z739" s="419" t="str">
        <f t="shared" si="98"/>
        <v/>
      </c>
    </row>
    <row r="740" spans="1:26" ht="18.75" customHeight="1" thickTop="1">
      <c r="A740" s="140"/>
      <c r="B740" s="140"/>
      <c r="D740" s="175" t="s">
        <v>329</v>
      </c>
      <c r="E740" s="424"/>
      <c r="F740" s="427"/>
      <c r="G740" s="426"/>
      <c r="H740" s="427"/>
      <c r="I740" s="428"/>
      <c r="J740" s="429" t="str">
        <f>IFERROR(IF(J736="","",SUM(J736:J739)),0)</f>
        <v/>
      </c>
      <c r="K740" s="1"/>
      <c r="L740" s="424"/>
      <c r="M740" s="427"/>
      <c r="N740" s="426"/>
      <c r="O740" s="427"/>
      <c r="P740" s="431"/>
      <c r="Q740" s="432"/>
      <c r="R740" s="429" t="str">
        <f>IFERROR(IF(R736="","",SUM(R736:R739)),0)</f>
        <v/>
      </c>
      <c r="T740" s="424"/>
      <c r="U740" s="427"/>
      <c r="V740" s="426"/>
      <c r="W740" s="427"/>
      <c r="X740" s="431"/>
      <c r="Y740" s="432"/>
      <c r="Z740" s="429" t="str">
        <f>IFERROR(IF(Z736="","",SUM(Z736:Z739)),0)</f>
        <v/>
      </c>
    </row>
    <row r="741" spans="1:26" ht="18" customHeight="1">
      <c r="A741" s="140"/>
      <c r="B741" s="140"/>
      <c r="D741" s="177" t="s">
        <v>243</v>
      </c>
      <c r="E741" s="433"/>
      <c r="F741" s="436"/>
      <c r="G741" s="435"/>
      <c r="H741" s="436"/>
      <c r="I741" s="432"/>
      <c r="J741" s="437" t="str">
        <f>IF(J740="","",J740*12)</f>
        <v/>
      </c>
      <c r="K741" s="1"/>
      <c r="L741" s="433"/>
      <c r="M741" s="436"/>
      <c r="N741" s="435"/>
      <c r="O741" s="436"/>
      <c r="P741" s="432"/>
      <c r="Q741" s="432"/>
      <c r="R741" s="437" t="str">
        <f>IF(R740="","",R740*12)</f>
        <v/>
      </c>
      <c r="T741" s="433"/>
      <c r="U741" s="436"/>
      <c r="V741" s="435"/>
      <c r="W741" s="436"/>
      <c r="X741" s="432"/>
      <c r="Y741" s="432"/>
      <c r="Z741" s="437" t="str">
        <f>IF(Z740="","",Z740*12)</f>
        <v/>
      </c>
    </row>
    <row r="742" spans="1:26" ht="18" customHeight="1">
      <c r="A742" s="140"/>
      <c r="B742" s="140"/>
      <c r="D742" s="177" t="s">
        <v>244</v>
      </c>
      <c r="E742" s="433"/>
      <c r="F742" s="436"/>
      <c r="G742" s="435"/>
      <c r="H742" s="436"/>
      <c r="I742" s="432"/>
      <c r="J742" s="437" t="str">
        <f>IFERROR(IF(J741="","",R741-J741),0)</f>
        <v/>
      </c>
      <c r="K742" s="1"/>
      <c r="L742" s="433"/>
      <c r="M742" s="436"/>
      <c r="N742" s="435"/>
      <c r="O742" s="436"/>
      <c r="P742" s="432"/>
      <c r="Q742" s="432"/>
      <c r="R742" s="437" t="str">
        <f>IFERROR(IF(J741="","",R741-J741),0)</f>
        <v/>
      </c>
      <c r="T742" s="433"/>
      <c r="U742" s="436"/>
      <c r="V742" s="435"/>
      <c r="W742" s="436"/>
      <c r="X742" s="432"/>
      <c r="Y742" s="432"/>
      <c r="Z742" s="437" t="str">
        <f>IFERROR(IF(R741="","",Z741-R741),0)</f>
        <v/>
      </c>
    </row>
    <row r="743" spans="1:26" ht="18" customHeight="1" thickBot="1">
      <c r="A743" s="140"/>
      <c r="B743" s="140"/>
      <c r="D743" s="180" t="s">
        <v>245</v>
      </c>
      <c r="E743" s="439"/>
      <c r="F743" s="440"/>
      <c r="G743" s="441"/>
      <c r="H743" s="440"/>
      <c r="I743" s="442"/>
      <c r="J743" s="437" t="str">
        <f>IFERROR(IF(J741="","",(R741/J741)-1),0)</f>
        <v/>
      </c>
      <c r="K743" s="1"/>
      <c r="L743" s="439"/>
      <c r="M743" s="440"/>
      <c r="N743" s="441"/>
      <c r="O743" s="440"/>
      <c r="P743" s="445"/>
      <c r="Q743" s="445"/>
      <c r="R743" s="446" t="str">
        <f>IFERROR(IF(J741="","",(R741/J741)-1),0)</f>
        <v/>
      </c>
      <c r="T743" s="439"/>
      <c r="U743" s="440"/>
      <c r="V743" s="441"/>
      <c r="W743" s="440"/>
      <c r="X743" s="445"/>
      <c r="Y743" s="445"/>
      <c r="Z743" s="446" t="str">
        <f>IFERROR(IF(R741="","",(Z741/R741)-1),0)</f>
        <v/>
      </c>
    </row>
    <row r="744" spans="1:26" ht="5.25" customHeight="1" thickBot="1">
      <c r="A744" s="140"/>
      <c r="B744" s="140"/>
      <c r="D744" s="229"/>
      <c r="E744" s="229"/>
      <c r="F744" s="230"/>
      <c r="G744" s="231"/>
      <c r="H744" s="232"/>
      <c r="I744" s="233"/>
      <c r="J744" s="233"/>
      <c r="K744"/>
      <c r="L744" s="233"/>
      <c r="M744" s="233"/>
      <c r="N744" s="233"/>
      <c r="O744" s="233"/>
      <c r="P744" s="233"/>
      <c r="Q744" s="233"/>
      <c r="R744" s="233"/>
      <c r="T744" s="233"/>
      <c r="U744" s="233"/>
      <c r="V744" s="233"/>
      <c r="W744" s="233"/>
      <c r="X744" s="233"/>
      <c r="Y744" s="233"/>
      <c r="Z744" s="233"/>
    </row>
    <row r="745" spans="1:26" ht="50.15" customHeight="1">
      <c r="A745" s="140"/>
      <c r="B745" s="140"/>
      <c r="C745" s="164" t="s">
        <v>297</v>
      </c>
      <c r="D745" s="275" t="s">
        <v>285</v>
      </c>
      <c r="E745" s="165"/>
      <c r="F745" s="272"/>
      <c r="G745" s="166"/>
      <c r="H745" s="167"/>
      <c r="I745" s="168"/>
      <c r="J745" s="169"/>
      <c r="K745"/>
      <c r="L745" s="274" t="s">
        <v>38</v>
      </c>
      <c r="M745" s="170"/>
      <c r="N745" s="274" t="s">
        <v>237</v>
      </c>
      <c r="O745" s="171"/>
      <c r="P745" s="171"/>
      <c r="Q745" s="171"/>
      <c r="R745" s="169"/>
      <c r="T745" s="274" t="s">
        <v>38</v>
      </c>
      <c r="U745" s="170"/>
      <c r="V745" s="274" t="s">
        <v>237</v>
      </c>
      <c r="W745" s="171"/>
      <c r="X745" s="171"/>
      <c r="Y745" s="171"/>
      <c r="Z745" s="169"/>
    </row>
    <row r="746" spans="1:26" ht="18.75" customHeight="1">
      <c r="A746" s="140"/>
      <c r="B746" s="140"/>
      <c r="D746" s="172" t="s">
        <v>238</v>
      </c>
      <c r="E746" s="407"/>
      <c r="F746" s="449"/>
      <c r="G746" s="470"/>
      <c r="H746" s="449"/>
      <c r="I746" s="450"/>
      <c r="J746" s="410"/>
      <c r="K746" s="411"/>
      <c r="L746" s="408" t="str" cm="1">
        <f t="array" ca="1" aca="1" ref="L746">_xlfn.IFNA(VLOOKUP(INDIRECT("L"&amp;ROW()-1)&amp;"_"&amp;$D$12,BEGIN_Renew_Dental:END_RENEW_DENTAL,RENEW_COL_EO,FALSE),"")</f>
        <v/>
      </c>
      <c r="M746" s="412" t="str">
        <f>IF(E746="","",E746)</f>
        <v/>
      </c>
      <c r="N746" s="413"/>
      <c r="O746" s="414"/>
      <c r="P746" s="415" t="str">
        <f>IFERROR(IF($N745="Keep Contribution Same",H746,IF($N745="Enter Percentages",IF(N746="","",N746*L746),IF($N745="Keep Percentage Same",IF(G746="","",G746*L746),IF($N745="Enter Dollar Amount",IF(O746="","",O746),"")))),"")</f>
        <v/>
      </c>
      <c r="Q746" s="408" t="str">
        <f>IFERROR(R746-P746,"")</f>
        <v/>
      </c>
      <c r="R746" s="410" t="str">
        <f>IFERROR(IF(P746="","",M746*P746),"")</f>
        <v/>
      </c>
      <c r="S746" s="411"/>
      <c r="T746" s="408" t="str" cm="1">
        <f t="array" ca="1" aca="1" ref="T746">_xlfn.IFNA(VLOOKUP(INDIRECT("T"&amp;ROW()-1)&amp;"_"&amp;$D$12,BEGIN_Renew_Dental:END_RENEW_DENTAL,RENEW_COL_EO,FALSE),"")</f>
        <v/>
      </c>
      <c r="U746" s="412" t="str">
        <f>IF(E746="","",E746)</f>
        <v/>
      </c>
      <c r="V746" s="413"/>
      <c r="W746" s="414"/>
      <c r="X746" s="415" t="str">
        <f>IFERROR(IF($V745="Keep Contribution Same",H746,IF($V745="Enter Percentages",IF(V746="","",V746*T746),IF($V745="Keep Percentage Same",IF(G746="","",G746*T746),IF($V745="Enter Dollar Amount",IF(W746="","",W746),"")))),"")</f>
        <v/>
      </c>
      <c r="Y746" s="408" t="str">
        <f ca="1">IFERROR(T746-X746,"")</f>
        <v/>
      </c>
      <c r="Z746" s="410" t="str">
        <f>IFERROR(IF(X746="","",U746*X746),"")</f>
        <v/>
      </c>
    </row>
    <row r="747" spans="1:26" ht="18.75" customHeight="1">
      <c r="A747" s="140"/>
      <c r="B747" s="140"/>
      <c r="D747" s="172" t="s">
        <v>239</v>
      </c>
      <c r="E747" s="407"/>
      <c r="F747" s="449"/>
      <c r="G747" s="470"/>
      <c r="H747" s="449"/>
      <c r="I747" s="450"/>
      <c r="J747" s="410"/>
      <c r="K747" s="411"/>
      <c r="L747" s="408" t="str" cm="1">
        <f t="array" ca="1" aca="1" ref="L747">_xlfn.IFNA(VLOOKUP(INDIRECT("L"&amp;ROW()-2)&amp;"_"&amp;$D$12,BEGIN_Renew_Dental:END_RENEW_DENTAL,RENEW_COL_ES,FALSE),"")</f>
        <v/>
      </c>
      <c r="M747" s="412" t="str">
        <f>IF(E747="","",E747)</f>
        <v/>
      </c>
      <c r="N747" s="413"/>
      <c r="O747" s="414"/>
      <c r="P747" s="415" t="str">
        <f>IFERROR(IF($N745="Keep Contribution Same",H747,IF($N745="Enter Percentages",IF(N747="","",N747*L747),IF($N745="Keep Percentage Same",IF(G747="","",G747*L747),IF($N745="Enter Dollar Amount",IF(O747="","",O747),"")))),"")</f>
        <v/>
      </c>
      <c r="Q747" s="408" t="str">
        <f t="shared" si="99" ref="Q747">IFERROR(R747-P747,"")</f>
        <v/>
      </c>
      <c r="R747" s="410" t="str">
        <f>IFERROR(IF(P747="","",M747*P747),"")</f>
        <v/>
      </c>
      <c r="S747" s="411"/>
      <c r="T747" s="408" t="str" cm="1">
        <f t="array" ca="1" aca="1" ref="T747">_xlfn.IFNA(VLOOKUP(INDIRECT("T"&amp;ROW()-2)&amp;"_"&amp;$D$12,BEGIN_Renew_Dental:END_RENEW_DENTAL,RENEW_COL_ES,FALSE),"")</f>
        <v/>
      </c>
      <c r="U747" s="412" t="str">
        <f t="shared" si="100" ref="U747:U749">IF(E747="","",E747)</f>
        <v/>
      </c>
      <c r="V747" s="413"/>
      <c r="W747" s="414"/>
      <c r="X747" s="415" t="str">
        <f>IFERROR(IF($V745="Keep Contribution Same",H747,IF($V745="Enter Percentages",IF(V747="","",V747*T747),IF($V745="Keep Percentage Same",IF(G747="","",G747*T747),IF($V745="Enter Dollar Amount",IF(W747="","",W747),"")))),"")</f>
        <v/>
      </c>
      <c r="Y747" s="408" t="str">
        <f ca="1" t="shared" si="101" ref="Y747:Y749">IFERROR(T747-X747,"")</f>
        <v/>
      </c>
      <c r="Z747" s="410" t="str">
        <f t="shared" si="102" ref="Z747:Z749">IFERROR(IF(X747="","",U747*X747),"")</f>
        <v/>
      </c>
    </row>
    <row r="748" spans="1:26" ht="18.75" customHeight="1">
      <c r="A748" s="140"/>
      <c r="B748" s="140"/>
      <c r="D748" s="172" t="s">
        <v>240</v>
      </c>
      <c r="E748" s="407"/>
      <c r="F748" s="449"/>
      <c r="G748" s="470"/>
      <c r="H748" s="449"/>
      <c r="I748" s="450"/>
      <c r="J748" s="410"/>
      <c r="K748" s="411"/>
      <c r="L748" s="408" t="str" cm="1">
        <f t="array" ca="1" aca="1" ref="L748">_xlfn.IFNA(VLOOKUP(INDIRECT("L"&amp;ROW()-3)&amp;"_"&amp;$D$12,BEGIN_Renew_Dental:END_RENEW_DENTAL,RENEW_COL_EC,FALSE),"")</f>
        <v/>
      </c>
      <c r="M748" s="412" t="str">
        <f>IF(E748="","",E748)</f>
        <v/>
      </c>
      <c r="N748" s="413"/>
      <c r="O748" s="414"/>
      <c r="P748" s="415" t="str">
        <f>IFERROR(IF($N745="Keep Contribution Same",H748,IF($N745="Enter Percentages",IF(N748="","",N748*L748),IF($N745="Keep Percentage Same",IF(G748="","",G748*L748),IF($N745="Enter Dollar Amount",IF(O748="","",O748),"")))),"")</f>
        <v/>
      </c>
      <c r="Q748" s="408" t="str">
        <f>IFERROR(R748-P748,"")</f>
        <v/>
      </c>
      <c r="R748" s="410" t="str">
        <f>IFERROR(IF(P748="","",M748*P748),"")</f>
        <v/>
      </c>
      <c r="S748" s="411"/>
      <c r="T748" s="408" t="str" cm="1">
        <f t="array" ca="1" aca="1" ref="T748">_xlfn.IFNA(VLOOKUP(INDIRECT("T"&amp;ROW()-3)&amp;"_"&amp;$D$12,BEGIN_Renew_Dental:END_RENEW_DENTAL,RENEW_COL_EC,FALSE),"")</f>
        <v/>
      </c>
      <c r="U748" s="412" t="str">
        <f t="shared" si="100"/>
        <v/>
      </c>
      <c r="V748" s="413"/>
      <c r="W748" s="414"/>
      <c r="X748" s="415" t="str">
        <f>IFERROR(IF($V745="Keep Contribution Same",H748,IF($V745="Enter Percentages",IF(V748="","",V748*T748),IF($V745="Keep Percentage Same",IF(G748="","",G748*T748),IF($V745="Enter Dollar Amount",IF(W748="","",W748),"")))),"")</f>
        <v/>
      </c>
      <c r="Y748" s="408" t="str">
        <f t="shared" ca="1" si="101"/>
        <v/>
      </c>
      <c r="Z748" s="410" t="str">
        <f t="shared" si="102"/>
        <v/>
      </c>
    </row>
    <row r="749" spans="1:26" ht="18.75" customHeight="1" thickBot="1">
      <c r="A749" s="140"/>
      <c r="B749" s="140"/>
      <c r="D749" s="174" t="s">
        <v>241</v>
      </c>
      <c r="E749" s="416"/>
      <c r="F749" s="451"/>
      <c r="G749" s="471"/>
      <c r="H749" s="451"/>
      <c r="I749" s="452"/>
      <c r="J749" s="419"/>
      <c r="K749" s="411"/>
      <c r="L749" s="417" t="str" cm="1">
        <f t="array" ca="1" aca="1" ref="L749">_xlfn.IFNA(VLOOKUP(INDIRECT("L"&amp;ROW()-4)&amp;"_"&amp;$D$12,BEGIN_Renew_Dental:END_RENEW_DENTAL,RENEW_COL_FAM,FALSE),"")</f>
        <v/>
      </c>
      <c r="M749" s="423" t="str">
        <f>IF(E749="","",E749)</f>
        <v/>
      </c>
      <c r="N749" s="420"/>
      <c r="O749" s="421"/>
      <c r="P749" s="422" t="str">
        <f>IFERROR(IF($N745="Keep Contribution Same",H749,IF($N745="Enter Percentages",IF(N749="","",N749*L749),IF($N745="Keep Percentage Same",IF(G749="","",G749*L749),IF($N745="Enter Dollar Amount",IF(O749="","",O749),"")))),"")</f>
        <v/>
      </c>
      <c r="Q749" s="417" t="str">
        <f>IFERROR(R749-P749,"")</f>
        <v/>
      </c>
      <c r="R749" s="419" t="str">
        <f>IFERROR(IF(P749="","",M749*P749),"")</f>
        <v/>
      </c>
      <c r="S749" s="411"/>
      <c r="T749" s="417" t="str" cm="1">
        <f t="array" ca="1" aca="1" ref="T749">_xlfn.IFNA(VLOOKUP(INDIRECT("T"&amp;ROW()-4)&amp;"_"&amp;$D$12,BEGIN_Renew_Dental:END_RENEW_DENTAL,RENEW_COL_FAM,FALSE),"")</f>
        <v/>
      </c>
      <c r="U749" s="423" t="str">
        <f t="shared" si="100"/>
        <v/>
      </c>
      <c r="V749" s="420"/>
      <c r="W749" s="421"/>
      <c r="X749" s="422" t="str">
        <f>IFERROR(IF($V745="Keep Contribution Same",H749,IF($V745="Enter Percentages",IF(V749="","",V749*T749),IF($V745="Keep Percentage Same",IF(G749="","",G749*T749),IF($V745="Enter Dollar Amount",IF(W749="","",W749),"")))),"")</f>
        <v/>
      </c>
      <c r="Y749" s="417" t="str">
        <f t="shared" ca="1" si="101"/>
        <v/>
      </c>
      <c r="Z749" s="419" t="str">
        <f t="shared" si="102"/>
        <v/>
      </c>
    </row>
    <row r="750" spans="1:26" ht="18.75" customHeight="1" thickTop="1">
      <c r="A750" s="140"/>
      <c r="B750" s="140"/>
      <c r="D750" s="175" t="s">
        <v>329</v>
      </c>
      <c r="E750" s="424"/>
      <c r="F750" s="427"/>
      <c r="G750" s="426"/>
      <c r="H750" s="427"/>
      <c r="I750" s="428"/>
      <c r="J750" s="429" t="str">
        <f>IFERROR(IF(J746="","",SUM(J746:J749)),0)</f>
        <v/>
      </c>
      <c r="K750" s="1"/>
      <c r="L750" s="424"/>
      <c r="M750" s="427"/>
      <c r="N750" s="426"/>
      <c r="O750" s="427"/>
      <c r="P750" s="431"/>
      <c r="Q750" s="432"/>
      <c r="R750" s="429" t="str">
        <f>IFERROR(IF(R746="","",SUM(R746:R749)),0)</f>
        <v/>
      </c>
      <c r="T750" s="424"/>
      <c r="U750" s="427"/>
      <c r="V750" s="426"/>
      <c r="W750" s="427"/>
      <c r="X750" s="431"/>
      <c r="Y750" s="432"/>
      <c r="Z750" s="429" t="str">
        <f>IFERROR(IF(Z746="","",SUM(Z746:Z749)),0)</f>
        <v/>
      </c>
    </row>
    <row r="751" spans="1:26" ht="18.75" customHeight="1">
      <c r="A751" s="140"/>
      <c r="B751" s="140"/>
      <c r="D751" s="177" t="s">
        <v>243</v>
      </c>
      <c r="E751" s="433"/>
      <c r="F751" s="436"/>
      <c r="G751" s="435"/>
      <c r="H751" s="436"/>
      <c r="I751" s="432"/>
      <c r="J751" s="437" t="str">
        <f>IF(J750="","",J750*12)</f>
        <v/>
      </c>
      <c r="K751" s="1"/>
      <c r="L751" s="433"/>
      <c r="M751" s="436"/>
      <c r="N751" s="435"/>
      <c r="O751" s="436"/>
      <c r="P751" s="432"/>
      <c r="Q751" s="432"/>
      <c r="R751" s="437" t="str">
        <f>IF(R750="","",R750*12)</f>
        <v/>
      </c>
      <c r="T751" s="433"/>
      <c r="U751" s="436"/>
      <c r="V751" s="435"/>
      <c r="W751" s="436"/>
      <c r="X751" s="432"/>
      <c r="Y751" s="432"/>
      <c r="Z751" s="437" t="str">
        <f>IF(Z750="","",Z750*12)</f>
        <v/>
      </c>
    </row>
    <row r="752" spans="1:26" ht="18" customHeight="1">
      <c r="A752" s="140"/>
      <c r="B752" s="140"/>
      <c r="D752" s="177" t="s">
        <v>244</v>
      </c>
      <c r="E752" s="433"/>
      <c r="F752" s="436"/>
      <c r="G752" s="435"/>
      <c r="H752" s="436"/>
      <c r="I752" s="432"/>
      <c r="J752" s="437" t="str">
        <f>IFERROR(IF(J751="","",R751-J751),0)</f>
        <v/>
      </c>
      <c r="K752" s="1"/>
      <c r="L752" s="433"/>
      <c r="M752" s="436"/>
      <c r="N752" s="435"/>
      <c r="O752" s="436"/>
      <c r="P752" s="432"/>
      <c r="Q752" s="432"/>
      <c r="R752" s="437" t="str">
        <f>IFERROR(IF(J751="","",R751-J751),0)</f>
        <v/>
      </c>
      <c r="T752" s="433"/>
      <c r="U752" s="436"/>
      <c r="V752" s="435"/>
      <c r="W752" s="436"/>
      <c r="X752" s="432"/>
      <c r="Y752" s="432"/>
      <c r="Z752" s="437" t="str">
        <f>IFERROR(IF(R751="","",Z751-R751),0)</f>
        <v/>
      </c>
    </row>
    <row r="753" spans="1:26" ht="18" customHeight="1" thickBot="1">
      <c r="A753" s="140"/>
      <c r="B753" s="140"/>
      <c r="D753" s="180" t="s">
        <v>245</v>
      </c>
      <c r="E753" s="439"/>
      <c r="F753" s="440"/>
      <c r="G753" s="441"/>
      <c r="H753" s="440"/>
      <c r="I753" s="442"/>
      <c r="J753" s="437" t="str">
        <f>IFERROR(IF(J751="","",(R751/J751)-1),0)</f>
        <v/>
      </c>
      <c r="K753" s="1"/>
      <c r="L753" s="439"/>
      <c r="M753" s="440"/>
      <c r="N753" s="441"/>
      <c r="O753" s="440"/>
      <c r="P753" s="445"/>
      <c r="Q753" s="445"/>
      <c r="R753" s="446" t="str">
        <f>IFERROR(IF(J751="","",(R751/J751)-1),0)</f>
        <v/>
      </c>
      <c r="T753" s="439"/>
      <c r="U753" s="440"/>
      <c r="V753" s="441"/>
      <c r="W753" s="440"/>
      <c r="X753" s="445"/>
      <c r="Y753" s="445"/>
      <c r="Z753" s="446" t="str">
        <f>IFERROR(IF(R751="","",(Z751/R751)-1),0)</f>
        <v/>
      </c>
    </row>
    <row r="754" spans="1:26" ht="5.25" customHeight="1" thickBot="1">
      <c r="A754" s="140"/>
      <c r="B754" s="140"/>
      <c r="D754" s="229"/>
      <c r="E754" s="229"/>
      <c r="F754" s="230"/>
      <c r="G754" s="231"/>
      <c r="H754" s="232"/>
      <c r="I754" s="233"/>
      <c r="J754" s="233"/>
      <c r="K754"/>
      <c r="L754" s="233"/>
      <c r="M754" s="233"/>
      <c r="N754" s="233"/>
      <c r="O754" s="233"/>
      <c r="P754" s="233"/>
      <c r="Q754" s="233"/>
      <c r="R754" s="233"/>
      <c r="T754" s="233"/>
      <c r="U754" s="233"/>
      <c r="V754" s="233"/>
      <c r="W754" s="233"/>
      <c r="X754" s="233"/>
      <c r="Y754" s="233"/>
      <c r="Z754" s="233"/>
    </row>
    <row r="755" spans="1:26" ht="50.15" customHeight="1">
      <c r="A755" s="140"/>
      <c r="B755" s="140"/>
      <c r="C755" s="164" t="s">
        <v>298</v>
      </c>
      <c r="D755" s="275" t="s">
        <v>285</v>
      </c>
      <c r="E755" s="165"/>
      <c r="F755" s="272"/>
      <c r="G755" s="166"/>
      <c r="H755" s="167"/>
      <c r="I755" s="168"/>
      <c r="J755" s="169"/>
      <c r="K755"/>
      <c r="L755" s="274" t="s">
        <v>38</v>
      </c>
      <c r="M755" s="170"/>
      <c r="N755" s="274" t="s">
        <v>237</v>
      </c>
      <c r="O755" s="171"/>
      <c r="P755" s="171"/>
      <c r="Q755" s="171"/>
      <c r="R755" s="169"/>
      <c r="T755" s="274" t="s">
        <v>38</v>
      </c>
      <c r="U755" s="170"/>
      <c r="V755" s="274" t="s">
        <v>237</v>
      </c>
      <c r="W755" s="171"/>
      <c r="X755" s="171"/>
      <c r="Y755" s="171"/>
      <c r="Z755" s="169"/>
    </row>
    <row r="756" spans="1:26" ht="18.75" customHeight="1">
      <c r="A756" s="140"/>
      <c r="B756" s="140"/>
      <c r="D756" s="172" t="s">
        <v>238</v>
      </c>
      <c r="E756" s="407"/>
      <c r="F756" s="449"/>
      <c r="G756" s="470"/>
      <c r="H756" s="449"/>
      <c r="I756" s="450"/>
      <c r="J756" s="410"/>
      <c r="K756" s="411"/>
      <c r="L756" s="408" t="str" cm="1">
        <f t="array" ca="1" aca="1" ref="L756">_xlfn.IFNA(VLOOKUP(INDIRECT("L"&amp;ROW()-1)&amp;"_"&amp;$D$12,BEGIN_Renew_Dental:END_RENEW_DENTAL,RENEW_COL_EO,FALSE),"")</f>
        <v/>
      </c>
      <c r="M756" s="412" t="str">
        <f>IF(E756="","",E756)</f>
        <v/>
      </c>
      <c r="N756" s="413"/>
      <c r="O756" s="414"/>
      <c r="P756" s="415" t="str">
        <f>IFERROR(IF($N755="Keep Contribution Same",H756,IF($N755="Enter Percentages",IF(N756="","",N756*L756),IF($N755="Keep Percentage Same",IF(G756="","",G756*L756),IF($N755="Enter Dollar Amount",IF(O756="","",O756),"")))),"")</f>
        <v/>
      </c>
      <c r="Q756" s="408" t="str">
        <f>IFERROR(R756-P756,"")</f>
        <v/>
      </c>
      <c r="R756" s="410" t="str">
        <f>IFERROR(IF(P756="","",M756*P756),"")</f>
        <v/>
      </c>
      <c r="S756" s="411"/>
      <c r="T756" s="408" t="str" cm="1">
        <f t="array" ca="1" aca="1" ref="T756">_xlfn.IFNA(VLOOKUP(INDIRECT("T"&amp;ROW()-1)&amp;"_"&amp;$D$12,BEGIN_Renew_Dental:END_RENEW_DENTAL,RENEW_COL_EO,FALSE),"")</f>
        <v/>
      </c>
      <c r="U756" s="412" t="str">
        <f>IF(E756="","",E756)</f>
        <v/>
      </c>
      <c r="V756" s="413"/>
      <c r="W756" s="414"/>
      <c r="X756" s="415" t="str">
        <f>IFERROR(IF($V755="Keep Contribution Same",H756,IF($V755="Enter Percentages",IF(V756="","",V756*T756),IF($V755="Keep Percentage Same",IF(G756="","",G756*T756),IF($V755="Enter Dollar Amount",IF(W756="","",W756),"")))),"")</f>
        <v/>
      </c>
      <c r="Y756" s="408" t="str">
        <f ca="1">IFERROR(T756-X756,"")</f>
        <v/>
      </c>
      <c r="Z756" s="410" t="str">
        <f>IFERROR(IF(X756="","",U756*X756),"")</f>
        <v/>
      </c>
    </row>
    <row r="757" spans="1:26" ht="18.75" customHeight="1">
      <c r="A757" s="140"/>
      <c r="B757" s="140"/>
      <c r="D757" s="172" t="s">
        <v>239</v>
      </c>
      <c r="E757" s="407"/>
      <c r="F757" s="449"/>
      <c r="G757" s="470"/>
      <c r="H757" s="449"/>
      <c r="I757" s="450"/>
      <c r="J757" s="410"/>
      <c r="K757" s="411"/>
      <c r="L757" s="408" t="str" cm="1">
        <f t="array" ca="1" aca="1" ref="L757">_xlfn.IFNA(VLOOKUP(INDIRECT("L"&amp;ROW()-2)&amp;"_"&amp;$D$12,BEGIN_Renew_Dental:END_RENEW_DENTAL,RENEW_COL_ES,FALSE),"")</f>
        <v/>
      </c>
      <c r="M757" s="412" t="str">
        <f>IF(E757="","",E757)</f>
        <v/>
      </c>
      <c r="N757" s="413"/>
      <c r="O757" s="414"/>
      <c r="P757" s="415" t="str">
        <f>IFERROR(IF($N755="Keep Contribution Same",H757,IF($N755="Enter Percentages",IF(N757="","",N757*L757),IF($N755="Keep Percentage Same",IF(G757="","",G757*L757),IF($N755="Enter Dollar Amount",IF(O757="","",O757),"")))),"")</f>
        <v/>
      </c>
      <c r="Q757" s="408" t="str">
        <f t="shared" si="103" ref="Q757">IFERROR(R757-P757,"")</f>
        <v/>
      </c>
      <c r="R757" s="410" t="str">
        <f>IFERROR(IF(P757="","",M757*P757),"")</f>
        <v/>
      </c>
      <c r="S757" s="411"/>
      <c r="T757" s="408" t="str" cm="1">
        <f t="array" ca="1" aca="1" ref="T757">_xlfn.IFNA(VLOOKUP(INDIRECT("T"&amp;ROW()-2)&amp;"_"&amp;$D$12,BEGIN_Renew_Dental:END_RENEW_DENTAL,RENEW_COL_ES,FALSE),"")</f>
        <v/>
      </c>
      <c r="U757" s="412" t="str">
        <f t="shared" si="104" ref="U757:U759">IF(E757="","",E757)</f>
        <v/>
      </c>
      <c r="V757" s="413"/>
      <c r="W757" s="414"/>
      <c r="X757" s="415" t="str">
        <f>IFERROR(IF($V755="Keep Contribution Same",H757,IF($V755="Enter Percentages",IF(V757="","",V757*T757),IF($V755="Keep Percentage Same",IF(G757="","",G757*T757),IF($V755="Enter Dollar Amount",IF(W757="","",W757),"")))),"")</f>
        <v/>
      </c>
      <c r="Y757" s="408" t="str">
        <f ca="1" t="shared" si="105" ref="Y757:Y759">IFERROR(T757-X757,"")</f>
        <v/>
      </c>
      <c r="Z757" s="410" t="str">
        <f t="shared" si="106" ref="Z757:Z759">IFERROR(IF(X757="","",U757*X757),"")</f>
        <v/>
      </c>
    </row>
    <row r="758" spans="1:26" ht="18.75" customHeight="1">
      <c r="A758" s="140"/>
      <c r="B758" s="140"/>
      <c r="D758" s="172" t="s">
        <v>240</v>
      </c>
      <c r="E758" s="407"/>
      <c r="F758" s="449"/>
      <c r="G758" s="470"/>
      <c r="H758" s="449"/>
      <c r="I758" s="450"/>
      <c r="J758" s="410"/>
      <c r="K758" s="411"/>
      <c r="L758" s="408" t="str" cm="1">
        <f t="array" ca="1" aca="1" ref="L758">_xlfn.IFNA(VLOOKUP(INDIRECT("L"&amp;ROW()-3)&amp;"_"&amp;$D$12,BEGIN_Renew_Dental:END_RENEW_DENTAL,RENEW_COL_EC,FALSE),"")</f>
        <v/>
      </c>
      <c r="M758" s="412" t="str">
        <f>IF(E758="","",E758)</f>
        <v/>
      </c>
      <c r="N758" s="413"/>
      <c r="O758" s="414"/>
      <c r="P758" s="415" t="str">
        <f>IFERROR(IF($N755="Keep Contribution Same",H758,IF($N755="Enter Percentages",IF(N758="","",N758*L758),IF($N755="Keep Percentage Same",IF(G758="","",G758*L758),IF($N755="Enter Dollar Amount",IF(O758="","",O758),"")))),"")</f>
        <v/>
      </c>
      <c r="Q758" s="408" t="str">
        <f>IFERROR(R758-P758,"")</f>
        <v/>
      </c>
      <c r="R758" s="410" t="str">
        <f>IFERROR(IF(P758="","",M758*P758),"")</f>
        <v/>
      </c>
      <c r="S758" s="411"/>
      <c r="T758" s="408" t="str" cm="1">
        <f t="array" ca="1" aca="1" ref="T758">_xlfn.IFNA(VLOOKUP(INDIRECT("T"&amp;ROW()-3)&amp;"_"&amp;$D$12,BEGIN_Renew_Dental:END_RENEW_DENTAL,RENEW_COL_EC,FALSE),"")</f>
        <v/>
      </c>
      <c r="U758" s="412" t="str">
        <f t="shared" si="104"/>
        <v/>
      </c>
      <c r="V758" s="413"/>
      <c r="W758" s="414"/>
      <c r="X758" s="415" t="str">
        <f>IFERROR(IF($V755="Keep Contribution Same",H758,IF($V755="Enter Percentages",IF(V758="","",V758*T758),IF($V755="Keep Percentage Same",IF(G758="","",G758*T758),IF($V755="Enter Dollar Amount",IF(W758="","",W758),"")))),"")</f>
        <v/>
      </c>
      <c r="Y758" s="408" t="str">
        <f t="shared" ca="1" si="105"/>
        <v/>
      </c>
      <c r="Z758" s="410" t="str">
        <f t="shared" si="106"/>
        <v/>
      </c>
    </row>
    <row r="759" spans="1:26" ht="18.75" customHeight="1" thickBot="1">
      <c r="A759" s="140"/>
      <c r="B759" s="140"/>
      <c r="D759" s="174" t="s">
        <v>241</v>
      </c>
      <c r="E759" s="416"/>
      <c r="F759" s="451"/>
      <c r="G759" s="471"/>
      <c r="H759" s="451"/>
      <c r="I759" s="452"/>
      <c r="J759" s="419"/>
      <c r="K759" s="411"/>
      <c r="L759" s="417" t="str" cm="1">
        <f t="array" ca="1" aca="1" ref="L759">_xlfn.IFNA(VLOOKUP(INDIRECT("L"&amp;ROW()-4)&amp;"_"&amp;$D$12,BEGIN_Renew_Dental:END_RENEW_DENTAL,RENEW_COL_FAM,FALSE),"")</f>
        <v/>
      </c>
      <c r="M759" s="423" t="str">
        <f>IF(E759="","",E759)</f>
        <v/>
      </c>
      <c r="N759" s="420"/>
      <c r="O759" s="421"/>
      <c r="P759" s="422" t="str">
        <f>IFERROR(IF($N755="Keep Contribution Same",H759,IF($N755="Enter Percentages",IF(N759="","",N759*L759),IF($N755="Keep Percentage Same",IF(G759="","",G759*L759),IF($N755="Enter Dollar Amount",IF(O759="","",O759),"")))),"")</f>
        <v/>
      </c>
      <c r="Q759" s="417" t="str">
        <f>IFERROR(R759-P759,"")</f>
        <v/>
      </c>
      <c r="R759" s="419" t="str">
        <f>IFERROR(IF(P759="","",M759*P759),"")</f>
        <v/>
      </c>
      <c r="S759" s="411"/>
      <c r="T759" s="417" t="str" cm="1">
        <f t="array" ca="1" aca="1" ref="T759">_xlfn.IFNA(VLOOKUP(INDIRECT("T"&amp;ROW()-4)&amp;"_"&amp;$D$12,BEGIN_Renew_Dental:END_RENEW_DENTAL,RENEW_COL_FAM,FALSE),"")</f>
        <v/>
      </c>
      <c r="U759" s="423" t="str">
        <f t="shared" si="104"/>
        <v/>
      </c>
      <c r="V759" s="420"/>
      <c r="W759" s="421"/>
      <c r="X759" s="422" t="str">
        <f>IFERROR(IF($V755="Keep Contribution Same",H759,IF($V755="Enter Percentages",IF(V759="","",V759*T759),IF($V755="Keep Percentage Same",IF(G759="","",G759*T759),IF($V755="Enter Dollar Amount",IF(W759="","",W759),"")))),"")</f>
        <v/>
      </c>
      <c r="Y759" s="417" t="str">
        <f t="shared" ca="1" si="105"/>
        <v/>
      </c>
      <c r="Z759" s="419" t="str">
        <f t="shared" si="106"/>
        <v/>
      </c>
    </row>
    <row r="760" spans="1:26" ht="18.75" customHeight="1" thickTop="1">
      <c r="A760" s="140"/>
      <c r="B760" s="140"/>
      <c r="D760" s="175" t="s">
        <v>329</v>
      </c>
      <c r="E760" s="424"/>
      <c r="F760" s="427"/>
      <c r="G760" s="426"/>
      <c r="H760" s="427"/>
      <c r="I760" s="428"/>
      <c r="J760" s="429" t="str">
        <f>IFERROR(IF(J756="","",SUM(J756:J759)),0)</f>
        <v/>
      </c>
      <c r="K760" s="1"/>
      <c r="L760" s="424"/>
      <c r="M760" s="427"/>
      <c r="N760" s="426"/>
      <c r="O760" s="427"/>
      <c r="P760" s="431"/>
      <c r="Q760" s="432"/>
      <c r="R760" s="429" t="str">
        <f>IFERROR(IF(R756="","",SUM(R756:R759)),0)</f>
        <v/>
      </c>
      <c r="T760" s="424"/>
      <c r="U760" s="427"/>
      <c r="V760" s="426"/>
      <c r="W760" s="427"/>
      <c r="X760" s="431"/>
      <c r="Y760" s="432"/>
      <c r="Z760" s="429" t="str">
        <f>IFERROR(IF(Z756="","",SUM(Z756:Z759)),0)</f>
        <v/>
      </c>
    </row>
    <row r="761" spans="1:26" ht="18.75" customHeight="1">
      <c r="A761" s="140"/>
      <c r="B761" s="140"/>
      <c r="D761" s="177" t="s">
        <v>243</v>
      </c>
      <c r="E761" s="433"/>
      <c r="F761" s="436"/>
      <c r="G761" s="435"/>
      <c r="H761" s="436"/>
      <c r="I761" s="432"/>
      <c r="J761" s="437" t="str">
        <f>IF(J760="","",J760*12)</f>
        <v/>
      </c>
      <c r="K761" s="1"/>
      <c r="L761" s="433"/>
      <c r="M761" s="436"/>
      <c r="N761" s="435"/>
      <c r="O761" s="436"/>
      <c r="P761" s="432"/>
      <c r="Q761" s="432"/>
      <c r="R761" s="437" t="str">
        <f>IF(R760="","",R760*12)</f>
        <v/>
      </c>
      <c r="T761" s="433"/>
      <c r="U761" s="436"/>
      <c r="V761" s="435"/>
      <c r="W761" s="436"/>
      <c r="X761" s="432"/>
      <c r="Y761" s="432"/>
      <c r="Z761" s="437" t="str">
        <f>IF(Z760="","",Z760*12)</f>
        <v/>
      </c>
    </row>
    <row r="762" spans="1:26" ht="18" customHeight="1">
      <c r="A762" s="140"/>
      <c r="B762" s="140"/>
      <c r="D762" s="177" t="s">
        <v>244</v>
      </c>
      <c r="E762" s="433"/>
      <c r="F762" s="436"/>
      <c r="G762" s="435"/>
      <c r="H762" s="436"/>
      <c r="I762" s="432"/>
      <c r="J762" s="437" t="str">
        <f>IFERROR(IF(J761="","",R761-J761),0)</f>
        <v/>
      </c>
      <c r="K762" s="1"/>
      <c r="L762" s="433"/>
      <c r="M762" s="436"/>
      <c r="N762" s="435"/>
      <c r="O762" s="436"/>
      <c r="P762" s="432"/>
      <c r="Q762" s="432"/>
      <c r="R762" s="437" t="str">
        <f>IFERROR(IF(J761="","",R761-J761),0)</f>
        <v/>
      </c>
      <c r="T762" s="433"/>
      <c r="U762" s="436"/>
      <c r="V762" s="435"/>
      <c r="W762" s="436"/>
      <c r="X762" s="432"/>
      <c r="Y762" s="432"/>
      <c r="Z762" s="437" t="str">
        <f>IFERROR(IF(R761="","",Z761-R761),0)</f>
        <v/>
      </c>
    </row>
    <row r="763" spans="1:26" ht="18" customHeight="1" thickBot="1">
      <c r="A763" s="140"/>
      <c r="B763" s="140"/>
      <c r="D763" s="180" t="s">
        <v>245</v>
      </c>
      <c r="E763" s="439"/>
      <c r="F763" s="440"/>
      <c r="G763" s="441"/>
      <c r="H763" s="440"/>
      <c r="I763" s="442"/>
      <c r="J763" s="437" t="str">
        <f>IFERROR(IF(J761="","",(R761/J761)-1),0)</f>
        <v/>
      </c>
      <c r="K763" s="1"/>
      <c r="L763" s="439"/>
      <c r="M763" s="440"/>
      <c r="N763" s="441"/>
      <c r="O763" s="440"/>
      <c r="P763" s="445"/>
      <c r="Q763" s="445"/>
      <c r="R763" s="446" t="str">
        <f>IFERROR(IF(J761="","",(R761/J761)-1),0)</f>
        <v/>
      </c>
      <c r="T763" s="439"/>
      <c r="U763" s="440"/>
      <c r="V763" s="441"/>
      <c r="W763" s="440"/>
      <c r="X763" s="445"/>
      <c r="Y763" s="445"/>
      <c r="Z763" s="446" t="str">
        <f>IFERROR(IF(R761="","",(Z761/R761)-1),0)</f>
        <v/>
      </c>
    </row>
    <row r="764" spans="1:140" s="162" customFormat="1" ht="5.25" customHeight="1" thickBot="1">
      <c r="A764" s="140"/>
      <c r="B764" s="140"/>
      <c r="C764" s="141"/>
      <c r="D764" s="229"/>
      <c r="E764" s="229"/>
      <c r="F764" s="230"/>
      <c r="G764" s="231"/>
      <c r="H764" s="232"/>
      <c r="I764" s="233"/>
      <c r="J764" s="233"/>
      <c r="K764"/>
      <c r="L764" s="233"/>
      <c r="M764" s="233"/>
      <c r="N764" s="233"/>
      <c r="O764" s="233"/>
      <c r="P764" s="233"/>
      <c r="Q764" s="233"/>
      <c r="R764" s="233"/>
      <c r="S764" s="1"/>
      <c r="T764" s="233"/>
      <c r="U764" s="233"/>
      <c r="V764" s="233"/>
      <c r="W764" s="233"/>
      <c r="X764" s="233"/>
      <c r="Y764" s="233"/>
      <c r="Z764" s="233"/>
      <c r="AA764" s="1"/>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row>
    <row r="765" spans="1:27" ht="38.25" customHeight="1" thickTop="1" thickBot="1">
      <c r="A765" s="153"/>
      <c r="B765" s="153"/>
      <c r="C765" s="269"/>
      <c r="D765" s="484" t="s">
        <v>299</v>
      </c>
      <c r="E765" s="485"/>
      <c r="F765" s="485"/>
      <c r="G765" s="485"/>
      <c r="H765" s="485"/>
      <c r="I765" s="485"/>
      <c r="J765" s="485"/>
      <c r="K765" s="485"/>
      <c r="L765" s="485"/>
      <c r="M765" s="485"/>
      <c r="N765" s="485"/>
      <c r="O765" s="485"/>
      <c r="P765" s="485"/>
      <c r="Q765" s="485"/>
      <c r="R765" s="486"/>
      <c r="S765" s="162"/>
      <c r="T765" s="163"/>
      <c r="U765" s="163"/>
      <c r="V765" s="163"/>
      <c r="W765" s="163"/>
      <c r="X765" s="163"/>
      <c r="Y765" s="163"/>
      <c r="Z765" s="163"/>
      <c r="AA765" s="159"/>
    </row>
    <row r="766" spans="1:26" ht="50.15" customHeight="1">
      <c r="A766" s="140">
        <v>1</v>
      </c>
      <c r="B766" s="140" t="str">
        <f>IF(A766&gt;Class4_CurrentVisionCount,"DELETE",Class4_CurrentVisionStart+A766)</f>
        <v>DELETE</v>
      </c>
      <c r="C766" s="164" t="s">
        <v>300</v>
      </c>
      <c r="D766" s="273" t="str">
        <f>IF(B766="Delete","",VLOOKUP(F766,BEGIN_CURRENT_VISION:END_CURRENT_VISION,3,FALSE))</f>
        <v/>
      </c>
      <c r="E766" s="165"/>
      <c r="F766" s="272" t="str" cm="1">
        <f t="array" ca="1" aca="1" ref="F766">IF(B766="Delete","",INDIRECT("CurrentPlans!A"&amp;B766,TRUE))</f>
        <v/>
      </c>
      <c r="G766" s="166"/>
      <c r="H766" s="167"/>
      <c r="I766" s="168"/>
      <c r="J766" s="169"/>
      <c r="K766"/>
      <c r="L766" s="274" t="str">
        <f ca="1">_xlfn.IFNA(VLOOKUP(F766,BEGIN_RENEWEDFROM_DENTAL:ROW_RenewDental_PlanID,3,FALSE),"SELECT PLAN")</f>
        <v>SELECT PLAN</v>
      </c>
      <c r="M766" s="170"/>
      <c r="N766" s="274" t="s">
        <v>237</v>
      </c>
      <c r="O766" s="171"/>
      <c r="P766" s="171"/>
      <c r="Q766" s="171"/>
      <c r="R766" s="169"/>
      <c r="T766" s="274" t="s">
        <v>38</v>
      </c>
      <c r="U766" s="170"/>
      <c r="V766" s="274" t="s">
        <v>237</v>
      </c>
      <c r="W766" s="171"/>
      <c r="X766" s="171"/>
      <c r="Y766" s="171"/>
      <c r="Z766" s="169"/>
    </row>
    <row r="767" spans="1:26" ht="18.75" customHeight="1">
      <c r="A767" s="140"/>
      <c r="B767" s="140"/>
      <c r="D767" s="172" t="s">
        <v>238</v>
      </c>
      <c r="E767" s="407" t="str">
        <f ca="1">_xlfn.IFNA(VLOOKUP(F766,BEGIN_CURRENT_VISION:END_CURRENT_VISION,CURRENT_COL_EO_count,FALSE),"")</f>
        <v/>
      </c>
      <c r="F767" s="408" t="str">
        <f ca="1">_xlfn.IFNA(VLOOKUP(F766,BEGIN_CURRENT_VISION:END_CURRENT_VISION,CURRENT_COL_EO,FALSE),"")</f>
        <v/>
      </c>
      <c r="G767" s="468" t="str">
        <f ca="1" t="shared" si="107" ref="G767:G770">IF(F767="","",H767/F767)</f>
        <v/>
      </c>
      <c r="H767" s="408" t="str">
        <f ca="1">_xlfn.IFNA(VLOOKUP(F766,BEGIN_CURRENT_VISION:END_CURRENT_VISION,CURRENT_COL_EOContrib,FALSE),"")</f>
        <v/>
      </c>
      <c r="I767" s="409" t="str">
        <f ca="1">IFERROR(F767-H767,"")</f>
        <v/>
      </c>
      <c r="J767" s="410" t="str">
        <f ca="1">IF(F767="","",H767*E767)</f>
        <v/>
      </c>
      <c r="K767" s="411"/>
      <c r="L767" s="408" t="str" cm="1">
        <f t="array" ca="1" aca="1" ref="L767">_xlfn.IFNA(VLOOKUP(INDIRECT("L"&amp;ROW()-1)&amp;"_"&amp;$D$12,BEGIN_Renew_Vision:END_RENEW_VISION,RENEW_COL_EO,FALSE),"")</f>
        <v/>
      </c>
      <c r="M767" s="412" t="str">
        <f ca="1">IF(E767="","",E767)</f>
        <v/>
      </c>
      <c r="N767" s="413"/>
      <c r="O767" s="414"/>
      <c r="P767" s="415" t="str">
        <f>IFERROR(IF($N766="Keep Contribution Same",H767,IF($N766="Enter Percentages",IF(N767="","",N767*L767),IF($N766="Keep Percentage Same",IF(G767="","",G767*L767),IF($N766="Enter Dollar Amount",IF(O767="","",O767),"")))),"")</f>
        <v/>
      </c>
      <c r="Q767" s="408" t="str">
        <f ca="1">IFERROR(L767-P767,"")</f>
        <v/>
      </c>
      <c r="R767" s="410" t="str">
        <f>IFERROR(IF(P767="","",M767*P767),"")</f>
        <v/>
      </c>
      <c r="S767" s="411"/>
      <c r="T767" s="408" t="str" cm="1">
        <f t="array" ca="1" aca="1" ref="T767">_xlfn.IFNA(VLOOKUP(INDIRECT("T"&amp;ROW()-1)&amp;"_"&amp;$D$12,BEGIN_Renew_Vision:END_RENEW_VISION,RENEW_COL_EO,FALSE),"")</f>
        <v/>
      </c>
      <c r="U767" s="412" t="str">
        <f ca="1">IF(E767="","",E767)</f>
        <v/>
      </c>
      <c r="V767" s="413"/>
      <c r="W767" s="414"/>
      <c r="X767" s="415" t="str">
        <f>IFERROR(IF($V766="Keep Contribution Same",H767,IF($V766="Enter Percentages",IF(V767="","",V767*T767),IF($V766="Keep Percentage Same",IF(G767="","",G767*T767),IF($V766="Enter Dollar Amount",IF(W767="","",W767),"")))),"")</f>
        <v/>
      </c>
      <c r="Y767" s="408" t="str">
        <f ca="1">IFERROR(T767-X767,"")</f>
        <v/>
      </c>
      <c r="Z767" s="410" t="str">
        <f>IFERROR(IF(X767="","",U767*X767),"")</f>
        <v/>
      </c>
    </row>
    <row r="768" spans="1:26" ht="18.75" customHeight="1">
      <c r="A768" s="140"/>
      <c r="B768" s="140"/>
      <c r="D768" s="172" t="s">
        <v>239</v>
      </c>
      <c r="E768" s="407" t="str">
        <f ca="1">_xlfn.IFNA(VLOOKUP(F766,BEGIN_CURRENT_VISION:END_CURRENT_VISION,CURRENT_COL_ES_count,FALSE),"")</f>
        <v/>
      </c>
      <c r="F768" s="408" t="str">
        <f ca="1">_xlfn.IFNA(VLOOKUP(F766,BEGIN_CURRENT_VISION:END_CURRENT_VISION,CURRENT_COL_ES,FALSE),"")</f>
        <v/>
      </c>
      <c r="G768" s="468" t="str">
        <f t="shared" ca="1" si="107"/>
        <v/>
      </c>
      <c r="H768" s="408" t="str">
        <f ca="1">_xlfn.IFNA(VLOOKUP(F766,BEGIN_CURRENT_VISION:END_CURRENT_VISION,CURRENT_COL_ESContrib,FALSE),"")</f>
        <v/>
      </c>
      <c r="I768" s="409" t="str">
        <f ca="1" t="shared" si="108" ref="I768:I770">IFERROR(F768-H768,"")</f>
        <v/>
      </c>
      <c r="J768" s="410" t="str">
        <f ca="1" t="shared" si="109" ref="J768:J770">IF(F768="","",H768*E768)</f>
        <v/>
      </c>
      <c r="K768" s="411"/>
      <c r="L768" s="408" t="str" cm="1">
        <f t="array" ca="1" aca="1" ref="L768">_xlfn.IFNA(VLOOKUP(INDIRECT("L"&amp;ROW()-2)&amp;"_"&amp;$D$12,BEGIN_Renew_Vision:END_RENEW_VISION,RENEW_COL_ES,FALSE),"")</f>
        <v/>
      </c>
      <c r="M768" s="412" t="str">
        <f ca="1">IF(E768="","",E768)</f>
        <v/>
      </c>
      <c r="N768" s="413"/>
      <c r="O768" s="414"/>
      <c r="P768" s="415" t="str">
        <f>IFERROR(IF($N766="Keep Contribution Same",H768,IF($N766="Enter Percentages",IF(N768="","",N768*L768),IF($N766="Keep Percentage Same",IF(G768="","",G768*L768),IF($N766="Enter Dollar Amount",IF(O768="","",O768),"")))),"")</f>
        <v/>
      </c>
      <c r="Q768" s="408" t="str">
        <f ca="1" t="shared" si="110" ref="Q768:Q770">IFERROR(L768-P768,"")</f>
        <v/>
      </c>
      <c r="R768" s="410" t="str">
        <f>IFERROR(IF(P768="","",M768*P768),"")</f>
        <v/>
      </c>
      <c r="S768" s="411"/>
      <c r="T768" s="408" t="str" cm="1">
        <f t="array" ca="1" aca="1" ref="T768">_xlfn.IFNA(VLOOKUP(INDIRECT("T"&amp;ROW()-2)&amp;"_"&amp;$D$12,BEGIN_Renew_Vision:END_RENEW_VISION,RENEW_COL_ES,FALSE),"")</f>
        <v/>
      </c>
      <c r="U768" s="412" t="str">
        <f ca="1" t="shared" si="111" ref="U768:U770">IF(E768="","",E768)</f>
        <v/>
      </c>
      <c r="V768" s="413"/>
      <c r="W768" s="414"/>
      <c r="X768" s="415" t="str">
        <f>IFERROR(IF($V766="Keep Contribution Same",H768,IF($V766="Enter Percentages",IF(V768="","",V768*T768),IF($V766="Keep Percentage Same",IF(G768="","",G768*T768),IF($V766="Enter Dollar Amount",IF(W768="","",W768),"")))),"")</f>
        <v/>
      </c>
      <c r="Y768" s="408" t="str">
        <f ca="1" t="shared" si="112" ref="Y768:Y770">IFERROR(T768-X768,"")</f>
        <v/>
      </c>
      <c r="Z768" s="410" t="str">
        <f t="shared" si="113" ref="Z768:Z770">IFERROR(IF(X768="","",U768*X768),"")</f>
        <v/>
      </c>
    </row>
    <row r="769" spans="1:26" ht="18.75" customHeight="1">
      <c r="A769" s="140"/>
      <c r="B769" s="140"/>
      <c r="D769" s="172" t="s">
        <v>240</v>
      </c>
      <c r="E769" s="407" t="str">
        <f ca="1">_xlfn.IFNA(VLOOKUP(F766,BEGIN_CURRENT_VISION:END_CURRENT_VISION,CURRENT_COL_EC_count,FALSE),"")</f>
        <v/>
      </c>
      <c r="F769" s="408" t="str">
        <f ca="1">_xlfn.IFNA(VLOOKUP(F766,BEGIN_CURRENT_VISION:END_CURRENT_VISION,CURRENT_COL_EC,FALSE),"")</f>
        <v/>
      </c>
      <c r="G769" s="468" t="str">
        <f t="shared" ca="1" si="107"/>
        <v/>
      </c>
      <c r="H769" s="408" t="str">
        <f ca="1">_xlfn.IFNA(VLOOKUP(F766,BEGIN_CURRENT_VISION:END_CURRENT_VISION,CURRENT_COL_ECContrib,FALSE),"")</f>
        <v/>
      </c>
      <c r="I769" s="409" t="str">
        <f t="shared" ca="1" si="108"/>
        <v/>
      </c>
      <c r="J769" s="410" t="str">
        <f t="shared" ca="1" si="109"/>
        <v/>
      </c>
      <c r="K769" s="411"/>
      <c r="L769" s="408" t="str" cm="1">
        <f t="array" ca="1" aca="1" ref="L769">_xlfn.IFNA(VLOOKUP(INDIRECT("L"&amp;ROW()-3)&amp;"_"&amp;$D$12,BEGIN_Renew_Vision:END_RENEW_VISION,RENEW_COL_EC,FALSE),"")</f>
        <v/>
      </c>
      <c r="M769" s="412" t="str">
        <f ca="1">IF(E769="","",E769)</f>
        <v/>
      </c>
      <c r="N769" s="413"/>
      <c r="O769" s="414"/>
      <c r="P769" s="415" t="str">
        <f>IFERROR(IF($N766="Keep Contribution Same",H769,IF($N766="Enter Percentages",IF(N769="","",N769*L769),IF($N766="Keep Percentage Same",IF(G769="","",G769*L769),IF($N766="Enter Dollar Amount",IF(O769="","",O769),"")))),"")</f>
        <v/>
      </c>
      <c r="Q769" s="408" t="str">
        <f t="shared" ca="1" si="110"/>
        <v/>
      </c>
      <c r="R769" s="410" t="str">
        <f>IFERROR(IF(P769="","",M769*P769),"")</f>
        <v/>
      </c>
      <c r="S769" s="411"/>
      <c r="T769" s="408" t="str" cm="1">
        <f t="array" ca="1" aca="1" ref="T769">_xlfn.IFNA(VLOOKUP(INDIRECT("T"&amp;ROW()-3)&amp;"_"&amp;$D$12,BEGIN_Renew_Vision:END_RENEW_VISION,RENEW_COL_EC,FALSE),"")</f>
        <v/>
      </c>
      <c r="U769" s="412" t="str">
        <f t="shared" ca="1" si="111"/>
        <v/>
      </c>
      <c r="V769" s="413"/>
      <c r="W769" s="414"/>
      <c r="X769" s="415" t="str">
        <f>IFERROR(IF($V766="Keep Contribution Same",H769,IF($V766="Enter Percentages",IF(V769="","",V769*T769),IF($V766="Keep Percentage Same",IF(G769="","",G769*T769),IF($V766="Enter Dollar Amount",IF(W769="","",W769),"")))),"")</f>
        <v/>
      </c>
      <c r="Y769" s="408" t="str">
        <f t="shared" ca="1" si="112"/>
        <v/>
      </c>
      <c r="Z769" s="410" t="str">
        <f t="shared" si="113"/>
        <v/>
      </c>
    </row>
    <row r="770" spans="1:26" ht="18.75" customHeight="1" thickBot="1">
      <c r="A770" s="140"/>
      <c r="B770" s="140"/>
      <c r="D770" s="174" t="s">
        <v>241</v>
      </c>
      <c r="E770" s="416" t="str">
        <f ca="1">_xlfn.IFNA(VLOOKUP(F766,BEGIN_CURRENT_VISION:END_CURRENT_VISION,CURRENT_COL_FAM_count,FALSE),"")</f>
        <v/>
      </c>
      <c r="F770" s="417" t="str">
        <f ca="1">_xlfn.IFNA(VLOOKUP(F766,BEGIN_CURRENT_VISION:END_CURRENT_VISION,CURRENT_COL_FAM,FALSE),"")</f>
        <v/>
      </c>
      <c r="G770" s="469" t="str">
        <f t="shared" ca="1" si="107"/>
        <v/>
      </c>
      <c r="H770" s="417" t="str">
        <f ca="1">_xlfn.IFNA(VLOOKUP(F766,BEGIN_CURRENT_VISION:END_CURRENT_VISION,CURRENT_COL_FAMContrib,FALSE),"")</f>
        <v/>
      </c>
      <c r="I770" s="409" t="str">
        <f t="shared" ca="1" si="108"/>
        <v/>
      </c>
      <c r="J770" s="410" t="str">
        <f t="shared" ca="1" si="109"/>
        <v/>
      </c>
      <c r="K770" s="411"/>
      <c r="L770" s="417" t="str" cm="1">
        <f t="array" ca="1" aca="1" ref="L770">_xlfn.IFNA(VLOOKUP(INDIRECT("L"&amp;ROW()-4)&amp;"_"&amp;$D$12,BEGIN_Renew_Vision:END_RENEW_VISION,RENEW_COL_FAM,FALSE),"")</f>
        <v/>
      </c>
      <c r="M770" s="423" t="str">
        <f ca="1">IF(E770="","",E770)</f>
        <v/>
      </c>
      <c r="N770" s="420"/>
      <c r="O770" s="421"/>
      <c r="P770" s="422" t="str">
        <f>IFERROR(IF($N766="Keep Contribution Same",H770,IF($N766="Enter Percentages",IF(N770="","",N770*L770),IF($N766="Keep Percentage Same",IF(G770="","",G770*L770),IF($N766="Enter Dollar Amount",IF(O770="","",O770),"")))),"")</f>
        <v/>
      </c>
      <c r="Q770" s="417" t="str">
        <f t="shared" ca="1" si="110"/>
        <v/>
      </c>
      <c r="R770" s="419" t="str">
        <f>IFERROR(IF(P770="","",M770*P770),"")</f>
        <v/>
      </c>
      <c r="S770" s="411"/>
      <c r="T770" s="417" t="str" cm="1">
        <f t="array" ca="1" aca="1" ref="T770">_xlfn.IFNA(VLOOKUP(INDIRECT("T"&amp;ROW()-4)&amp;"_"&amp;$D$12,BEGIN_Renew_Vision:END_RENEW_VISION,RENEW_COL_FAM,FALSE),"")</f>
        <v/>
      </c>
      <c r="U770" s="423" t="str">
        <f t="shared" ca="1" si="111"/>
        <v/>
      </c>
      <c r="V770" s="420"/>
      <c r="W770" s="421"/>
      <c r="X770" s="422" t="str">
        <f>IFERROR(IF($V766="Keep Contribution Same",H770,IF($V766="Enter Percentages",IF(V770="","",V770*T770),IF($V766="Keep Percentage Same",IF(G770="","",G770*T770),IF($V766="Enter Dollar Amount",IF(W770="","",W770),"")))),"")</f>
        <v/>
      </c>
      <c r="Y770" s="417" t="str">
        <f t="shared" ca="1" si="112"/>
        <v/>
      </c>
      <c r="Z770" s="419" t="str">
        <f t="shared" si="113"/>
        <v/>
      </c>
    </row>
    <row r="771" spans="1:26" ht="18.75" customHeight="1" thickTop="1">
      <c r="A771" s="140"/>
      <c r="B771" s="140"/>
      <c r="D771" s="175" t="s">
        <v>329</v>
      </c>
      <c r="E771" s="424"/>
      <c r="F771" s="427"/>
      <c r="G771" s="426"/>
      <c r="H771" s="427"/>
      <c r="I771" s="428"/>
      <c r="J771" s="429" t="str">
        <f ca="1">IFERROR(IF(J767="","",SUM(J767:J770)),0)</f>
        <v/>
      </c>
      <c r="K771" s="1"/>
      <c r="L771" s="424"/>
      <c r="M771" s="427"/>
      <c r="N771" s="426"/>
      <c r="O771" s="427"/>
      <c r="P771" s="431"/>
      <c r="Q771" s="432"/>
      <c r="R771" s="429" t="str">
        <f>IFERROR(IF(R767="","",SUM(R767:R770)),0)</f>
        <v/>
      </c>
      <c r="T771" s="424"/>
      <c r="U771" s="427"/>
      <c r="V771" s="426"/>
      <c r="W771" s="427"/>
      <c r="X771" s="431"/>
      <c r="Y771" s="432"/>
      <c r="Z771" s="429" t="str">
        <f>IFERROR(IF(Z767="","",SUM(Z767:Z770)),0)</f>
        <v/>
      </c>
    </row>
    <row r="772" spans="1:26" ht="18.75" customHeight="1">
      <c r="A772" s="140"/>
      <c r="B772" s="140"/>
      <c r="D772" s="177" t="s">
        <v>243</v>
      </c>
      <c r="E772" s="433"/>
      <c r="F772" s="436"/>
      <c r="G772" s="435"/>
      <c r="H772" s="436"/>
      <c r="I772" s="432"/>
      <c r="J772" s="437" t="str">
        <f ca="1">IF(J771="","",J771*12)</f>
        <v/>
      </c>
      <c r="K772" s="1"/>
      <c r="L772" s="433"/>
      <c r="M772" s="436"/>
      <c r="N772" s="435"/>
      <c r="O772" s="436"/>
      <c r="P772" s="432"/>
      <c r="Q772" s="432"/>
      <c r="R772" s="437" t="str">
        <f>IF(R771="","",R771*12)</f>
        <v/>
      </c>
      <c r="T772" s="433"/>
      <c r="U772" s="436"/>
      <c r="V772" s="435"/>
      <c r="W772" s="436"/>
      <c r="X772" s="432"/>
      <c r="Y772" s="432"/>
      <c r="Z772" s="437" t="str">
        <f>IF(Z771="","",Z771*12)</f>
        <v/>
      </c>
    </row>
    <row r="773" spans="1:26" ht="18" customHeight="1">
      <c r="A773" s="140"/>
      <c r="B773" s="140"/>
      <c r="D773" s="177" t="s">
        <v>244</v>
      </c>
      <c r="E773" s="433"/>
      <c r="F773" s="436"/>
      <c r="G773" s="435"/>
      <c r="H773" s="436"/>
      <c r="I773" s="432"/>
      <c r="J773" s="437" t="str">
        <f ca="1">IFERROR(IF(J772="","",R772-J772),0)</f>
        <v/>
      </c>
      <c r="K773" s="1"/>
      <c r="L773" s="433"/>
      <c r="M773" s="436"/>
      <c r="N773" s="435"/>
      <c r="O773" s="436"/>
      <c r="P773" s="432"/>
      <c r="Q773" s="432"/>
      <c r="R773" s="437" t="str">
        <f ca="1">IFERROR(IF(J772="","",R772-J772),0)</f>
        <v/>
      </c>
      <c r="T773" s="433"/>
      <c r="U773" s="436"/>
      <c r="V773" s="435"/>
      <c r="W773" s="436"/>
      <c r="X773" s="432"/>
      <c r="Y773" s="432"/>
      <c r="Z773" s="437" t="str">
        <f>IFERROR(IF(R772="","",Z772-R772),0)</f>
        <v/>
      </c>
    </row>
    <row r="774" spans="1:26" ht="18" customHeight="1" thickBot="1">
      <c r="A774" s="140"/>
      <c r="B774" s="140"/>
      <c r="D774" s="180" t="s">
        <v>245</v>
      </c>
      <c r="E774" s="439"/>
      <c r="F774" s="440"/>
      <c r="G774" s="441"/>
      <c r="H774" s="440"/>
      <c r="I774" s="442"/>
      <c r="J774" s="437" t="str">
        <f ca="1">IFERROR(IF(J772="","",(R772/J772)-1),0)</f>
        <v/>
      </c>
      <c r="K774" s="1"/>
      <c r="L774" s="439"/>
      <c r="M774" s="440"/>
      <c r="N774" s="441"/>
      <c r="O774" s="440"/>
      <c r="P774" s="445"/>
      <c r="Q774" s="445"/>
      <c r="R774" s="446" t="str">
        <f ca="1">IFERROR(IF(J772="","",(R772/J772)-1),0)</f>
        <v/>
      </c>
      <c r="T774" s="439"/>
      <c r="U774" s="440"/>
      <c r="V774" s="441"/>
      <c r="W774" s="440"/>
      <c r="X774" s="445"/>
      <c r="Y774" s="445"/>
      <c r="Z774" s="446" t="str">
        <f>IFERROR(IF(R772="","",(Z772/R772)-1),0)</f>
        <v/>
      </c>
    </row>
    <row r="775" spans="1:26" ht="5.25" customHeight="1" thickBot="1">
      <c r="A775" s="140"/>
      <c r="B775" s="140"/>
      <c r="D775" s="229"/>
      <c r="E775" s="229"/>
      <c r="F775" s="230"/>
      <c r="G775" s="231"/>
      <c r="H775" s="232"/>
      <c r="I775" s="233"/>
      <c r="J775" s="233"/>
      <c r="K775"/>
      <c r="L775" s="233"/>
      <c r="M775" s="233"/>
      <c r="N775" s="233"/>
      <c r="O775" s="233"/>
      <c r="P775" s="233"/>
      <c r="Q775" s="233"/>
      <c r="R775" s="233"/>
      <c r="T775" s="233"/>
      <c r="U775" s="233"/>
      <c r="V775" s="233"/>
      <c r="W775" s="233"/>
      <c r="X775" s="233"/>
      <c r="Y775" s="233"/>
      <c r="Z775" s="233"/>
    </row>
    <row r="776" spans="1:26" ht="50.15" customHeight="1">
      <c r="A776" s="140">
        <v>2</v>
      </c>
      <c r="B776" s="140" t="str">
        <f>IF(A776&gt;Class4_CurrentVisionCount,"DELETE",Class4_CurrentVisionStart+A776)</f>
        <v>DELETE</v>
      </c>
      <c r="C776" s="164" t="s">
        <v>301</v>
      </c>
      <c r="D776" s="273" t="str">
        <f>IF(B776="Delete","",VLOOKUP(F776,BEGIN_CURRENT_VISION:END_CURRENT_VISION,3,FALSE))</f>
        <v/>
      </c>
      <c r="E776" s="165"/>
      <c r="F776" s="272" t="str" cm="1">
        <f t="array" ca="1" aca="1" ref="F776">IF(B776="Delete","",INDIRECT("CurrentPlans!A"&amp;B776,TRUE))</f>
        <v/>
      </c>
      <c r="G776" s="166"/>
      <c r="H776" s="167"/>
      <c r="I776" s="168"/>
      <c r="J776" s="169"/>
      <c r="K776"/>
      <c r="L776" s="274" t="str">
        <f ca="1">_xlfn.IFNA(VLOOKUP(F776,BEGIN_RENEWEDFROM_DENTAL:ROW_RenewDental_PlanID,3,FALSE),"SELECT PLAN")</f>
        <v>SELECT PLAN</v>
      </c>
      <c r="M776" s="170"/>
      <c r="N776" s="274" t="s">
        <v>237</v>
      </c>
      <c r="O776" s="171"/>
      <c r="P776" s="171"/>
      <c r="Q776" s="171"/>
      <c r="R776" s="169"/>
      <c r="T776" s="274" t="s">
        <v>38</v>
      </c>
      <c r="U776" s="170"/>
      <c r="V776" s="274" t="s">
        <v>237</v>
      </c>
      <c r="W776" s="171"/>
      <c r="X776" s="171"/>
      <c r="Y776" s="171"/>
      <c r="Z776" s="169"/>
    </row>
    <row r="777" spans="1:26" ht="18.75" customHeight="1">
      <c r="A777" s="140"/>
      <c r="B777" s="140"/>
      <c r="D777" s="172" t="s">
        <v>238</v>
      </c>
      <c r="E777" s="407" t="str">
        <f ca="1">_xlfn.IFNA(VLOOKUP(F776,BEGIN_CURRENT_VISION:END_CURRENT_VISION,CURRENT_COL_EO_count,FALSE),"")</f>
        <v/>
      </c>
      <c r="F777" s="408" t="str">
        <f ca="1">_xlfn.IFNA(VLOOKUP(F776,BEGIN_CURRENT_VISION:END_CURRENT_VISION,CURRENT_COL_EO,FALSE),"")</f>
        <v/>
      </c>
      <c r="G777" s="468" t="str">
        <f ca="1" t="shared" si="114" ref="G777:G780">IF(F777="","",H777/F777)</f>
        <v/>
      </c>
      <c r="H777" s="408" t="str">
        <f ca="1">_xlfn.IFNA(VLOOKUP(F776,BEGIN_CURRENT_VISION:END_CURRENT_VISION,CURRENT_COL_EOContrib,FALSE),"")</f>
        <v/>
      </c>
      <c r="I777" s="409" t="str">
        <f ca="1">IFERROR(F777-H777,"")</f>
        <v/>
      </c>
      <c r="J777" s="410" t="str">
        <f ca="1">IF(F777="","",H777*E777)</f>
        <v/>
      </c>
      <c r="K777" s="411"/>
      <c r="L777" s="408" t="str" cm="1">
        <f t="array" ca="1" aca="1" ref="L777">_xlfn.IFNA(VLOOKUP(INDIRECT("L"&amp;ROW()-1)&amp;"_"&amp;$D$12,BEGIN_Renew_Vision:END_RENEW_VISION,RENEW_COL_EO,FALSE),"")</f>
        <v/>
      </c>
      <c r="M777" s="412" t="str">
        <f ca="1">IF(E777="","",E777)</f>
        <v/>
      </c>
      <c r="N777" s="413"/>
      <c r="O777" s="414"/>
      <c r="P777" s="415" t="str">
        <f>IFERROR(IF($N776="Keep Contribution Same",H777,IF($N776="Enter Percentages",IF(N777="","",N777*L777),IF($N776="Keep Percentage Same",IF(G777="","",G777*L777),IF($N776="Enter Dollar Amount",IF(O777="","",O777),"")))),"")</f>
        <v/>
      </c>
      <c r="Q777" s="408" t="str">
        <f ca="1">IFERROR(L777-P777,"")</f>
        <v/>
      </c>
      <c r="R777" s="410" t="str">
        <f>IFERROR(IF(P777="","",M777*P777),"")</f>
        <v/>
      </c>
      <c r="S777" s="411"/>
      <c r="T777" s="408" t="str" cm="1">
        <f t="array" ca="1" aca="1" ref="T777">_xlfn.IFNA(VLOOKUP(INDIRECT("T"&amp;ROW()-1)&amp;"_"&amp;$D$12,BEGIN_Renew_Vision:END_RENEW_VISION,RENEW_COL_EO,FALSE),"")</f>
        <v/>
      </c>
      <c r="U777" s="412" t="str">
        <f ca="1">IF(E777="","",E777)</f>
        <v/>
      </c>
      <c r="V777" s="413"/>
      <c r="W777" s="414"/>
      <c r="X777" s="415" t="str">
        <f>IFERROR(IF($V776="Keep Contribution Same",H777,IF($V776="Enter Percentages",IF(V777="","",V777*T777),IF($V776="Keep Percentage Same",IF(G777="","",G777*T777),IF($V776="Enter Dollar Amount",IF(W777="","",W777),"")))),"")</f>
        <v/>
      </c>
      <c r="Y777" s="408" t="str">
        <f ca="1">IFERROR(T777-X777,"")</f>
        <v/>
      </c>
      <c r="Z777" s="410" t="str">
        <f>IFERROR(IF(X777="","",U777*X777),"")</f>
        <v/>
      </c>
    </row>
    <row r="778" spans="1:26" ht="18.75" customHeight="1">
      <c r="A778" s="140"/>
      <c r="B778" s="140"/>
      <c r="D778" s="172" t="s">
        <v>239</v>
      </c>
      <c r="E778" s="407" t="str">
        <f ca="1">_xlfn.IFNA(VLOOKUP(F776,BEGIN_CURRENT_VISION:END_CURRENT_VISION,CURRENT_COL_ES_count,FALSE),"")</f>
        <v/>
      </c>
      <c r="F778" s="408" t="str">
        <f ca="1">_xlfn.IFNA(VLOOKUP(F776,BEGIN_CURRENT_VISION:END_CURRENT_VISION,CURRENT_COL_ES,FALSE),"")</f>
        <v/>
      </c>
      <c r="G778" s="468" t="str">
        <f t="shared" ca="1" si="114"/>
        <v/>
      </c>
      <c r="H778" s="408" t="str">
        <f ca="1">_xlfn.IFNA(VLOOKUP(F776,BEGIN_CURRENT_VISION:END_CURRENT_VISION,CURRENT_COL_ESContrib,FALSE),"")</f>
        <v/>
      </c>
      <c r="I778" s="409" t="str">
        <f ca="1" t="shared" si="115" ref="I778:I780">IFERROR(F778-H778,"")</f>
        <v/>
      </c>
      <c r="J778" s="410" t="str">
        <f ca="1" t="shared" si="116" ref="J778:J780">IF(F778="","",H778*E778)</f>
        <v/>
      </c>
      <c r="K778" s="411"/>
      <c r="L778" s="408" t="str" cm="1">
        <f t="array" ca="1" aca="1" ref="L778">_xlfn.IFNA(VLOOKUP(INDIRECT("L"&amp;ROW()-2)&amp;"_"&amp;$D$12,BEGIN_Renew_Vision:END_RENEW_VISION,RENEW_COL_ES,FALSE),"")</f>
        <v/>
      </c>
      <c r="M778" s="412" t="str">
        <f ca="1">IF(E778="","",E778)</f>
        <v/>
      </c>
      <c r="N778" s="413"/>
      <c r="O778" s="414"/>
      <c r="P778" s="415" t="str">
        <f>IFERROR(IF($N776="Keep Contribution Same",H778,IF($N776="Enter Percentages",IF(N778="","",N778*L778),IF($N776="Keep Percentage Same",IF(G778="","",G778*L778),IF($N776="Enter Dollar Amount",IF(O778="","",O778),"")))),"")</f>
        <v/>
      </c>
      <c r="Q778" s="408" t="str">
        <f ca="1" t="shared" si="117" ref="Q778:Q780">IFERROR(L778-P778,"")</f>
        <v/>
      </c>
      <c r="R778" s="410" t="str">
        <f>IFERROR(IF(P778="","",M778*P778),"")</f>
        <v/>
      </c>
      <c r="S778" s="411"/>
      <c r="T778" s="408" t="str" cm="1">
        <f t="array" ca="1" aca="1" ref="T778">_xlfn.IFNA(VLOOKUP(INDIRECT("T"&amp;ROW()-2)&amp;"_"&amp;$D$12,BEGIN_Renew_Vision:END_RENEW_VISION,RENEW_COL_ES,FALSE),"")</f>
        <v/>
      </c>
      <c r="U778" s="412" t="str">
        <f ca="1" t="shared" si="118" ref="U778:U780">IF(E778="","",E778)</f>
        <v/>
      </c>
      <c r="V778" s="413"/>
      <c r="W778" s="414"/>
      <c r="X778" s="415" t="str">
        <f>IFERROR(IF($V776="Keep Contribution Same",H778,IF($V776="Enter Percentages",IF(V778="","",V778*T778),IF($V776="Keep Percentage Same",IF(G778="","",G778*T778),IF($V776="Enter Dollar Amount",IF(W778="","",W778),"")))),"")</f>
        <v/>
      </c>
      <c r="Y778" s="408" t="str">
        <f ca="1" t="shared" si="119" ref="Y778:Y780">IFERROR(T778-X778,"")</f>
        <v/>
      </c>
      <c r="Z778" s="410" t="str">
        <f t="shared" si="120" ref="Z778:Z780">IFERROR(IF(X778="","",U778*X778),"")</f>
        <v/>
      </c>
    </row>
    <row r="779" spans="1:26" ht="18.75" customHeight="1">
      <c r="A779" s="140"/>
      <c r="B779" s="140"/>
      <c r="D779" s="172" t="s">
        <v>240</v>
      </c>
      <c r="E779" s="407" t="str">
        <f ca="1">_xlfn.IFNA(VLOOKUP(F776,BEGIN_CURRENT_VISION:END_CURRENT_VISION,CURRENT_COL_EC_count,FALSE),"")</f>
        <v/>
      </c>
      <c r="F779" s="408" t="str">
        <f ca="1">_xlfn.IFNA(VLOOKUP(F776,BEGIN_CURRENT_VISION:END_CURRENT_VISION,CURRENT_COL_EC,FALSE),"")</f>
        <v/>
      </c>
      <c r="G779" s="468" t="str">
        <f t="shared" ca="1" si="114"/>
        <v/>
      </c>
      <c r="H779" s="408" t="str">
        <f ca="1">_xlfn.IFNA(VLOOKUP(F776,BEGIN_CURRENT_VISION:END_CURRENT_VISION,CURRENT_COL_ECContrib,FALSE),"")</f>
        <v/>
      </c>
      <c r="I779" s="409" t="str">
        <f t="shared" ca="1" si="115"/>
        <v/>
      </c>
      <c r="J779" s="410" t="str">
        <f t="shared" ca="1" si="116"/>
        <v/>
      </c>
      <c r="K779" s="411"/>
      <c r="L779" s="408" t="str" cm="1">
        <f t="array" ca="1" aca="1" ref="L779">_xlfn.IFNA(VLOOKUP(INDIRECT("L"&amp;ROW()-3)&amp;"_"&amp;$D$12,BEGIN_Renew_Vision:END_RENEW_VISION,RENEW_COL_EC,FALSE),"")</f>
        <v/>
      </c>
      <c r="M779" s="412" t="str">
        <f ca="1">IF(E779="","",E779)</f>
        <v/>
      </c>
      <c r="N779" s="413"/>
      <c r="O779" s="414"/>
      <c r="P779" s="415" t="str">
        <f>IFERROR(IF($N776="Keep Contribution Same",H779,IF($N776="Enter Percentages",IF(N779="","",N779*L779),IF($N776="Keep Percentage Same",IF(G779="","",G779*L779),IF($N776="Enter Dollar Amount",IF(O779="","",O779),"")))),"")</f>
        <v/>
      </c>
      <c r="Q779" s="408" t="str">
        <f t="shared" ca="1" si="117"/>
        <v/>
      </c>
      <c r="R779" s="410" t="str">
        <f>IFERROR(IF(P779="","",M779*P779),"")</f>
        <v/>
      </c>
      <c r="S779" s="411"/>
      <c r="T779" s="408" t="str" cm="1">
        <f t="array" ca="1" aca="1" ref="T779">_xlfn.IFNA(VLOOKUP(INDIRECT("T"&amp;ROW()-3)&amp;"_"&amp;$D$12,BEGIN_Renew_Vision:END_RENEW_VISION,RENEW_COL_EC,FALSE),"")</f>
        <v/>
      </c>
      <c r="U779" s="412" t="str">
        <f t="shared" ca="1" si="118"/>
        <v/>
      </c>
      <c r="V779" s="413"/>
      <c r="W779" s="414"/>
      <c r="X779" s="415" t="str">
        <f>IFERROR(IF($V776="Keep Contribution Same",H779,IF($V776="Enter Percentages",IF(V779="","",V779*T779),IF($V776="Keep Percentage Same",IF(G779="","",G779*T779),IF($V776="Enter Dollar Amount",IF(W779="","",W779),"")))),"")</f>
        <v/>
      </c>
      <c r="Y779" s="408" t="str">
        <f t="shared" ca="1" si="119"/>
        <v/>
      </c>
      <c r="Z779" s="410" t="str">
        <f t="shared" si="120"/>
        <v/>
      </c>
    </row>
    <row r="780" spans="1:26" ht="18.75" customHeight="1" thickBot="1">
      <c r="A780" s="140"/>
      <c r="B780" s="140"/>
      <c r="D780" s="174" t="s">
        <v>241</v>
      </c>
      <c r="E780" s="416" t="str">
        <f ca="1">_xlfn.IFNA(VLOOKUP(F776,BEGIN_CURRENT_VISION:END_CURRENT_VISION,CURRENT_COL_FAM_count,FALSE),"")</f>
        <v/>
      </c>
      <c r="F780" s="417" t="str">
        <f ca="1">_xlfn.IFNA(VLOOKUP(F776,BEGIN_CURRENT_VISION:END_CURRENT_VISION,CURRENT_COL_FAM,FALSE),"")</f>
        <v/>
      </c>
      <c r="G780" s="469" t="str">
        <f t="shared" ca="1" si="114"/>
        <v/>
      </c>
      <c r="H780" s="417" t="str">
        <f ca="1">_xlfn.IFNA(VLOOKUP(F776,BEGIN_CURRENT_VISION:END_CURRENT_VISION,CURRENT_COL_FAMContrib,FALSE),"")</f>
        <v/>
      </c>
      <c r="I780" s="409" t="str">
        <f t="shared" ca="1" si="115"/>
        <v/>
      </c>
      <c r="J780" s="410" t="str">
        <f t="shared" ca="1" si="116"/>
        <v/>
      </c>
      <c r="K780" s="411"/>
      <c r="L780" s="417" t="str" cm="1">
        <f t="array" ca="1" aca="1" ref="L780">_xlfn.IFNA(VLOOKUP(INDIRECT("L"&amp;ROW()-4)&amp;"_"&amp;$D$12,BEGIN_Renew_Vision:END_RENEW_VISION,RENEW_COL_FAM,FALSE),"")</f>
        <v/>
      </c>
      <c r="M780" s="423" t="str">
        <f ca="1">IF(E780="","",E780)</f>
        <v/>
      </c>
      <c r="N780" s="420"/>
      <c r="O780" s="421"/>
      <c r="P780" s="422" t="str">
        <f>IFERROR(IF($N776="Keep Contribution Same",H780,IF($N776="Enter Percentages",IF(N780="","",N780*L780),IF($N776="Keep Percentage Same",IF(G780="","",G780*L780),IF($N776="Enter Dollar Amount",IF(O780="","",O780),"")))),"")</f>
        <v/>
      </c>
      <c r="Q780" s="417" t="str">
        <f t="shared" ca="1" si="117"/>
        <v/>
      </c>
      <c r="R780" s="419" t="str">
        <f>IFERROR(IF(P780="","",M780*P780),"")</f>
        <v/>
      </c>
      <c r="S780" s="411"/>
      <c r="T780" s="417" t="str" cm="1">
        <f t="array" ca="1" aca="1" ref="T780">_xlfn.IFNA(VLOOKUP(INDIRECT("T"&amp;ROW()-4)&amp;"_"&amp;$D$12,BEGIN_Renew_Vision:END_RENEW_VISION,RENEW_COL_FAM,FALSE),"")</f>
        <v/>
      </c>
      <c r="U780" s="423" t="str">
        <f t="shared" ca="1" si="118"/>
        <v/>
      </c>
      <c r="V780" s="420"/>
      <c r="W780" s="421"/>
      <c r="X780" s="422" t="str">
        <f>IFERROR(IF($V776="Keep Contribution Same",H780,IF($V776="Enter Percentages",IF(V780="","",V780*T780),IF($V776="Keep Percentage Same",IF(G780="","",G780*T780),IF($V776="Enter Dollar Amount",IF(W780="","",W780),"")))),"")</f>
        <v/>
      </c>
      <c r="Y780" s="417" t="str">
        <f t="shared" ca="1" si="119"/>
        <v/>
      </c>
      <c r="Z780" s="419" t="str">
        <f t="shared" si="120"/>
        <v/>
      </c>
    </row>
    <row r="781" spans="1:26" ht="18.75" customHeight="1" thickTop="1">
      <c r="A781" s="140"/>
      <c r="B781" s="140"/>
      <c r="D781" s="175" t="s">
        <v>329</v>
      </c>
      <c r="E781" s="424"/>
      <c r="F781" s="427"/>
      <c r="G781" s="426"/>
      <c r="H781" s="427"/>
      <c r="I781" s="428"/>
      <c r="J781" s="429" t="str">
        <f ca="1">IFERROR(IF(J777="","",SUM(J777:J780)),0)</f>
        <v/>
      </c>
      <c r="K781" s="1"/>
      <c r="L781" s="424"/>
      <c r="M781" s="427"/>
      <c r="N781" s="426"/>
      <c r="O781" s="427"/>
      <c r="P781" s="431"/>
      <c r="Q781" s="432"/>
      <c r="R781" s="429" t="str">
        <f>IFERROR(IF(R777="","",SUM(R777:R780)),0)</f>
        <v/>
      </c>
      <c r="T781" s="424"/>
      <c r="U781" s="427"/>
      <c r="V781" s="426"/>
      <c r="W781" s="427"/>
      <c r="X781" s="431"/>
      <c r="Y781" s="432"/>
      <c r="Z781" s="429" t="str">
        <f>IFERROR(IF(Z777="","",SUM(Z777:Z780)),0)</f>
        <v/>
      </c>
    </row>
    <row r="782" spans="1:26" ht="18.75" customHeight="1">
      <c r="A782" s="140"/>
      <c r="B782" s="140"/>
      <c r="D782" s="177" t="s">
        <v>243</v>
      </c>
      <c r="E782" s="433"/>
      <c r="F782" s="436"/>
      <c r="G782" s="435"/>
      <c r="H782" s="436"/>
      <c r="I782" s="432"/>
      <c r="J782" s="437" t="str">
        <f ca="1">IF(J781="","",J781*12)</f>
        <v/>
      </c>
      <c r="K782" s="1"/>
      <c r="L782" s="433"/>
      <c r="M782" s="436"/>
      <c r="N782" s="435"/>
      <c r="O782" s="436"/>
      <c r="P782" s="432"/>
      <c r="Q782" s="432"/>
      <c r="R782" s="437" t="str">
        <f>IF(R781="","",R781*12)</f>
        <v/>
      </c>
      <c r="T782" s="433"/>
      <c r="U782" s="436"/>
      <c r="V782" s="435"/>
      <c r="W782" s="436"/>
      <c r="X782" s="432"/>
      <c r="Y782" s="432"/>
      <c r="Z782" s="437" t="str">
        <f>IF(Z781="","",Z781*12)</f>
        <v/>
      </c>
    </row>
    <row r="783" spans="1:26" ht="18" customHeight="1">
      <c r="A783" s="140"/>
      <c r="B783" s="140"/>
      <c r="D783" s="177" t="s">
        <v>244</v>
      </c>
      <c r="E783" s="433"/>
      <c r="F783" s="436"/>
      <c r="G783" s="435"/>
      <c r="H783" s="436"/>
      <c r="I783" s="432"/>
      <c r="J783" s="437" t="str">
        <f ca="1">IFERROR(IF(J782="","",R782-J782),0)</f>
        <v/>
      </c>
      <c r="K783" s="1"/>
      <c r="L783" s="433"/>
      <c r="M783" s="436"/>
      <c r="N783" s="435"/>
      <c r="O783" s="436"/>
      <c r="P783" s="432"/>
      <c r="Q783" s="432"/>
      <c r="R783" s="437" t="str">
        <f ca="1">IFERROR(IF(J782="","",R782-J782),0)</f>
        <v/>
      </c>
      <c r="T783" s="433"/>
      <c r="U783" s="436"/>
      <c r="V783" s="435"/>
      <c r="W783" s="436"/>
      <c r="X783" s="432"/>
      <c r="Y783" s="432"/>
      <c r="Z783" s="437" t="str">
        <f>IFERROR(IF(R782="","",Z782-R782),0)</f>
        <v/>
      </c>
    </row>
    <row r="784" spans="1:26" ht="18" customHeight="1" thickBot="1">
      <c r="A784" s="140"/>
      <c r="B784" s="140"/>
      <c r="D784" s="180" t="s">
        <v>245</v>
      </c>
      <c r="E784" s="439"/>
      <c r="F784" s="440"/>
      <c r="G784" s="441"/>
      <c r="H784" s="440"/>
      <c r="I784" s="442"/>
      <c r="J784" s="437" t="str">
        <f ca="1">IFERROR(IF(J782="","",(R782/J782)-1),0)</f>
        <v/>
      </c>
      <c r="K784" s="1"/>
      <c r="L784" s="439"/>
      <c r="M784" s="440"/>
      <c r="N784" s="441"/>
      <c r="O784" s="440"/>
      <c r="P784" s="445"/>
      <c r="Q784" s="445"/>
      <c r="R784" s="446" t="str">
        <f ca="1">IFERROR(IF(J782="","",(R782/J782)-1),0)</f>
        <v/>
      </c>
      <c r="T784" s="439"/>
      <c r="U784" s="440"/>
      <c r="V784" s="441"/>
      <c r="W784" s="440"/>
      <c r="X784" s="445"/>
      <c r="Y784" s="445"/>
      <c r="Z784" s="446" t="str">
        <f>IFERROR(IF(R782="","",(Z782/R782)-1),0)</f>
        <v/>
      </c>
    </row>
    <row r="785" spans="1:26" ht="5.25" customHeight="1" thickBot="1">
      <c r="A785" s="140"/>
      <c r="B785" s="140"/>
      <c r="D785" s="229"/>
      <c r="E785" s="229"/>
      <c r="F785" s="230"/>
      <c r="G785" s="231"/>
      <c r="H785" s="232"/>
      <c r="I785" s="233"/>
      <c r="J785" s="233"/>
      <c r="K785"/>
      <c r="L785" s="233"/>
      <c r="M785" s="233"/>
      <c r="N785" s="233"/>
      <c r="O785" s="233"/>
      <c r="P785" s="233"/>
      <c r="Q785" s="233"/>
      <c r="R785" s="233"/>
      <c r="T785" s="233"/>
      <c r="U785" s="233"/>
      <c r="V785" s="233"/>
      <c r="W785" s="233"/>
      <c r="X785" s="233"/>
      <c r="Y785" s="233"/>
      <c r="Z785" s="233"/>
    </row>
    <row r="786" spans="1:26" ht="50.15" customHeight="1">
      <c r="A786" s="140">
        <v>3</v>
      </c>
      <c r="B786" s="140" t="str">
        <f>IF(A786&gt;Class4_CurrentVisionCount,"DELETE",Class4_CurrentVisionStart+A786)</f>
        <v>DELETE</v>
      </c>
      <c r="C786" s="164" t="s">
        <v>302</v>
      </c>
      <c r="D786" s="273" t="str">
        <f>IF(B786="Delete","",VLOOKUP(F786,BEGIN_CURRENT_VISION:END_CURRENT_VISION,3,FALSE))</f>
        <v/>
      </c>
      <c r="E786" s="165"/>
      <c r="F786" s="272" t="str" cm="1">
        <f t="array" ca="1" aca="1" ref="F786">IF(B786="Delete","",INDIRECT("CurrentPlans!A"&amp;B786,TRUE))</f>
        <v/>
      </c>
      <c r="G786" s="166"/>
      <c r="H786" s="167"/>
      <c r="I786" s="168"/>
      <c r="J786" s="169"/>
      <c r="K786"/>
      <c r="L786" s="274" t="str">
        <f ca="1">_xlfn.IFNA(VLOOKUP(F786,BEGIN_RENEWEDFROM_DENTAL:ROW_RenewDental_PlanID,3,FALSE),"SELECT PLAN")</f>
        <v>SELECT PLAN</v>
      </c>
      <c r="M786" s="170"/>
      <c r="N786" s="274" t="s">
        <v>237</v>
      </c>
      <c r="O786" s="171"/>
      <c r="P786" s="171"/>
      <c r="Q786" s="171"/>
      <c r="R786" s="169"/>
      <c r="T786" s="274" t="s">
        <v>38</v>
      </c>
      <c r="U786" s="170"/>
      <c r="V786" s="274" t="s">
        <v>237</v>
      </c>
      <c r="W786" s="171"/>
      <c r="X786" s="171"/>
      <c r="Y786" s="171"/>
      <c r="Z786" s="169"/>
    </row>
    <row r="787" spans="1:26" ht="18.75" customHeight="1">
      <c r="A787" s="140"/>
      <c r="B787" s="140"/>
      <c r="D787" s="172" t="s">
        <v>238</v>
      </c>
      <c r="E787" s="407" t="str">
        <f ca="1">_xlfn.IFNA(VLOOKUP(F786,BEGIN_CURRENT_VISION:END_CURRENT_VISION,CURRENT_COL_EO_count,FALSE),"")</f>
        <v/>
      </c>
      <c r="F787" s="408" t="str">
        <f ca="1">_xlfn.IFNA(VLOOKUP(F786,BEGIN_CURRENT_VISION:END_CURRENT_VISION,CURRENT_COL_EO,FALSE),"")</f>
        <v/>
      </c>
      <c r="G787" s="468" t="str">
        <f ca="1" t="shared" si="121" ref="G787:G790">IF(F787="","",H787/F787)</f>
        <v/>
      </c>
      <c r="H787" s="408" t="str">
        <f ca="1">_xlfn.IFNA(VLOOKUP(F786,BEGIN_CURRENT_VISION:END_CURRENT_VISION,CURRENT_COL_EOContrib,FALSE),"")</f>
        <v/>
      </c>
      <c r="I787" s="409" t="str">
        <f ca="1">IFERROR(F787-H787,"")</f>
        <v/>
      </c>
      <c r="J787" s="410" t="str">
        <f ca="1">IF(F787="","",H787*E787)</f>
        <v/>
      </c>
      <c r="K787" s="411"/>
      <c r="L787" s="408" t="str" cm="1">
        <f t="array" ca="1" aca="1" ref="L787">_xlfn.IFNA(VLOOKUP(INDIRECT("L"&amp;ROW()-1)&amp;"_"&amp;$D$12,BEGIN_Renew_Vision:END_RENEW_VISION,RENEW_COL_EO,FALSE),"")</f>
        <v/>
      </c>
      <c r="M787" s="412" t="str">
        <f ca="1">IF(E787="","",E787)</f>
        <v/>
      </c>
      <c r="N787" s="413"/>
      <c r="O787" s="414"/>
      <c r="P787" s="415" t="str">
        <f>IFERROR(IF($N786="Keep Contribution Same",H787,IF($N786="Enter Percentages",IF(N787="","",N787*L787),IF($N786="Keep Percentage Same",IF(G787="","",G787*L787),IF($N786="Enter Dollar Amount",IF(O787="","",O787),"")))),"")</f>
        <v/>
      </c>
      <c r="Q787" s="408" t="str">
        <f ca="1">IFERROR(L787-P787,"")</f>
        <v/>
      </c>
      <c r="R787" s="410" t="str">
        <f>IFERROR(IF(P787="","",M787*P787),"")</f>
        <v/>
      </c>
      <c r="S787" s="411"/>
      <c r="T787" s="408" t="str" cm="1">
        <f t="array" ca="1" aca="1" ref="T787">_xlfn.IFNA(VLOOKUP(INDIRECT("T"&amp;ROW()-1)&amp;"_"&amp;$D$12,BEGIN_Renew_Vision:END_RENEW_VISION,RENEW_COL_EO,FALSE),"")</f>
        <v/>
      </c>
      <c r="U787" s="412" t="str">
        <f ca="1">IF(E787="","",E787)</f>
        <v/>
      </c>
      <c r="V787" s="413"/>
      <c r="W787" s="414"/>
      <c r="X787" s="415" t="str">
        <f>IFERROR(IF($V786="Keep Contribution Same",H787,IF($V786="Enter Percentages",IF(V787="","",V787*T787),IF($V786="Keep Percentage Same",IF(G787="","",G787*T787),IF($V786="Enter Dollar Amount",IF(W787="","",W787),"")))),"")</f>
        <v/>
      </c>
      <c r="Y787" s="408" t="str">
        <f ca="1">IFERROR(T787-X787,"")</f>
        <v/>
      </c>
      <c r="Z787" s="410" t="str">
        <f>IFERROR(IF(X787="","",U787*X787),"")</f>
        <v/>
      </c>
    </row>
    <row r="788" spans="1:26" ht="18.75" customHeight="1">
      <c r="A788" s="140"/>
      <c r="B788" s="140"/>
      <c r="D788" s="172" t="s">
        <v>239</v>
      </c>
      <c r="E788" s="407" t="str">
        <f ca="1">_xlfn.IFNA(VLOOKUP(F786,BEGIN_CURRENT_VISION:END_CURRENT_VISION,CURRENT_COL_ES_count,FALSE),"")</f>
        <v/>
      </c>
      <c r="F788" s="408" t="str">
        <f ca="1">_xlfn.IFNA(VLOOKUP(F786,BEGIN_CURRENT_VISION:END_CURRENT_VISION,CURRENT_COL_ES,FALSE),"")</f>
        <v/>
      </c>
      <c r="G788" s="468" t="str">
        <f t="shared" ca="1" si="121"/>
        <v/>
      </c>
      <c r="H788" s="408" t="str">
        <f ca="1">_xlfn.IFNA(VLOOKUP(F786,BEGIN_CURRENT_VISION:END_CURRENT_VISION,CURRENT_COL_ESContrib,FALSE),"")</f>
        <v/>
      </c>
      <c r="I788" s="409" t="str">
        <f ca="1" t="shared" si="122" ref="I788:I790">IFERROR(F788-H788,"")</f>
        <v/>
      </c>
      <c r="J788" s="410" t="str">
        <f ca="1" t="shared" si="123" ref="J788:J790">IF(F788="","",H788*E788)</f>
        <v/>
      </c>
      <c r="K788" s="411"/>
      <c r="L788" s="408" t="str" cm="1">
        <f t="array" ca="1" aca="1" ref="L788">_xlfn.IFNA(VLOOKUP(INDIRECT("L"&amp;ROW()-2)&amp;"_"&amp;$D$12,BEGIN_Renew_Vision:END_RENEW_VISION,RENEW_COL_ES,FALSE),"")</f>
        <v/>
      </c>
      <c r="M788" s="412" t="str">
        <f ca="1">IF(E788="","",E788)</f>
        <v/>
      </c>
      <c r="N788" s="413"/>
      <c r="O788" s="414"/>
      <c r="P788" s="415" t="str">
        <f>IFERROR(IF($N786="Keep Contribution Same",H788,IF($N786="Enter Percentages",IF(N788="","",N788*L788),IF($N786="Keep Percentage Same",IF(G788="","",G788*L788),IF($N786="Enter Dollar Amount",IF(O788="","",O788),"")))),"")</f>
        <v/>
      </c>
      <c r="Q788" s="408" t="str">
        <f ca="1" t="shared" si="124" ref="Q788:Q790">IFERROR(L788-P788,"")</f>
        <v/>
      </c>
      <c r="R788" s="410" t="str">
        <f>IFERROR(IF(P788="","",M788*P788),"")</f>
        <v/>
      </c>
      <c r="S788" s="411"/>
      <c r="T788" s="408" t="str" cm="1">
        <f t="array" ca="1" aca="1" ref="T788">_xlfn.IFNA(VLOOKUP(INDIRECT("T"&amp;ROW()-2)&amp;"_"&amp;$D$12,BEGIN_Renew_Vision:END_RENEW_VISION,RENEW_COL_ES,FALSE),"")</f>
        <v/>
      </c>
      <c r="U788" s="412" t="str">
        <f ca="1" t="shared" si="125" ref="U788:U790">IF(E788="","",E788)</f>
        <v/>
      </c>
      <c r="V788" s="413"/>
      <c r="W788" s="414"/>
      <c r="X788" s="415" t="str">
        <f>IFERROR(IF($V786="Keep Contribution Same",H788,IF($V786="Enter Percentages",IF(V788="","",V788*T788),IF($V786="Keep Percentage Same",IF(G788="","",G788*T788),IF($V786="Enter Dollar Amount",IF(W788="","",W788),"")))),"")</f>
        <v/>
      </c>
      <c r="Y788" s="408" t="str">
        <f ca="1" t="shared" si="126" ref="Y788:Y790">IFERROR(T788-X788,"")</f>
        <v/>
      </c>
      <c r="Z788" s="410" t="str">
        <f t="shared" si="127" ref="Z788:Z790">IFERROR(IF(X788="","",U788*X788),"")</f>
        <v/>
      </c>
    </row>
    <row r="789" spans="1:26" ht="18.75" customHeight="1">
      <c r="A789" s="140"/>
      <c r="B789" s="140"/>
      <c r="D789" s="172" t="s">
        <v>240</v>
      </c>
      <c r="E789" s="407" t="str">
        <f ca="1">_xlfn.IFNA(VLOOKUP(F786,BEGIN_CURRENT_VISION:END_CURRENT_VISION,CURRENT_COL_EC_count,FALSE),"")</f>
        <v/>
      </c>
      <c r="F789" s="408" t="str">
        <f ca="1">_xlfn.IFNA(VLOOKUP(F786,BEGIN_CURRENT_VISION:END_CURRENT_VISION,CURRENT_COL_EC,FALSE),"")</f>
        <v/>
      </c>
      <c r="G789" s="468" t="str">
        <f t="shared" ca="1" si="121"/>
        <v/>
      </c>
      <c r="H789" s="408" t="str">
        <f ca="1">_xlfn.IFNA(VLOOKUP(F786,BEGIN_CURRENT_VISION:END_CURRENT_VISION,CURRENT_COL_ECContrib,FALSE),"")</f>
        <v/>
      </c>
      <c r="I789" s="409" t="str">
        <f t="shared" ca="1" si="122"/>
        <v/>
      </c>
      <c r="J789" s="410" t="str">
        <f t="shared" ca="1" si="123"/>
        <v/>
      </c>
      <c r="K789" s="411"/>
      <c r="L789" s="408" t="str" cm="1">
        <f t="array" ca="1" aca="1" ref="L789">_xlfn.IFNA(VLOOKUP(INDIRECT("L"&amp;ROW()-3)&amp;"_"&amp;$D$12,BEGIN_Renew_Vision:END_RENEW_VISION,RENEW_COL_EC,FALSE),"")</f>
        <v/>
      </c>
      <c r="M789" s="412" t="str">
        <f ca="1">IF(E789="","",E789)</f>
        <v/>
      </c>
      <c r="N789" s="413"/>
      <c r="O789" s="414"/>
      <c r="P789" s="415" t="str">
        <f>IFERROR(IF($N786="Keep Contribution Same",H789,IF($N786="Enter Percentages",IF(N789="","",N789*L789),IF($N786="Keep Percentage Same",IF(G789="","",G789*L789),IF($N786="Enter Dollar Amount",IF(O789="","",O789),"")))),"")</f>
        <v/>
      </c>
      <c r="Q789" s="408" t="str">
        <f t="shared" ca="1" si="124"/>
        <v/>
      </c>
      <c r="R789" s="410" t="str">
        <f>IFERROR(IF(P789="","",M789*P789),"")</f>
        <v/>
      </c>
      <c r="S789" s="411"/>
      <c r="T789" s="408" t="str" cm="1">
        <f t="array" ca="1" aca="1" ref="T789">_xlfn.IFNA(VLOOKUP(INDIRECT("T"&amp;ROW()-3)&amp;"_"&amp;$D$12,BEGIN_Renew_Vision:END_RENEW_VISION,RENEW_COL_EC,FALSE),"")</f>
        <v/>
      </c>
      <c r="U789" s="412" t="str">
        <f t="shared" ca="1" si="125"/>
        <v/>
      </c>
      <c r="V789" s="413"/>
      <c r="W789" s="414"/>
      <c r="X789" s="415" t="str">
        <f>IFERROR(IF($V786="Keep Contribution Same",H789,IF($V786="Enter Percentages",IF(V789="","",V789*T789),IF($V786="Keep Percentage Same",IF(G789="","",G789*T789),IF($V786="Enter Dollar Amount",IF(W789="","",W789),"")))),"")</f>
        <v/>
      </c>
      <c r="Y789" s="408" t="str">
        <f t="shared" ca="1" si="126"/>
        <v/>
      </c>
      <c r="Z789" s="410" t="str">
        <f t="shared" si="127"/>
        <v/>
      </c>
    </row>
    <row r="790" spans="1:26" ht="18.75" customHeight="1" thickBot="1">
      <c r="A790" s="140"/>
      <c r="B790" s="140"/>
      <c r="D790" s="174" t="s">
        <v>241</v>
      </c>
      <c r="E790" s="416" t="str">
        <f ca="1">_xlfn.IFNA(VLOOKUP(F786,BEGIN_CURRENT_VISION:END_CURRENT_VISION,CURRENT_COL_FAM_count,FALSE),"")</f>
        <v/>
      </c>
      <c r="F790" s="417" t="str">
        <f ca="1">_xlfn.IFNA(VLOOKUP(F786,BEGIN_CURRENT_VISION:END_CURRENT_VISION,CURRENT_COL_FAM,FALSE),"")</f>
        <v/>
      </c>
      <c r="G790" s="469" t="str">
        <f t="shared" ca="1" si="121"/>
        <v/>
      </c>
      <c r="H790" s="417" t="str">
        <f ca="1">_xlfn.IFNA(VLOOKUP(F786,BEGIN_CURRENT_VISION:END_CURRENT_VISION,CURRENT_COL_FAMContrib,FALSE),"")</f>
        <v/>
      </c>
      <c r="I790" s="409" t="str">
        <f t="shared" ca="1" si="122"/>
        <v/>
      </c>
      <c r="J790" s="410" t="str">
        <f t="shared" ca="1" si="123"/>
        <v/>
      </c>
      <c r="K790" s="411"/>
      <c r="L790" s="417" t="str" cm="1">
        <f t="array" ca="1" aca="1" ref="L790">_xlfn.IFNA(VLOOKUP(INDIRECT("L"&amp;ROW()-4)&amp;"_"&amp;$D$12,BEGIN_Renew_Vision:END_RENEW_VISION,RENEW_COL_FAM,FALSE),"")</f>
        <v/>
      </c>
      <c r="M790" s="423" t="str">
        <f ca="1">IF(E790="","",E790)</f>
        <v/>
      </c>
      <c r="N790" s="420"/>
      <c r="O790" s="421"/>
      <c r="P790" s="422" t="str">
        <f>IFERROR(IF($N786="Keep Contribution Same",H790,IF($N786="Enter Percentages",IF(N790="","",N790*L790),IF($N786="Keep Percentage Same",IF(G790="","",G790*L790),IF($N786="Enter Dollar Amount",IF(O790="","",O790),"")))),"")</f>
        <v/>
      </c>
      <c r="Q790" s="417" t="str">
        <f t="shared" ca="1" si="124"/>
        <v/>
      </c>
      <c r="R790" s="419" t="str">
        <f>IFERROR(IF(P790="","",M790*P790),"")</f>
        <v/>
      </c>
      <c r="S790" s="411"/>
      <c r="T790" s="417" t="str" cm="1">
        <f t="array" ca="1" aca="1" ref="T790">_xlfn.IFNA(VLOOKUP(INDIRECT("T"&amp;ROW()-4)&amp;"_"&amp;$D$12,BEGIN_Renew_Vision:END_RENEW_VISION,RENEW_COL_FAM,FALSE),"")</f>
        <v/>
      </c>
      <c r="U790" s="423" t="str">
        <f t="shared" ca="1" si="125"/>
        <v/>
      </c>
      <c r="V790" s="420"/>
      <c r="W790" s="421"/>
      <c r="X790" s="422" t="str">
        <f>IFERROR(IF($V786="Keep Contribution Same",H790,IF($V786="Enter Percentages",IF(V790="","",V790*T790),IF($V786="Keep Percentage Same",IF(G790="","",G790*T790),IF($V786="Enter Dollar Amount",IF(W790="","",W790),"")))),"")</f>
        <v/>
      </c>
      <c r="Y790" s="417" t="str">
        <f t="shared" ca="1" si="126"/>
        <v/>
      </c>
      <c r="Z790" s="419" t="str">
        <f t="shared" si="127"/>
        <v/>
      </c>
    </row>
    <row r="791" spans="1:26" ht="18.75" customHeight="1" thickTop="1">
      <c r="A791" s="140"/>
      <c r="B791" s="140"/>
      <c r="D791" s="175" t="s">
        <v>329</v>
      </c>
      <c r="E791" s="424"/>
      <c r="F791" s="427"/>
      <c r="G791" s="426"/>
      <c r="H791" s="427"/>
      <c r="I791" s="428"/>
      <c r="J791" s="429" t="str">
        <f ca="1">IFERROR(IF(J787="","",SUM(J787:J790)),0)</f>
        <v/>
      </c>
      <c r="K791" s="1"/>
      <c r="L791" s="424"/>
      <c r="M791" s="427"/>
      <c r="N791" s="426"/>
      <c r="O791" s="427"/>
      <c r="P791" s="431"/>
      <c r="Q791" s="432"/>
      <c r="R791" s="429" t="str">
        <f>IFERROR(IF(R787="","",SUM(R787:R790)),0)</f>
        <v/>
      </c>
      <c r="T791" s="424"/>
      <c r="U791" s="427"/>
      <c r="V791" s="426"/>
      <c r="W791" s="427"/>
      <c r="X791" s="431"/>
      <c r="Y791" s="432"/>
      <c r="Z791" s="429" t="str">
        <f>IFERROR(IF(Z787="","",SUM(Z787:Z790)),0)</f>
        <v/>
      </c>
    </row>
    <row r="792" spans="1:26" ht="18.75" customHeight="1">
      <c r="A792" s="140"/>
      <c r="B792" s="140"/>
      <c r="D792" s="177" t="s">
        <v>243</v>
      </c>
      <c r="E792" s="433"/>
      <c r="F792" s="436"/>
      <c r="G792" s="435"/>
      <c r="H792" s="436"/>
      <c r="I792" s="432"/>
      <c r="J792" s="437" t="str">
        <f ca="1">IF(J791="","",J791*12)</f>
        <v/>
      </c>
      <c r="K792" s="1"/>
      <c r="L792" s="433"/>
      <c r="M792" s="436"/>
      <c r="N792" s="435"/>
      <c r="O792" s="436"/>
      <c r="P792" s="432"/>
      <c r="Q792" s="432"/>
      <c r="R792" s="437" t="str">
        <f>IF(R791="","",R791*12)</f>
        <v/>
      </c>
      <c r="T792" s="433"/>
      <c r="U792" s="436"/>
      <c r="V792" s="435"/>
      <c r="W792" s="436"/>
      <c r="X792" s="432"/>
      <c r="Y792" s="432"/>
      <c r="Z792" s="437" t="str">
        <f>IF(Z791="","",Z791*12)</f>
        <v/>
      </c>
    </row>
    <row r="793" spans="1:26" ht="18" customHeight="1">
      <c r="A793" s="140"/>
      <c r="B793" s="140"/>
      <c r="D793" s="177" t="s">
        <v>244</v>
      </c>
      <c r="E793" s="433"/>
      <c r="F793" s="436"/>
      <c r="G793" s="435"/>
      <c r="H793" s="436"/>
      <c r="I793" s="432"/>
      <c r="J793" s="437" t="str">
        <f ca="1">IFERROR(IF(J792="","",R792-J792),0)</f>
        <v/>
      </c>
      <c r="K793" s="1"/>
      <c r="L793" s="433"/>
      <c r="M793" s="436"/>
      <c r="N793" s="435"/>
      <c r="O793" s="436"/>
      <c r="P793" s="432"/>
      <c r="Q793" s="432"/>
      <c r="R793" s="437" t="str">
        <f ca="1">IFERROR(IF(J792="","",R792-J792),0)</f>
        <v/>
      </c>
      <c r="T793" s="433"/>
      <c r="U793" s="436"/>
      <c r="V793" s="435"/>
      <c r="W793" s="436"/>
      <c r="X793" s="432"/>
      <c r="Y793" s="432"/>
      <c r="Z793" s="437" t="str">
        <f>IFERROR(IF(R792="","",Z792-R792),0)</f>
        <v/>
      </c>
    </row>
    <row r="794" spans="1:26" ht="18" customHeight="1" thickBot="1">
      <c r="A794" s="140"/>
      <c r="B794" s="140"/>
      <c r="D794" s="180" t="s">
        <v>245</v>
      </c>
      <c r="E794" s="439"/>
      <c r="F794" s="440"/>
      <c r="G794" s="441"/>
      <c r="H794" s="440"/>
      <c r="I794" s="442"/>
      <c r="J794" s="437" t="str">
        <f ca="1">IFERROR(IF(J792="","",(R792/J792)-1),0)</f>
        <v/>
      </c>
      <c r="K794" s="1"/>
      <c r="L794" s="439"/>
      <c r="M794" s="440"/>
      <c r="N794" s="441"/>
      <c r="O794" s="440"/>
      <c r="P794" s="445"/>
      <c r="Q794" s="445"/>
      <c r="R794" s="446" t="str">
        <f ca="1">IFERROR(IF(J792="","",(R792/J792)-1),0)</f>
        <v/>
      </c>
      <c r="T794" s="439"/>
      <c r="U794" s="440"/>
      <c r="V794" s="441"/>
      <c r="W794" s="440"/>
      <c r="X794" s="445"/>
      <c r="Y794" s="445"/>
      <c r="Z794" s="446" t="str">
        <f>IFERROR(IF(R792="","",(Z792/R792)-1),0)</f>
        <v/>
      </c>
    </row>
    <row r="795" spans="1:26" ht="5.25" customHeight="1" thickBot="1">
      <c r="A795" s="140"/>
      <c r="B795" s="140"/>
      <c r="D795" s="229"/>
      <c r="E795" s="229"/>
      <c r="F795" s="230"/>
      <c r="G795" s="231"/>
      <c r="H795" s="232"/>
      <c r="I795" s="233"/>
      <c r="J795" s="233"/>
      <c r="K795"/>
      <c r="L795" s="233"/>
      <c r="M795" s="233"/>
      <c r="N795" s="233"/>
      <c r="O795" s="233"/>
      <c r="P795" s="233"/>
      <c r="Q795" s="233"/>
      <c r="R795" s="233"/>
      <c r="T795" s="233"/>
      <c r="U795" s="233"/>
      <c r="V795" s="233"/>
      <c r="W795" s="233"/>
      <c r="X795" s="233"/>
      <c r="Y795" s="233"/>
      <c r="Z795" s="233"/>
    </row>
    <row r="796" spans="1:26" ht="50.15" customHeight="1">
      <c r="A796" s="140">
        <v>4</v>
      </c>
      <c r="B796" s="140" t="str">
        <f>IF(A796&gt;Class4_CurrentVisionCount,"DELETE",Class4_CurrentVisionStart+A796)</f>
        <v>DELETE</v>
      </c>
      <c r="C796" s="164" t="s">
        <v>303</v>
      </c>
      <c r="D796" s="273" t="str">
        <f>IF(B796="Delete","",VLOOKUP(F796,BEGIN_CURRENT_VISION:END_CURRENT_VISION,3,FALSE))</f>
        <v/>
      </c>
      <c r="E796" s="165"/>
      <c r="F796" s="272" t="str" cm="1">
        <f t="array" ca="1" aca="1" ref="F796">IF(B796="Delete","",INDIRECT("CurrentPlans!A"&amp;B796,TRUE))</f>
        <v/>
      </c>
      <c r="G796" s="166"/>
      <c r="H796" s="167"/>
      <c r="I796" s="168"/>
      <c r="J796" s="169"/>
      <c r="K796"/>
      <c r="L796" s="274" t="str">
        <f ca="1">_xlfn.IFNA(VLOOKUP(F796,BEGIN_RENEWEDFROM_DENTAL:ROW_RenewDental_PlanID,3,FALSE),"SELECT PLAN")</f>
        <v>SELECT PLAN</v>
      </c>
      <c r="M796" s="170"/>
      <c r="N796" s="274" t="s">
        <v>237</v>
      </c>
      <c r="O796" s="171"/>
      <c r="P796" s="171"/>
      <c r="Q796" s="171"/>
      <c r="R796" s="169"/>
      <c r="T796" s="274" t="s">
        <v>38</v>
      </c>
      <c r="U796" s="170"/>
      <c r="V796" s="274" t="s">
        <v>237</v>
      </c>
      <c r="W796" s="171"/>
      <c r="X796" s="171"/>
      <c r="Y796" s="171"/>
      <c r="Z796" s="169"/>
    </row>
    <row r="797" spans="1:26" ht="18.75" customHeight="1">
      <c r="A797" s="140"/>
      <c r="B797" s="140"/>
      <c r="D797" s="172" t="s">
        <v>238</v>
      </c>
      <c r="E797" s="407" t="str">
        <f ca="1">_xlfn.IFNA(VLOOKUP(F796,BEGIN_CURRENT_VISION:END_CURRENT_VISION,CURRENT_COL_EO_count,FALSE),"")</f>
        <v/>
      </c>
      <c r="F797" s="408" t="str">
        <f ca="1">_xlfn.IFNA(VLOOKUP(F796,BEGIN_CURRENT_VISION:END_CURRENT_VISION,CURRENT_COL_EO,FALSE),"")</f>
        <v/>
      </c>
      <c r="G797" s="468" t="str">
        <f ca="1" t="shared" si="128" ref="G797:G800">IF(F797="","",H797/F797)</f>
        <v/>
      </c>
      <c r="H797" s="408" t="str">
        <f ca="1">_xlfn.IFNA(VLOOKUP(F796,BEGIN_CURRENT_VISION:END_CURRENT_VISION,CURRENT_COL_EOContrib,FALSE),"")</f>
        <v/>
      </c>
      <c r="I797" s="409" t="str">
        <f ca="1">IFERROR(F797-H797,"")</f>
        <v/>
      </c>
      <c r="J797" s="410" t="str">
        <f ca="1">IF(F797="","",H797*E797)</f>
        <v/>
      </c>
      <c r="K797" s="411"/>
      <c r="L797" s="408" t="str" cm="1">
        <f t="array" ca="1" aca="1" ref="L797">_xlfn.IFNA(VLOOKUP(INDIRECT("L"&amp;ROW()-1)&amp;"_"&amp;$D$12,BEGIN_Renew_Vision:END_RENEW_VISION,RENEW_COL_EO,FALSE),"")</f>
        <v/>
      </c>
      <c r="M797" s="412" t="str">
        <f ca="1">IF(E797="","",E797)</f>
        <v/>
      </c>
      <c r="N797" s="413"/>
      <c r="O797" s="414"/>
      <c r="P797" s="415" t="str">
        <f>IFERROR(IF($N796="Keep Contribution Same",H797,IF($N796="Enter Percentages",IF(N797="","",N797*L797),IF($N796="Keep Percentage Same",IF(G797="","",G797*L797),IF($N796="Enter Dollar Amount",IF(O797="","",O797),"")))),"")</f>
        <v/>
      </c>
      <c r="Q797" s="408" t="str">
        <f ca="1">IFERROR(L797-P797,"")</f>
        <v/>
      </c>
      <c r="R797" s="410" t="str">
        <f>IFERROR(IF(P797="","",M797*P797),"")</f>
        <v/>
      </c>
      <c r="S797" s="411"/>
      <c r="T797" s="408" t="str" cm="1">
        <f t="array" ca="1" aca="1" ref="T797">_xlfn.IFNA(VLOOKUP(INDIRECT("T"&amp;ROW()-1)&amp;"_"&amp;$D$12,BEGIN_Renew_Vision:END_RENEW_VISION,RENEW_COL_EO,FALSE),"")</f>
        <v/>
      </c>
      <c r="U797" s="412" t="str">
        <f ca="1">IF(E797="","",E797)</f>
        <v/>
      </c>
      <c r="V797" s="413"/>
      <c r="W797" s="414"/>
      <c r="X797" s="415" t="str">
        <f>IFERROR(IF($V796="Keep Contribution Same",H797,IF($V796="Enter Percentages",IF(V797="","",V797*T797),IF($V796="Keep Percentage Same",IF(G797="","",G797*T797),IF($V796="Enter Dollar Amount",IF(W797="","",W797),"")))),"")</f>
        <v/>
      </c>
      <c r="Y797" s="408" t="str">
        <f ca="1">IFERROR(T797-X797,"")</f>
        <v/>
      </c>
      <c r="Z797" s="410" t="str">
        <f>IFERROR(IF(X797="","",U797*X797),"")</f>
        <v/>
      </c>
    </row>
    <row r="798" spans="1:26" ht="18.75" customHeight="1">
      <c r="A798" s="140"/>
      <c r="B798" s="140"/>
      <c r="D798" s="172" t="s">
        <v>239</v>
      </c>
      <c r="E798" s="407" t="str">
        <f ca="1">_xlfn.IFNA(VLOOKUP(F796,BEGIN_CURRENT_VISION:END_CURRENT_VISION,CURRENT_COL_ES_count,FALSE),"")</f>
        <v/>
      </c>
      <c r="F798" s="408" t="str">
        <f ca="1">_xlfn.IFNA(VLOOKUP(F796,BEGIN_CURRENT_VISION:END_CURRENT_VISION,CURRENT_COL_ES,FALSE),"")</f>
        <v/>
      </c>
      <c r="G798" s="468" t="str">
        <f t="shared" ca="1" si="128"/>
        <v/>
      </c>
      <c r="H798" s="408" t="str">
        <f ca="1">_xlfn.IFNA(VLOOKUP(F796,BEGIN_CURRENT_VISION:END_CURRENT_VISION,CURRENT_COL_ESContrib,FALSE),"")</f>
        <v/>
      </c>
      <c r="I798" s="409" t="str">
        <f ca="1" t="shared" si="129" ref="I798:I800">IFERROR(F798-H798,"")</f>
        <v/>
      </c>
      <c r="J798" s="410" t="str">
        <f ca="1" t="shared" si="130" ref="J798:J800">IF(F798="","",H798*E798)</f>
        <v/>
      </c>
      <c r="K798" s="411"/>
      <c r="L798" s="408" t="str" cm="1">
        <f t="array" ca="1" aca="1" ref="L798">_xlfn.IFNA(VLOOKUP(INDIRECT("L"&amp;ROW()-2)&amp;"_"&amp;$D$12,BEGIN_Renew_Vision:END_RENEW_VISION,RENEW_COL_ES,FALSE),"")</f>
        <v/>
      </c>
      <c r="M798" s="412" t="str">
        <f ca="1">IF(E798="","",E798)</f>
        <v/>
      </c>
      <c r="N798" s="413"/>
      <c r="O798" s="414"/>
      <c r="P798" s="415" t="str">
        <f>IFERROR(IF($N796="Keep Contribution Same",H798,IF($N796="Enter Percentages",IF(N798="","",N798*L798),IF($N796="Keep Percentage Same",IF(G798="","",G798*L798),IF($N796="Enter Dollar Amount",IF(O798="","",O798),"")))),"")</f>
        <v/>
      </c>
      <c r="Q798" s="408" t="str">
        <f ca="1" t="shared" si="131" ref="Q798:Q800">IFERROR(L798-P798,"")</f>
        <v/>
      </c>
      <c r="R798" s="410" t="str">
        <f>IFERROR(IF(P798="","",M798*P798),"")</f>
        <v/>
      </c>
      <c r="S798" s="411"/>
      <c r="T798" s="408" t="str" cm="1">
        <f t="array" ca="1" aca="1" ref="T798">_xlfn.IFNA(VLOOKUP(INDIRECT("T"&amp;ROW()-2)&amp;"_"&amp;$D$12,BEGIN_Renew_Vision:END_RENEW_VISION,RENEW_COL_ES,FALSE),"")</f>
        <v/>
      </c>
      <c r="U798" s="412" t="str">
        <f ca="1" t="shared" si="132" ref="U798:U800">IF(E798="","",E798)</f>
        <v/>
      </c>
      <c r="V798" s="413"/>
      <c r="W798" s="414"/>
      <c r="X798" s="415" t="str">
        <f>IFERROR(IF($V796="Keep Contribution Same",H798,IF($V796="Enter Percentages",IF(V798="","",V798*T798),IF($V796="Keep Percentage Same",IF(G798="","",G798*T798),IF($V796="Enter Dollar Amount",IF(W798="","",W798),"")))),"")</f>
        <v/>
      </c>
      <c r="Y798" s="408" t="str">
        <f ca="1" t="shared" si="133" ref="Y798:Y800">IFERROR(T798-X798,"")</f>
        <v/>
      </c>
      <c r="Z798" s="410" t="str">
        <f t="shared" si="134" ref="Z798:Z800">IFERROR(IF(X798="","",U798*X798),"")</f>
        <v/>
      </c>
    </row>
    <row r="799" spans="1:26" ht="18.75" customHeight="1">
      <c r="A799" s="140"/>
      <c r="B799" s="140"/>
      <c r="D799" s="172" t="s">
        <v>240</v>
      </c>
      <c r="E799" s="407" t="str">
        <f ca="1">_xlfn.IFNA(VLOOKUP(F796,BEGIN_CURRENT_VISION:END_CURRENT_VISION,CURRENT_COL_EC_count,FALSE),"")</f>
        <v/>
      </c>
      <c r="F799" s="408" t="str">
        <f ca="1">_xlfn.IFNA(VLOOKUP(F796,BEGIN_CURRENT_VISION:END_CURRENT_VISION,CURRENT_COL_EC,FALSE),"")</f>
        <v/>
      </c>
      <c r="G799" s="468" t="str">
        <f t="shared" ca="1" si="128"/>
        <v/>
      </c>
      <c r="H799" s="408" t="str">
        <f ca="1">_xlfn.IFNA(VLOOKUP(F796,BEGIN_CURRENT_VISION:END_CURRENT_VISION,CURRENT_COL_ECContrib,FALSE),"")</f>
        <v/>
      </c>
      <c r="I799" s="409" t="str">
        <f t="shared" ca="1" si="129"/>
        <v/>
      </c>
      <c r="J799" s="410" t="str">
        <f t="shared" ca="1" si="130"/>
        <v/>
      </c>
      <c r="K799" s="411"/>
      <c r="L799" s="408" t="str" cm="1">
        <f t="array" ca="1" aca="1" ref="L799">_xlfn.IFNA(VLOOKUP(INDIRECT("L"&amp;ROW()-3)&amp;"_"&amp;$D$12,BEGIN_Renew_Vision:END_RENEW_VISION,RENEW_COL_EC,FALSE),"")</f>
        <v/>
      </c>
      <c r="M799" s="412" t="str">
        <f ca="1">IF(E799="","",E799)</f>
        <v/>
      </c>
      <c r="N799" s="413"/>
      <c r="O799" s="414"/>
      <c r="P799" s="415" t="str">
        <f>IFERROR(IF($N796="Keep Contribution Same",H799,IF($N796="Enter Percentages",IF(N799="","",N799*L799),IF($N796="Keep Percentage Same",IF(G799="","",G799*L799),IF($N796="Enter Dollar Amount",IF(O799="","",O799),"")))),"")</f>
        <v/>
      </c>
      <c r="Q799" s="408" t="str">
        <f t="shared" ca="1" si="131"/>
        <v/>
      </c>
      <c r="R799" s="410" t="str">
        <f>IFERROR(IF(P799="","",M799*P799),"")</f>
        <v/>
      </c>
      <c r="S799" s="411"/>
      <c r="T799" s="408" t="str" cm="1">
        <f t="array" ca="1" aca="1" ref="T799">_xlfn.IFNA(VLOOKUP(INDIRECT("T"&amp;ROW()-3)&amp;"_"&amp;$D$12,BEGIN_Renew_Vision:END_RENEW_VISION,RENEW_COL_EC,FALSE),"")</f>
        <v/>
      </c>
      <c r="U799" s="412" t="str">
        <f t="shared" ca="1" si="132"/>
        <v/>
      </c>
      <c r="V799" s="413"/>
      <c r="W799" s="414"/>
      <c r="X799" s="415" t="str">
        <f>IFERROR(IF($V796="Keep Contribution Same",H799,IF($V796="Enter Percentages",IF(V799="","",V799*T799),IF($V796="Keep Percentage Same",IF(G799="","",G799*T799),IF($V796="Enter Dollar Amount",IF(W799="","",W799),"")))),"")</f>
        <v/>
      </c>
      <c r="Y799" s="408" t="str">
        <f t="shared" ca="1" si="133"/>
        <v/>
      </c>
      <c r="Z799" s="410" t="str">
        <f t="shared" si="134"/>
        <v/>
      </c>
    </row>
    <row r="800" spans="1:26" ht="18.75" customHeight="1" thickBot="1">
      <c r="A800" s="140"/>
      <c r="B800" s="140"/>
      <c r="D800" s="174" t="s">
        <v>241</v>
      </c>
      <c r="E800" s="416" t="str">
        <f ca="1">_xlfn.IFNA(VLOOKUP(F796,BEGIN_CURRENT_VISION:END_CURRENT_VISION,CURRENT_COL_FAM_count,FALSE),"")</f>
        <v/>
      </c>
      <c r="F800" s="417" t="str">
        <f ca="1">_xlfn.IFNA(VLOOKUP(F796,BEGIN_CURRENT_VISION:END_CURRENT_VISION,CURRENT_COL_FAM,FALSE),"")</f>
        <v/>
      </c>
      <c r="G800" s="469" t="str">
        <f t="shared" ca="1" si="128"/>
        <v/>
      </c>
      <c r="H800" s="417" t="str">
        <f ca="1">_xlfn.IFNA(VLOOKUP(F796,BEGIN_CURRENT_VISION:END_CURRENT_VISION,CURRENT_COL_FAMContrib,FALSE),"")</f>
        <v/>
      </c>
      <c r="I800" s="409" t="str">
        <f t="shared" ca="1" si="129"/>
        <v/>
      </c>
      <c r="J800" s="410" t="str">
        <f t="shared" ca="1" si="130"/>
        <v/>
      </c>
      <c r="K800" s="411"/>
      <c r="L800" s="417" t="str" cm="1">
        <f t="array" ca="1" aca="1" ref="L800">_xlfn.IFNA(VLOOKUP(INDIRECT("L"&amp;ROW()-4)&amp;"_"&amp;$D$12,BEGIN_Renew_Vision:END_RENEW_VISION,RENEW_COL_FAM,FALSE),"")</f>
        <v/>
      </c>
      <c r="M800" s="423" t="str">
        <f ca="1">IF(E800="","",E800)</f>
        <v/>
      </c>
      <c r="N800" s="420"/>
      <c r="O800" s="421"/>
      <c r="P800" s="422" t="str">
        <f>IFERROR(IF($N796="Keep Contribution Same",H800,IF($N796="Enter Percentages",IF(N800="","",N800*L800),IF($N796="Keep Percentage Same",IF(G800="","",G800*L800),IF($N796="Enter Dollar Amount",IF(O800="","",O800),"")))),"")</f>
        <v/>
      </c>
      <c r="Q800" s="417" t="str">
        <f t="shared" ca="1" si="131"/>
        <v/>
      </c>
      <c r="R800" s="419" t="str">
        <f>IFERROR(IF(P800="","",M800*P800),"")</f>
        <v/>
      </c>
      <c r="S800" s="411"/>
      <c r="T800" s="417" t="str" cm="1">
        <f t="array" ca="1" aca="1" ref="T800">_xlfn.IFNA(VLOOKUP(INDIRECT("T"&amp;ROW()-4)&amp;"_"&amp;$D$12,BEGIN_Renew_Vision:END_RENEW_VISION,RENEW_COL_FAM,FALSE),"")</f>
        <v/>
      </c>
      <c r="U800" s="423" t="str">
        <f t="shared" ca="1" si="132"/>
        <v/>
      </c>
      <c r="V800" s="420"/>
      <c r="W800" s="421"/>
      <c r="X800" s="422" t="str">
        <f>IFERROR(IF($V796="Keep Contribution Same",H800,IF($V796="Enter Percentages",IF(V800="","",V800*T800),IF($V796="Keep Percentage Same",IF(G800="","",G800*T800),IF($V796="Enter Dollar Amount",IF(W800="","",W800),"")))),"")</f>
        <v/>
      </c>
      <c r="Y800" s="417" t="str">
        <f t="shared" ca="1" si="133"/>
        <v/>
      </c>
      <c r="Z800" s="419" t="str">
        <f t="shared" si="134"/>
        <v/>
      </c>
    </row>
    <row r="801" spans="1:26" ht="18.75" customHeight="1" thickTop="1">
      <c r="A801" s="140"/>
      <c r="B801" s="140"/>
      <c r="D801" s="175" t="s">
        <v>329</v>
      </c>
      <c r="E801" s="424"/>
      <c r="F801" s="427"/>
      <c r="G801" s="426"/>
      <c r="H801" s="427"/>
      <c r="I801" s="428"/>
      <c r="J801" s="429" t="str">
        <f ca="1">IFERROR(IF(J797="","",SUM(J797:J800)),0)</f>
        <v/>
      </c>
      <c r="K801" s="1"/>
      <c r="L801" s="424"/>
      <c r="M801" s="427"/>
      <c r="N801" s="426"/>
      <c r="O801" s="427"/>
      <c r="P801" s="431"/>
      <c r="Q801" s="432"/>
      <c r="R801" s="429" t="str">
        <f>IFERROR(IF(R797="","",SUM(R797:R800)),0)</f>
        <v/>
      </c>
      <c r="T801" s="424"/>
      <c r="U801" s="427"/>
      <c r="V801" s="426"/>
      <c r="W801" s="427"/>
      <c r="X801" s="431"/>
      <c r="Y801" s="432"/>
      <c r="Z801" s="429" t="str">
        <f>IFERROR(IF(Z797="","",SUM(Z797:Z800)),0)</f>
        <v/>
      </c>
    </row>
    <row r="802" spans="1:26" ht="18.75" customHeight="1">
      <c r="A802" s="140"/>
      <c r="B802" s="140"/>
      <c r="D802" s="177" t="s">
        <v>243</v>
      </c>
      <c r="E802" s="433"/>
      <c r="F802" s="436"/>
      <c r="G802" s="435"/>
      <c r="H802" s="436"/>
      <c r="I802" s="432"/>
      <c r="J802" s="437" t="str">
        <f ca="1">IF(J801="","",J801*12)</f>
        <v/>
      </c>
      <c r="K802" s="1"/>
      <c r="L802" s="433"/>
      <c r="M802" s="436"/>
      <c r="N802" s="435"/>
      <c r="O802" s="436"/>
      <c r="P802" s="432"/>
      <c r="Q802" s="432"/>
      <c r="R802" s="437" t="str">
        <f>IF(R801="","",R801*12)</f>
        <v/>
      </c>
      <c r="T802" s="433"/>
      <c r="U802" s="436"/>
      <c r="V802" s="435"/>
      <c r="W802" s="436"/>
      <c r="X802" s="432"/>
      <c r="Y802" s="432"/>
      <c r="Z802" s="437" t="str">
        <f>IF(Z801="","",Z801*12)</f>
        <v/>
      </c>
    </row>
    <row r="803" spans="1:26" ht="18" customHeight="1">
      <c r="A803" s="140"/>
      <c r="B803" s="140"/>
      <c r="D803" s="177" t="s">
        <v>244</v>
      </c>
      <c r="E803" s="433"/>
      <c r="F803" s="436"/>
      <c r="G803" s="435"/>
      <c r="H803" s="436"/>
      <c r="I803" s="432"/>
      <c r="J803" s="437" t="str">
        <f ca="1">IFERROR(IF(J802="","",R802-J802),0)</f>
        <v/>
      </c>
      <c r="K803" s="1"/>
      <c r="L803" s="433"/>
      <c r="M803" s="436"/>
      <c r="N803" s="435"/>
      <c r="O803" s="436"/>
      <c r="P803" s="432"/>
      <c r="Q803" s="432"/>
      <c r="R803" s="437" t="str">
        <f ca="1">IFERROR(IF(J802="","",R802-J802),0)</f>
        <v/>
      </c>
      <c r="T803" s="433"/>
      <c r="U803" s="436"/>
      <c r="V803" s="435"/>
      <c r="W803" s="436"/>
      <c r="X803" s="432"/>
      <c r="Y803" s="432"/>
      <c r="Z803" s="437" t="str">
        <f>IFERROR(IF(R802="","",Z802-R802),0)</f>
        <v/>
      </c>
    </row>
    <row r="804" spans="1:26" ht="18" customHeight="1" thickBot="1">
      <c r="A804" s="140"/>
      <c r="B804" s="140"/>
      <c r="D804" s="180" t="s">
        <v>245</v>
      </c>
      <c r="E804" s="439"/>
      <c r="F804" s="440"/>
      <c r="G804" s="441"/>
      <c r="H804" s="440"/>
      <c r="I804" s="442"/>
      <c r="J804" s="437" t="str">
        <f ca="1">IFERROR(IF(J802="","",(R802/J802)-1),0)</f>
        <v/>
      </c>
      <c r="K804" s="1"/>
      <c r="L804" s="439"/>
      <c r="M804" s="440"/>
      <c r="N804" s="441"/>
      <c r="O804" s="440"/>
      <c r="P804" s="445"/>
      <c r="Q804" s="445"/>
      <c r="R804" s="446" t="str">
        <f ca="1">IFERROR(IF(J802="","",(R802/J802)-1),0)</f>
        <v/>
      </c>
      <c r="T804" s="439"/>
      <c r="U804" s="440"/>
      <c r="V804" s="441"/>
      <c r="W804" s="440"/>
      <c r="X804" s="445"/>
      <c r="Y804" s="445"/>
      <c r="Z804" s="446" t="str">
        <f>IFERROR(IF(R802="","",(Z802/R802)-1),0)</f>
        <v/>
      </c>
    </row>
    <row r="805" spans="1:26" ht="5.25" customHeight="1" thickBot="1">
      <c r="A805" s="140"/>
      <c r="B805" s="140"/>
      <c r="D805" s="229"/>
      <c r="E805" s="229"/>
      <c r="F805" s="230"/>
      <c r="G805" s="231"/>
      <c r="H805" s="232"/>
      <c r="I805" s="233"/>
      <c r="J805" s="233"/>
      <c r="K805"/>
      <c r="L805" s="233"/>
      <c r="M805" s="233"/>
      <c r="N805" s="233"/>
      <c r="O805" s="233"/>
      <c r="P805" s="233"/>
      <c r="Q805" s="233"/>
      <c r="R805" s="233"/>
      <c r="T805" s="233"/>
      <c r="U805" s="233"/>
      <c r="V805" s="233"/>
      <c r="W805" s="233"/>
      <c r="X805" s="233"/>
      <c r="Y805" s="233"/>
      <c r="Z805" s="233"/>
    </row>
    <row r="806" spans="1:26" ht="50.15" customHeight="1">
      <c r="A806" s="140">
        <v>5</v>
      </c>
      <c r="B806" s="140" t="str">
        <f>IF(A806&gt;Class4_CurrentVisionCount,"DELETE",Class4_CurrentVisionStart+A806)</f>
        <v>DELETE</v>
      </c>
      <c r="C806" s="164" t="s">
        <v>304</v>
      </c>
      <c r="D806" s="273" t="str">
        <f>IF(B806="Delete","",VLOOKUP(F806,BEGIN_CURRENT_VISION:END_CURRENT_VISION,3,FALSE))</f>
        <v/>
      </c>
      <c r="E806" s="165"/>
      <c r="F806" s="272" t="str" cm="1">
        <f t="array" ca="1" aca="1" ref="F806">IF(B806="Delete","",INDIRECT("CurrentPlans!A"&amp;B806,TRUE))</f>
        <v/>
      </c>
      <c r="G806" s="166"/>
      <c r="H806" s="167"/>
      <c r="I806" s="168"/>
      <c r="J806" s="169"/>
      <c r="K806"/>
      <c r="L806" s="274" t="str">
        <f ca="1">_xlfn.IFNA(VLOOKUP(F806,BEGIN_RENEWEDFROM_DENTAL:ROW_RenewDental_PlanID,3,FALSE),"SELECT PLAN")</f>
        <v>SELECT PLAN</v>
      </c>
      <c r="M806" s="170"/>
      <c r="N806" s="274" t="s">
        <v>237</v>
      </c>
      <c r="O806" s="171"/>
      <c r="P806" s="171"/>
      <c r="Q806" s="171"/>
      <c r="R806" s="169"/>
      <c r="T806" s="274" t="s">
        <v>38</v>
      </c>
      <c r="U806" s="170"/>
      <c r="V806" s="274" t="s">
        <v>237</v>
      </c>
      <c r="W806" s="171"/>
      <c r="X806" s="171"/>
      <c r="Y806" s="171"/>
      <c r="Z806" s="169"/>
    </row>
    <row r="807" spans="1:26" ht="18.75" customHeight="1">
      <c r="A807" s="140"/>
      <c r="B807" s="140"/>
      <c r="D807" s="172" t="s">
        <v>238</v>
      </c>
      <c r="E807" s="407" t="str">
        <f ca="1">_xlfn.IFNA(VLOOKUP(F806,BEGIN_CURRENT_VISION:END_CURRENT_VISION,CURRENT_COL_EO_count,FALSE),"")</f>
        <v/>
      </c>
      <c r="F807" s="408" t="str">
        <f ca="1">_xlfn.IFNA(VLOOKUP(F806,BEGIN_CURRENT_VISION:END_CURRENT_VISION,CURRENT_COL_EO,FALSE),"")</f>
        <v/>
      </c>
      <c r="G807" s="468" t="str">
        <f ca="1" t="shared" si="135" ref="G807:G810">IF(F807="","",H807/F807)</f>
        <v/>
      </c>
      <c r="H807" s="408" t="str">
        <f ca="1">_xlfn.IFNA(VLOOKUP(F806,BEGIN_CURRENT_VISION:END_CURRENT_VISION,CURRENT_COL_EOContrib,FALSE),"")</f>
        <v/>
      </c>
      <c r="I807" s="409" t="str">
        <f ca="1">IFERROR(F807-H807,"")</f>
        <v/>
      </c>
      <c r="J807" s="410" t="str">
        <f ca="1">IF(F807="","",H807*E807)</f>
        <v/>
      </c>
      <c r="K807" s="411"/>
      <c r="L807" s="408" t="str" cm="1">
        <f t="array" ca="1" aca="1" ref="L807">_xlfn.IFNA(VLOOKUP(INDIRECT("L"&amp;ROW()-1)&amp;"_"&amp;$D$12,BEGIN_Renew_Vision:END_RENEW_VISION,RENEW_COL_EO,FALSE),"")</f>
        <v/>
      </c>
      <c r="M807" s="412" t="str">
        <f ca="1">IF(E807="","",E807)</f>
        <v/>
      </c>
      <c r="N807" s="413"/>
      <c r="O807" s="414"/>
      <c r="P807" s="415" t="str">
        <f>IFERROR(IF($N806="Keep Contribution Same",H807,IF($N806="Enter Percentages",IF(N807="","",N807*L807),IF($N806="Keep Percentage Same",IF(G807="","",G807*L807),IF($N806="Enter Dollar Amount",IF(O807="","",O807),"")))),"")</f>
        <v/>
      </c>
      <c r="Q807" s="408" t="str">
        <f ca="1">IFERROR(L807-P807,"")</f>
        <v/>
      </c>
      <c r="R807" s="410" t="str">
        <f>IFERROR(IF(P807="","",M807*P807),"")</f>
        <v/>
      </c>
      <c r="S807" s="411"/>
      <c r="T807" s="408" t="str" cm="1">
        <f t="array" ca="1" aca="1" ref="T807">_xlfn.IFNA(VLOOKUP(INDIRECT("T"&amp;ROW()-1)&amp;"_"&amp;$D$12,BEGIN_Renew_Vision:END_RENEW_VISION,RENEW_COL_EO,FALSE),"")</f>
        <v/>
      </c>
      <c r="U807" s="412" t="str">
        <f ca="1">IF(E807="","",E807)</f>
        <v/>
      </c>
      <c r="V807" s="413"/>
      <c r="W807" s="414"/>
      <c r="X807" s="415" t="str">
        <f>IFERROR(IF($V806="Keep Contribution Same",H807,IF($V806="Enter Percentages",IF(V807="","",V807*T807),IF($V806="Keep Percentage Same",IF(G807="","",G807*T807),IF($V806="Enter Dollar Amount",IF(W807="","",W807),"")))),"")</f>
        <v/>
      </c>
      <c r="Y807" s="408" t="str">
        <f ca="1">IFERROR(T807-X807,"")</f>
        <v/>
      </c>
      <c r="Z807" s="410" t="str">
        <f>IFERROR(IF(X807="","",U807*X807),"")</f>
        <v/>
      </c>
    </row>
    <row r="808" spans="1:26" ht="18.75" customHeight="1">
      <c r="A808" s="140"/>
      <c r="B808" s="140"/>
      <c r="D808" s="172" t="s">
        <v>239</v>
      </c>
      <c r="E808" s="407" t="str">
        <f ca="1">_xlfn.IFNA(VLOOKUP(F806,BEGIN_CURRENT_VISION:END_CURRENT_VISION,CURRENT_COL_ES_count,FALSE),"")</f>
        <v/>
      </c>
      <c r="F808" s="408" t="str">
        <f ca="1">_xlfn.IFNA(VLOOKUP(F806,BEGIN_CURRENT_VISION:END_CURRENT_VISION,CURRENT_COL_ES,FALSE),"")</f>
        <v/>
      </c>
      <c r="G808" s="468" t="str">
        <f t="shared" ca="1" si="135"/>
        <v/>
      </c>
      <c r="H808" s="408" t="str">
        <f ca="1">_xlfn.IFNA(VLOOKUP(F806,BEGIN_CURRENT_VISION:END_CURRENT_VISION,CURRENT_COL_ESContrib,FALSE),"")</f>
        <v/>
      </c>
      <c r="I808" s="409" t="str">
        <f ca="1" t="shared" si="136" ref="I808:I810">IFERROR(F808-H808,"")</f>
        <v/>
      </c>
      <c r="J808" s="410" t="str">
        <f ca="1" t="shared" si="137" ref="J808:J810">IF(F808="","",H808*E808)</f>
        <v/>
      </c>
      <c r="K808" s="411"/>
      <c r="L808" s="408" t="str" cm="1">
        <f t="array" ca="1" aca="1" ref="L808">_xlfn.IFNA(VLOOKUP(INDIRECT("L"&amp;ROW()-2)&amp;"_"&amp;$D$12,BEGIN_Renew_Vision:END_RENEW_VISION,RENEW_COL_ES,FALSE),"")</f>
        <v/>
      </c>
      <c r="M808" s="412" t="str">
        <f ca="1">IF(E808="","",E808)</f>
        <v/>
      </c>
      <c r="N808" s="413"/>
      <c r="O808" s="414"/>
      <c r="P808" s="415" t="str">
        <f>IFERROR(IF($N806="Keep Contribution Same",H808,IF($N806="Enter Percentages",IF(N808="","",N808*L808),IF($N806="Keep Percentage Same",IF(G808="","",G808*L808),IF($N806="Enter Dollar Amount",IF(O808="","",O808),"")))),"")</f>
        <v/>
      </c>
      <c r="Q808" s="408" t="str">
        <f ca="1" t="shared" si="138" ref="Q808:Q810">IFERROR(L808-P808,"")</f>
        <v/>
      </c>
      <c r="R808" s="410" t="str">
        <f>IFERROR(IF(P808="","",M808*P808),"")</f>
        <v/>
      </c>
      <c r="S808" s="411"/>
      <c r="T808" s="408" t="str" cm="1">
        <f t="array" ca="1" aca="1" ref="T808">_xlfn.IFNA(VLOOKUP(INDIRECT("T"&amp;ROW()-2)&amp;"_"&amp;$D$12,BEGIN_Renew_Vision:END_RENEW_VISION,RENEW_COL_ES,FALSE),"")</f>
        <v/>
      </c>
      <c r="U808" s="412" t="str">
        <f ca="1" t="shared" si="139" ref="U808:U810">IF(E808="","",E808)</f>
        <v/>
      </c>
      <c r="V808" s="413"/>
      <c r="W808" s="414"/>
      <c r="X808" s="415" t="str">
        <f>IFERROR(IF($V806="Keep Contribution Same",H808,IF($V806="Enter Percentages",IF(V808="","",V808*T808),IF($V806="Keep Percentage Same",IF(G808="","",G808*T808),IF($V806="Enter Dollar Amount",IF(W808="","",W808),"")))),"")</f>
        <v/>
      </c>
      <c r="Y808" s="408" t="str">
        <f ca="1" t="shared" si="140" ref="Y808:Y810">IFERROR(T808-X808,"")</f>
        <v/>
      </c>
      <c r="Z808" s="410" t="str">
        <f t="shared" si="141" ref="Z808:Z810">IFERROR(IF(X808="","",U808*X808),"")</f>
        <v/>
      </c>
    </row>
    <row r="809" spans="1:26" ht="18.75" customHeight="1">
      <c r="A809" s="140"/>
      <c r="B809" s="140"/>
      <c r="D809" s="172" t="s">
        <v>240</v>
      </c>
      <c r="E809" s="407" t="str">
        <f ca="1">_xlfn.IFNA(VLOOKUP(F806,BEGIN_CURRENT_VISION:END_CURRENT_VISION,CURRENT_COL_EC_count,FALSE),"")</f>
        <v/>
      </c>
      <c r="F809" s="408" t="str">
        <f ca="1">_xlfn.IFNA(VLOOKUP(F806,BEGIN_CURRENT_VISION:END_CURRENT_VISION,CURRENT_COL_EC,FALSE),"")</f>
        <v/>
      </c>
      <c r="G809" s="468" t="str">
        <f t="shared" ca="1" si="135"/>
        <v/>
      </c>
      <c r="H809" s="408" t="str">
        <f ca="1">_xlfn.IFNA(VLOOKUP(F806,BEGIN_CURRENT_VISION:END_CURRENT_VISION,CURRENT_COL_ECContrib,FALSE),"")</f>
        <v/>
      </c>
      <c r="I809" s="409" t="str">
        <f t="shared" ca="1" si="136"/>
        <v/>
      </c>
      <c r="J809" s="410" t="str">
        <f t="shared" ca="1" si="137"/>
        <v/>
      </c>
      <c r="K809" s="411"/>
      <c r="L809" s="408" t="str" cm="1">
        <f t="array" ca="1" aca="1" ref="L809">_xlfn.IFNA(VLOOKUP(INDIRECT("L"&amp;ROW()-3)&amp;"_"&amp;$D$12,BEGIN_Renew_Vision:END_RENEW_VISION,RENEW_COL_EC,FALSE),"")</f>
        <v/>
      </c>
      <c r="M809" s="412" t="str">
        <f ca="1">IF(E809="","",E809)</f>
        <v/>
      </c>
      <c r="N809" s="413"/>
      <c r="O809" s="414"/>
      <c r="P809" s="415" t="str">
        <f>IFERROR(IF($N806="Keep Contribution Same",H809,IF($N806="Enter Percentages",IF(N809="","",N809*L809),IF($N806="Keep Percentage Same",IF(G809="","",G809*L809),IF($N806="Enter Dollar Amount",IF(O809="","",O809),"")))),"")</f>
        <v/>
      </c>
      <c r="Q809" s="408" t="str">
        <f t="shared" ca="1" si="138"/>
        <v/>
      </c>
      <c r="R809" s="410" t="str">
        <f>IFERROR(IF(P809="","",M809*P809),"")</f>
        <v/>
      </c>
      <c r="S809" s="411"/>
      <c r="T809" s="408" t="str" cm="1">
        <f t="array" ca="1" aca="1" ref="T809">_xlfn.IFNA(VLOOKUP(INDIRECT("T"&amp;ROW()-3)&amp;"_"&amp;$D$12,BEGIN_Renew_Vision:END_RENEW_VISION,RENEW_COL_EC,FALSE),"")</f>
        <v/>
      </c>
      <c r="U809" s="412" t="str">
        <f t="shared" ca="1" si="139"/>
        <v/>
      </c>
      <c r="V809" s="413"/>
      <c r="W809" s="414"/>
      <c r="X809" s="415" t="str">
        <f>IFERROR(IF($V806="Keep Contribution Same",H809,IF($V806="Enter Percentages",IF(V809="","",V809*T809),IF($V806="Keep Percentage Same",IF(G809="","",G809*T809),IF($V806="Enter Dollar Amount",IF(W809="","",W809),"")))),"")</f>
        <v/>
      </c>
      <c r="Y809" s="408" t="str">
        <f t="shared" ca="1" si="140"/>
        <v/>
      </c>
      <c r="Z809" s="410" t="str">
        <f t="shared" si="141"/>
        <v/>
      </c>
    </row>
    <row r="810" spans="1:26" ht="18.75" customHeight="1" thickBot="1">
      <c r="A810" s="140"/>
      <c r="B810" s="140"/>
      <c r="D810" s="174" t="s">
        <v>241</v>
      </c>
      <c r="E810" s="416" t="str">
        <f ca="1">_xlfn.IFNA(VLOOKUP(F806,BEGIN_CURRENT_VISION:END_CURRENT_VISION,CURRENT_COL_FAM_count,FALSE),"")</f>
        <v/>
      </c>
      <c r="F810" s="417" t="str">
        <f ca="1">_xlfn.IFNA(VLOOKUP(F806,BEGIN_CURRENT_VISION:END_CURRENT_VISION,CURRENT_COL_FAM,FALSE),"")</f>
        <v/>
      </c>
      <c r="G810" s="469" t="str">
        <f t="shared" ca="1" si="135"/>
        <v/>
      </c>
      <c r="H810" s="417" t="str">
        <f ca="1">_xlfn.IFNA(VLOOKUP(F806,BEGIN_CURRENT_VISION:END_CURRENT_VISION,CURRENT_COL_FAMContrib,FALSE),"")</f>
        <v/>
      </c>
      <c r="I810" s="409" t="str">
        <f t="shared" ca="1" si="136"/>
        <v/>
      </c>
      <c r="J810" s="410" t="str">
        <f t="shared" ca="1" si="137"/>
        <v/>
      </c>
      <c r="K810" s="411"/>
      <c r="L810" s="417" t="str" cm="1">
        <f t="array" ca="1" aca="1" ref="L810">_xlfn.IFNA(VLOOKUP(INDIRECT("L"&amp;ROW()-4)&amp;"_"&amp;$D$12,BEGIN_Renew_Vision:END_RENEW_VISION,RENEW_COL_FAM,FALSE),"")</f>
        <v/>
      </c>
      <c r="M810" s="423" t="str">
        <f ca="1">IF(E810="","",E810)</f>
        <v/>
      </c>
      <c r="N810" s="420"/>
      <c r="O810" s="421"/>
      <c r="P810" s="422" t="str">
        <f>IFERROR(IF($N806="Keep Contribution Same",H810,IF($N806="Enter Percentages",IF(N810="","",N810*L810),IF($N806="Keep Percentage Same",IF(G810="","",G810*L810),IF($N806="Enter Dollar Amount",IF(O810="","",O810),"")))),"")</f>
        <v/>
      </c>
      <c r="Q810" s="417" t="str">
        <f t="shared" ca="1" si="138"/>
        <v/>
      </c>
      <c r="R810" s="419" t="str">
        <f>IFERROR(IF(P810="","",M810*P810),"")</f>
        <v/>
      </c>
      <c r="S810" s="411"/>
      <c r="T810" s="417" t="str" cm="1">
        <f t="array" ca="1" aca="1" ref="T810">_xlfn.IFNA(VLOOKUP(INDIRECT("T"&amp;ROW()-4)&amp;"_"&amp;$D$12,BEGIN_Renew_Vision:END_RENEW_VISION,RENEW_COL_FAM,FALSE),"")</f>
        <v/>
      </c>
      <c r="U810" s="423" t="str">
        <f t="shared" ca="1" si="139"/>
        <v/>
      </c>
      <c r="V810" s="420"/>
      <c r="W810" s="421"/>
      <c r="X810" s="422" t="str">
        <f>IFERROR(IF($V806="Keep Contribution Same",H810,IF($V806="Enter Percentages",IF(V810="","",V810*T810),IF($V806="Keep Percentage Same",IF(G810="","",G810*T810),IF($V806="Enter Dollar Amount",IF(W810="","",W810),"")))),"")</f>
        <v/>
      </c>
      <c r="Y810" s="417" t="str">
        <f t="shared" ca="1" si="140"/>
        <v/>
      </c>
      <c r="Z810" s="419" t="str">
        <f t="shared" si="141"/>
        <v/>
      </c>
    </row>
    <row r="811" spans="1:26" ht="18.75" customHeight="1" thickTop="1">
      <c r="A811" s="140"/>
      <c r="B811" s="140"/>
      <c r="D811" s="175" t="s">
        <v>329</v>
      </c>
      <c r="E811" s="424"/>
      <c r="F811" s="427"/>
      <c r="G811" s="426"/>
      <c r="H811" s="427"/>
      <c r="I811" s="428"/>
      <c r="J811" s="429" t="str">
        <f ca="1">IFERROR(IF(J807="","",SUM(J807:J810)),0)</f>
        <v/>
      </c>
      <c r="K811" s="1"/>
      <c r="L811" s="424"/>
      <c r="M811" s="427"/>
      <c r="N811" s="426"/>
      <c r="O811" s="427"/>
      <c r="P811" s="431"/>
      <c r="Q811" s="432"/>
      <c r="R811" s="429" t="str">
        <f>IFERROR(IF(R807="","",SUM(R807:R810)),0)</f>
        <v/>
      </c>
      <c r="T811" s="424"/>
      <c r="U811" s="427"/>
      <c r="V811" s="426"/>
      <c r="W811" s="427"/>
      <c r="X811" s="431"/>
      <c r="Y811" s="432"/>
      <c r="Z811" s="429" t="str">
        <f>IFERROR(IF(Z807="","",SUM(Z807:Z810)),0)</f>
        <v/>
      </c>
    </row>
    <row r="812" spans="1:26" ht="18" customHeight="1">
      <c r="A812" s="140"/>
      <c r="B812" s="140"/>
      <c r="D812" s="177" t="s">
        <v>243</v>
      </c>
      <c r="E812" s="433"/>
      <c r="F812" s="436"/>
      <c r="G812" s="435"/>
      <c r="H812" s="436"/>
      <c r="I812" s="432"/>
      <c r="J812" s="437" t="str">
        <f ca="1">IF(J811="","",J811*12)</f>
        <v/>
      </c>
      <c r="K812" s="1"/>
      <c r="L812" s="433"/>
      <c r="M812" s="436"/>
      <c r="N812" s="435"/>
      <c r="O812" s="436"/>
      <c r="P812" s="432"/>
      <c r="Q812" s="432"/>
      <c r="R812" s="437" t="str">
        <f>IF(R811="","",R811*12)</f>
        <v/>
      </c>
      <c r="T812" s="433"/>
      <c r="U812" s="436"/>
      <c r="V812" s="435"/>
      <c r="W812" s="436"/>
      <c r="X812" s="432"/>
      <c r="Y812" s="432"/>
      <c r="Z812" s="437" t="str">
        <f>IF(Z811="","",Z811*12)</f>
        <v/>
      </c>
    </row>
    <row r="813" spans="1:26" ht="18" customHeight="1">
      <c r="A813" s="140"/>
      <c r="B813" s="140"/>
      <c r="D813" s="177" t="s">
        <v>244</v>
      </c>
      <c r="E813" s="433"/>
      <c r="F813" s="436"/>
      <c r="G813" s="435"/>
      <c r="H813" s="436"/>
      <c r="I813" s="432"/>
      <c r="J813" s="437" t="str">
        <f ca="1">IFERROR(IF(J812="","",R812-J812),0)</f>
        <v/>
      </c>
      <c r="K813" s="1"/>
      <c r="L813" s="433"/>
      <c r="M813" s="436"/>
      <c r="N813" s="435"/>
      <c r="O813" s="436"/>
      <c r="P813" s="432"/>
      <c r="Q813" s="432"/>
      <c r="R813" s="437" t="str">
        <f ca="1">IFERROR(IF(J812="","",R812-J812),0)</f>
        <v/>
      </c>
      <c r="T813" s="433"/>
      <c r="U813" s="436"/>
      <c r="V813" s="435"/>
      <c r="W813" s="436"/>
      <c r="X813" s="432"/>
      <c r="Y813" s="432"/>
      <c r="Z813" s="437" t="str">
        <f>IFERROR(IF(R812="","",Z812-R812),0)</f>
        <v/>
      </c>
    </row>
    <row r="814" spans="1:26" ht="18" customHeight="1" thickBot="1">
      <c r="A814" s="140"/>
      <c r="B814" s="140"/>
      <c r="D814" s="180" t="s">
        <v>245</v>
      </c>
      <c r="E814" s="439"/>
      <c r="F814" s="440"/>
      <c r="G814" s="441"/>
      <c r="H814" s="440"/>
      <c r="I814" s="442"/>
      <c r="J814" s="437" t="str">
        <f ca="1">IFERROR(IF(J812="","",(R812/J812)-1),0)</f>
        <v/>
      </c>
      <c r="K814" s="1"/>
      <c r="L814" s="439"/>
      <c r="M814" s="440"/>
      <c r="N814" s="441"/>
      <c r="O814" s="440"/>
      <c r="P814" s="445"/>
      <c r="Q814" s="445"/>
      <c r="R814" s="446" t="str">
        <f ca="1">IFERROR(IF(J812="","",(R812/J812)-1),0)</f>
        <v/>
      </c>
      <c r="T814" s="439"/>
      <c r="U814" s="440"/>
      <c r="V814" s="441"/>
      <c r="W814" s="440"/>
      <c r="X814" s="445"/>
      <c r="Y814" s="445"/>
      <c r="Z814" s="446" t="str">
        <f>IFERROR(IF(R812="","",(Z812/R812)-1),0)</f>
        <v/>
      </c>
    </row>
    <row r="815" spans="1:26" ht="5.25" customHeight="1" thickBot="1">
      <c r="A815" s="140"/>
      <c r="B815" s="140"/>
      <c r="D815" s="229"/>
      <c r="E815" s="229"/>
      <c r="F815" s="230"/>
      <c r="G815" s="231"/>
      <c r="H815" s="232"/>
      <c r="I815" s="233"/>
      <c r="J815" s="233"/>
      <c r="K815"/>
      <c r="L815" s="233"/>
      <c r="M815" s="233"/>
      <c r="N815" s="233"/>
      <c r="O815" s="233"/>
      <c r="P815" s="233"/>
      <c r="Q815" s="233"/>
      <c r="R815" s="233"/>
      <c r="T815" s="233"/>
      <c r="U815" s="233"/>
      <c r="V815" s="233"/>
      <c r="W815" s="233"/>
      <c r="X815" s="233"/>
      <c r="Y815" s="233"/>
      <c r="Z815" s="233"/>
    </row>
    <row r="816" spans="1:26" ht="50.15" customHeight="1">
      <c r="A816" s="140"/>
      <c r="B816" s="140"/>
      <c r="C816" s="164" t="s">
        <v>305</v>
      </c>
      <c r="D816" s="275" t="s">
        <v>285</v>
      </c>
      <c r="E816" s="165"/>
      <c r="F816" s="272"/>
      <c r="G816" s="166"/>
      <c r="H816" s="167"/>
      <c r="I816" s="168"/>
      <c r="J816" s="169"/>
      <c r="K816"/>
      <c r="L816" s="274" t="s">
        <v>38</v>
      </c>
      <c r="M816" s="170"/>
      <c r="N816" s="274" t="s">
        <v>237</v>
      </c>
      <c r="O816" s="171"/>
      <c r="P816" s="171"/>
      <c r="Q816" s="171"/>
      <c r="R816" s="169"/>
      <c r="T816" s="274" t="s">
        <v>38</v>
      </c>
      <c r="U816" s="170"/>
      <c r="V816" s="274" t="s">
        <v>237</v>
      </c>
      <c r="W816" s="171"/>
      <c r="X816" s="171"/>
      <c r="Y816" s="171"/>
      <c r="Z816" s="169"/>
    </row>
    <row r="817" spans="1:26" ht="18.75" customHeight="1">
      <c r="A817" s="140"/>
      <c r="B817" s="140"/>
      <c r="D817" s="172" t="s">
        <v>238</v>
      </c>
      <c r="E817" s="407"/>
      <c r="F817" s="449"/>
      <c r="G817" s="470" t="str">
        <f t="shared" si="142" ref="G817:G820">IF(F817="","",H817/F817)</f>
        <v/>
      </c>
      <c r="H817" s="449" t="str">
        <f>_xlfn.IFNA(VLOOKUP(F816,BEGIN_CURRENT_VISION:END_CURRENT_VISION,CURRENT_COL_EOContrib,FALSE),"")</f>
        <v/>
      </c>
      <c r="I817" s="409" t="str">
        <f>IFERROR(F817-H817,"")</f>
        <v/>
      </c>
      <c r="J817" s="410" t="str">
        <f>IF(F817="","",H817*E817)</f>
        <v/>
      </c>
      <c r="K817" s="411"/>
      <c r="L817" s="408" t="str" cm="1">
        <f t="array" ca="1" aca="1" ref="L817">_xlfn.IFNA(VLOOKUP(INDIRECT("L"&amp;ROW()-1)&amp;"_"&amp;$D$12,BEGIN_Renew_Vision:END_RENEW_VISION,RENEW_COL_EO,FALSE),"")</f>
        <v/>
      </c>
      <c r="M817" s="412" t="str">
        <f>IF(E817="","",E817)</f>
        <v/>
      </c>
      <c r="N817" s="413"/>
      <c r="O817" s="414"/>
      <c r="P817" s="415" t="str">
        <f>IFERROR(IF($N816="Keep Contribution Same",H817,IF($N816="Enter Percentages",IF(N817="","",N817*L817),IF($N816="Keep Percentage Same",IF(G817="","",G817*L817),IF($N816="Enter Dollar Amount",IF(O817="","",O817),"")))),"")</f>
        <v/>
      </c>
      <c r="Q817" s="408" t="str">
        <f ca="1">IFERROR(L817-P817,"")</f>
        <v/>
      </c>
      <c r="R817" s="410" t="str">
        <f>IFERROR(IF(P817="","",M817*P817),"")</f>
        <v/>
      </c>
      <c r="S817" s="411"/>
      <c r="T817" s="408" t="str" cm="1">
        <f t="array" ca="1" aca="1" ref="T817">_xlfn.IFNA(VLOOKUP(INDIRECT("T"&amp;ROW()-1)&amp;"_"&amp;$D$12,BEGIN_Renew_Vision:END_RENEW_VISION,RENEW_COL_EO,FALSE),"")</f>
        <v/>
      </c>
      <c r="U817" s="412" t="str">
        <f>IF(E817="","",E817)</f>
        <v/>
      </c>
      <c r="V817" s="413"/>
      <c r="W817" s="414"/>
      <c r="X817" s="415" t="str">
        <f>IFERROR(IF($V816="Keep Contribution Same",H817,IF($V816="Enter Percentages",IF(V817="","",V817*T817),IF($V816="Keep Percentage Same",IF(G817="","",G817*T817),IF($V816="Enter Dollar Amount",IF(W817="","",W817),"")))),"")</f>
        <v/>
      </c>
      <c r="Y817" s="408" t="str">
        <f ca="1">IFERROR(T817-X817,"")</f>
        <v/>
      </c>
      <c r="Z817" s="410" t="str">
        <f>IFERROR(IF(X817="","",U817*X817),"")</f>
        <v/>
      </c>
    </row>
    <row r="818" spans="1:26" ht="18.75" customHeight="1">
      <c r="A818" s="140"/>
      <c r="B818" s="140"/>
      <c r="D818" s="172" t="s">
        <v>239</v>
      </c>
      <c r="E818" s="407"/>
      <c r="F818" s="449" t="str">
        <f>_xlfn.IFNA(VLOOKUP(F816,BEGIN_CURRENT_VISION:END_CURRENT_VISION,CURRENT_COL_ES,FALSE),"")</f>
        <v/>
      </c>
      <c r="G818" s="470" t="str">
        <f t="shared" si="142"/>
        <v/>
      </c>
      <c r="H818" s="449" t="str">
        <f>_xlfn.IFNA(VLOOKUP(F816,BEGIN_CURRENT_VISION:END_CURRENT_VISION,CURRENT_COL_ESContrib,FALSE),"")</f>
        <v/>
      </c>
      <c r="I818" s="409" t="str">
        <f t="shared" si="143" ref="I818:I820">IFERROR(F818-H818,"")</f>
        <v/>
      </c>
      <c r="J818" s="410" t="str">
        <f t="shared" si="144" ref="J818:J820">IF(F818="","",H818*E818)</f>
        <v/>
      </c>
      <c r="K818" s="411"/>
      <c r="L818" s="408" t="str" cm="1">
        <f t="array" ca="1" aca="1" ref="L818">_xlfn.IFNA(VLOOKUP(INDIRECT("L"&amp;ROW()-2)&amp;"_"&amp;$D$12,BEGIN_Renew_Vision:END_RENEW_VISION,RENEW_COL_ES,FALSE),"")</f>
        <v/>
      </c>
      <c r="M818" s="412" t="str">
        <f>IF(E818="","",E818)</f>
        <v/>
      </c>
      <c r="N818" s="413"/>
      <c r="O818" s="414"/>
      <c r="P818" s="415" t="str">
        <f>IFERROR(IF($N816="Keep Contribution Same",H818,IF($N816="Enter Percentages",IF(N818="","",N818*L818),IF($N816="Keep Percentage Same",IF(G818="","",G818*L818),IF($N816="Enter Dollar Amount",IF(O818="","",O818),"")))),"")</f>
        <v/>
      </c>
      <c r="Q818" s="408" t="str">
        <f ca="1" t="shared" si="145" ref="Q818:Q820">IFERROR(L818-P818,"")</f>
        <v/>
      </c>
      <c r="R818" s="410" t="str">
        <f>IFERROR(IF(P818="","",M818*P818),"")</f>
        <v/>
      </c>
      <c r="S818" s="411"/>
      <c r="T818" s="408" t="str" cm="1">
        <f t="array" ca="1" aca="1" ref="T818">_xlfn.IFNA(VLOOKUP(INDIRECT("T"&amp;ROW()-2)&amp;"_"&amp;$D$12,BEGIN_Renew_Vision:END_RENEW_VISION,RENEW_COL_ES,FALSE),"")</f>
        <v/>
      </c>
      <c r="U818" s="412" t="str">
        <f t="shared" si="146" ref="U818:U820">IF(E818="","",E818)</f>
        <v/>
      </c>
      <c r="V818" s="413"/>
      <c r="W818" s="414"/>
      <c r="X818" s="415" t="str">
        <f>IFERROR(IF($V816="Keep Contribution Same",H818,IF($V816="Enter Percentages",IF(V818="","",V818*T818),IF($V816="Keep Percentage Same",IF(G818="","",G818*T818),IF($V816="Enter Dollar Amount",IF(W818="","",W818),"")))),"")</f>
        <v/>
      </c>
      <c r="Y818" s="408" t="str">
        <f ca="1" t="shared" si="147" ref="Y818:Y820">IFERROR(T818-X818,"")</f>
        <v/>
      </c>
      <c r="Z818" s="410" t="str">
        <f t="shared" si="148" ref="Z818:Z820">IFERROR(IF(X818="","",U818*X818),"")</f>
        <v/>
      </c>
    </row>
    <row r="819" spans="1:26" ht="18.75" customHeight="1">
      <c r="A819" s="140"/>
      <c r="B819" s="140"/>
      <c r="D819" s="172" t="s">
        <v>240</v>
      </c>
      <c r="E819" s="407"/>
      <c r="F819" s="449" t="str">
        <f>_xlfn.IFNA(VLOOKUP(F816,BEGIN_CURRENT_VISION:END_CURRENT_VISION,CURRENT_COL_EC,FALSE),"")</f>
        <v/>
      </c>
      <c r="G819" s="470" t="str">
        <f t="shared" si="142"/>
        <v/>
      </c>
      <c r="H819" s="449" t="str">
        <f>_xlfn.IFNA(VLOOKUP(F816,BEGIN_CURRENT_VISION:END_CURRENT_VISION,CURRENT_COL_ECContrib,FALSE),"")</f>
        <v/>
      </c>
      <c r="I819" s="409" t="str">
        <f t="shared" si="143"/>
        <v/>
      </c>
      <c r="J819" s="410" t="str">
        <f t="shared" si="144"/>
        <v/>
      </c>
      <c r="K819" s="411"/>
      <c r="L819" s="408" t="str" cm="1">
        <f t="array" ca="1" aca="1" ref="L819">_xlfn.IFNA(VLOOKUP(INDIRECT("L"&amp;ROW()-3)&amp;"_"&amp;$D$12,BEGIN_Renew_Vision:END_RENEW_VISION,RENEW_COL_EC,FALSE),"")</f>
        <v/>
      </c>
      <c r="M819" s="412" t="str">
        <f>IF(E819="","",E819)</f>
        <v/>
      </c>
      <c r="N819" s="413"/>
      <c r="O819" s="414"/>
      <c r="P819" s="415" t="str">
        <f>IFERROR(IF($N816="Keep Contribution Same",H819,IF($N816="Enter Percentages",IF(N819="","",N819*L819),IF($N816="Keep Percentage Same",IF(G819="","",G819*L819),IF($N816="Enter Dollar Amount",IF(O819="","",O819),"")))),"")</f>
        <v/>
      </c>
      <c r="Q819" s="408" t="str">
        <f t="shared" ca="1" si="145"/>
        <v/>
      </c>
      <c r="R819" s="410" t="str">
        <f>IFERROR(IF(P819="","",M819*P819),"")</f>
        <v/>
      </c>
      <c r="S819" s="411"/>
      <c r="T819" s="408" t="str" cm="1">
        <f t="array" ca="1" aca="1" ref="T819">_xlfn.IFNA(VLOOKUP(INDIRECT("T"&amp;ROW()-3)&amp;"_"&amp;$D$12,BEGIN_Renew_Vision:END_RENEW_VISION,RENEW_COL_EC,FALSE),"")</f>
        <v/>
      </c>
      <c r="U819" s="412" t="str">
        <f t="shared" si="146"/>
        <v/>
      </c>
      <c r="V819" s="413"/>
      <c r="W819" s="414"/>
      <c r="X819" s="415" t="str">
        <f>IFERROR(IF($V816="Keep Contribution Same",H819,IF($V816="Enter Percentages",IF(V819="","",V819*T819),IF($V816="Keep Percentage Same",IF(G819="","",G819*T819),IF($V816="Enter Dollar Amount",IF(W819="","",W819),"")))),"")</f>
        <v/>
      </c>
      <c r="Y819" s="408" t="str">
        <f t="shared" ca="1" si="147"/>
        <v/>
      </c>
      <c r="Z819" s="410" t="str">
        <f t="shared" si="148"/>
        <v/>
      </c>
    </row>
    <row r="820" spans="1:26" ht="18.75" customHeight="1" thickBot="1">
      <c r="A820" s="140"/>
      <c r="B820" s="140"/>
      <c r="D820" s="174" t="s">
        <v>241</v>
      </c>
      <c r="E820" s="416"/>
      <c r="F820" s="451" t="str">
        <f>_xlfn.IFNA(VLOOKUP(F816,BEGIN_CURRENT_VISION:END_CURRENT_VISION,CURRENT_COL_FAM,FALSE),"")</f>
        <v/>
      </c>
      <c r="G820" s="471" t="str">
        <f t="shared" si="142"/>
        <v/>
      </c>
      <c r="H820" s="451" t="str">
        <f>_xlfn.IFNA(VLOOKUP(F816,BEGIN_CURRENT_VISION:END_CURRENT_VISION,CURRENT_COL_FAMContrib,FALSE),"")</f>
        <v/>
      </c>
      <c r="I820" s="409" t="str">
        <f t="shared" si="143"/>
        <v/>
      </c>
      <c r="J820" s="410" t="str">
        <f t="shared" si="144"/>
        <v/>
      </c>
      <c r="K820" s="411"/>
      <c r="L820" s="417" t="str" cm="1">
        <f t="array" ca="1" aca="1" ref="L820">_xlfn.IFNA(VLOOKUP(INDIRECT("L"&amp;ROW()-4)&amp;"_"&amp;$D$12,BEGIN_Renew_Vision:END_RENEW_VISION,RENEW_COL_FAM,FALSE),"")</f>
        <v/>
      </c>
      <c r="M820" s="423" t="str">
        <f>IF(E820="","",E820)</f>
        <v/>
      </c>
      <c r="N820" s="420"/>
      <c r="O820" s="421"/>
      <c r="P820" s="422" t="str">
        <f>IFERROR(IF($N816="Keep Contribution Same",H820,IF($N816="Enter Percentages",IF(N820="","",N820*L820),IF($N816="Keep Percentage Same",IF(G820="","",G820*L820),IF($N816="Enter Dollar Amount",IF(O820="","",O820),"")))),"")</f>
        <v/>
      </c>
      <c r="Q820" s="417" t="str">
        <f t="shared" ca="1" si="145"/>
        <v/>
      </c>
      <c r="R820" s="419" t="str">
        <f>IFERROR(IF(P820="","",M820*P820),"")</f>
        <v/>
      </c>
      <c r="S820" s="411"/>
      <c r="T820" s="417" t="str" cm="1">
        <f t="array" ca="1" aca="1" ref="T820">_xlfn.IFNA(VLOOKUP(INDIRECT("T"&amp;ROW()-4)&amp;"_"&amp;$D$12,BEGIN_Renew_Vision:END_RENEW_VISION,RENEW_COL_FAM,FALSE),"")</f>
        <v/>
      </c>
      <c r="U820" s="423" t="str">
        <f t="shared" si="146"/>
        <v/>
      </c>
      <c r="V820" s="420"/>
      <c r="W820" s="421"/>
      <c r="X820" s="422" t="str">
        <f>IFERROR(IF($V816="Keep Contribution Same",H820,IF($V816="Enter Percentages",IF(V820="","",V820*T820),IF($V816="Keep Percentage Same",IF(G820="","",G820*T820),IF($V816="Enter Dollar Amount",IF(W820="","",W820),"")))),"")</f>
        <v/>
      </c>
      <c r="Y820" s="417" t="str">
        <f t="shared" ca="1" si="147"/>
        <v/>
      </c>
      <c r="Z820" s="419" t="str">
        <f t="shared" si="148"/>
        <v/>
      </c>
    </row>
    <row r="821" spans="1:26" ht="18.75" customHeight="1" thickTop="1">
      <c r="A821" s="140"/>
      <c r="B821" s="140"/>
      <c r="D821" s="175" t="s">
        <v>329</v>
      </c>
      <c r="E821" s="424"/>
      <c r="F821" s="427"/>
      <c r="G821" s="426"/>
      <c r="H821" s="427"/>
      <c r="I821" s="428"/>
      <c r="J821" s="429" t="str">
        <f>IFERROR(IF(J817="","",SUM(J817:J820)),0)</f>
        <v/>
      </c>
      <c r="K821" s="1"/>
      <c r="L821" s="424"/>
      <c r="M821" s="427"/>
      <c r="N821" s="426"/>
      <c r="O821" s="427"/>
      <c r="P821" s="431"/>
      <c r="Q821" s="432"/>
      <c r="R821" s="429" t="str">
        <f>IFERROR(IF(R817="","",SUM(R817:R820)),0)</f>
        <v/>
      </c>
      <c r="T821" s="424"/>
      <c r="U821" s="427"/>
      <c r="V821" s="426"/>
      <c r="W821" s="427"/>
      <c r="X821" s="431"/>
      <c r="Y821" s="432"/>
      <c r="Z821" s="429" t="str">
        <f>IFERROR(IF(Z817="","",SUM(Z817:Z820)),0)</f>
        <v/>
      </c>
    </row>
    <row r="822" spans="1:26" ht="18.75" customHeight="1">
      <c r="A822" s="140"/>
      <c r="B822" s="140"/>
      <c r="D822" s="177" t="s">
        <v>243</v>
      </c>
      <c r="E822" s="433"/>
      <c r="F822" s="436"/>
      <c r="G822" s="435"/>
      <c r="H822" s="436"/>
      <c r="I822" s="432"/>
      <c r="J822" s="437" t="str">
        <f>IF(J821="","",J821*12)</f>
        <v/>
      </c>
      <c r="K822" s="1"/>
      <c r="L822" s="433"/>
      <c r="M822" s="436"/>
      <c r="N822" s="435"/>
      <c r="O822" s="436"/>
      <c r="P822" s="432"/>
      <c r="Q822" s="432"/>
      <c r="R822" s="437" t="str">
        <f>IF(R821="","",R821*12)</f>
        <v/>
      </c>
      <c r="T822" s="433"/>
      <c r="U822" s="436"/>
      <c r="V822" s="435"/>
      <c r="W822" s="436"/>
      <c r="X822" s="432"/>
      <c r="Y822" s="432"/>
      <c r="Z822" s="437" t="str">
        <f>IF(Z821="","",Z821*12)</f>
        <v/>
      </c>
    </row>
    <row r="823" spans="1:26" ht="18" customHeight="1">
      <c r="A823" s="140"/>
      <c r="B823" s="140"/>
      <c r="D823" s="177" t="s">
        <v>244</v>
      </c>
      <c r="E823" s="433"/>
      <c r="F823" s="436"/>
      <c r="G823" s="435"/>
      <c r="H823" s="436"/>
      <c r="I823" s="432"/>
      <c r="J823" s="437" t="str">
        <f>IFERROR(IF(J822="","",R822-J822),0)</f>
        <v/>
      </c>
      <c r="K823" s="1"/>
      <c r="L823" s="433"/>
      <c r="M823" s="436"/>
      <c r="N823" s="435"/>
      <c r="O823" s="436"/>
      <c r="P823" s="432"/>
      <c r="Q823" s="432"/>
      <c r="R823" s="437" t="str">
        <f>IFERROR(IF(J822="","",R822-J822),0)</f>
        <v/>
      </c>
      <c r="T823" s="433"/>
      <c r="U823" s="436"/>
      <c r="V823" s="435"/>
      <c r="W823" s="436"/>
      <c r="X823" s="432"/>
      <c r="Y823" s="432"/>
      <c r="Z823" s="437" t="str">
        <f>IFERROR(IF(R822="","",Z822-R822),0)</f>
        <v/>
      </c>
    </row>
    <row r="824" spans="1:26" ht="18" customHeight="1" thickBot="1">
      <c r="A824" s="140"/>
      <c r="B824" s="140"/>
      <c r="D824" s="180" t="s">
        <v>245</v>
      </c>
      <c r="E824" s="439"/>
      <c r="F824" s="440"/>
      <c r="G824" s="441"/>
      <c r="H824" s="440"/>
      <c r="I824" s="442"/>
      <c r="J824" s="437" t="str">
        <f>IFERROR(IF(J822="","",(R822/J822)-1),0)</f>
        <v/>
      </c>
      <c r="K824" s="1"/>
      <c r="L824" s="439"/>
      <c r="M824" s="440"/>
      <c r="N824" s="441"/>
      <c r="O824" s="440"/>
      <c r="P824" s="445"/>
      <c r="Q824" s="445"/>
      <c r="R824" s="446" t="str">
        <f>IFERROR(IF(J822="","",(R822/J822)-1),0)</f>
        <v/>
      </c>
      <c r="T824" s="439"/>
      <c r="U824" s="440"/>
      <c r="V824" s="441"/>
      <c r="W824" s="440"/>
      <c r="X824" s="445"/>
      <c r="Y824" s="445"/>
      <c r="Z824" s="446" t="str">
        <f>IFERROR(IF(R822="","",(Z822/R822)-1),0)</f>
        <v/>
      </c>
    </row>
    <row r="825" spans="1:26" ht="5.25" customHeight="1" thickBot="1">
      <c r="A825" s="140"/>
      <c r="B825" s="140"/>
      <c r="D825" s="229"/>
      <c r="E825" s="229"/>
      <c r="F825" s="230"/>
      <c r="G825" s="231"/>
      <c r="H825" s="232"/>
      <c r="I825" s="233"/>
      <c r="J825" s="233"/>
      <c r="K825"/>
      <c r="L825" s="233"/>
      <c r="M825" s="233"/>
      <c r="N825" s="233"/>
      <c r="O825" s="233"/>
      <c r="P825" s="233"/>
      <c r="Q825" s="233"/>
      <c r="R825" s="233"/>
      <c r="T825" s="233"/>
      <c r="U825" s="233"/>
      <c r="V825" s="233"/>
      <c r="W825" s="233"/>
      <c r="X825" s="233"/>
      <c r="Y825" s="233"/>
      <c r="Z825" s="233"/>
    </row>
    <row r="826" spans="1:26" ht="50.15" customHeight="1">
      <c r="A826" s="140"/>
      <c r="B826" s="140"/>
      <c r="C826" s="164" t="s">
        <v>306</v>
      </c>
      <c r="D826" s="275" t="s">
        <v>285</v>
      </c>
      <c r="E826" s="165"/>
      <c r="F826" s="272"/>
      <c r="G826" s="166"/>
      <c r="H826" s="167"/>
      <c r="I826" s="168"/>
      <c r="J826" s="169"/>
      <c r="K826"/>
      <c r="L826" s="274" t="s">
        <v>38</v>
      </c>
      <c r="M826" s="170"/>
      <c r="N826" s="274" t="s">
        <v>237</v>
      </c>
      <c r="O826" s="171"/>
      <c r="P826" s="171"/>
      <c r="Q826" s="171"/>
      <c r="R826" s="169"/>
      <c r="T826" s="274" t="s">
        <v>38</v>
      </c>
      <c r="U826" s="170"/>
      <c r="V826" s="274" t="s">
        <v>237</v>
      </c>
      <c r="W826" s="171"/>
      <c r="X826" s="171"/>
      <c r="Y826" s="171"/>
      <c r="Z826" s="169"/>
    </row>
    <row r="827" spans="1:26" ht="18.75" customHeight="1">
      <c r="A827" s="140"/>
      <c r="B827" s="140"/>
      <c r="D827" s="172" t="s">
        <v>238</v>
      </c>
      <c r="E827" s="407"/>
      <c r="F827" s="449"/>
      <c r="G827" s="470" t="str">
        <f t="shared" si="149" ref="G827:G830">IF(F827="","",H827/F827)</f>
        <v/>
      </c>
      <c r="H827" s="449" t="str">
        <f>_xlfn.IFNA(VLOOKUP(F826,BEGIN_CURRENT_VISION:END_CURRENT_VISION,CURRENT_COL_EOContrib,FALSE),"")</f>
        <v/>
      </c>
      <c r="I827" s="409" t="str">
        <f>IFERROR(F827-H827,"")</f>
        <v/>
      </c>
      <c r="J827" s="410" t="str">
        <f>IF(F827="","",H827*E827)</f>
        <v/>
      </c>
      <c r="K827" s="411"/>
      <c r="L827" s="408" t="str" cm="1">
        <f t="array" ca="1" aca="1" ref="L827">_xlfn.IFNA(VLOOKUP(INDIRECT("L"&amp;ROW()-1)&amp;"_"&amp;$D$12,BEGIN_Renew_Vision:END_RENEW_VISION,RENEW_COL_EO,FALSE),"")</f>
        <v/>
      </c>
      <c r="M827" s="412" t="str">
        <f>IF(E827="","",E827)</f>
        <v/>
      </c>
      <c r="N827" s="413"/>
      <c r="O827" s="414"/>
      <c r="P827" s="415" t="str">
        <f>IFERROR(IF($N826="Keep Contribution Same",H827,IF($N826="Enter Percentages",IF(N827="","",N827*L827),IF($N826="Keep Percentage Same",IF(G827="","",G827*L827),IF($N826="Enter Dollar Amount",IF(O827="","",O827),"")))),"")</f>
        <v/>
      </c>
      <c r="Q827" s="408" t="str">
        <f ca="1">IFERROR(L827-P827,"")</f>
        <v/>
      </c>
      <c r="R827" s="410" t="str">
        <f>IFERROR(IF(P827="","",M827*P827),"")</f>
        <v/>
      </c>
      <c r="S827" s="411"/>
      <c r="T827" s="408" t="str" cm="1">
        <f t="array" ca="1" aca="1" ref="T827">_xlfn.IFNA(VLOOKUP(INDIRECT("T"&amp;ROW()-1)&amp;"_"&amp;$D$12,BEGIN_Renew_Vision:END_RENEW_VISION,RENEW_COL_EO,FALSE),"")</f>
        <v/>
      </c>
      <c r="U827" s="412" t="str">
        <f>IF(E827="","",E827)</f>
        <v/>
      </c>
      <c r="V827" s="413"/>
      <c r="W827" s="414"/>
      <c r="X827" s="415" t="str">
        <f>IFERROR(IF($V826="Keep Contribution Same",H827,IF($V826="Enter Percentages",IF(V827="","",V827*T827),IF($V826="Keep Percentage Same",IF(G827="","",G827*T827),IF($V826="Enter Dollar Amount",IF(W827="","",W827),"")))),"")</f>
        <v/>
      </c>
      <c r="Y827" s="408" t="str">
        <f ca="1">IFERROR(T827-X827,"")</f>
        <v/>
      </c>
      <c r="Z827" s="410" t="str">
        <f>IFERROR(IF(X827="","",U827*X827),"")</f>
        <v/>
      </c>
    </row>
    <row r="828" spans="1:26" ht="18.75" customHeight="1">
      <c r="A828" s="140"/>
      <c r="B828" s="140"/>
      <c r="D828" s="172" t="s">
        <v>239</v>
      </c>
      <c r="E828" s="407"/>
      <c r="F828" s="449" t="str">
        <f>_xlfn.IFNA(VLOOKUP(F826,BEGIN_CURRENT_VISION:END_CURRENT_VISION,CURRENT_COL_ES,FALSE),"")</f>
        <v/>
      </c>
      <c r="G828" s="470" t="str">
        <f t="shared" si="149"/>
        <v/>
      </c>
      <c r="H828" s="449" t="str">
        <f>_xlfn.IFNA(VLOOKUP(F826,BEGIN_CURRENT_VISION:END_CURRENT_VISION,CURRENT_COL_ESContrib,FALSE),"")</f>
        <v/>
      </c>
      <c r="I828" s="409" t="str">
        <f t="shared" si="150" ref="I828:I830">IFERROR(F828-H828,"")</f>
        <v/>
      </c>
      <c r="J828" s="410" t="str">
        <f t="shared" si="151" ref="J828:J830">IF(F828="","",H828*E828)</f>
        <v/>
      </c>
      <c r="K828" s="411"/>
      <c r="L828" s="408" t="str" cm="1">
        <f t="array" ca="1" aca="1" ref="L828">_xlfn.IFNA(VLOOKUP(INDIRECT("L"&amp;ROW()-2)&amp;"_"&amp;$D$12,BEGIN_Renew_Vision:END_RENEW_VISION,RENEW_COL_ES,FALSE),"")</f>
        <v/>
      </c>
      <c r="M828" s="412" t="str">
        <f>IF(E828="","",E828)</f>
        <v/>
      </c>
      <c r="N828" s="413"/>
      <c r="O828" s="414"/>
      <c r="P828" s="415" t="str">
        <f>IFERROR(IF($N826="Keep Contribution Same",H828,IF($N826="Enter Percentages",IF(N828="","",N828*L828),IF($N826="Keep Percentage Same",IF(G828="","",G828*L828),IF($N826="Enter Dollar Amount",IF(O828="","",O828),"")))),"")</f>
        <v/>
      </c>
      <c r="Q828" s="408" t="str">
        <f ca="1" t="shared" si="152" ref="Q828:Q830">IFERROR(L828-P828,"")</f>
        <v/>
      </c>
      <c r="R828" s="410" t="str">
        <f>IFERROR(IF(P828="","",M828*P828),"")</f>
        <v/>
      </c>
      <c r="S828" s="411"/>
      <c r="T828" s="408" t="str" cm="1">
        <f t="array" ca="1" aca="1" ref="T828">_xlfn.IFNA(VLOOKUP(INDIRECT("T"&amp;ROW()-2)&amp;"_"&amp;$D$12,BEGIN_Renew_Vision:END_RENEW_VISION,RENEW_COL_ES,FALSE),"")</f>
        <v/>
      </c>
      <c r="U828" s="412" t="str">
        <f t="shared" si="153" ref="U828:U830">IF(E828="","",E828)</f>
        <v/>
      </c>
      <c r="V828" s="413"/>
      <c r="W828" s="414"/>
      <c r="X828" s="415" t="str">
        <f>IFERROR(IF($V826="Keep Contribution Same",H828,IF($V826="Enter Percentages",IF(V828="","",V828*T828),IF($V826="Keep Percentage Same",IF(G828="","",G828*T828),IF($V826="Enter Dollar Amount",IF(W828="","",W828),"")))),"")</f>
        <v/>
      </c>
      <c r="Y828" s="408" t="str">
        <f ca="1" t="shared" si="154" ref="Y828:Y830">IFERROR(T828-X828,"")</f>
        <v/>
      </c>
      <c r="Z828" s="410" t="str">
        <f t="shared" si="155" ref="Z828:Z830">IFERROR(IF(X828="","",U828*X828),"")</f>
        <v/>
      </c>
    </row>
    <row r="829" spans="1:26" ht="18.75" customHeight="1">
      <c r="A829" s="140"/>
      <c r="B829" s="140"/>
      <c r="D829" s="172" t="s">
        <v>240</v>
      </c>
      <c r="E829" s="407"/>
      <c r="F829" s="449" t="str">
        <f>_xlfn.IFNA(VLOOKUP(F826,BEGIN_CURRENT_VISION:END_CURRENT_VISION,CURRENT_COL_EC,FALSE),"")</f>
        <v/>
      </c>
      <c r="G829" s="470" t="str">
        <f t="shared" si="149"/>
        <v/>
      </c>
      <c r="H829" s="449" t="str">
        <f>_xlfn.IFNA(VLOOKUP(F826,BEGIN_CURRENT_VISION:END_CURRENT_VISION,CURRENT_COL_ECContrib,FALSE),"")</f>
        <v/>
      </c>
      <c r="I829" s="409" t="str">
        <f t="shared" si="150"/>
        <v/>
      </c>
      <c r="J829" s="410" t="str">
        <f t="shared" si="151"/>
        <v/>
      </c>
      <c r="K829" s="411"/>
      <c r="L829" s="408" t="str" cm="1">
        <f t="array" ca="1" aca="1" ref="L829">_xlfn.IFNA(VLOOKUP(INDIRECT("L"&amp;ROW()-3)&amp;"_"&amp;$D$12,BEGIN_Renew_Vision:END_RENEW_VISION,RENEW_COL_EC,FALSE),"")</f>
        <v/>
      </c>
      <c r="M829" s="412" t="str">
        <f>IF(E829="","",E829)</f>
        <v/>
      </c>
      <c r="N829" s="413"/>
      <c r="O829" s="414"/>
      <c r="P829" s="415" t="str">
        <f>IFERROR(IF($N826="Keep Contribution Same",H829,IF($N826="Enter Percentages",IF(N829="","",N829*L829),IF($N826="Keep Percentage Same",IF(G829="","",G829*L829),IF($N826="Enter Dollar Amount",IF(O829="","",O829),"")))),"")</f>
        <v/>
      </c>
      <c r="Q829" s="408" t="str">
        <f t="shared" ca="1" si="152"/>
        <v/>
      </c>
      <c r="R829" s="410" t="str">
        <f>IFERROR(IF(P829="","",M829*P829),"")</f>
        <v/>
      </c>
      <c r="S829" s="411"/>
      <c r="T829" s="408" t="str" cm="1">
        <f t="array" ca="1" aca="1" ref="T829">_xlfn.IFNA(VLOOKUP(INDIRECT("T"&amp;ROW()-3)&amp;"_"&amp;$D$12,BEGIN_Renew_Vision:END_RENEW_VISION,RENEW_COL_EC,FALSE),"")</f>
        <v/>
      </c>
      <c r="U829" s="412" t="str">
        <f t="shared" si="153"/>
        <v/>
      </c>
      <c r="V829" s="413"/>
      <c r="W829" s="414"/>
      <c r="X829" s="415" t="str">
        <f>IFERROR(IF($V826="Keep Contribution Same",H829,IF($V826="Enter Percentages",IF(V829="","",V829*T829),IF($V826="Keep Percentage Same",IF(G829="","",G829*T829),IF($V826="Enter Dollar Amount",IF(W829="","",W829),"")))),"")</f>
        <v/>
      </c>
      <c r="Y829" s="408" t="str">
        <f t="shared" ca="1" si="154"/>
        <v/>
      </c>
      <c r="Z829" s="410" t="str">
        <f t="shared" si="155"/>
        <v/>
      </c>
    </row>
    <row r="830" spans="1:26" ht="18.75" customHeight="1" thickBot="1">
      <c r="A830" s="140"/>
      <c r="B830" s="140"/>
      <c r="D830" s="174" t="s">
        <v>241</v>
      </c>
      <c r="E830" s="416"/>
      <c r="F830" s="451" t="str">
        <f>_xlfn.IFNA(VLOOKUP(F826,BEGIN_CURRENT_VISION:END_CURRENT_VISION,CURRENT_COL_FAM,FALSE),"")</f>
        <v/>
      </c>
      <c r="G830" s="471" t="str">
        <f t="shared" si="149"/>
        <v/>
      </c>
      <c r="H830" s="451" t="str">
        <f>_xlfn.IFNA(VLOOKUP(F826,BEGIN_CURRENT_VISION:END_CURRENT_VISION,CURRENT_COL_FAMContrib,FALSE),"")</f>
        <v/>
      </c>
      <c r="I830" s="409" t="str">
        <f t="shared" si="150"/>
        <v/>
      </c>
      <c r="J830" s="410" t="str">
        <f t="shared" si="151"/>
        <v/>
      </c>
      <c r="K830" s="411"/>
      <c r="L830" s="417" t="str" cm="1">
        <f t="array" ca="1" aca="1" ref="L830">_xlfn.IFNA(VLOOKUP(INDIRECT("L"&amp;ROW()-4)&amp;"_"&amp;$D$12,BEGIN_Renew_Vision:END_RENEW_VISION,RENEW_COL_FAM,FALSE),"")</f>
        <v/>
      </c>
      <c r="M830" s="423" t="str">
        <f>IF(E830="","",E830)</f>
        <v/>
      </c>
      <c r="N830" s="420"/>
      <c r="O830" s="421"/>
      <c r="P830" s="422" t="str">
        <f>IFERROR(IF($N826="Keep Contribution Same",H830,IF($N826="Enter Percentages",IF(N830="","",N830*L830),IF($N826="Keep Percentage Same",IF(G830="","",G830*L830),IF($N826="Enter Dollar Amount",IF(O830="","",O830),"")))),"")</f>
        <v/>
      </c>
      <c r="Q830" s="417" t="str">
        <f t="shared" ca="1" si="152"/>
        <v/>
      </c>
      <c r="R830" s="419" t="str">
        <f>IFERROR(IF(P830="","",M830*P830),"")</f>
        <v/>
      </c>
      <c r="S830" s="411"/>
      <c r="T830" s="417" t="str" cm="1">
        <f t="array" ca="1" aca="1" ref="T830">_xlfn.IFNA(VLOOKUP(INDIRECT("T"&amp;ROW()-4)&amp;"_"&amp;$D$12,BEGIN_Renew_Vision:END_RENEW_VISION,RENEW_COL_FAM,FALSE),"")</f>
        <v/>
      </c>
      <c r="U830" s="423" t="str">
        <f t="shared" si="153"/>
        <v/>
      </c>
      <c r="V830" s="420"/>
      <c r="W830" s="421"/>
      <c r="X830" s="422" t="str">
        <f>IFERROR(IF($V826="Keep Contribution Same",H830,IF($V826="Enter Percentages",IF(V830="","",V830*T830),IF($V826="Keep Percentage Same",IF(G830="","",G830*T830),IF($V826="Enter Dollar Amount",IF(W830="","",W830),"")))),"")</f>
        <v/>
      </c>
      <c r="Y830" s="417" t="str">
        <f t="shared" ca="1" si="154"/>
        <v/>
      </c>
      <c r="Z830" s="419" t="str">
        <f t="shared" si="155"/>
        <v/>
      </c>
    </row>
    <row r="831" spans="1:26" ht="18.75" customHeight="1" thickTop="1">
      <c r="A831" s="140"/>
      <c r="B831" s="140"/>
      <c r="D831" s="175" t="s">
        <v>329</v>
      </c>
      <c r="E831" s="424"/>
      <c r="F831" s="427"/>
      <c r="G831" s="426"/>
      <c r="H831" s="427"/>
      <c r="I831" s="428"/>
      <c r="J831" s="429" t="str">
        <f>IFERROR(IF(J827="","",SUM(J827:J830)),0)</f>
        <v/>
      </c>
      <c r="K831" s="1"/>
      <c r="L831" s="424"/>
      <c r="M831" s="427"/>
      <c r="N831" s="426"/>
      <c r="O831" s="427"/>
      <c r="P831" s="431"/>
      <c r="Q831" s="432"/>
      <c r="R831" s="429" t="str">
        <f>IFERROR(IF(R827="","",SUM(R827:R830)),0)</f>
        <v/>
      </c>
      <c r="T831" s="424"/>
      <c r="U831" s="427"/>
      <c r="V831" s="426"/>
      <c r="W831" s="427"/>
      <c r="X831" s="431"/>
      <c r="Y831" s="432"/>
      <c r="Z831" s="429" t="str">
        <f>IFERROR(IF(Z827="","",SUM(Z827:Z830)),0)</f>
        <v/>
      </c>
    </row>
    <row r="832" spans="1:26" ht="18.75" customHeight="1">
      <c r="A832" s="140"/>
      <c r="B832" s="140"/>
      <c r="D832" s="177" t="s">
        <v>243</v>
      </c>
      <c r="E832" s="433"/>
      <c r="F832" s="436"/>
      <c r="G832" s="435"/>
      <c r="H832" s="436"/>
      <c r="I832" s="432"/>
      <c r="J832" s="437" t="str">
        <f>IF(J831="","",J831*12)</f>
        <v/>
      </c>
      <c r="K832" s="1"/>
      <c r="L832" s="433"/>
      <c r="M832" s="436"/>
      <c r="N832" s="435"/>
      <c r="O832" s="436"/>
      <c r="P832" s="432"/>
      <c r="Q832" s="432"/>
      <c r="R832" s="437" t="str">
        <f>IF(R831="","",R831*12)</f>
        <v/>
      </c>
      <c r="T832" s="433"/>
      <c r="U832" s="436"/>
      <c r="V832" s="435"/>
      <c r="W832" s="436"/>
      <c r="X832" s="432"/>
      <c r="Y832" s="432"/>
      <c r="Z832" s="437" t="str">
        <f>IF(Z831="","",Z831*12)</f>
        <v/>
      </c>
    </row>
    <row r="833" spans="1:26" ht="18" customHeight="1">
      <c r="A833" s="140"/>
      <c r="B833" s="140"/>
      <c r="D833" s="177" t="s">
        <v>244</v>
      </c>
      <c r="E833" s="433"/>
      <c r="F833" s="436"/>
      <c r="G833" s="435"/>
      <c r="H833" s="436"/>
      <c r="I833" s="432"/>
      <c r="J833" s="437" t="str">
        <f>IFERROR(IF(J832="","",R832-J832),0)</f>
        <v/>
      </c>
      <c r="K833" s="1"/>
      <c r="L833" s="433"/>
      <c r="M833" s="436"/>
      <c r="N833" s="435"/>
      <c r="O833" s="436"/>
      <c r="P833" s="432"/>
      <c r="Q833" s="432"/>
      <c r="R833" s="437" t="str">
        <f>IFERROR(IF(J832="","",R832-J832),0)</f>
        <v/>
      </c>
      <c r="T833" s="433"/>
      <c r="U833" s="436"/>
      <c r="V833" s="435"/>
      <c r="W833" s="436"/>
      <c r="X833" s="432"/>
      <c r="Y833" s="432"/>
      <c r="Z833" s="437" t="str">
        <f>IFERROR(IF(R832="","",Z832-R832),0)</f>
        <v/>
      </c>
    </row>
    <row r="834" spans="1:26" ht="18" customHeight="1" thickBot="1">
      <c r="A834" s="140"/>
      <c r="B834" s="140"/>
      <c r="D834" s="180" t="s">
        <v>245</v>
      </c>
      <c r="E834" s="439"/>
      <c r="F834" s="440"/>
      <c r="G834" s="441"/>
      <c r="H834" s="440"/>
      <c r="I834" s="442"/>
      <c r="J834" s="437" t="str">
        <f>IFERROR(IF(J832="","",(R832/J832)-1),0)</f>
        <v/>
      </c>
      <c r="K834" s="1"/>
      <c r="L834" s="439"/>
      <c r="M834" s="440"/>
      <c r="N834" s="441"/>
      <c r="O834" s="440"/>
      <c r="P834" s="445"/>
      <c r="Q834" s="445"/>
      <c r="R834" s="446" t="str">
        <f>IFERROR(IF(J832="","",(R832/J832)-1),0)</f>
        <v/>
      </c>
      <c r="T834" s="439"/>
      <c r="U834" s="440"/>
      <c r="V834" s="441"/>
      <c r="W834" s="440"/>
      <c r="X834" s="445"/>
      <c r="Y834" s="445"/>
      <c r="Z834" s="446" t="str">
        <f>IFERROR(IF(R832="","",(Z832/R832)-1),0)</f>
        <v/>
      </c>
    </row>
    <row r="835" spans="1:26" ht="5.25" customHeight="1" thickBot="1">
      <c r="A835" s="140"/>
      <c r="B835" s="140"/>
      <c r="D835" s="229"/>
      <c r="E835" s="229"/>
      <c r="F835" s="230"/>
      <c r="G835" s="231"/>
      <c r="H835" s="232"/>
      <c r="I835" s="233"/>
      <c r="J835" s="233"/>
      <c r="K835"/>
      <c r="L835" s="233"/>
      <c r="M835" s="233"/>
      <c r="N835" s="233"/>
      <c r="O835" s="233"/>
      <c r="P835" s="233"/>
      <c r="Q835" s="233"/>
      <c r="R835" s="233"/>
      <c r="T835" s="233"/>
      <c r="U835" s="233"/>
      <c r="V835" s="233"/>
      <c r="W835" s="233"/>
      <c r="X835" s="233"/>
      <c r="Y835" s="233"/>
      <c r="Z835" s="233"/>
    </row>
    <row r="836" spans="1:26" ht="50.15" customHeight="1">
      <c r="A836" s="140"/>
      <c r="B836" s="140"/>
      <c r="C836" s="164" t="s">
        <v>307</v>
      </c>
      <c r="D836" s="275" t="s">
        <v>285</v>
      </c>
      <c r="E836" s="165"/>
      <c r="F836" s="272"/>
      <c r="G836" s="166"/>
      <c r="H836" s="167"/>
      <c r="I836" s="168"/>
      <c r="J836" s="169"/>
      <c r="K836"/>
      <c r="L836" s="274" t="s">
        <v>38</v>
      </c>
      <c r="M836" s="170"/>
      <c r="N836" s="274" t="s">
        <v>237</v>
      </c>
      <c r="O836" s="171"/>
      <c r="P836" s="171"/>
      <c r="Q836" s="171"/>
      <c r="R836" s="169"/>
      <c r="T836" s="274" t="s">
        <v>38</v>
      </c>
      <c r="U836" s="170"/>
      <c r="V836" s="274" t="s">
        <v>237</v>
      </c>
      <c r="W836" s="171"/>
      <c r="X836" s="171"/>
      <c r="Y836" s="171"/>
      <c r="Z836" s="169"/>
    </row>
    <row r="837" spans="1:26" ht="18.75" customHeight="1">
      <c r="A837" s="140"/>
      <c r="B837" s="140"/>
      <c r="D837" s="172" t="s">
        <v>238</v>
      </c>
      <c r="E837" s="407"/>
      <c r="F837" s="449"/>
      <c r="G837" s="470" t="str">
        <f t="shared" si="156" ref="G837:G840">IF(F837="","",H837/F837)</f>
        <v/>
      </c>
      <c r="H837" s="449" t="str">
        <f>_xlfn.IFNA(VLOOKUP(F836,BEGIN_CURRENT_VISION:END_CURRENT_VISION,CURRENT_COL_EOContrib,FALSE),"")</f>
        <v/>
      </c>
      <c r="I837" s="409" t="str">
        <f>IFERROR(F837-H837,"")</f>
        <v/>
      </c>
      <c r="J837" s="410" t="str">
        <f>IF(F837="","",H837*E837)</f>
        <v/>
      </c>
      <c r="K837" s="411"/>
      <c r="L837" s="408" t="str" cm="1">
        <f t="array" ca="1" aca="1" ref="L837">_xlfn.IFNA(VLOOKUP(INDIRECT("L"&amp;ROW()-1)&amp;"_"&amp;$D$12,BEGIN_Renew_Vision:END_RENEW_VISION,RENEW_COL_EO,FALSE),"")</f>
        <v/>
      </c>
      <c r="M837" s="412" t="str">
        <f>IF(E837="","",E837)</f>
        <v/>
      </c>
      <c r="N837" s="413"/>
      <c r="O837" s="414"/>
      <c r="P837" s="415" t="str">
        <f>IFERROR(IF($N836="Keep Contribution Same",H837,IF($N836="Enter Percentages",IF(N837="","",N837*L837),IF($N836="Keep Percentage Same",IF(G837="","",G837*L837),IF($N836="Enter Dollar Amount",IF(O837="","",O837),"")))),"")</f>
        <v/>
      </c>
      <c r="Q837" s="408" t="str">
        <f ca="1">IFERROR(L837-P837,"")</f>
        <v/>
      </c>
      <c r="R837" s="410" t="str">
        <f>IFERROR(IF(P837="","",M837*P837),"")</f>
        <v/>
      </c>
      <c r="S837" s="411"/>
      <c r="T837" s="408" t="str" cm="1">
        <f t="array" ca="1" aca="1" ref="T837">_xlfn.IFNA(VLOOKUP(INDIRECT("T"&amp;ROW()-1)&amp;"_"&amp;$D$12,BEGIN_Renew_Vision:END_RENEW_VISION,RENEW_COL_EO,FALSE),"")</f>
        <v/>
      </c>
      <c r="U837" s="412" t="str">
        <f>IF(E837="","",E837)</f>
        <v/>
      </c>
      <c r="V837" s="413"/>
      <c r="W837" s="414"/>
      <c r="X837" s="415" t="str">
        <f>IFERROR(IF($V836="Keep Contribution Same",H837,IF($V836="Enter Percentages",IF(V837="","",V837*T837),IF($V836="Keep Percentage Same",IF(G837="","",G837*T837),IF($V836="Enter Dollar Amount",IF(W837="","",W837),"")))),"")</f>
        <v/>
      </c>
      <c r="Y837" s="408" t="str">
        <f ca="1">IFERROR(T837-X837,"")</f>
        <v/>
      </c>
      <c r="Z837" s="410" t="str">
        <f>IFERROR(IF(X837="","",U837*X837),"")</f>
        <v/>
      </c>
    </row>
    <row r="838" spans="1:26" ht="18.75" customHeight="1">
      <c r="A838" s="140"/>
      <c r="B838" s="140"/>
      <c r="D838" s="172" t="s">
        <v>239</v>
      </c>
      <c r="E838" s="407"/>
      <c r="F838" s="449" t="str">
        <f>_xlfn.IFNA(VLOOKUP(F836,BEGIN_CURRENT_VISION:END_CURRENT_VISION,CURRENT_COL_ES,FALSE),"")</f>
        <v/>
      </c>
      <c r="G838" s="470" t="str">
        <f t="shared" si="156"/>
        <v/>
      </c>
      <c r="H838" s="449" t="str">
        <f>_xlfn.IFNA(VLOOKUP(F836,BEGIN_CURRENT_VISION:END_CURRENT_VISION,CURRENT_COL_ESContrib,FALSE),"")</f>
        <v/>
      </c>
      <c r="I838" s="409" t="str">
        <f t="shared" si="157" ref="I838:I840">IFERROR(F838-H838,"")</f>
        <v/>
      </c>
      <c r="J838" s="410" t="str">
        <f t="shared" si="158" ref="J838:J840">IF(F838="","",H838*E838)</f>
        <v/>
      </c>
      <c r="K838" s="411"/>
      <c r="L838" s="408" t="str" cm="1">
        <f t="array" ca="1" aca="1" ref="L838">_xlfn.IFNA(VLOOKUP(INDIRECT("L"&amp;ROW()-2)&amp;"_"&amp;$D$12,BEGIN_Renew_Vision:END_RENEW_VISION,RENEW_COL_ES,FALSE),"")</f>
        <v/>
      </c>
      <c r="M838" s="412" t="str">
        <f>IF(E838="","",E838)</f>
        <v/>
      </c>
      <c r="N838" s="413"/>
      <c r="O838" s="414"/>
      <c r="P838" s="415" t="str">
        <f>IFERROR(IF($N836="Keep Contribution Same",H838,IF($N836="Enter Percentages",IF(N838="","",N838*L838),IF($N836="Keep Percentage Same",IF(G838="","",G838*L838),IF($N836="Enter Dollar Amount",IF(O838="","",O838),"")))),"")</f>
        <v/>
      </c>
      <c r="Q838" s="408" t="str">
        <f ca="1" t="shared" si="159" ref="Q838:Q840">IFERROR(L838-P838,"")</f>
        <v/>
      </c>
      <c r="R838" s="410" t="str">
        <f>IFERROR(IF(P838="","",M838*P838),"")</f>
        <v/>
      </c>
      <c r="S838" s="411"/>
      <c r="T838" s="408" t="str" cm="1">
        <f t="array" ca="1" aca="1" ref="T838">_xlfn.IFNA(VLOOKUP(INDIRECT("T"&amp;ROW()-2)&amp;"_"&amp;$D$12,BEGIN_Renew_Vision:END_RENEW_VISION,RENEW_COL_ES,FALSE),"")</f>
        <v/>
      </c>
      <c r="U838" s="412" t="str">
        <f t="shared" si="160" ref="U838:U840">IF(E838="","",E838)</f>
        <v/>
      </c>
      <c r="V838" s="413"/>
      <c r="W838" s="414"/>
      <c r="X838" s="415" t="str">
        <f>IFERROR(IF($V836="Keep Contribution Same",H838,IF($V836="Enter Percentages",IF(V838="","",V838*T838),IF($V836="Keep Percentage Same",IF(G838="","",G838*T838),IF($V836="Enter Dollar Amount",IF(W838="","",W838),"")))),"")</f>
        <v/>
      </c>
      <c r="Y838" s="408" t="str">
        <f ca="1" t="shared" si="161" ref="Y838:Y840">IFERROR(T838-X838,"")</f>
        <v/>
      </c>
      <c r="Z838" s="410" t="str">
        <f t="shared" si="162" ref="Z838:Z840">IFERROR(IF(X838="","",U838*X838),"")</f>
        <v/>
      </c>
    </row>
    <row r="839" spans="1:26" ht="18.75" customHeight="1">
      <c r="A839" s="140"/>
      <c r="B839" s="140"/>
      <c r="D839" s="172" t="s">
        <v>240</v>
      </c>
      <c r="E839" s="407"/>
      <c r="F839" s="449" t="str">
        <f>_xlfn.IFNA(VLOOKUP(F836,BEGIN_CURRENT_VISION:END_CURRENT_VISION,CURRENT_COL_EC,FALSE),"")</f>
        <v/>
      </c>
      <c r="G839" s="470" t="str">
        <f t="shared" si="156"/>
        <v/>
      </c>
      <c r="H839" s="449" t="str">
        <f>_xlfn.IFNA(VLOOKUP(F836,BEGIN_CURRENT_VISION:END_CURRENT_VISION,CURRENT_COL_ECContrib,FALSE),"")</f>
        <v/>
      </c>
      <c r="I839" s="409" t="str">
        <f t="shared" si="157"/>
        <v/>
      </c>
      <c r="J839" s="410" t="str">
        <f t="shared" si="158"/>
        <v/>
      </c>
      <c r="K839" s="411"/>
      <c r="L839" s="408" t="str" cm="1">
        <f t="array" ca="1" aca="1" ref="L839">_xlfn.IFNA(VLOOKUP(INDIRECT("L"&amp;ROW()-3)&amp;"_"&amp;$D$12,BEGIN_Renew_Vision:END_RENEW_VISION,RENEW_COL_EC,FALSE),"")</f>
        <v/>
      </c>
      <c r="M839" s="412" t="str">
        <f>IF(E839="","",E839)</f>
        <v/>
      </c>
      <c r="N839" s="413"/>
      <c r="O839" s="414"/>
      <c r="P839" s="415" t="str">
        <f>IFERROR(IF($N836="Keep Contribution Same",H839,IF($N836="Enter Percentages",IF(N839="","",N839*L839),IF($N836="Keep Percentage Same",IF(G839="","",G839*L839),IF($N836="Enter Dollar Amount",IF(O839="","",O839),"")))),"")</f>
        <v/>
      </c>
      <c r="Q839" s="408" t="str">
        <f t="shared" ca="1" si="159"/>
        <v/>
      </c>
      <c r="R839" s="410" t="str">
        <f>IFERROR(IF(P839="","",M839*P839),"")</f>
        <v/>
      </c>
      <c r="S839" s="411"/>
      <c r="T839" s="408" t="str" cm="1">
        <f t="array" ca="1" aca="1" ref="T839">_xlfn.IFNA(VLOOKUP(INDIRECT("T"&amp;ROW()-3)&amp;"_"&amp;$D$12,BEGIN_Renew_Vision:END_RENEW_VISION,RENEW_COL_EC,FALSE),"")</f>
        <v/>
      </c>
      <c r="U839" s="412" t="str">
        <f t="shared" si="160"/>
        <v/>
      </c>
      <c r="V839" s="413"/>
      <c r="W839" s="414"/>
      <c r="X839" s="415" t="str">
        <f>IFERROR(IF($V836="Keep Contribution Same",H839,IF($V836="Enter Percentages",IF(V839="","",V839*T839),IF($V836="Keep Percentage Same",IF(G839="","",G839*T839),IF($V836="Enter Dollar Amount",IF(W839="","",W839),"")))),"")</f>
        <v/>
      </c>
      <c r="Y839" s="408" t="str">
        <f t="shared" ca="1" si="161"/>
        <v/>
      </c>
      <c r="Z839" s="410" t="str">
        <f t="shared" si="162"/>
        <v/>
      </c>
    </row>
    <row r="840" spans="1:26" ht="18.75" customHeight="1" thickBot="1">
      <c r="A840" s="140"/>
      <c r="B840" s="140"/>
      <c r="D840" s="174" t="s">
        <v>241</v>
      </c>
      <c r="E840" s="416"/>
      <c r="F840" s="451" t="str">
        <f>_xlfn.IFNA(VLOOKUP(F836,BEGIN_CURRENT_VISION:END_CURRENT_VISION,CURRENT_COL_FAM,FALSE),"")</f>
        <v/>
      </c>
      <c r="G840" s="471" t="str">
        <f t="shared" si="156"/>
        <v/>
      </c>
      <c r="H840" s="451" t="str">
        <f>_xlfn.IFNA(VLOOKUP(F836,BEGIN_CURRENT_VISION:END_CURRENT_VISION,CURRENT_COL_FAMContrib,FALSE),"")</f>
        <v/>
      </c>
      <c r="I840" s="409" t="str">
        <f t="shared" si="157"/>
        <v/>
      </c>
      <c r="J840" s="410" t="str">
        <f t="shared" si="158"/>
        <v/>
      </c>
      <c r="K840" s="411"/>
      <c r="L840" s="417" t="str" cm="1">
        <f t="array" ca="1" aca="1" ref="L840">_xlfn.IFNA(VLOOKUP(INDIRECT("L"&amp;ROW()-4)&amp;"_"&amp;$D$12,BEGIN_Renew_Vision:END_RENEW_VISION,RENEW_COL_FAM,FALSE),"")</f>
        <v/>
      </c>
      <c r="M840" s="423" t="str">
        <f>IF(E840="","",E840)</f>
        <v/>
      </c>
      <c r="N840" s="420"/>
      <c r="O840" s="421"/>
      <c r="P840" s="422" t="str">
        <f>IFERROR(IF($N836="Keep Contribution Same",H840,IF($N836="Enter Percentages",IF(N840="","",N840*L840),IF($N836="Keep Percentage Same",IF(G840="","",G840*L840),IF($N836="Enter Dollar Amount",IF(O840="","",O840),"")))),"")</f>
        <v/>
      </c>
      <c r="Q840" s="417" t="str">
        <f t="shared" ca="1" si="159"/>
        <v/>
      </c>
      <c r="R840" s="419" t="str">
        <f>IFERROR(IF(P840="","",M840*P840),"")</f>
        <v/>
      </c>
      <c r="S840" s="411"/>
      <c r="T840" s="417" t="str" cm="1">
        <f t="array" ca="1" aca="1" ref="T840">_xlfn.IFNA(VLOOKUP(INDIRECT("T"&amp;ROW()-4)&amp;"_"&amp;$D$12,BEGIN_Renew_Vision:END_RENEW_VISION,RENEW_COL_FAM,FALSE),"")</f>
        <v/>
      </c>
      <c r="U840" s="423" t="str">
        <f t="shared" si="160"/>
        <v/>
      </c>
      <c r="V840" s="420"/>
      <c r="W840" s="421"/>
      <c r="X840" s="422" t="str">
        <f>IFERROR(IF($V836="Keep Contribution Same",H840,IF($V836="Enter Percentages",IF(V840="","",V840*T840),IF($V836="Keep Percentage Same",IF(G840="","",G840*T840),IF($V836="Enter Dollar Amount",IF(W840="","",W840),"")))),"")</f>
        <v/>
      </c>
      <c r="Y840" s="417" t="str">
        <f t="shared" ca="1" si="161"/>
        <v/>
      </c>
      <c r="Z840" s="419" t="str">
        <f t="shared" si="162"/>
        <v/>
      </c>
    </row>
    <row r="841" spans="1:26" ht="18.75" customHeight="1" thickTop="1">
      <c r="A841" s="140"/>
      <c r="B841" s="140"/>
      <c r="D841" s="175" t="s">
        <v>329</v>
      </c>
      <c r="E841" s="424"/>
      <c r="F841" s="427"/>
      <c r="G841" s="426"/>
      <c r="H841" s="427"/>
      <c r="I841" s="428"/>
      <c r="J841" s="429" t="str">
        <f>IFERROR(IF(J837="","",SUM(J837:J840)),0)</f>
        <v/>
      </c>
      <c r="K841" s="1"/>
      <c r="L841" s="424"/>
      <c r="M841" s="427"/>
      <c r="N841" s="426"/>
      <c r="O841" s="427"/>
      <c r="P841" s="431"/>
      <c r="Q841" s="432"/>
      <c r="R841" s="429" t="str">
        <f>IFERROR(IF(R837="","",SUM(R837:R840)),0)</f>
        <v/>
      </c>
      <c r="T841" s="424"/>
      <c r="U841" s="427"/>
      <c r="V841" s="426"/>
      <c r="W841" s="427"/>
      <c r="X841" s="431"/>
      <c r="Y841" s="432"/>
      <c r="Z841" s="429" t="str">
        <f>IFERROR(IF(Z837="","",SUM(Z837:Z840)),0)</f>
        <v/>
      </c>
    </row>
    <row r="842" spans="1:26" ht="18.75" customHeight="1">
      <c r="A842" s="140"/>
      <c r="B842" s="140"/>
      <c r="D842" s="177" t="s">
        <v>243</v>
      </c>
      <c r="E842" s="433"/>
      <c r="F842" s="436"/>
      <c r="G842" s="435"/>
      <c r="H842" s="436"/>
      <c r="I842" s="432"/>
      <c r="J842" s="437" t="str">
        <f>IF(J841="","",J841*12)</f>
        <v/>
      </c>
      <c r="K842" s="1"/>
      <c r="L842" s="433"/>
      <c r="M842" s="436"/>
      <c r="N842" s="435"/>
      <c r="O842" s="436"/>
      <c r="P842" s="432"/>
      <c r="Q842" s="432"/>
      <c r="R842" s="437" t="str">
        <f>IF(R841="","",R841*12)</f>
        <v/>
      </c>
      <c r="T842" s="433"/>
      <c r="U842" s="436"/>
      <c r="V842" s="435"/>
      <c r="W842" s="436"/>
      <c r="X842" s="432"/>
      <c r="Y842" s="432"/>
      <c r="Z842" s="437" t="str">
        <f>IF(Z841="","",Z841*12)</f>
        <v/>
      </c>
    </row>
    <row r="843" spans="1:26" ht="18" customHeight="1">
      <c r="A843" s="140"/>
      <c r="B843" s="140"/>
      <c r="D843" s="177" t="s">
        <v>244</v>
      </c>
      <c r="E843" s="433"/>
      <c r="F843" s="436"/>
      <c r="G843" s="435"/>
      <c r="H843" s="436"/>
      <c r="I843" s="432"/>
      <c r="J843" s="437" t="str">
        <f>IFERROR(IF(J842="","",R842-J842),0)</f>
        <v/>
      </c>
      <c r="K843" s="1"/>
      <c r="L843" s="433"/>
      <c r="M843" s="436"/>
      <c r="N843" s="435"/>
      <c r="O843" s="436"/>
      <c r="P843" s="432"/>
      <c r="Q843" s="432"/>
      <c r="R843" s="437" t="str">
        <f>IFERROR(IF(J842="","",R842-J842),0)</f>
        <v/>
      </c>
      <c r="T843" s="433"/>
      <c r="U843" s="436"/>
      <c r="V843" s="435"/>
      <c r="W843" s="436"/>
      <c r="X843" s="432"/>
      <c r="Y843" s="432"/>
      <c r="Z843" s="437" t="str">
        <f>IFERROR(IF(R842="","",Z842-R842),0)</f>
        <v/>
      </c>
    </row>
    <row r="844" spans="1:26" ht="18" customHeight="1" thickBot="1">
      <c r="A844" s="140"/>
      <c r="B844" s="140"/>
      <c r="D844" s="180" t="s">
        <v>245</v>
      </c>
      <c r="E844" s="439"/>
      <c r="F844" s="440"/>
      <c r="G844" s="441"/>
      <c r="H844" s="440"/>
      <c r="I844" s="442"/>
      <c r="J844" s="437" t="str">
        <f>IFERROR(IF(J842="","",(R842/J842)-1),0)</f>
        <v/>
      </c>
      <c r="K844" s="1"/>
      <c r="L844" s="439"/>
      <c r="M844" s="440"/>
      <c r="N844" s="441"/>
      <c r="O844" s="440"/>
      <c r="P844" s="445"/>
      <c r="Q844" s="445"/>
      <c r="R844" s="446" t="str">
        <f>IFERROR(IF(J842="","",(R842/J842)-1),0)</f>
        <v/>
      </c>
      <c r="T844" s="439"/>
      <c r="U844" s="440"/>
      <c r="V844" s="441"/>
      <c r="W844" s="440"/>
      <c r="X844" s="445"/>
      <c r="Y844" s="445"/>
      <c r="Z844" s="446" t="str">
        <f>IFERROR(IF(R842="","",(Z842/R842)-1),0)</f>
        <v/>
      </c>
    </row>
    <row r="845" spans="1:26" ht="5.25" customHeight="1" thickBot="1">
      <c r="A845" s="140"/>
      <c r="B845" s="140"/>
      <c r="D845" s="229"/>
      <c r="E845" s="229"/>
      <c r="F845" s="230"/>
      <c r="G845" s="231"/>
      <c r="H845" s="232"/>
      <c r="I845" s="233"/>
      <c r="J845" s="233"/>
      <c r="K845"/>
      <c r="L845" s="233"/>
      <c r="M845" s="233"/>
      <c r="N845" s="233"/>
      <c r="O845" s="233"/>
      <c r="P845" s="233"/>
      <c r="Q845" s="233"/>
      <c r="R845" s="233"/>
      <c r="T845" s="233"/>
      <c r="U845" s="233"/>
      <c r="V845" s="233"/>
      <c r="W845" s="233"/>
      <c r="X845" s="233"/>
      <c r="Y845" s="233"/>
      <c r="Z845" s="233"/>
    </row>
    <row r="846" spans="1:26" ht="50.15" customHeight="1">
      <c r="A846" s="140"/>
      <c r="B846" s="140"/>
      <c r="C846" s="164" t="s">
        <v>308</v>
      </c>
      <c r="D846" s="275" t="s">
        <v>285</v>
      </c>
      <c r="E846" s="165"/>
      <c r="F846" s="272"/>
      <c r="G846" s="166"/>
      <c r="H846" s="167"/>
      <c r="I846" s="168"/>
      <c r="J846" s="169"/>
      <c r="K846"/>
      <c r="L846" s="274" t="s">
        <v>38</v>
      </c>
      <c r="M846" s="170"/>
      <c r="N846" s="274" t="s">
        <v>237</v>
      </c>
      <c r="O846" s="171"/>
      <c r="P846" s="171"/>
      <c r="Q846" s="171"/>
      <c r="R846" s="169"/>
      <c r="T846" s="274" t="s">
        <v>38</v>
      </c>
      <c r="U846" s="170"/>
      <c r="V846" s="274" t="s">
        <v>237</v>
      </c>
      <c r="W846" s="171"/>
      <c r="X846" s="171"/>
      <c r="Y846" s="171"/>
      <c r="Z846" s="169"/>
    </row>
    <row r="847" spans="1:26" ht="18.75" customHeight="1">
      <c r="A847" s="140"/>
      <c r="B847" s="140"/>
      <c r="D847" s="172" t="s">
        <v>238</v>
      </c>
      <c r="E847" s="407"/>
      <c r="F847" s="449"/>
      <c r="G847" s="470" t="str">
        <f t="shared" si="163" ref="G847:G850">IF(F847="","",H847/F847)</f>
        <v/>
      </c>
      <c r="H847" s="449" t="str">
        <f>_xlfn.IFNA(VLOOKUP(F846,BEGIN_CURRENT_VISION:END_CURRENT_VISION,CURRENT_COL_EOContrib,FALSE),"")</f>
        <v/>
      </c>
      <c r="I847" s="409" t="str">
        <f>IFERROR(F847-H847,"")</f>
        <v/>
      </c>
      <c r="J847" s="410" t="str">
        <f>IF(F847="","",H847*E847)</f>
        <v/>
      </c>
      <c r="K847" s="411"/>
      <c r="L847" s="408" t="str" cm="1">
        <f t="array" ca="1" aca="1" ref="L847">_xlfn.IFNA(VLOOKUP(INDIRECT("L"&amp;ROW()-1)&amp;"_"&amp;$D$12,BEGIN_Renew_Vision:END_RENEW_VISION,RENEW_COL_EO,FALSE),"")</f>
        <v/>
      </c>
      <c r="M847" s="412" t="str">
        <f>IF(E847="","",E847)</f>
        <v/>
      </c>
      <c r="N847" s="413"/>
      <c r="O847" s="414"/>
      <c r="P847" s="415" t="str">
        <f>IFERROR(IF($N846="Keep Contribution Same",H847,IF($N846="Enter Percentages",IF(N847="","",N847*L847),IF($N846="Keep Percentage Same",IF(G847="","",G847*L847),IF($N846="Enter Dollar Amount",IF(O847="","",O847),"")))),"")</f>
        <v/>
      </c>
      <c r="Q847" s="408" t="str">
        <f ca="1">IFERROR(L847-P847,"")</f>
        <v/>
      </c>
      <c r="R847" s="410" t="str">
        <f>IFERROR(IF(P847="","",M847*P847),"")</f>
        <v/>
      </c>
      <c r="S847" s="411"/>
      <c r="T847" s="408" t="str" cm="1">
        <f t="array" ca="1" aca="1" ref="T847">_xlfn.IFNA(VLOOKUP(INDIRECT("T"&amp;ROW()-1)&amp;"_"&amp;$D$12,BEGIN_Renew_Vision:END_RENEW_VISION,RENEW_COL_EO,FALSE),"")</f>
        <v/>
      </c>
      <c r="U847" s="412" t="str">
        <f>IF(E847="","",E847)</f>
        <v/>
      </c>
      <c r="V847" s="413"/>
      <c r="W847" s="414"/>
      <c r="X847" s="415" t="str">
        <f>IFERROR(IF($V846="Keep Contribution Same",H847,IF($V846="Enter Percentages",IF(V847="","",V847*T847),IF($V846="Keep Percentage Same",IF(G847="","",G847*T847),IF($V846="Enter Dollar Amount",IF(W847="","",W847),"")))),"")</f>
        <v/>
      </c>
      <c r="Y847" s="408" t="str">
        <f ca="1">IFERROR(T847-X847,"")</f>
        <v/>
      </c>
      <c r="Z847" s="410" t="str">
        <f>IFERROR(IF(X847="","",U847*X847),"")</f>
        <v/>
      </c>
    </row>
    <row r="848" spans="1:26" ht="18.75" customHeight="1">
      <c r="A848" s="140"/>
      <c r="B848" s="140"/>
      <c r="D848" s="172" t="s">
        <v>239</v>
      </c>
      <c r="E848" s="407"/>
      <c r="F848" s="449" t="str">
        <f>_xlfn.IFNA(VLOOKUP(F846,BEGIN_CURRENT_VISION:END_CURRENT_VISION,CURRENT_COL_ES,FALSE),"")</f>
        <v/>
      </c>
      <c r="G848" s="470" t="str">
        <f t="shared" si="163"/>
        <v/>
      </c>
      <c r="H848" s="449" t="str">
        <f>_xlfn.IFNA(VLOOKUP(F846,BEGIN_CURRENT_VISION:END_CURRENT_VISION,CURRENT_COL_ESContrib,FALSE),"")</f>
        <v/>
      </c>
      <c r="I848" s="409" t="str">
        <f t="shared" si="164" ref="I848:I850">IFERROR(F848-H848,"")</f>
        <v/>
      </c>
      <c r="J848" s="410" t="str">
        <f t="shared" si="165" ref="J848:J850">IF(F848="","",H848*E848)</f>
        <v/>
      </c>
      <c r="K848" s="411"/>
      <c r="L848" s="408" t="str" cm="1">
        <f t="array" ca="1" aca="1" ref="L848">_xlfn.IFNA(VLOOKUP(INDIRECT("L"&amp;ROW()-2)&amp;"_"&amp;$D$12,BEGIN_Renew_Vision:END_RENEW_VISION,RENEW_COL_ES,FALSE),"")</f>
        <v/>
      </c>
      <c r="M848" s="412" t="str">
        <f>IF(E848="","",E848)</f>
        <v/>
      </c>
      <c r="N848" s="413"/>
      <c r="O848" s="414"/>
      <c r="P848" s="415" t="str">
        <f>IFERROR(IF($N846="Keep Contribution Same",H848,IF($N846="Enter Percentages",IF(N848="","",N848*L848),IF($N846="Keep Percentage Same",IF(G848="","",G848*L848),IF($N846="Enter Dollar Amount",IF(O848="","",O848),"")))),"")</f>
        <v/>
      </c>
      <c r="Q848" s="408" t="str">
        <f ca="1" t="shared" si="166" ref="Q848:Q850">IFERROR(L848-P848,"")</f>
        <v/>
      </c>
      <c r="R848" s="410" t="str">
        <f>IFERROR(IF(P848="","",M848*P848),"")</f>
        <v/>
      </c>
      <c r="S848" s="411"/>
      <c r="T848" s="408" t="str" cm="1">
        <f t="array" ca="1" aca="1" ref="T848">_xlfn.IFNA(VLOOKUP(INDIRECT("T"&amp;ROW()-2)&amp;"_"&amp;$D$12,BEGIN_Renew_Vision:END_RENEW_VISION,RENEW_COL_ES,FALSE),"")</f>
        <v/>
      </c>
      <c r="U848" s="412" t="str">
        <f t="shared" si="167" ref="U848:U850">IF(E848="","",E848)</f>
        <v/>
      </c>
      <c r="V848" s="413"/>
      <c r="W848" s="414"/>
      <c r="X848" s="415" t="str">
        <f>IFERROR(IF($V846="Keep Contribution Same",H848,IF($V846="Enter Percentages",IF(V848="","",V848*T848),IF($V846="Keep Percentage Same",IF(G848="","",G848*T848),IF($V846="Enter Dollar Amount",IF(W848="","",W848),"")))),"")</f>
        <v/>
      </c>
      <c r="Y848" s="408" t="str">
        <f ca="1" t="shared" si="168" ref="Y848:Y850">IFERROR(T848-X848,"")</f>
        <v/>
      </c>
      <c r="Z848" s="410" t="str">
        <f t="shared" si="169" ref="Z848:Z850">IFERROR(IF(X848="","",U848*X848),"")</f>
        <v/>
      </c>
    </row>
    <row r="849" spans="1:26" ht="18.75" customHeight="1">
      <c r="A849" s="140"/>
      <c r="B849" s="140"/>
      <c r="D849" s="172" t="s">
        <v>240</v>
      </c>
      <c r="E849" s="407"/>
      <c r="F849" s="449" t="str">
        <f>_xlfn.IFNA(VLOOKUP(F846,BEGIN_CURRENT_VISION:END_CURRENT_VISION,CURRENT_COL_EC,FALSE),"")</f>
        <v/>
      </c>
      <c r="G849" s="470" t="str">
        <f t="shared" si="163"/>
        <v/>
      </c>
      <c r="H849" s="449" t="str">
        <f>_xlfn.IFNA(VLOOKUP(F846,BEGIN_CURRENT_VISION:END_CURRENT_VISION,CURRENT_COL_ECContrib,FALSE),"")</f>
        <v/>
      </c>
      <c r="I849" s="409" t="str">
        <f t="shared" si="164"/>
        <v/>
      </c>
      <c r="J849" s="410" t="str">
        <f t="shared" si="165"/>
        <v/>
      </c>
      <c r="K849" s="411"/>
      <c r="L849" s="408" t="str" cm="1">
        <f t="array" ca="1" aca="1" ref="L849">_xlfn.IFNA(VLOOKUP(INDIRECT("L"&amp;ROW()-3)&amp;"_"&amp;$D$12,BEGIN_Renew_Vision:END_RENEW_VISION,RENEW_COL_EC,FALSE),"")</f>
        <v/>
      </c>
      <c r="M849" s="412" t="str">
        <f>IF(E849="","",E849)</f>
        <v/>
      </c>
      <c r="N849" s="413"/>
      <c r="O849" s="414"/>
      <c r="P849" s="415" t="str">
        <f>IFERROR(IF($N846="Keep Contribution Same",H849,IF($N846="Enter Percentages",IF(N849="","",N849*L849),IF($N846="Keep Percentage Same",IF(G849="","",G849*L849),IF($N846="Enter Dollar Amount",IF(O849="","",O849),"")))),"")</f>
        <v/>
      </c>
      <c r="Q849" s="408" t="str">
        <f t="shared" ca="1" si="166"/>
        <v/>
      </c>
      <c r="R849" s="410" t="str">
        <f>IFERROR(IF(P849="","",M849*P849),"")</f>
        <v/>
      </c>
      <c r="S849" s="411"/>
      <c r="T849" s="408" t="str" cm="1">
        <f t="array" ca="1" aca="1" ref="T849">_xlfn.IFNA(VLOOKUP(INDIRECT("T"&amp;ROW()-3)&amp;"_"&amp;$D$12,BEGIN_Renew_Vision:END_RENEW_VISION,RENEW_COL_EC,FALSE),"")</f>
        <v/>
      </c>
      <c r="U849" s="412" t="str">
        <f t="shared" si="167"/>
        <v/>
      </c>
      <c r="V849" s="413"/>
      <c r="W849" s="414"/>
      <c r="X849" s="415" t="str">
        <f>IFERROR(IF($V846="Keep Contribution Same",H849,IF($V846="Enter Percentages",IF(V849="","",V849*T849),IF($V846="Keep Percentage Same",IF(G849="","",G849*T849),IF($V846="Enter Dollar Amount",IF(W849="","",W849),"")))),"")</f>
        <v/>
      </c>
      <c r="Y849" s="408" t="str">
        <f t="shared" ca="1" si="168"/>
        <v/>
      </c>
      <c r="Z849" s="410" t="str">
        <f t="shared" si="169"/>
        <v/>
      </c>
    </row>
    <row r="850" spans="1:26" ht="18.75" customHeight="1" thickBot="1">
      <c r="A850" s="140"/>
      <c r="B850" s="140"/>
      <c r="D850" s="174" t="s">
        <v>241</v>
      </c>
      <c r="E850" s="416"/>
      <c r="F850" s="451" t="str">
        <f>_xlfn.IFNA(VLOOKUP(F846,BEGIN_CURRENT_VISION:END_CURRENT_VISION,CURRENT_COL_FAM,FALSE),"")</f>
        <v/>
      </c>
      <c r="G850" s="471" t="str">
        <f t="shared" si="163"/>
        <v/>
      </c>
      <c r="H850" s="451" t="str">
        <f>_xlfn.IFNA(VLOOKUP(F846,BEGIN_CURRENT_VISION:END_CURRENT_VISION,CURRENT_COL_FAMContrib,FALSE),"")</f>
        <v/>
      </c>
      <c r="I850" s="409" t="str">
        <f t="shared" si="164"/>
        <v/>
      </c>
      <c r="J850" s="410" t="str">
        <f t="shared" si="165"/>
        <v/>
      </c>
      <c r="K850" s="411"/>
      <c r="L850" s="417" t="str" cm="1">
        <f t="array" ca="1" aca="1" ref="L850">_xlfn.IFNA(VLOOKUP(INDIRECT("L"&amp;ROW()-4)&amp;"_"&amp;$D$12,BEGIN_Renew_Vision:END_RENEW_VISION,RENEW_COL_FAM,FALSE),"")</f>
        <v/>
      </c>
      <c r="M850" s="423" t="str">
        <f>IF(E850="","",E850)</f>
        <v/>
      </c>
      <c r="N850" s="420"/>
      <c r="O850" s="421"/>
      <c r="P850" s="422" t="str">
        <f>IFERROR(IF($N846="Keep Contribution Same",H850,IF($N846="Enter Percentages",IF(N850="","",N850*L850),IF($N846="Keep Percentage Same",IF(G850="","",G850*L850),IF($N846="Enter Dollar Amount",IF(O850="","",O850),"")))),"")</f>
        <v/>
      </c>
      <c r="Q850" s="417" t="str">
        <f t="shared" ca="1" si="166"/>
        <v/>
      </c>
      <c r="R850" s="419" t="str">
        <f>IFERROR(IF(P850="","",M850*P850),"")</f>
        <v/>
      </c>
      <c r="S850" s="411"/>
      <c r="T850" s="417" t="str" cm="1">
        <f t="array" ca="1" aca="1" ref="T850">_xlfn.IFNA(VLOOKUP(INDIRECT("T"&amp;ROW()-4)&amp;"_"&amp;$D$12,BEGIN_Renew_Vision:END_RENEW_VISION,RENEW_COL_FAM,FALSE),"")</f>
        <v/>
      </c>
      <c r="U850" s="423" t="str">
        <f t="shared" si="167"/>
        <v/>
      </c>
      <c r="V850" s="420"/>
      <c r="W850" s="421"/>
      <c r="X850" s="422" t="str">
        <f>IFERROR(IF($V846="Keep Contribution Same",H850,IF($V846="Enter Percentages",IF(V850="","",V850*T850),IF($V846="Keep Percentage Same",IF(G850="","",G850*T850),IF($V846="Enter Dollar Amount",IF(W850="","",W850),"")))),"")</f>
        <v/>
      </c>
      <c r="Y850" s="417" t="str">
        <f t="shared" ca="1" si="168"/>
        <v/>
      </c>
      <c r="Z850" s="419" t="str">
        <f t="shared" si="169"/>
        <v/>
      </c>
    </row>
    <row r="851" spans="1:26" ht="18.75" customHeight="1" thickTop="1">
      <c r="A851" s="140"/>
      <c r="B851" s="140"/>
      <c r="D851" s="175" t="s">
        <v>329</v>
      </c>
      <c r="E851" s="424"/>
      <c r="F851" s="427"/>
      <c r="G851" s="426"/>
      <c r="H851" s="427"/>
      <c r="I851" s="428"/>
      <c r="J851" s="429" t="str">
        <f>IFERROR(IF(J847="","",SUM(J847:J850)),0)</f>
        <v/>
      </c>
      <c r="K851" s="1"/>
      <c r="L851" s="424"/>
      <c r="M851" s="427"/>
      <c r="N851" s="426"/>
      <c r="O851" s="427"/>
      <c r="P851" s="431"/>
      <c r="Q851" s="432"/>
      <c r="R851" s="429" t="str">
        <f>IFERROR(IF(R847="","",SUM(R847:R850)),0)</f>
        <v/>
      </c>
      <c r="T851" s="424"/>
      <c r="U851" s="427"/>
      <c r="V851" s="426"/>
      <c r="W851" s="427"/>
      <c r="X851" s="431"/>
      <c r="Y851" s="432"/>
      <c r="Z851" s="429" t="str">
        <f>IFERROR(IF(Z847="","",SUM(Z847:Z850)),0)</f>
        <v/>
      </c>
    </row>
    <row r="852" spans="1:26" ht="18.75" customHeight="1">
      <c r="A852" s="140"/>
      <c r="B852" s="140"/>
      <c r="D852" s="177" t="s">
        <v>243</v>
      </c>
      <c r="E852" s="433"/>
      <c r="F852" s="436"/>
      <c r="G852" s="435"/>
      <c r="H852" s="436"/>
      <c r="I852" s="432"/>
      <c r="J852" s="437" t="str">
        <f>IF(J851="","",J851*12)</f>
        <v/>
      </c>
      <c r="K852" s="1"/>
      <c r="L852" s="433"/>
      <c r="M852" s="436"/>
      <c r="N852" s="435"/>
      <c r="O852" s="436"/>
      <c r="P852" s="432"/>
      <c r="Q852" s="432"/>
      <c r="R852" s="437" t="str">
        <f>IF(R851="","",R851*12)</f>
        <v/>
      </c>
      <c r="T852" s="433"/>
      <c r="U852" s="436"/>
      <c r="V852" s="435"/>
      <c r="W852" s="436"/>
      <c r="X852" s="432"/>
      <c r="Y852" s="432"/>
      <c r="Z852" s="437" t="str">
        <f>IF(Z851="","",Z851*12)</f>
        <v/>
      </c>
    </row>
    <row r="853" spans="1:26" ht="18" customHeight="1">
      <c r="A853" s="140"/>
      <c r="B853" s="140"/>
      <c r="D853" s="177" t="s">
        <v>244</v>
      </c>
      <c r="E853" s="433"/>
      <c r="F853" s="436"/>
      <c r="G853" s="435"/>
      <c r="H853" s="436"/>
      <c r="I853" s="432"/>
      <c r="J853" s="437" t="str">
        <f>IFERROR(IF(J852="","",R852-J852),0)</f>
        <v/>
      </c>
      <c r="K853" s="1"/>
      <c r="L853" s="433"/>
      <c r="M853" s="436"/>
      <c r="N853" s="435"/>
      <c r="O853" s="436"/>
      <c r="P853" s="432"/>
      <c r="Q853" s="432"/>
      <c r="R853" s="437" t="str">
        <f>IFERROR(IF(J852="","",R852-J852),0)</f>
        <v/>
      </c>
      <c r="T853" s="433"/>
      <c r="U853" s="436"/>
      <c r="V853" s="435"/>
      <c r="W853" s="436"/>
      <c r="X853" s="432"/>
      <c r="Y853" s="432"/>
      <c r="Z853" s="437" t="str">
        <f>IFERROR(IF(R852="","",Z852-R852),0)</f>
        <v/>
      </c>
    </row>
    <row r="854" spans="1:26" ht="18" customHeight="1" thickBot="1">
      <c r="A854" s="140"/>
      <c r="B854" s="140"/>
      <c r="D854" s="180" t="s">
        <v>245</v>
      </c>
      <c r="E854" s="439"/>
      <c r="F854" s="440"/>
      <c r="G854" s="441"/>
      <c r="H854" s="440"/>
      <c r="I854" s="442"/>
      <c r="J854" s="437" t="str">
        <f>IFERROR(IF(J852="","",(R852/J852)-1),0)</f>
        <v/>
      </c>
      <c r="K854" s="1"/>
      <c r="L854" s="439"/>
      <c r="M854" s="440"/>
      <c r="N854" s="441"/>
      <c r="O854" s="440"/>
      <c r="P854" s="445"/>
      <c r="Q854" s="445"/>
      <c r="R854" s="446" t="str">
        <f>IFERROR(IF(J852="","",(R852/J852)-1),0)</f>
        <v/>
      </c>
      <c r="T854" s="439"/>
      <c r="U854" s="440"/>
      <c r="V854" s="441"/>
      <c r="W854" s="440"/>
      <c r="X854" s="445"/>
      <c r="Y854" s="445"/>
      <c r="Z854" s="446" t="str">
        <f>IFERROR(IF(R852="","",(Z852/R852)-1),0)</f>
        <v/>
      </c>
    </row>
    <row r="855" spans="1:26" ht="5.25" customHeight="1" thickBot="1">
      <c r="A855" s="140"/>
      <c r="B855" s="140"/>
      <c r="D855" s="229"/>
      <c r="E855" s="229"/>
      <c r="F855" s="230"/>
      <c r="G855" s="231"/>
      <c r="H855" s="232"/>
      <c r="I855" s="233"/>
      <c r="J855" s="233"/>
      <c r="K855"/>
      <c r="L855" s="233"/>
      <c r="M855" s="233"/>
      <c r="N855" s="233"/>
      <c r="O855" s="233"/>
      <c r="P855" s="233"/>
      <c r="Q855" s="233"/>
      <c r="R855" s="233"/>
      <c r="T855" s="233"/>
      <c r="U855" s="233"/>
      <c r="V855" s="233"/>
      <c r="W855" s="233"/>
      <c r="X855" s="233"/>
      <c r="Y855" s="233"/>
      <c r="Z855" s="233"/>
    </row>
    <row r="856" spans="1:26" ht="50.15" customHeight="1">
      <c r="A856" s="140"/>
      <c r="B856" s="140"/>
      <c r="C856" s="164" t="s">
        <v>309</v>
      </c>
      <c r="D856" s="275" t="s">
        <v>285</v>
      </c>
      <c r="E856" s="165"/>
      <c r="F856" s="272"/>
      <c r="G856" s="166"/>
      <c r="H856" s="167"/>
      <c r="I856" s="168"/>
      <c r="J856" s="169"/>
      <c r="K856"/>
      <c r="L856" s="274" t="s">
        <v>38</v>
      </c>
      <c r="M856" s="170"/>
      <c r="N856" s="274" t="s">
        <v>237</v>
      </c>
      <c r="O856" s="171"/>
      <c r="P856" s="171"/>
      <c r="Q856" s="171"/>
      <c r="R856" s="169"/>
      <c r="T856" s="274" t="s">
        <v>38</v>
      </c>
      <c r="U856" s="170"/>
      <c r="V856" s="274" t="s">
        <v>237</v>
      </c>
      <c r="W856" s="171"/>
      <c r="X856" s="171"/>
      <c r="Y856" s="171"/>
      <c r="Z856" s="169"/>
    </row>
    <row r="857" spans="1:26" ht="18.75" customHeight="1">
      <c r="A857" s="140"/>
      <c r="B857" s="140"/>
      <c r="D857" s="172" t="s">
        <v>238</v>
      </c>
      <c r="E857" s="407"/>
      <c r="F857" s="449"/>
      <c r="G857" s="470" t="str">
        <f t="shared" si="170" ref="G857:G860">IF(F857="","",H857/F857)</f>
        <v/>
      </c>
      <c r="H857" s="449" t="str">
        <f>_xlfn.IFNA(VLOOKUP(F856,BEGIN_CURRENT_VISION:END_CURRENT_VISION,CURRENT_COL_EOContrib,FALSE),"")</f>
        <v/>
      </c>
      <c r="I857" s="409" t="str">
        <f>IFERROR(F857-H857,"")</f>
        <v/>
      </c>
      <c r="J857" s="410" t="str">
        <f>IF(F857="","",H857*E857)</f>
        <v/>
      </c>
      <c r="K857" s="411"/>
      <c r="L857" s="408" t="str" cm="1">
        <f t="array" ca="1" aca="1" ref="L857">_xlfn.IFNA(VLOOKUP(INDIRECT("L"&amp;ROW()-1)&amp;"_"&amp;$D$12,BEGIN_Renew_Vision:END_RENEW_VISION,RENEW_COL_EO,FALSE),"")</f>
        <v/>
      </c>
      <c r="M857" s="412" t="str">
        <f>IF(E857="","",E857)</f>
        <v/>
      </c>
      <c r="N857" s="413"/>
      <c r="O857" s="414"/>
      <c r="P857" s="415" t="str">
        <f>IFERROR(IF($N856="Keep Contribution Same",H857,IF($N856="Enter Percentages",IF(N857="","",N857*L857),IF($N856="Keep Percentage Same",IF(G857="","",G857*L857),IF($N856="Enter Dollar Amount",IF(O857="","",O857),"")))),"")</f>
        <v/>
      </c>
      <c r="Q857" s="408" t="str">
        <f ca="1">IFERROR(L857-P857,"")</f>
        <v/>
      </c>
      <c r="R857" s="410" t="str">
        <f>IFERROR(IF(P857="","",M857*P857),"")</f>
        <v/>
      </c>
      <c r="S857" s="411"/>
      <c r="T857" s="408" t="str" cm="1">
        <f t="array" ca="1" aca="1" ref="T857">_xlfn.IFNA(VLOOKUP(INDIRECT("T"&amp;ROW()-1)&amp;"_"&amp;$D$12,BEGIN_Renew_Vision:END_RENEW_VISION,RENEW_COL_EO,FALSE),"")</f>
        <v/>
      </c>
      <c r="U857" s="412" t="str">
        <f>IF(E857="","",E857)</f>
        <v/>
      </c>
      <c r="V857" s="413"/>
      <c r="W857" s="414"/>
      <c r="X857" s="415" t="str">
        <f>IFERROR(IF($V856="Keep Contribution Same",H857,IF($V856="Enter Percentages",IF(V857="","",V857*T857),IF($V856="Keep Percentage Same",IF(G857="","",G857*T857),IF($V856="Enter Dollar Amount",IF(W857="","",W857),"")))),"")</f>
        <v/>
      </c>
      <c r="Y857" s="408" t="str">
        <f ca="1">IFERROR(T857-X857,"")</f>
        <v/>
      </c>
      <c r="Z857" s="410" t="str">
        <f>IFERROR(IF(X857="","",U857*X857),"")</f>
        <v/>
      </c>
    </row>
    <row r="858" spans="1:26" ht="18.75" customHeight="1">
      <c r="A858" s="140"/>
      <c r="B858" s="140"/>
      <c r="D858" s="172" t="s">
        <v>239</v>
      </c>
      <c r="E858" s="407"/>
      <c r="F858" s="449" t="str">
        <f>_xlfn.IFNA(VLOOKUP(F856,BEGIN_CURRENT_VISION:END_CURRENT_VISION,CURRENT_COL_ES,FALSE),"")</f>
        <v/>
      </c>
      <c r="G858" s="470" t="str">
        <f t="shared" si="170"/>
        <v/>
      </c>
      <c r="H858" s="449" t="str">
        <f>_xlfn.IFNA(VLOOKUP(F856,BEGIN_CURRENT_VISION:END_CURRENT_VISION,CURRENT_COL_ESContrib,FALSE),"")</f>
        <v/>
      </c>
      <c r="I858" s="409" t="str">
        <f t="shared" si="171" ref="I858:I860">IFERROR(F858-H858,"")</f>
        <v/>
      </c>
      <c r="J858" s="410" t="str">
        <f t="shared" si="172" ref="J858:J860">IF(F858="","",H858*E858)</f>
        <v/>
      </c>
      <c r="K858" s="411"/>
      <c r="L858" s="408" t="str" cm="1">
        <f t="array" ca="1" aca="1" ref="L858">_xlfn.IFNA(VLOOKUP(INDIRECT("L"&amp;ROW()-2)&amp;"_"&amp;$D$12,BEGIN_Renew_Vision:END_RENEW_VISION,RENEW_COL_ES,FALSE),"")</f>
        <v/>
      </c>
      <c r="M858" s="412" t="str">
        <f>IF(E858="","",E858)</f>
        <v/>
      </c>
      <c r="N858" s="413"/>
      <c r="O858" s="414"/>
      <c r="P858" s="415" t="str">
        <f>IFERROR(IF($N856="Keep Contribution Same",H858,IF($N856="Enter Percentages",IF(N858="","",N858*L858),IF($N856="Keep Percentage Same",IF(G858="","",G858*L858),IF($N856="Enter Dollar Amount",IF(O858="","",O858),"")))),"")</f>
        <v/>
      </c>
      <c r="Q858" s="408" t="str">
        <f ca="1" t="shared" si="173" ref="Q858:Q860">IFERROR(L858-P858,"")</f>
        <v/>
      </c>
      <c r="R858" s="410" t="str">
        <f>IFERROR(IF(P858="","",M858*P858),"")</f>
        <v/>
      </c>
      <c r="S858" s="411"/>
      <c r="T858" s="408" t="str" cm="1">
        <f t="array" ca="1" aca="1" ref="T858">_xlfn.IFNA(VLOOKUP(INDIRECT("T"&amp;ROW()-2)&amp;"_"&amp;$D$12,BEGIN_Renew_Vision:END_RENEW_VISION,RENEW_COL_ES,FALSE),"")</f>
        <v/>
      </c>
      <c r="U858" s="412" t="str">
        <f t="shared" si="174" ref="U858:U860">IF(E858="","",E858)</f>
        <v/>
      </c>
      <c r="V858" s="413"/>
      <c r="W858" s="414"/>
      <c r="X858" s="415" t="str">
        <f>IFERROR(IF($V856="Keep Contribution Same",H858,IF($V856="Enter Percentages",IF(V858="","",V858*T858),IF($V856="Keep Percentage Same",IF(G858="","",G858*T858),IF($V856="Enter Dollar Amount",IF(W858="","",W858),"")))),"")</f>
        <v/>
      </c>
      <c r="Y858" s="408" t="str">
        <f ca="1" t="shared" si="175" ref="Y858:Y860">IFERROR(T858-X858,"")</f>
        <v/>
      </c>
      <c r="Z858" s="410" t="str">
        <f t="shared" si="176" ref="Z858:Z860">IFERROR(IF(X858="","",U858*X858),"")</f>
        <v/>
      </c>
    </row>
    <row r="859" spans="1:26" ht="18.75" customHeight="1">
      <c r="A859" s="140"/>
      <c r="B859" s="140"/>
      <c r="D859" s="172" t="s">
        <v>240</v>
      </c>
      <c r="E859" s="407"/>
      <c r="F859" s="449" t="str">
        <f>_xlfn.IFNA(VLOOKUP(F856,BEGIN_CURRENT_VISION:END_CURRENT_VISION,CURRENT_COL_EC,FALSE),"")</f>
        <v/>
      </c>
      <c r="G859" s="470" t="str">
        <f t="shared" si="170"/>
        <v/>
      </c>
      <c r="H859" s="449" t="str">
        <f>_xlfn.IFNA(VLOOKUP(F856,BEGIN_CURRENT_VISION:END_CURRENT_VISION,CURRENT_COL_ECContrib,FALSE),"")</f>
        <v/>
      </c>
      <c r="I859" s="409" t="str">
        <f t="shared" si="171"/>
        <v/>
      </c>
      <c r="J859" s="410" t="str">
        <f t="shared" si="172"/>
        <v/>
      </c>
      <c r="K859" s="411"/>
      <c r="L859" s="408" t="str" cm="1">
        <f t="array" ca="1" aca="1" ref="L859">_xlfn.IFNA(VLOOKUP(INDIRECT("L"&amp;ROW()-3)&amp;"_"&amp;$D$12,BEGIN_Renew_Vision:END_RENEW_VISION,RENEW_COL_EC,FALSE),"")</f>
        <v/>
      </c>
      <c r="M859" s="412" t="str">
        <f>IF(E859="","",E859)</f>
        <v/>
      </c>
      <c r="N859" s="413"/>
      <c r="O859" s="414"/>
      <c r="P859" s="415" t="str">
        <f>IFERROR(IF($N856="Keep Contribution Same",H859,IF($N856="Enter Percentages",IF(N859="","",N859*L859),IF($N856="Keep Percentage Same",IF(G859="","",G859*L859),IF($N856="Enter Dollar Amount",IF(O859="","",O859),"")))),"")</f>
        <v/>
      </c>
      <c r="Q859" s="408" t="str">
        <f t="shared" ca="1" si="173"/>
        <v/>
      </c>
      <c r="R859" s="410" t="str">
        <f>IFERROR(IF(P859="","",M859*P859),"")</f>
        <v/>
      </c>
      <c r="S859" s="411"/>
      <c r="T859" s="408" t="str" cm="1">
        <f t="array" ca="1" aca="1" ref="T859">_xlfn.IFNA(VLOOKUP(INDIRECT("T"&amp;ROW()-3)&amp;"_"&amp;$D$12,BEGIN_Renew_Vision:END_RENEW_VISION,RENEW_COL_EC,FALSE),"")</f>
        <v/>
      </c>
      <c r="U859" s="412" t="str">
        <f t="shared" si="174"/>
        <v/>
      </c>
      <c r="V859" s="413"/>
      <c r="W859" s="414"/>
      <c r="X859" s="415" t="str">
        <f>IFERROR(IF($V856="Keep Contribution Same",H859,IF($V856="Enter Percentages",IF(V859="","",V859*T859),IF($V856="Keep Percentage Same",IF(G859="","",G859*T859),IF($V856="Enter Dollar Amount",IF(W859="","",W859),"")))),"")</f>
        <v/>
      </c>
      <c r="Y859" s="408" t="str">
        <f t="shared" ca="1" si="175"/>
        <v/>
      </c>
      <c r="Z859" s="410" t="str">
        <f t="shared" si="176"/>
        <v/>
      </c>
    </row>
    <row r="860" spans="1:26" ht="18.75" customHeight="1" thickBot="1">
      <c r="A860" s="140"/>
      <c r="B860" s="140"/>
      <c r="D860" s="174" t="s">
        <v>241</v>
      </c>
      <c r="E860" s="416"/>
      <c r="F860" s="451" t="str">
        <f>_xlfn.IFNA(VLOOKUP(F856,BEGIN_CURRENT_VISION:END_CURRENT_VISION,CURRENT_COL_FAM,FALSE),"")</f>
        <v/>
      </c>
      <c r="G860" s="471" t="str">
        <f t="shared" si="170"/>
        <v/>
      </c>
      <c r="H860" s="451" t="str">
        <f>_xlfn.IFNA(VLOOKUP(F856,BEGIN_CURRENT_VISION:END_CURRENT_VISION,CURRENT_COL_FAMContrib,FALSE),"")</f>
        <v/>
      </c>
      <c r="I860" s="409" t="str">
        <f t="shared" si="171"/>
        <v/>
      </c>
      <c r="J860" s="410" t="str">
        <f t="shared" si="172"/>
        <v/>
      </c>
      <c r="K860" s="411"/>
      <c r="L860" s="417" t="str" cm="1">
        <f t="array" ca="1" aca="1" ref="L860">_xlfn.IFNA(VLOOKUP(INDIRECT("L"&amp;ROW()-4)&amp;"_"&amp;$D$12,BEGIN_Renew_Vision:END_RENEW_VISION,RENEW_COL_FAM,FALSE),"")</f>
        <v/>
      </c>
      <c r="M860" s="423" t="str">
        <f>IF(E860="","",E860)</f>
        <v/>
      </c>
      <c r="N860" s="420"/>
      <c r="O860" s="421"/>
      <c r="P860" s="422" t="str">
        <f>IFERROR(IF($N856="Keep Contribution Same",H860,IF($N856="Enter Percentages",IF(N860="","",N860*L860),IF($N856="Keep Percentage Same",IF(G860="","",G860*L860),IF($N856="Enter Dollar Amount",IF(O860="","",O860),"")))),"")</f>
        <v/>
      </c>
      <c r="Q860" s="417" t="str">
        <f t="shared" ca="1" si="173"/>
        <v/>
      </c>
      <c r="R860" s="419" t="str">
        <f>IFERROR(IF(P860="","",M860*P860),"")</f>
        <v/>
      </c>
      <c r="S860" s="411"/>
      <c r="T860" s="417" t="str" cm="1">
        <f t="array" ca="1" aca="1" ref="T860">_xlfn.IFNA(VLOOKUP(INDIRECT("T"&amp;ROW()-4)&amp;"_"&amp;$D$12,BEGIN_Renew_Vision:END_RENEW_VISION,RENEW_COL_FAM,FALSE),"")</f>
        <v/>
      </c>
      <c r="U860" s="423" t="str">
        <f t="shared" si="174"/>
        <v/>
      </c>
      <c r="V860" s="420"/>
      <c r="W860" s="421"/>
      <c r="X860" s="422" t="str">
        <f>IFERROR(IF($V856="Keep Contribution Same",H860,IF($V856="Enter Percentages",IF(V860="","",V860*T860),IF($V856="Keep Percentage Same",IF(G860="","",G860*T860),IF($V856="Enter Dollar Amount",IF(W860="","",W860),"")))),"")</f>
        <v/>
      </c>
      <c r="Y860" s="417" t="str">
        <f t="shared" ca="1" si="175"/>
        <v/>
      </c>
      <c r="Z860" s="419" t="str">
        <f t="shared" si="176"/>
        <v/>
      </c>
    </row>
    <row r="861" spans="1:26" ht="18.75" customHeight="1" thickTop="1">
      <c r="A861" s="140"/>
      <c r="B861" s="140"/>
      <c r="D861" s="175" t="s">
        <v>329</v>
      </c>
      <c r="E861" s="424"/>
      <c r="F861" s="427"/>
      <c r="G861" s="426"/>
      <c r="H861" s="427"/>
      <c r="I861" s="428"/>
      <c r="J861" s="429" t="str">
        <f>IFERROR(IF(J857="","",SUM(J857:J860)),0)</f>
        <v/>
      </c>
      <c r="K861" s="1"/>
      <c r="L861" s="424"/>
      <c r="M861" s="427"/>
      <c r="N861" s="426"/>
      <c r="O861" s="427"/>
      <c r="P861" s="431"/>
      <c r="Q861" s="432"/>
      <c r="R861" s="429" t="str">
        <f>IFERROR(IF(R857="","",SUM(R857:R860)),0)</f>
        <v/>
      </c>
      <c r="T861" s="424"/>
      <c r="U861" s="427"/>
      <c r="V861" s="426"/>
      <c r="W861" s="427"/>
      <c r="X861" s="431"/>
      <c r="Y861" s="432"/>
      <c r="Z861" s="429" t="str">
        <f>IFERROR(IF(Z857="","",SUM(Z857:Z860)),0)</f>
        <v/>
      </c>
    </row>
    <row r="862" spans="1:26" ht="18.75" customHeight="1">
      <c r="A862" s="140"/>
      <c r="B862" s="140"/>
      <c r="D862" s="177" t="s">
        <v>243</v>
      </c>
      <c r="E862" s="433"/>
      <c r="F862" s="436"/>
      <c r="G862" s="435"/>
      <c r="H862" s="436"/>
      <c r="I862" s="432"/>
      <c r="J862" s="437" t="str">
        <f>IF(J861="","",J861*12)</f>
        <v/>
      </c>
      <c r="K862" s="1"/>
      <c r="L862" s="433"/>
      <c r="M862" s="436"/>
      <c r="N862" s="435"/>
      <c r="O862" s="436"/>
      <c r="P862" s="432"/>
      <c r="Q862" s="432"/>
      <c r="R862" s="437" t="str">
        <f>IF(R861="","",R861*12)</f>
        <v/>
      </c>
      <c r="T862" s="433"/>
      <c r="U862" s="436"/>
      <c r="V862" s="435"/>
      <c r="W862" s="436"/>
      <c r="X862" s="432"/>
      <c r="Y862" s="432"/>
      <c r="Z862" s="437" t="str">
        <f>IF(Z861="","",Z861*12)</f>
        <v/>
      </c>
    </row>
    <row r="863" spans="1:26" ht="18" customHeight="1">
      <c r="A863" s="140"/>
      <c r="B863" s="140"/>
      <c r="D863" s="177" t="s">
        <v>244</v>
      </c>
      <c r="E863" s="433"/>
      <c r="F863" s="436"/>
      <c r="G863" s="435"/>
      <c r="H863" s="436"/>
      <c r="I863" s="432"/>
      <c r="J863" s="437" t="str">
        <f>IFERROR(IF(J862="","",R862-J862),0)</f>
        <v/>
      </c>
      <c r="K863" s="1"/>
      <c r="L863" s="433"/>
      <c r="M863" s="436"/>
      <c r="N863" s="435"/>
      <c r="O863" s="436"/>
      <c r="P863" s="432"/>
      <c r="Q863" s="432"/>
      <c r="R863" s="437" t="str">
        <f>IFERROR(IF(J862="","",R862-J862),0)</f>
        <v/>
      </c>
      <c r="T863" s="433"/>
      <c r="U863" s="436"/>
      <c r="V863" s="435"/>
      <c r="W863" s="436"/>
      <c r="X863" s="432"/>
      <c r="Y863" s="432"/>
      <c r="Z863" s="437" t="str">
        <f>IFERROR(IF(R862="","",Z862-R862),0)</f>
        <v/>
      </c>
    </row>
    <row r="864" spans="1:26" ht="18" customHeight="1" thickBot="1">
      <c r="A864" s="140"/>
      <c r="B864" s="140"/>
      <c r="D864" s="180" t="s">
        <v>245</v>
      </c>
      <c r="E864" s="439"/>
      <c r="F864" s="440"/>
      <c r="G864" s="441"/>
      <c r="H864" s="440"/>
      <c r="I864" s="442"/>
      <c r="J864" s="437" t="str">
        <f>IFERROR(IF(J862="","",(R862/J862)-1),0)</f>
        <v/>
      </c>
      <c r="K864" s="1"/>
      <c r="L864" s="439"/>
      <c r="M864" s="440"/>
      <c r="N864" s="441"/>
      <c r="O864" s="440"/>
      <c r="P864" s="445"/>
      <c r="Q864" s="445"/>
      <c r="R864" s="446" t="str">
        <f>IFERROR(IF(J862="","",(R862/J862)-1),0)</f>
        <v/>
      </c>
      <c r="T864" s="439"/>
      <c r="U864" s="440"/>
      <c r="V864" s="441"/>
      <c r="W864" s="440"/>
      <c r="X864" s="445"/>
      <c r="Y864" s="445"/>
      <c r="Z864" s="446" t="str">
        <f>IFERROR(IF(R862="","",(Z862/R862)-1),0)</f>
        <v/>
      </c>
    </row>
    <row r="865" spans="1:26" ht="5.25" customHeight="1" thickBot="1">
      <c r="A865" s="140"/>
      <c r="B865" s="140"/>
      <c r="D865" s="229"/>
      <c r="E865" s="229"/>
      <c r="F865" s="230"/>
      <c r="G865" s="231"/>
      <c r="H865" s="232"/>
      <c r="I865" s="233"/>
      <c r="J865" s="233"/>
      <c r="K865"/>
      <c r="L865" s="233"/>
      <c r="M865" s="233"/>
      <c r="N865" s="233"/>
      <c r="O865" s="233"/>
      <c r="P865" s="233"/>
      <c r="Q865" s="233"/>
      <c r="R865" s="233"/>
      <c r="T865" s="233"/>
      <c r="U865" s="233"/>
      <c r="V865" s="233"/>
      <c r="W865" s="233"/>
      <c r="X865" s="233"/>
      <c r="Y865" s="233"/>
      <c r="Z865" s="233"/>
    </row>
    <row r="866" spans="1:26" ht="13.5" thickTop="1">
      <c r="A866" s="140"/>
      <c r="B866" s="140"/>
      <c r="D866" s="238" t="s">
        <v>310</v>
      </c>
      <c r="E866" s="239"/>
      <c r="F866" s="239"/>
      <c r="G866" s="239"/>
      <c r="H866" s="239"/>
      <c r="I866" s="239"/>
      <c r="J866" s="239"/>
      <c r="K866" s="239"/>
      <c r="L866" s="239"/>
      <c r="M866" s="239"/>
      <c r="N866" s="239"/>
      <c r="O866" s="239"/>
      <c r="P866" s="239"/>
      <c r="Q866" s="239"/>
      <c r="R866" s="240"/>
      <c r="T866" s="240"/>
      <c r="U866" s="240"/>
      <c r="V866" s="240"/>
      <c r="W866" s="240"/>
      <c r="X866" s="240"/>
      <c r="Y866" s="240"/>
      <c r="Z866" s="240"/>
    </row>
    <row r="867" spans="1:26" ht="18" customHeight="1">
      <c r="A867" s="140"/>
      <c r="B867" s="140"/>
      <c r="D867"/>
      <c r="E867"/>
      <c r="F867"/>
      <c r="G867"/>
      <c r="H867"/>
      <c r="I867" s="241" t="s">
        <v>311</v>
      </c>
      <c r="J867" s="462">
        <f ca="1">IFERROR(IF(J19="",0,J19)+IF(J69="",0,J69)+IF(J119="",0,J119)+IF(J169="",0,J169)+IF(J219="",0,J219)+IF(J269="",0,J269)+IF(J319="",0,J319)+IF(J369="",0,J369)+IF(J419="",0,J419)+IF(J469="",0,J469)+IF(J519="",0,J519)+IF(J569="",0,J569)+IF(J619="",0,J619),0)</f>
        <v>0</v>
      </c>
      <c r="K867" s="242"/>
      <c r="L867" s="176"/>
      <c r="M867" s="178"/>
      <c r="N867" s="139"/>
      <c r="O867" s="178"/>
      <c r="P867"/>
      <c r="Q867" s="173" t="s">
        <v>311</v>
      </c>
      <c r="R867" s="462">
        <f>IFERROR(IF(R19="",0,R19)+IF(R69="",0,R69)+IF(R119="",0,R119)+IF(R169="",0,R169)+IF(R219="",0,R219)+IF(R269="",0,R269)+IF(R319="",0,R319)+IF(R369="",0,R369)+IF(R419="",0,R419)+IF(R469="",0,R469)+IF(R519="",0,R519)+IF(R569="",0,R569)+IF(R619="",0,R619),0)</f>
        <v>0</v>
      </c>
      <c r="Y867" s="173" t="s">
        <v>311</v>
      </c>
      <c r="Z867" s="462">
        <f>IFERROR(IF(Z19="",0,Z19)+IF(Z69="",0,Z69)+IF(Z119="",0,Z119)+IF(Z169="",0,Z169)+IF(Z219="",0,Z219)+IF(Z269="",0,Z269)+IF(Z319="",0,Z319)+IF(Z369="",0,Z369)+IF(Z419="",0,Z419)+IF(Z469="",0,Z469)+IF(Z519="",0,Z519)+IF(Z569="",0,Z569)+IF(Z619="",0,Z619),0)</f>
        <v>0</v>
      </c>
    </row>
    <row r="868" spans="1:26" ht="18" customHeight="1">
      <c r="A868" s="140"/>
      <c r="B868" s="140"/>
      <c r="D868"/>
      <c r="E868"/>
      <c r="F868"/>
      <c r="G868"/>
      <c r="H868"/>
      <c r="I868" s="241" t="s">
        <v>312</v>
      </c>
      <c r="J868" s="462">
        <f ca="1">IFERROR(IF(J670="",0,J670)+IF(J680="",0,J680)+IF(J690="",0,J690)+IF(J700="",0,J700)+IF(J710="",0,J710)+IF(J720="",0,J720)+IF(J730="",0,J730)+IF(J740="",0,P740)+IF(J750="",0,P750)+IF(J760="",0,J760),0)</f>
        <v>0</v>
      </c>
      <c r="K868" s="242"/>
      <c r="L868" s="176"/>
      <c r="M868" s="178"/>
      <c r="N868" s="139"/>
      <c r="O868" s="178"/>
      <c r="P868"/>
      <c r="Q868" s="173" t="s">
        <v>312</v>
      </c>
      <c r="R868" s="462">
        <f>IFERROR(IF(R670="",0,R670)+IF(R680="",0,R680)+IF(R690="",0,R690)+IF(R700="",0,R700)+IF(R710="",0,R710)+IF(R720="",0,R720)+IF(R730="",0,R730)+IF(R740="",0,X740)+IF(R750="",0,X750)+IF(R760="",0,R760),0)</f>
        <v>0</v>
      </c>
      <c r="Y868" s="173" t="s">
        <v>312</v>
      </c>
      <c r="Z868" s="462">
        <f>IFERROR(IF(Z670="",0,Z670)+IF(Z680="",0,Z680)+IF(Z690="",0,Z690)+IF(Z700="",0,Z700)+IF(Z710="",0,Z710)+IF(Z720="",0,Z720)+IF(Z730="",0,Z730)+IF(Z740="",0,AF740)+IF(Z750="",0,AF750)+IF(Z760="",0,Z760),0)</f>
        <v>0</v>
      </c>
    </row>
    <row r="869" spans="1:26" ht="18" customHeight="1">
      <c r="A869" s="140"/>
      <c r="B869" s="140"/>
      <c r="D869"/>
      <c r="E869"/>
      <c r="F869"/>
      <c r="G869"/>
      <c r="H869"/>
      <c r="I869" s="241" t="s">
        <v>313</v>
      </c>
      <c r="J869" s="462">
        <f ca="1">IFERROR(IF(J771="",0,J771)+IF(J781="",0,J781)+IF(J791="",0,J791)+IF(J801="",0,J801)+IF(J811="",0,J811)+IF(J821="",0,J821)+IF(J831="",0,J831)+IF(J841="",0,J841)+IF(J851="",0,J851)+IF(J861="",0,J861),0)</f>
        <v>0</v>
      </c>
      <c r="K869" s="242"/>
      <c r="L869" s="176"/>
      <c r="M869" s="178"/>
      <c r="N869" s="139"/>
      <c r="O869" s="178"/>
      <c r="P869"/>
      <c r="Q869" s="173" t="s">
        <v>314</v>
      </c>
      <c r="R869" s="462">
        <f>IFERROR(IF(R771="",0,R771)+IF(R781="",0,R781)+IF(R791="",0,R791)+IF(R801="",0,R801)+IF(R811="",0,R811)+IF(R821="",0,R821)+IF(R831="",0,R831)+IF(R841="",0,R841)+IF(R851="",0,R851)+IF(R861="",0,R861),0)</f>
        <v>0</v>
      </c>
      <c r="Y869" s="173" t="s">
        <v>314</v>
      </c>
      <c r="Z869" s="462">
        <f>IFERROR(IF(Z771="",0,Z771)+IF(Z781="",0,Z781)+IF(Z791="",0,Z791)+IF(Z801="",0,Z801)+IF(Z811="",0,Z811)+IF(Z821="",0,Z821)+IF(Z831="",0,Z831)+IF(Z841="",0,Z841)+IF(Z851="",0,Z851)+IF(Z861="",0,Z861),0)</f>
        <v>0</v>
      </c>
    </row>
    <row r="870" spans="1:26" ht="18" customHeight="1">
      <c r="A870" s="140"/>
      <c r="B870" s="140"/>
      <c r="D870"/>
      <c r="E870"/>
      <c r="F870"/>
      <c r="G870"/>
      <c r="H870"/>
      <c r="I870" s="241" t="s">
        <v>315</v>
      </c>
      <c r="J870" s="11">
        <f ca="1">IFERROR(IF(E15="",0,E15)+IF(E16="",0,E16)+IF(E17="",0,E17)+IF(E18="",0,E18)+IF(E65="",0,E65)+IF(E66="",0,E66)+IF(E67="",0,E67)+IF(E68="",0,E68)+IF(E115="",0,E115)+IF(E116="",0,E116)+IF(E117="",0,E117)+IF(E118="",0,E118)+IF(E165="",0,E165)+IF(E166="",0,E166)+IF(E167="",0,E167)+IF(E168="",0,E168)+IF(E215="",0,E215)+IF(E216="",0,E216)+IF(E217="",0,E217)+IF(E218="",0,E218)+IF(E265="",0,E265)+IF(E266="",0,E266)+IF(E267="",0,E267)+IF(E268="",0,E268)+IF(E315="",0,E315)+IF(E316="",0,E316)+IF(E317="",0,E317)+IF(E318="",0,E318)+IF(E365="",0,E365)+IF(E366="",0,E366)+IF(E367="",0,E367)+IF(E368="",0,E368)+IF(E415="",0,E415)+IF(E416="",0,E416)+IF(E417="",0,E417)+IF(E418="",0,E418)+IF(E465="",0,E465)+IF(E466="",0,E466)+IF(E467="",0,E467)+IF(E468="",0,E468)+IF(E515="",0,E515)+IF(E516="",0,E516)+IF(E517="",0,E517)+IF(E518="",0,E518)+IF(E565="",0,E565)+IF(E566="",0,E566)+IF(E567="",0,E567)+IF(E568="",0,E568)+IF(E615="",0,E615)+IF(E616="",0,E616)+IF(E617="",0,E617)+IF(E618="",0,E618),0)</f>
        <v>0</v>
      </c>
      <c r="K870" s="242"/>
      <c r="L870" s="176"/>
      <c r="M870" s="178"/>
      <c r="N870" s="139"/>
      <c r="O870" s="178"/>
      <c r="P870"/>
      <c r="Q870" s="241" t="s">
        <v>315</v>
      </c>
      <c r="R870" s="11">
        <f ca="1">IFERROR(IF(M15="",0,M15)+IF(M16="",0,M16)+IF(M17="",0,M17)+IF(M18="",0,M18)+IF(M65="",0,M65)+IF(M66="",0,M66)+IF(M67="",0,M67)+IF(M68="",0,M68)+IF(M115="",0,M115)+IF(M116="",0,M116)+IF(M117="",0,M117)+IF(M118="",0,M118)+IF(M165="",0,M165)+IF(M166="",0,M166)+IF(M167="",0,M167)+IF(M168="",0,M168)+IF(M215="",0,M215)+IF(M216="",0,M216)+IF(M217="",0,M217)+IF(M218="",0,M218)+IF(M265="",0,M265)+IF(M266="",0,M266)+IF(M267="",0,M267)+IF(M268="",0,M268)+IF(M315="",0,M315)+IF(M316="",0,M316)+IF(M317="",0,M317)+IF(M318="",0,M318)+IF(M365="",0,M365)+IF(M366="",0,M366)+IF(M367="",0,M367)+IF(M368="",0,M368)+IF(M415="",0,M415)+IF(M416="",0,M416)+IF(M417="",0,M417)+IF(M418="",0,M418)+IF(M465="",0,M465)+IF(M466="",0,M466)+IF(M467="",0,M467)+IF(M468="",0,M468)+IF(M515="",0,M515)+IF(M516="",0,M516)+IF(M517="",0,M517)+IF(M518="",0,M518)+IF(M565="",0,M565)+IF(M566="",0,M566)+IF(M567="",0,M567)+IF(M568="",0,M568)+IF(M615="",0,M615)+IF(M616="",0,M616)+IF(M617="",0,M617)+IF(M618="",0,M618),0)</f>
        <v>0</v>
      </c>
      <c r="Y870" s="241" t="s">
        <v>315</v>
      </c>
      <c r="Z870" s="11">
        <f ca="1">IFERROR(IF(U15="",0,U15)+IF(U16="",0,U16)+IF(U17="",0,U17)+IF(U18="",0,U18)+IF(U65="",0,U65)+IF(U66="",0,U66)+IF(U67="",0,U67)+IF(U68="",0,U68)+IF(U115="",0,U115)+IF(U116="",0,U116)+IF(U117="",0,U117)+IF(U118="",0,U118)+IF(U165="",0,U165)+IF(U166="",0,U166)+IF(U167="",0,U167)+IF(U168="",0,U168)+IF(U215="",0,U215)+IF(U216="",0,U216)+IF(U217="",0,U217)+IF(U218="",0,U218)+IF(U265="",0,U265)+IF(U266="",0,U266)+IF(U267="",0,U267)+IF(U268="",0,U268)+IF(U315="",0,U315)+IF(U316="",0,U316)+IF(U317="",0,U317)+IF(U318="",0,U318)+IF(U365="",0,U365)+IF(U366="",0,U366)+IF(U367="",0,U367)+IF(U368="",0,U368)+IF(U415="",0,U415)+IF(U416="",0,U416)+IF(U417="",0,U417)+IF(U418="",0,U418)+IF(U465="",0,U465)+IF(U466="",0,U466)+IF(U467="",0,U467)+IF(U468="",0,U468)+IF(U515="",0,U515)+IF(U516="",0,U516)+IF(U517="",0,U517)+IF(U518="",0,U518)+IF(U565="",0,U565)+IF(U566="",0,U566)+IF(U567="",0,U567)+IF(U568="",0,U568)+IF(U615="",0,U615)+IF(U616="",0,U616)+IF(U617="",0,U617)+IF(U618="",0,U618),0)</f>
        <v>0</v>
      </c>
    </row>
    <row r="871" spans="1:26" ht="18" customHeight="1">
      <c r="A871" s="140"/>
      <c r="B871" s="140"/>
      <c r="D871"/>
      <c r="E871"/>
      <c r="F871"/>
      <c r="G871"/>
      <c r="H871"/>
      <c r="I871" s="241" t="s">
        <v>316</v>
      </c>
      <c r="J871" s="11">
        <f ca="1">IFERROR(IF(E666="",0,E666)+IF(E667="",0,E667)+IF(E668="",0,E668)+IF(E669="",0,E669)+IF(E676="",0,E676)+IF(E677="",0,E677)+IF(E678="",0,E678)+IF(E679="",0,E679)+IF(E686="",0,E686)+IF(E687="",0,E687)+IF(E688="",0,E688)+IF(E689="",0,E689)+IF(E696="",0,E696)+IF(E697="",0,E697)+IF(E698="",0,E698)+IF(E699="",0,E699)+IF(E706="",0,E706)+IF(E707="",0,E707)+IF(E708="",0,E708)+IF(E709="",0,E709)+IF(E716="",0,E716)+IF(E717="",0,E717)+IF(E718="",0,E718)+IF(E719="",0,E719)+IF(E726="",0,E726)+IF(E727="",0,E727)+IF(E728="",0,E728)+IF(E729="",0,E729)+IF(E736="",0,E736)+IF(E737="",0,E737)+IF(E738="",0,E738)+IF(E739="",0,E739)+IF(E746="",0,E746)+IF(E747="",0,E747)+IF(E748="",0,E748)+IF(E749="",0,E749)+IF(E756="",0,E756)+IF(E757="",0,E757)+IF(E758="",0,E758)+IF(E759="",0,E759),0)</f>
        <v>0</v>
      </c>
      <c r="K871" s="242"/>
      <c r="L871" s="176"/>
      <c r="M871" s="178"/>
      <c r="N871" s="139"/>
      <c r="O871" s="178"/>
      <c r="P871"/>
      <c r="Q871" s="241" t="s">
        <v>316</v>
      </c>
      <c r="R871" s="11">
        <f ca="1">IFERROR(IF(M666="",0,M666)+IF(M667="",0,M667)+IF(M668="",0,M668)+IF(M669="",0,M669)+IF(M676="",0,M676)+IF(M677="",0,M677)+IF(M678="",0,M678)+IF(M679="",0,M679)+IF(M686="",0,M686)+IF(M687="",0,M687)+IF(M688="",0,M688)+IF(M689="",0,M689)+IF(M696="",0,M696)+IF(M697="",0,M697)+IF(M698="",0,M698)+IF(M699="",0,M699)+IF(M706="",0,M706)+IF(M707="",0,M707)+IF(M708="",0,M708)+IF(M709="",0,M709)+IF(M716="",0,M716)+IF(M717="",0,M717)+IF(M718="",0,M718)+IF(M719="",0,M719)+IF(M726="",0,M726)+IF(M727="",0,M727)+IF(M728="",0,M728)+IF(M729="",0,M729)+IF(M736="",0,M736)+IF(M737="",0,M737)+IF(M738="",0,M738)+IF(M739="",0,M739)+IF(M746="",0,M746)+IF(M747="",0,M747)+IF(M748="",0,M748)+IF(M749="",0,M749)+IF(M756="",0,M756)+IF(M757="",0,M757)+IF(M758="",0,M758)+IF(M759="",0,M759),0)</f>
        <v>0</v>
      </c>
      <c r="Y871" s="241" t="s">
        <v>316</v>
      </c>
      <c r="Z871" s="11">
        <f ca="1">IFERROR(IF(U666="",0,U666)+IF(U667="",0,U667)+IF(U668="",0,U668)+IF(U669="",0,U669)+IF(U676="",0,U676)+IF(U677="",0,U677)+IF(U678="",0,U678)+IF(U679="",0,U679)+IF(U686="",0,U686)+IF(U687="",0,U687)+IF(U688="",0,U688)+IF(U689="",0,U689)+IF(U696="",0,U696)+IF(U697="",0,U697)+IF(U698="",0,U698)+IF(U699="",0,U699)+IF(U706="",0,U706)+IF(U707="",0,U707)+IF(U708="",0,U708)+IF(U709="",0,U709)+IF(U716="",0,U716)+IF(U717="",0,U717)+IF(U718="",0,U718)+IF(U719="",0,U719)+IF(U726="",0,U726)+IF(U727="",0,U727)+IF(U728="",0,U728)+IF(U729="",0,U729)+IF(U736="",0,U736)+IF(U737="",0,U737)+IF(U738="",0,U738)+IF(U739="",0,U739)+IF(U746="",0,U746)+IF(U747="",0,U747)+IF(U748="",0,U748)+IF(U749="",0,U749)+IF(U756="",0,U756)+IF(U757="",0,U757)+IF(U758="",0,U758)+IF(U759="",0,U759),0)</f>
        <v>0</v>
      </c>
    </row>
    <row r="872" spans="1:26" ht="18" customHeight="1">
      <c r="A872" s="140"/>
      <c r="B872" s="140"/>
      <c r="D872"/>
      <c r="E872"/>
      <c r="F872"/>
      <c r="G872"/>
      <c r="H872"/>
      <c r="I872" s="241" t="s">
        <v>317</v>
      </c>
      <c r="J872" s="11">
        <f ca="1">IFERROR(IF(E767="",0,E767)+IF(E768="",0,E768)+IF(E769="",0,E769)+IF(E770="",0,E770)+IF(E777="",0,E777)+IF(E778="",0,E778)+IF(E779="",0,E779)+IF(E780="",0,E780)+IF(E787="",0,E787)+IF(E788="",0,E788)+IF(E789="",0,E789)+IF(E790="",0,E790)+IF(E797="",0,E797)+IF(E798="",0,E798)+IF(E799="",0,E799)+IF(E800="",0,E800)+IF(E807="",0,E807)+IF(E808="",0,E808)+IF(E809="",0,E809)+IF(E810="",0,E810)+IF(E817="",0,E817)+IF(E818="",0,E818)+IF(E819="",0,E819)+IF(E820="",0,E820)+IF(E827="",0,E827)+IF(E828="",0,E828)+IF(E829="",0,E829)+IF(E830="",0,E830)+IF(E837="",0,E837)+IF(E838="",0,E838)+IF(E839="",0,E839)+IF(E840="",0,E840)+IF(E847="",0,E847)+IF(E848="",0,E848)+IF(E849="",0,E849)+IF(E850="",0,E850)+IF(E857="",0,E857)+IF(E858="",0,E858)+IF(E859="",0,E859)+IF(E860="",0,E860),0)</f>
        <v>0</v>
      </c>
      <c r="K872" s="242"/>
      <c r="L872" s="176"/>
      <c r="M872" s="178"/>
      <c r="N872" s="139"/>
      <c r="O872" s="178"/>
      <c r="P872"/>
      <c r="Q872" s="241" t="s">
        <v>317</v>
      </c>
      <c r="R872" s="11">
        <f ca="1">IFERROR(IF(M767="",0,M767)+IF(M768="",0,M768)+IF(M769="",0,M769)+IF(M770="",0,M770)+IF(M777="",0,M777)+IF(M778="",0,M778)+IF(M779="",0,M779)+IF(M780="",0,M780)+IF(M787="",0,M787)+IF(M788="",0,M788)+IF(M789="",0,M789)+IF(M790="",0,M790)+IF(M797="",0,M797)+IF(M798="",0,M798)+IF(M799="",0,M799)+IF(M800="",0,M800)+IF(M807="",0,M807)+IF(M808="",0,M808)+IF(M809="",0,M809)+IF(M810="",0,M810)+IF(M817="",0,M817)+IF(M818="",0,M818)+IF(M819="",0,M819)+IF(M820="",0,M820)+IF(M827="",0,M827)+IF(M828="",0,M828)+IF(M829="",0,M829)+IF(M830="",0,M830)+IF(M837="",0,M837)+IF(M838="",0,M838)+IF(M839="",0,M839)+IF(M840="",0,M840)+IF(M847="",0,M847)+IF(M848="",0,M848)+IF(M849="",0,M849)+IF(M850="",0,M850)+IF(M857="",0,M857)+IF(M858="",0,M858)+IF(M859="",0,M859)+IF(M860="",0,M860),0)</f>
        <v>0</v>
      </c>
      <c r="Y872" s="241" t="s">
        <v>317</v>
      </c>
      <c r="Z872" s="11">
        <f ca="1">IFERROR(IF(U767="",0,U767)+IF(U768="",0,U768)+IF(U769="",0,U769)+IF(U770="",0,U770)+IF(U777="",0,U777)+IF(U778="",0,U778)+IF(U779="",0,U779)+IF(U780="",0,U780)+IF(U787="",0,U787)+IF(U788="",0,U788)+IF(U789="",0,U789)+IF(U790="",0,U790)+IF(U797="",0,U797)+IF(U798="",0,U798)+IF(U799="",0,U799)+IF(U800="",0,U800)+IF(U807="",0,U807)+IF(U808="",0,U808)+IF(U809="",0,U809)+IF(U810="",0,U810)+IF(U817="",0,U817)+IF(U818="",0,U818)+IF(U819="",0,U819)+IF(U820="",0,U820)+IF(U827="",0,U827)+IF(U828="",0,U828)+IF(U829="",0,U829)+IF(U830="",0,U830)+IF(U837="",0,U837)+IF(U838="",0,U838)+IF(U839="",0,U839)+IF(U840="",0,U840)+IF(U847="",0,U847)+IF(U848="",0,U848)+IF(U849="",0,U849)+IF(U850="",0,U850)+IF(U857="",0,U857)+IF(U858="",0,U858)+IF(U859="",0,U859)+IF(U860="",0,U860),0)</f>
        <v>0</v>
      </c>
    </row>
    <row r="873" spans="1:140" s="162" customFormat="1" ht="18" customHeight="1" thickBot="1">
      <c r="A873" s="140"/>
      <c r="B873" s="140"/>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row>
    <row r="874" spans="1:27" ht="31.4" customHeight="1" thickBot="1">
      <c r="A874" s="153"/>
      <c r="B874" s="153"/>
      <c r="C874"/>
      <c r="D874" s="474" t="s">
        <v>318</v>
      </c>
      <c r="E874" s="475"/>
      <c r="F874" s="475"/>
      <c r="G874" s="475"/>
      <c r="H874" s="475"/>
      <c r="I874" s="475"/>
      <c r="J874" s="475"/>
      <c r="K874" s="475"/>
      <c r="L874" s="475"/>
      <c r="M874" s="475"/>
      <c r="N874" s="475"/>
      <c r="O874" s="475"/>
      <c r="P874" s="475"/>
      <c r="Q874" s="475"/>
      <c r="R874" s="476"/>
      <c r="S874" s="162"/>
      <c r="T874" s="474"/>
      <c r="U874" s="475"/>
      <c r="V874" s="475"/>
      <c r="W874" s="475"/>
      <c r="X874" s="475"/>
      <c r="Y874" s="475"/>
      <c r="Z874" s="476"/>
      <c r="AA874"/>
    </row>
    <row r="875" spans="1:27" ht="21.75" customHeight="1" thickBot="1">
      <c r="A875" s="140"/>
      <c r="B875" s="140"/>
      <c r="C875"/>
      <c r="D875" s="530" t="s">
        <v>456</v>
      </c>
      <c r="E875" s="531"/>
      <c r="F875" s="531"/>
      <c r="G875" s="531"/>
      <c r="H875" s="531"/>
      <c r="I875" s="531"/>
      <c r="J875" s="531"/>
      <c r="K875" s="531"/>
      <c r="L875" s="531"/>
      <c r="M875" s="531"/>
      <c r="N875" s="531"/>
      <c r="O875" s="531"/>
      <c r="P875" s="531"/>
      <c r="Q875" s="532"/>
      <c r="R875" s="246"/>
      <c r="AA875"/>
    </row>
    <row r="876" spans="1:27" ht="21.75" customHeight="1">
      <c r="A876" s="140"/>
      <c r="B876" s="140"/>
      <c r="C876"/>
      <c r="D876" s="516" t="s">
        <v>320</v>
      </c>
      <c r="E876" s="517"/>
      <c r="F876" s="464"/>
      <c r="G876" s="524"/>
      <c r="H876" s="525"/>
      <c r="I876" s="250" t="s">
        <v>441</v>
      </c>
      <c r="J876"/>
      <c r="K876" s="245"/>
      <c r="L876" s="526" t="s">
        <v>321</v>
      </c>
      <c r="M876" s="527"/>
      <c r="N876" s="528" t="s">
        <v>322</v>
      </c>
      <c r="O876" s="528"/>
      <c r="P876" s="529" t="s">
        <v>323</v>
      </c>
      <c r="Q876" s="529"/>
      <c r="R876" s="245"/>
      <c r="AA876"/>
    </row>
    <row r="877" spans="1:18" ht="21.75" customHeight="1">
      <c r="A877" s="140"/>
      <c r="B877" s="140" t="s">
        <v>38</v>
      </c>
      <c r="D877" s="505" t="s">
        <v>455</v>
      </c>
      <c r="E877" s="506"/>
      <c r="F877" s="509"/>
      <c r="G877" s="510"/>
      <c r="H877" s="511"/>
      <c r="I877"/>
      <c r="J877"/>
      <c r="K877" s="245"/>
      <c r="L877" s="520" t="s">
        <v>325</v>
      </c>
      <c r="M877" s="521"/>
      <c r="N877" s="512" t="str">
        <f>LTDSelect</f>
        <v>SELECT PLAN</v>
      </c>
      <c r="O877" s="512"/>
      <c r="P877" s="513" t="str">
        <f>IFERROR(VLOOKUP(N877,BEGIN_Renew_LTD_PlanID:END_RENEW_LTD,9,FALSE),"--")</f>
        <v>--</v>
      </c>
      <c r="Q877" s="513"/>
      <c r="R877" s="251" t="s">
        <v>446</v>
      </c>
    </row>
    <row r="878" spans="1:18" ht="21.75" customHeight="1">
      <c r="A878" s="140"/>
      <c r="B878" s="140" t="s">
        <v>38</v>
      </c>
      <c r="D878" s="505" t="s">
        <v>324</v>
      </c>
      <c r="E878" s="506"/>
      <c r="F878" s="465" t="s">
        <v>454</v>
      </c>
      <c r="G878" s="463"/>
      <c r="H878" s="463"/>
      <c r="I878"/>
      <c r="J878"/>
      <c r="K878" s="245"/>
      <c r="L878" s="520" t="s">
        <v>326</v>
      </c>
      <c r="M878" s="521"/>
      <c r="N878" s="512" t="str">
        <f>STDSelect</f>
        <v>SELECT PLAN</v>
      </c>
      <c r="O878" s="512"/>
      <c r="P878" s="513" t="str">
        <f>IFERROR(VLOOKUP(N878,BEGIN_Renew_STD_PlanID:END_RENEW_STD,9,FALSE),"--")</f>
        <v>--</v>
      </c>
      <c r="Q878" s="513"/>
      <c r="R878" s="251" t="s">
        <v>442</v>
      </c>
    </row>
    <row r="879" spans="1:18" ht="21.75" customHeight="1" thickBot="1">
      <c r="A879" s="140"/>
      <c r="B879" s="140" t="s">
        <v>38</v>
      </c>
      <c r="D879" s="522" t="s">
        <v>457</v>
      </c>
      <c r="E879" s="523"/>
      <c r="F879" s="466"/>
      <c r="G879" s="463">
        <v>3</v>
      </c>
      <c r="H879" s="463" t="str">
        <f>IFERROR(IF(G879="","","Per EE per Month"),"")</f>
        <v>Per EE per Month</v>
      </c>
      <c r="I879"/>
      <c r="J879"/>
      <c r="K879" s="245"/>
      <c r="L879" s="520" t="s">
        <v>327</v>
      </c>
      <c r="M879" s="521"/>
      <c r="N879" s="512" t="str">
        <f>LifeSelect</f>
        <v>SELECT PLAN</v>
      </c>
      <c r="O879" s="512"/>
      <c r="P879" s="513" t="str">
        <f>IFERROR(VLOOKUP(N879,BEGIN_Renew_LIFE_PlanID:END_RENEW_LIFE,9,FALSE),"--")</f>
        <v>--</v>
      </c>
      <c r="Q879" s="513"/>
      <c r="R879" s="251" t="s">
        <v>443</v>
      </c>
    </row>
    <row r="880" spans="1:20" ht="13">
      <c r="A880" s="140"/>
      <c r="B880" s="140"/>
      <c r="G880" s="253"/>
      <c r="H880" s="253"/>
      <c r="I880"/>
      <c r="J880"/>
      <c r="K880" s="245"/>
      <c r="L880"/>
      <c r="M880"/>
      <c r="N880"/>
      <c r="O880"/>
      <c r="P880"/>
      <c r="Q880"/>
      <c r="R880"/>
      <c r="S880"/>
      <c r="T880"/>
    </row>
    <row r="881" spans="1:8" ht="13">
      <c r="A881" s="140"/>
      <c r="B881" s="140"/>
      <c r="G881" s="253"/>
      <c r="H881" s="253"/>
    </row>
    <row r="882" spans="1:22" ht="13">
      <c r="A882" s="140"/>
      <c r="B882" s="140"/>
      <c r="G882" s="253"/>
      <c r="H882" s="253"/>
      <c r="I882" s="256"/>
      <c r="J882" s="253"/>
      <c r="K882" s="253"/>
      <c r="L882" s="253"/>
      <c r="M882" s="253"/>
      <c r="N882" s="255"/>
      <c r="O882" s="253"/>
      <c r="P882" s="253"/>
      <c r="Q882" s="253"/>
      <c r="R882" s="253"/>
      <c r="S882" s="257"/>
      <c r="T882" s="257"/>
      <c r="U882" s="257"/>
      <c r="V882" s="257"/>
    </row>
    <row r="883" spans="1:22" ht="13">
      <c r="A883" s="140"/>
      <c r="B883" s="140"/>
      <c r="G883" s="253"/>
      <c r="H883" s="253"/>
      <c r="I883" s="256"/>
      <c r="J883" s="253"/>
      <c r="K883" s="253"/>
      <c r="L883" s="253"/>
      <c r="M883" s="253"/>
      <c r="N883" s="255"/>
      <c r="O883" s="253"/>
      <c r="P883" s="253"/>
      <c r="Q883" s="253"/>
      <c r="R883" s="253"/>
      <c r="S883" s="257"/>
      <c r="T883" s="257"/>
      <c r="U883" s="257"/>
      <c r="V883" s="257"/>
    </row>
    <row r="884" spans="1:22" ht="13">
      <c r="A884" s="140"/>
      <c r="B884" s="140"/>
      <c r="G884" s="253"/>
      <c r="H884" s="253"/>
      <c r="I884" s="256"/>
      <c r="J884" s="253"/>
      <c r="K884" s="253"/>
      <c r="L884" s="253"/>
      <c r="M884" s="253"/>
      <c r="N884" s="255"/>
      <c r="O884" s="253"/>
      <c r="P884" s="253"/>
      <c r="Q884" s="253"/>
      <c r="R884" s="253"/>
      <c r="S884" s="257"/>
      <c r="T884" s="257"/>
      <c r="U884" s="257"/>
      <c r="V884" s="257"/>
    </row>
    <row r="885" spans="1:22" ht="13">
      <c r="A885" s="140"/>
      <c r="B885" s="140"/>
      <c r="G885" s="253"/>
      <c r="H885" s="253"/>
      <c r="I885" s="256"/>
      <c r="J885" s="253"/>
      <c r="K885" s="253"/>
      <c r="L885" s="253"/>
      <c r="M885" s="253"/>
      <c r="N885" s="255"/>
      <c r="O885" s="253"/>
      <c r="P885" s="253"/>
      <c r="Q885" s="253"/>
      <c r="R885" s="253"/>
      <c r="S885" s="257"/>
      <c r="T885" s="257"/>
      <c r="U885" s="257"/>
      <c r="V885" s="257"/>
    </row>
    <row r="886" spans="1:22" ht="13">
      <c r="A886" s="140"/>
      <c r="B886" s="140"/>
      <c r="G886" s="253"/>
      <c r="H886" s="253"/>
      <c r="I886" s="256"/>
      <c r="J886" s="253"/>
      <c r="K886" s="253"/>
      <c r="L886" s="253"/>
      <c r="M886" s="253"/>
      <c r="N886" s="255"/>
      <c r="O886" s="253"/>
      <c r="P886" s="253"/>
      <c r="Q886" s="253"/>
      <c r="R886" s="253"/>
      <c r="S886" s="257"/>
      <c r="T886" s="257"/>
      <c r="U886" s="257"/>
      <c r="V886" s="257"/>
    </row>
    <row r="887" spans="1:22" ht="13">
      <c r="A887" s="140"/>
      <c r="B887" s="140"/>
      <c r="G887" s="253"/>
      <c r="H887" s="253"/>
      <c r="I887" s="256"/>
      <c r="J887" s="253"/>
      <c r="K887" s="253"/>
      <c r="L887" s="253"/>
      <c r="M887" s="253"/>
      <c r="N887" s="255"/>
      <c r="O887" s="253"/>
      <c r="P887" s="253"/>
      <c r="Q887" s="253"/>
      <c r="R887" s="253"/>
      <c r="S887" s="257"/>
      <c r="T887" s="257"/>
      <c r="U887" s="257"/>
      <c r="V887" s="257"/>
    </row>
    <row r="888" spans="1:22" ht="13">
      <c r="A888" s="140"/>
      <c r="B888" s="140"/>
      <c r="G888" s="253"/>
      <c r="H888" s="253"/>
      <c r="I888" s="256"/>
      <c r="J888" s="253"/>
      <c r="K888" s="253"/>
      <c r="L888" s="253"/>
      <c r="M888" s="253"/>
      <c r="N888" s="255"/>
      <c r="O888" s="253"/>
      <c r="P888" s="253"/>
      <c r="Q888" s="253"/>
      <c r="R888" s="253"/>
      <c r="S888" s="257"/>
      <c r="T888" s="257"/>
      <c r="U888" s="257"/>
      <c r="V888" s="257"/>
    </row>
    <row r="889" spans="1:22" ht="13">
      <c r="A889" s="140"/>
      <c r="B889" s="140"/>
      <c r="G889" s="253"/>
      <c r="H889" s="253"/>
      <c r="I889" s="256"/>
      <c r="J889" s="253"/>
      <c r="K889" s="253"/>
      <c r="L889" s="253"/>
      <c r="M889" s="253"/>
      <c r="N889" s="255"/>
      <c r="O889" s="253"/>
      <c r="P889" s="253"/>
      <c r="Q889" s="253"/>
      <c r="R889" s="253"/>
      <c r="S889" s="257"/>
      <c r="T889" s="257"/>
      <c r="U889" s="257"/>
      <c r="V889" s="257"/>
    </row>
    <row r="890" spans="1:22" ht="13">
      <c r="A890" s="140"/>
      <c r="B890" s="140"/>
      <c r="G890" s="253"/>
      <c r="H890" s="253"/>
      <c r="I890" s="256"/>
      <c r="J890" s="253"/>
      <c r="K890" s="253"/>
      <c r="L890" s="253"/>
      <c r="M890" s="253"/>
      <c r="N890" s="255"/>
      <c r="O890" s="253"/>
      <c r="P890" s="253"/>
      <c r="Q890" s="253"/>
      <c r="R890" s="253"/>
      <c r="S890" s="257"/>
      <c r="T890" s="257"/>
      <c r="U890" s="257"/>
      <c r="V890" s="257"/>
    </row>
    <row r="891" spans="1:22" ht="13">
      <c r="A891" s="140"/>
      <c r="B891" s="140"/>
      <c r="G891" s="253"/>
      <c r="H891" s="253"/>
      <c r="I891" s="256"/>
      <c r="J891" s="253"/>
      <c r="K891" s="253"/>
      <c r="L891" s="253"/>
      <c r="M891" s="253"/>
      <c r="N891" s="255"/>
      <c r="O891" s="253"/>
      <c r="P891" s="253"/>
      <c r="Q891" s="253"/>
      <c r="R891" s="253"/>
      <c r="S891" s="257"/>
      <c r="T891" s="257"/>
      <c r="U891" s="257"/>
      <c r="V891" s="257"/>
    </row>
    <row r="892" spans="1:22" ht="13">
      <c r="A892" s="140"/>
      <c r="B892" s="140"/>
      <c r="G892" s="253"/>
      <c r="H892" s="253"/>
      <c r="I892" s="256"/>
      <c r="J892" s="253"/>
      <c r="K892" s="253"/>
      <c r="L892" s="253"/>
      <c r="M892" s="253"/>
      <c r="N892" s="255"/>
      <c r="O892" s="253"/>
      <c r="P892" s="253"/>
      <c r="Q892" s="253"/>
      <c r="R892" s="253"/>
      <c r="S892" s="257"/>
      <c r="T892" s="257"/>
      <c r="U892" s="257"/>
      <c r="V892" s="257"/>
    </row>
    <row r="893" spans="1:22" ht="13">
      <c r="A893" s="140"/>
      <c r="B893" s="140"/>
      <c r="G893" s="253"/>
      <c r="H893" s="253"/>
      <c r="I893" s="256"/>
      <c r="J893" s="253"/>
      <c r="K893" s="253"/>
      <c r="L893" s="253"/>
      <c r="M893" s="253"/>
      <c r="N893" s="255"/>
      <c r="O893" s="253"/>
      <c r="P893" s="253"/>
      <c r="Q893" s="253"/>
      <c r="R893" s="253"/>
      <c r="S893" s="257"/>
      <c r="T893" s="257"/>
      <c r="U893" s="257"/>
      <c r="V893" s="257"/>
    </row>
    <row r="894" spans="1:22" ht="13">
      <c r="A894" s="140"/>
      <c r="B894" s="140"/>
      <c r="G894" s="253"/>
      <c r="H894" s="253"/>
      <c r="I894" s="256"/>
      <c r="J894" s="253"/>
      <c r="K894" s="253"/>
      <c r="L894" s="253"/>
      <c r="M894" s="253"/>
      <c r="N894" s="255"/>
      <c r="O894" s="253"/>
      <c r="P894" s="253"/>
      <c r="Q894" s="253"/>
      <c r="R894" s="253"/>
      <c r="S894" s="257"/>
      <c r="T894" s="257"/>
      <c r="U894" s="257"/>
      <c r="V894" s="257"/>
    </row>
    <row r="895" spans="1:22" ht="13">
      <c r="A895" s="140"/>
      <c r="B895" s="140"/>
      <c r="G895" s="253"/>
      <c r="H895" s="253"/>
      <c r="I895" s="256"/>
      <c r="J895" s="253"/>
      <c r="K895" s="253"/>
      <c r="L895" s="253"/>
      <c r="M895" s="253"/>
      <c r="N895" s="255"/>
      <c r="O895" s="253"/>
      <c r="P895" s="253"/>
      <c r="Q895" s="253"/>
      <c r="R895" s="253"/>
      <c r="S895" s="257"/>
      <c r="T895" s="257"/>
      <c r="U895" s="257"/>
      <c r="V895" s="257"/>
    </row>
    <row r="896" spans="1:22" ht="13">
      <c r="A896" s="140"/>
      <c r="B896" s="140"/>
      <c r="G896" s="253"/>
      <c r="H896" s="253"/>
      <c r="I896" s="256"/>
      <c r="J896" s="253"/>
      <c r="K896" s="253"/>
      <c r="L896" s="253"/>
      <c r="M896" s="253"/>
      <c r="N896" s="255"/>
      <c r="O896" s="253"/>
      <c r="P896" s="253"/>
      <c r="Q896" s="253"/>
      <c r="R896" s="253"/>
      <c r="S896" s="257"/>
      <c r="T896" s="257"/>
      <c r="U896" s="257"/>
      <c r="V896" s="257"/>
    </row>
    <row r="897" spans="1:22" ht="13">
      <c r="A897" s="140"/>
      <c r="B897" s="140"/>
      <c r="G897" s="253"/>
      <c r="H897" s="253"/>
      <c r="I897" s="256"/>
      <c r="J897" s="253"/>
      <c r="K897" s="253"/>
      <c r="L897" s="253"/>
      <c r="M897" s="253"/>
      <c r="N897" s="255"/>
      <c r="O897" s="253"/>
      <c r="P897" s="253"/>
      <c r="Q897" s="253"/>
      <c r="R897" s="253"/>
      <c r="S897" s="257"/>
      <c r="T897" s="257"/>
      <c r="U897" s="257"/>
      <c r="V897" s="257"/>
    </row>
    <row r="898" spans="1:22" ht="13">
      <c r="A898" s="140"/>
      <c r="B898" s="140"/>
      <c r="G898" s="253"/>
      <c r="H898" s="253"/>
      <c r="I898" s="256"/>
      <c r="J898" s="253"/>
      <c r="K898" s="253"/>
      <c r="L898" s="253"/>
      <c r="M898" s="253"/>
      <c r="N898" s="255"/>
      <c r="O898" s="253"/>
      <c r="P898" s="253"/>
      <c r="Q898" s="253"/>
      <c r="R898" s="253"/>
      <c r="S898" s="257"/>
      <c r="T898" s="257"/>
      <c r="U898" s="257"/>
      <c r="V898" s="257"/>
    </row>
    <row r="899" spans="1:22" ht="13">
      <c r="A899" s="140"/>
      <c r="B899" s="140"/>
      <c r="G899" s="253"/>
      <c r="H899" s="253"/>
      <c r="I899" s="256"/>
      <c r="J899" s="253"/>
      <c r="K899" s="253"/>
      <c r="L899" s="253"/>
      <c r="M899" s="253"/>
      <c r="N899" s="255"/>
      <c r="O899" s="253"/>
      <c r="P899" s="253"/>
      <c r="Q899" s="253"/>
      <c r="R899" s="253"/>
      <c r="S899" s="257"/>
      <c r="T899" s="257"/>
      <c r="U899" s="257"/>
      <c r="V899" s="257"/>
    </row>
    <row r="900" spans="1:22" ht="13">
      <c r="A900" s="140"/>
      <c r="B900" s="140"/>
      <c r="G900" s="253"/>
      <c r="H900" s="253"/>
      <c r="I900" s="256"/>
      <c r="J900" s="253"/>
      <c r="K900" s="253"/>
      <c r="L900" s="253"/>
      <c r="M900" s="253"/>
      <c r="N900" s="255"/>
      <c r="O900" s="253"/>
      <c r="P900" s="253"/>
      <c r="Q900" s="253"/>
      <c r="R900" s="253"/>
      <c r="S900" s="257"/>
      <c r="T900" s="257"/>
      <c r="U900" s="257"/>
      <c r="V900" s="257"/>
    </row>
    <row r="901" spans="1:22" ht="13">
      <c r="A901" s="140"/>
      <c r="B901" s="140"/>
      <c r="G901" s="253"/>
      <c r="H901" s="253"/>
      <c r="I901" s="256"/>
      <c r="J901" s="253"/>
      <c r="K901" s="253"/>
      <c r="L901" s="253"/>
      <c r="M901" s="253"/>
      <c r="N901" s="255"/>
      <c r="O901" s="253"/>
      <c r="P901" s="253"/>
      <c r="Q901" s="253"/>
      <c r="R901" s="253"/>
      <c r="S901" s="257"/>
      <c r="T901" s="257"/>
      <c r="U901" s="257"/>
      <c r="V901" s="257"/>
    </row>
    <row r="902" spans="1:22" ht="13">
      <c r="A902" s="140"/>
      <c r="B902" s="140"/>
      <c r="G902" s="253"/>
      <c r="H902" s="253"/>
      <c r="I902" s="256"/>
      <c r="J902" s="253"/>
      <c r="K902" s="253"/>
      <c r="L902" s="253"/>
      <c r="M902" s="253"/>
      <c r="N902" s="255"/>
      <c r="O902" s="253"/>
      <c r="P902" s="253"/>
      <c r="Q902" s="253"/>
      <c r="R902" s="253"/>
      <c r="S902" s="257"/>
      <c r="T902" s="257"/>
      <c r="U902" s="257"/>
      <c r="V902" s="257"/>
    </row>
    <row r="903" spans="1:22" ht="13">
      <c r="A903" s="140"/>
      <c r="B903" s="140"/>
      <c r="G903" s="253"/>
      <c r="H903" s="253"/>
      <c r="I903" s="256"/>
      <c r="J903" s="253"/>
      <c r="K903" s="253"/>
      <c r="L903" s="253"/>
      <c r="M903" s="253"/>
      <c r="N903" s="255"/>
      <c r="O903" s="253"/>
      <c r="P903" s="253"/>
      <c r="Q903" s="253"/>
      <c r="R903" s="253"/>
      <c r="S903" s="257"/>
      <c r="T903" s="257"/>
      <c r="U903" s="257"/>
      <c r="V903" s="257"/>
    </row>
    <row r="904" spans="1:22" ht="13">
      <c r="A904" s="140"/>
      <c r="B904" s="140"/>
      <c r="G904" s="253"/>
      <c r="H904" s="253"/>
      <c r="I904" s="256"/>
      <c r="J904" s="253"/>
      <c r="K904" s="253"/>
      <c r="L904" s="253"/>
      <c r="M904" s="253"/>
      <c r="N904" s="255"/>
      <c r="O904" s="253"/>
      <c r="P904" s="253"/>
      <c r="Q904" s="253"/>
      <c r="R904" s="253"/>
      <c r="S904" s="257"/>
      <c r="T904" s="257"/>
      <c r="U904" s="257"/>
      <c r="V904" s="257"/>
    </row>
    <row r="905" spans="1:22" ht="13">
      <c r="A905" s="140"/>
      <c r="B905" s="140"/>
      <c r="G905" s="253"/>
      <c r="H905" s="253"/>
      <c r="I905" s="256"/>
      <c r="J905" s="253"/>
      <c r="K905" s="253"/>
      <c r="L905" s="253"/>
      <c r="M905" s="253"/>
      <c r="N905" s="255"/>
      <c r="O905" s="253"/>
      <c r="P905" s="253"/>
      <c r="Q905" s="253"/>
      <c r="R905" s="253"/>
      <c r="S905" s="257"/>
      <c r="T905" s="257"/>
      <c r="U905" s="257"/>
      <c r="V905" s="257"/>
    </row>
    <row r="906" spans="1:22" ht="13">
      <c r="A906" s="140"/>
      <c r="B906" s="140"/>
      <c r="G906" s="253"/>
      <c r="H906" s="253"/>
      <c r="I906" s="256"/>
      <c r="J906" s="253"/>
      <c r="K906" s="253"/>
      <c r="L906" s="253"/>
      <c r="M906" s="253"/>
      <c r="N906" s="255"/>
      <c r="O906" s="253"/>
      <c r="P906" s="253"/>
      <c r="Q906" s="253"/>
      <c r="R906" s="253"/>
      <c r="S906" s="257"/>
      <c r="T906" s="257"/>
      <c r="U906" s="257"/>
      <c r="V906" s="257"/>
    </row>
    <row r="907" spans="1:22" ht="13">
      <c r="A907" s="140"/>
      <c r="B907" s="140"/>
      <c r="G907" s="253"/>
      <c r="H907" s="253"/>
      <c r="I907" s="256"/>
      <c r="J907" s="253"/>
      <c r="K907" s="253"/>
      <c r="L907" s="253"/>
      <c r="M907" s="253"/>
      <c r="N907" s="255"/>
      <c r="O907" s="253"/>
      <c r="P907" s="253"/>
      <c r="Q907" s="253"/>
      <c r="R907" s="253"/>
      <c r="S907" s="257"/>
      <c r="T907" s="257"/>
      <c r="U907" s="257"/>
      <c r="V907" s="257"/>
    </row>
    <row r="908" spans="1:22" ht="13">
      <c r="A908" s="140"/>
      <c r="B908" s="140"/>
      <c r="G908" s="253"/>
      <c r="H908" s="253"/>
      <c r="I908" s="256"/>
      <c r="J908" s="253"/>
      <c r="K908" s="253"/>
      <c r="L908" s="253"/>
      <c r="M908" s="253"/>
      <c r="N908" s="255"/>
      <c r="O908" s="253"/>
      <c r="P908" s="253"/>
      <c r="Q908" s="253"/>
      <c r="R908" s="253"/>
      <c r="S908" s="257"/>
      <c r="T908" s="257"/>
      <c r="U908" s="257"/>
      <c r="V908" s="257"/>
    </row>
    <row r="909" spans="1:22" ht="13">
      <c r="A909" s="140"/>
      <c r="B909" s="140"/>
      <c r="I909" s="256"/>
      <c r="J909" s="253"/>
      <c r="K909" s="253"/>
      <c r="L909" s="253"/>
      <c r="M909" s="253"/>
      <c r="N909" s="255"/>
      <c r="O909" s="253"/>
      <c r="P909" s="253"/>
      <c r="Q909" s="253"/>
      <c r="R909" s="253"/>
      <c r="S909" s="257"/>
      <c r="T909" s="257"/>
      <c r="U909" s="257"/>
      <c r="V909" s="257"/>
    </row>
    <row r="910" spans="1:22" ht="13">
      <c r="A910" s="140"/>
      <c r="B910" s="140"/>
      <c r="I910" s="256"/>
      <c r="J910" s="253"/>
      <c r="K910" s="253"/>
      <c r="L910" s="253"/>
      <c r="M910" s="253"/>
      <c r="N910" s="255"/>
      <c r="O910" s="253"/>
      <c r="P910" s="253"/>
      <c r="Q910" s="253"/>
      <c r="R910" s="253"/>
      <c r="S910" s="257"/>
      <c r="T910" s="257"/>
      <c r="U910" s="257"/>
      <c r="V910" s="257"/>
    </row>
    <row r="911" spans="1:2" ht="13">
      <c r="A911" s="140"/>
      <c r="B911" s="140"/>
    </row>
    <row r="912" spans="1:2" ht="13">
      <c r="A912" s="140"/>
      <c r="B912" s="140"/>
    </row>
    <row r="913" spans="1:2" ht="13">
      <c r="A913" s="140"/>
      <c r="B913" s="140"/>
    </row>
    <row r="914" spans="1:2" ht="13">
      <c r="A914" s="140"/>
      <c r="B914" s="140"/>
    </row>
    <row r="915" spans="1:2" ht="13">
      <c r="A915" s="140"/>
      <c r="B915" s="140"/>
    </row>
    <row r="916" spans="1:2" ht="13">
      <c r="A916" s="140"/>
      <c r="B916" s="140"/>
    </row>
    <row r="917" spans="1:2" ht="13">
      <c r="A917" s="140"/>
      <c r="B917" s="140"/>
    </row>
    <row r="918" spans="1:2" ht="13">
      <c r="A918" s="140"/>
      <c r="B918" s="140"/>
    </row>
    <row r="919" spans="1:2" ht="13">
      <c r="A919" s="140"/>
      <c r="B919" s="140"/>
    </row>
    <row r="920" spans="1:2" ht="13">
      <c r="A920" s="140"/>
      <c r="B920" s="140"/>
    </row>
    <row r="921" spans="1:2" ht="13">
      <c r="A921" s="140"/>
      <c r="B921" s="140"/>
    </row>
    <row r="922" spans="1:2" ht="13">
      <c r="A922" s="140"/>
      <c r="B922" s="140"/>
    </row>
    <row r="923" spans="1:2" ht="13">
      <c r="A923" s="140"/>
      <c r="B923" s="140"/>
    </row>
    <row r="924" spans="1:2" ht="13">
      <c r="A924" s="140"/>
      <c r="B924" s="140"/>
    </row>
    <row r="925" spans="1:2" ht="13">
      <c r="A925" s="140"/>
      <c r="B925" s="140"/>
    </row>
    <row r="926" spans="1:2" ht="13">
      <c r="A926" s="140"/>
      <c r="B926" s="140"/>
    </row>
    <row r="927" spans="1:2" ht="13">
      <c r="A927" s="140"/>
      <c r="B927" s="140"/>
    </row>
    <row r="928" spans="1:2" ht="13">
      <c r="A928" s="140"/>
      <c r="B928" s="140"/>
    </row>
    <row r="929" spans="1:2" ht="13">
      <c r="A929" s="140"/>
      <c r="B929" s="140"/>
    </row>
    <row r="930" spans="1:2" ht="13">
      <c r="A930" s="140"/>
      <c r="B930" s="140"/>
    </row>
    <row r="931" spans="1:2" ht="13">
      <c r="A931" s="140"/>
      <c r="B931" s="140"/>
    </row>
    <row r="932" spans="1:2" ht="13">
      <c r="A932" s="140"/>
      <c r="B932" s="140"/>
    </row>
    <row r="933" spans="1:2" ht="13">
      <c r="A933" s="140"/>
      <c r="B933" s="140"/>
    </row>
    <row r="934" spans="1:2" ht="13">
      <c r="A934" s="140"/>
      <c r="B934" s="140"/>
    </row>
    <row r="935" spans="1:2" ht="13">
      <c r="A935" s="140"/>
      <c r="B935" s="140"/>
    </row>
    <row r="936" spans="1:2" ht="13">
      <c r="A936" s="140"/>
      <c r="B936" s="140"/>
    </row>
    <row r="937" spans="1:2" ht="13">
      <c r="A937" s="140"/>
      <c r="B937" s="140"/>
    </row>
    <row r="938" spans="1:2" ht="13">
      <c r="A938" s="140"/>
      <c r="B938" s="140"/>
    </row>
    <row r="939" spans="1:2" ht="13">
      <c r="A939" s="140"/>
      <c r="B939" s="140"/>
    </row>
    <row r="940" spans="1:2" ht="13">
      <c r="A940" s="140"/>
      <c r="B940" s="140"/>
    </row>
    <row r="941" spans="1:2" ht="13">
      <c r="A941" s="140"/>
      <c r="B941" s="140"/>
    </row>
    <row r="942" spans="1:2" ht="13">
      <c r="A942" s="140"/>
      <c r="B942" s="140"/>
    </row>
    <row r="943" spans="1:2" ht="13">
      <c r="A943" s="140"/>
      <c r="B943" s="140"/>
    </row>
    <row r="944" spans="1:2" ht="13">
      <c r="A944" s="140"/>
      <c r="B944" s="140"/>
    </row>
    <row r="945" spans="1:2" ht="13">
      <c r="A945" s="140"/>
      <c r="B945" s="140"/>
    </row>
    <row r="946" spans="1:2" ht="13">
      <c r="A946" s="140"/>
      <c r="B946" s="140"/>
    </row>
    <row r="947" spans="1:2" ht="13">
      <c r="A947" s="140"/>
      <c r="B947" s="140"/>
    </row>
    <row r="948" spans="1:2" ht="13">
      <c r="A948" s="140"/>
      <c r="B948" s="140"/>
    </row>
    <row r="949" spans="1:2" ht="13">
      <c r="A949" s="140"/>
      <c r="B949" s="140"/>
    </row>
    <row r="950" spans="1:2" ht="13">
      <c r="A950" s="140"/>
      <c r="B950" s="140"/>
    </row>
    <row r="951" spans="1:2" ht="13">
      <c r="A951" s="140"/>
      <c r="B951" s="140"/>
    </row>
    <row r="952" spans="1:2" ht="13">
      <c r="A952" s="140"/>
      <c r="B952" s="140"/>
    </row>
    <row r="953" spans="1:2" ht="13">
      <c r="A953" s="140"/>
      <c r="B953" s="140"/>
    </row>
    <row r="954" spans="1:2" ht="13">
      <c r="A954" s="140"/>
      <c r="B954" s="140"/>
    </row>
    <row r="955" spans="1:2" ht="13">
      <c r="A955" s="140"/>
      <c r="B955" s="140"/>
    </row>
    <row r="956" spans="1:2" ht="13">
      <c r="A956" s="140"/>
      <c r="B956" s="140"/>
    </row>
    <row r="957" spans="1:2" ht="13">
      <c r="A957" s="140"/>
      <c r="B957" s="140"/>
    </row>
    <row r="958" spans="1:2" ht="13">
      <c r="A958" s="140"/>
      <c r="B958" s="140"/>
    </row>
    <row r="959" spans="1:2" ht="13">
      <c r="A959" s="140"/>
      <c r="B959" s="140"/>
    </row>
    <row r="960" spans="1:2" ht="13">
      <c r="A960" s="140"/>
      <c r="B960" s="140"/>
    </row>
    <row r="961" spans="1:2" ht="13">
      <c r="A961" s="140"/>
      <c r="B961" s="140"/>
    </row>
    <row r="962" spans="1:2" ht="13">
      <c r="A962" s="140"/>
      <c r="B962" s="140"/>
    </row>
    <row r="963" spans="1:2" ht="13">
      <c r="A963" s="140"/>
      <c r="B963" s="140"/>
    </row>
    <row r="964" spans="1:2" ht="13">
      <c r="A964" s="140"/>
      <c r="B964" s="140"/>
    </row>
    <row r="965" spans="1:2" ht="13">
      <c r="A965" s="140"/>
      <c r="B965" s="140"/>
    </row>
    <row r="966" spans="1:2" ht="13">
      <c r="A966" s="140"/>
      <c r="B966" s="140"/>
    </row>
    <row r="967" spans="1:2" ht="13">
      <c r="A967" s="140"/>
      <c r="B967" s="140"/>
    </row>
    <row r="968" spans="1:2" ht="13">
      <c r="A968" s="140"/>
      <c r="B968" s="140"/>
    </row>
    <row r="969" spans="1:2" ht="13">
      <c r="A969" s="140"/>
      <c r="B969" s="140"/>
    </row>
    <row r="970" spans="1:2" ht="13">
      <c r="A970" s="140"/>
      <c r="B970" s="140"/>
    </row>
    <row r="971" spans="1:2" ht="13">
      <c r="A971" s="140"/>
      <c r="B971" s="140"/>
    </row>
    <row r="972" spans="1:2" ht="13">
      <c r="A972" s="140"/>
      <c r="B972" s="140"/>
    </row>
    <row r="973" spans="1:2" ht="13">
      <c r="A973" s="140"/>
      <c r="B973" s="140"/>
    </row>
    <row r="974" spans="1:2" ht="13">
      <c r="A974" s="140"/>
      <c r="B974" s="140"/>
    </row>
    <row r="975" spans="1:2" ht="13">
      <c r="A975" s="140"/>
      <c r="B975" s="140"/>
    </row>
    <row r="976" spans="1:2" ht="13">
      <c r="A976" s="140"/>
      <c r="B976" s="140"/>
    </row>
    <row r="977" spans="1:2" ht="13">
      <c r="A977" s="140"/>
      <c r="B977" s="140"/>
    </row>
    <row r="978" spans="1:2" ht="13">
      <c r="A978" s="140"/>
      <c r="B978" s="140"/>
    </row>
    <row r="979" spans="1:2" ht="13">
      <c r="A979" s="140"/>
      <c r="B979" s="140"/>
    </row>
    <row r="980" spans="1:2" ht="13">
      <c r="A980" s="140"/>
      <c r="B980" s="140"/>
    </row>
    <row r="981" spans="1:2" ht="13">
      <c r="A981" s="140"/>
      <c r="B981" s="140"/>
    </row>
    <row r="982" spans="1:2" ht="13">
      <c r="A982" s="140"/>
      <c r="B982" s="140"/>
    </row>
    <row r="983" spans="1:2" ht="13">
      <c r="A983" s="140"/>
      <c r="B983" s="140"/>
    </row>
    <row r="984" spans="1:2" ht="13">
      <c r="A984" s="140"/>
      <c r="B984" s="140"/>
    </row>
    <row r="985" spans="1:2" ht="13">
      <c r="A985" s="140"/>
      <c r="B985" s="140"/>
    </row>
    <row r="986" spans="1:2" ht="13">
      <c r="A986" s="140"/>
      <c r="B986" s="140"/>
    </row>
    <row r="987" spans="1:2" ht="13">
      <c r="A987" s="140"/>
      <c r="B987" s="140"/>
    </row>
    <row r="988" spans="1:2" ht="13">
      <c r="A988" s="140"/>
      <c r="B988" s="140"/>
    </row>
    <row r="989" spans="1:2" ht="13">
      <c r="A989" s="140"/>
      <c r="B989" s="140"/>
    </row>
    <row r="990" spans="1:2" ht="13">
      <c r="A990" s="140"/>
      <c r="B990" s="140"/>
    </row>
    <row r="991" spans="1:2" ht="13">
      <c r="A991" s="140"/>
      <c r="B991" s="140"/>
    </row>
    <row r="992" spans="1:2" ht="13">
      <c r="A992" s="140"/>
      <c r="B992" s="140"/>
    </row>
    <row r="993" spans="1:2" ht="13">
      <c r="A993" s="140"/>
      <c r="B993" s="140"/>
    </row>
    <row r="994" spans="1:2" ht="13">
      <c r="A994" s="140"/>
      <c r="B994" s="140"/>
    </row>
    <row r="995" spans="1:2" ht="13">
      <c r="A995" s="140"/>
      <c r="B995" s="140"/>
    </row>
    <row r="996" spans="1:2" ht="13">
      <c r="A996" s="140"/>
      <c r="B996" s="140"/>
    </row>
    <row r="997" spans="1:2" ht="13">
      <c r="A997" s="140"/>
      <c r="B997" s="140"/>
    </row>
    <row r="998" spans="1:2" ht="13">
      <c r="A998" s="140"/>
      <c r="B998" s="140"/>
    </row>
    <row r="999" spans="1:2" ht="13">
      <c r="A999" s="140"/>
      <c r="B999" s="140"/>
    </row>
    <row r="1000" spans="1:2" ht="13">
      <c r="A1000" s="140"/>
      <c r="B1000" s="140"/>
    </row>
    <row r="1001" spans="1:2" ht="13">
      <c r="A1001" s="140"/>
      <c r="B1001" s="140"/>
    </row>
    <row r="1002" spans="1:2" ht="13">
      <c r="A1002" s="140"/>
      <c r="B1002" s="140"/>
    </row>
    <row r="1003" spans="1:2" ht="13">
      <c r="A1003" s="140"/>
      <c r="B1003" s="140"/>
    </row>
    <row r="1004" spans="1:2" ht="13">
      <c r="A1004" s="140"/>
      <c r="B1004" s="140"/>
    </row>
    <row r="1005" spans="1:2" ht="13">
      <c r="A1005" s="140"/>
      <c r="B1005" s="140"/>
    </row>
    <row r="1006" spans="1:2" ht="13">
      <c r="A1006" s="140"/>
      <c r="B1006" s="140"/>
    </row>
    <row r="1007" spans="1:2" ht="13">
      <c r="A1007" s="140"/>
      <c r="B1007" s="140"/>
    </row>
    <row r="1008" spans="1:2" ht="13">
      <c r="A1008" s="140"/>
      <c r="B1008" s="140"/>
    </row>
    <row r="1009" spans="1:2" ht="13">
      <c r="A1009" s="140"/>
      <c r="B1009" s="140"/>
    </row>
    <row r="1010" spans="1:2" ht="13">
      <c r="A1010" s="140"/>
      <c r="B1010" s="140"/>
    </row>
    <row r="1011" spans="1:2" ht="13">
      <c r="A1011" s="140"/>
      <c r="B1011" s="140"/>
    </row>
    <row r="1012" spans="1:2" ht="13">
      <c r="A1012" s="140"/>
      <c r="B1012" s="140"/>
    </row>
    <row r="1013" spans="1:2" ht="13">
      <c r="A1013" s="140"/>
      <c r="B1013" s="140"/>
    </row>
    <row r="1014" spans="1:2" ht="13">
      <c r="A1014" s="140"/>
      <c r="B1014" s="140"/>
    </row>
    <row r="1015" spans="1:2" ht="13">
      <c r="A1015" s="140"/>
      <c r="B1015" s="140"/>
    </row>
    <row r="1016" spans="1:2" ht="13">
      <c r="A1016" s="140"/>
      <c r="B1016" s="140"/>
    </row>
    <row r="1017" spans="1:2" ht="13">
      <c r="A1017" s="140"/>
      <c r="B1017" s="140"/>
    </row>
    <row r="1018" spans="1:2" ht="13">
      <c r="A1018" s="140"/>
      <c r="B1018" s="140"/>
    </row>
    <row r="1019" spans="1:2" ht="13">
      <c r="A1019" s="140"/>
      <c r="B1019" s="140"/>
    </row>
    <row r="1020" spans="1:2" ht="13">
      <c r="A1020" s="140"/>
      <c r="B1020" s="140"/>
    </row>
    <row r="1021" spans="1:2" ht="13">
      <c r="A1021" s="140"/>
      <c r="B1021" s="140"/>
    </row>
    <row r="1022" spans="1:2" ht="13">
      <c r="A1022" s="140"/>
      <c r="B1022" s="140"/>
    </row>
    <row r="1023" spans="1:2" ht="13">
      <c r="A1023" s="140"/>
      <c r="B1023" s="140"/>
    </row>
    <row r="1024" spans="1:2" ht="13">
      <c r="A1024" s="140"/>
      <c r="B1024" s="140"/>
    </row>
    <row r="1025" spans="1:2" ht="13">
      <c r="A1025" s="140"/>
      <c r="B1025" s="140"/>
    </row>
    <row r="1026" spans="1:2" ht="13">
      <c r="A1026" s="140"/>
      <c r="B1026" s="140"/>
    </row>
    <row r="1027" spans="1:2" ht="13">
      <c r="A1027" s="140"/>
      <c r="B1027" s="140"/>
    </row>
    <row r="1028" spans="1:2" ht="13">
      <c r="A1028" s="140"/>
      <c r="B1028" s="140"/>
    </row>
    <row r="1029" spans="1:2" ht="13">
      <c r="A1029" s="140"/>
      <c r="B1029" s="140"/>
    </row>
    <row r="1030" spans="1:2" ht="13">
      <c r="A1030" s="140"/>
      <c r="B1030" s="140"/>
    </row>
    <row r="1031" spans="1:2" ht="13">
      <c r="A1031" s="140"/>
      <c r="B1031" s="140"/>
    </row>
    <row r="1032" spans="1:2" ht="13">
      <c r="A1032" s="140"/>
      <c r="B1032" s="140"/>
    </row>
    <row r="1033" spans="1:2" ht="13">
      <c r="A1033" s="140"/>
      <c r="B1033" s="140"/>
    </row>
    <row r="1034" spans="1:2" ht="13">
      <c r="A1034" s="140"/>
      <c r="B1034" s="140"/>
    </row>
    <row r="1035" spans="1:2" ht="13">
      <c r="A1035" s="140"/>
      <c r="B1035" s="140"/>
    </row>
    <row r="1036" spans="1:2" ht="13">
      <c r="A1036" s="140"/>
      <c r="B1036" s="140"/>
    </row>
    <row r="1037" spans="1:2" ht="13">
      <c r="A1037" s="140"/>
      <c r="B1037" s="140"/>
    </row>
    <row r="1038" spans="1:2" ht="13">
      <c r="A1038" s="140"/>
      <c r="B1038" s="140"/>
    </row>
    <row r="1039" spans="1:2" ht="13">
      <c r="A1039" s="140"/>
      <c r="B1039" s="140"/>
    </row>
    <row r="1040" spans="1:2" ht="13">
      <c r="A1040" s="140"/>
      <c r="B1040" s="140"/>
    </row>
    <row r="1041" spans="1:2" ht="13">
      <c r="A1041" s="140"/>
      <c r="B1041" s="140"/>
    </row>
    <row r="1042" spans="1:2" ht="13">
      <c r="A1042" s="140"/>
      <c r="B1042" s="140"/>
    </row>
    <row r="1043" spans="1:2" ht="13">
      <c r="A1043" s="140"/>
      <c r="B1043" s="140"/>
    </row>
    <row r="1044" spans="1:2" ht="13">
      <c r="A1044" s="140"/>
      <c r="B1044" s="140"/>
    </row>
    <row r="1045" spans="1:2" ht="13">
      <c r="A1045" s="140"/>
      <c r="B1045" s="140"/>
    </row>
    <row r="1046" spans="1:2" ht="13">
      <c r="A1046" s="140"/>
      <c r="B1046" s="140"/>
    </row>
    <row r="1047" spans="1:2" ht="13">
      <c r="A1047" s="140"/>
      <c r="B1047" s="140"/>
    </row>
    <row r="1048" spans="1:2" ht="13">
      <c r="A1048" s="140"/>
      <c r="B1048" s="140"/>
    </row>
    <row r="1049" spans="1:2" ht="13">
      <c r="A1049" s="140"/>
      <c r="B1049" s="140"/>
    </row>
    <row r="1050" spans="1:2" ht="13">
      <c r="A1050" s="140"/>
      <c r="B1050" s="140"/>
    </row>
    <row r="1051" spans="1:2" ht="13">
      <c r="A1051" s="140"/>
      <c r="B1051" s="140"/>
    </row>
    <row r="1052" spans="1:2" ht="13">
      <c r="A1052" s="140"/>
      <c r="B1052" s="140"/>
    </row>
    <row r="1053" spans="1:2" ht="13">
      <c r="A1053" s="140"/>
      <c r="B1053" s="140"/>
    </row>
    <row r="1054" spans="1:2" ht="13">
      <c r="A1054" s="140"/>
      <c r="B1054" s="140"/>
    </row>
    <row r="1055" spans="1:2" ht="13">
      <c r="A1055" s="140"/>
      <c r="B1055" s="140"/>
    </row>
    <row r="1056" spans="1:2" ht="13">
      <c r="A1056" s="140"/>
      <c r="B1056" s="140"/>
    </row>
    <row r="1057" spans="1:2" ht="13">
      <c r="A1057" s="140"/>
      <c r="B1057" s="140"/>
    </row>
    <row r="1058" spans="1:2" ht="13">
      <c r="A1058" s="140"/>
      <c r="B1058" s="140"/>
    </row>
    <row r="1059" spans="1:2" ht="13">
      <c r="A1059" s="140"/>
      <c r="B1059" s="140"/>
    </row>
    <row r="1060" spans="1:2" ht="13">
      <c r="A1060" s="140"/>
      <c r="B1060" s="140"/>
    </row>
    <row r="1061" spans="1:2" ht="13">
      <c r="A1061" s="140"/>
      <c r="B1061" s="140"/>
    </row>
    <row r="1062" spans="1:2" ht="13">
      <c r="A1062" s="140"/>
      <c r="B1062" s="140"/>
    </row>
    <row r="1063" spans="1:2" ht="13">
      <c r="A1063" s="140"/>
      <c r="B1063" s="140"/>
    </row>
    <row r="1064" spans="1:2" ht="13">
      <c r="A1064" s="140"/>
      <c r="B1064" s="140"/>
    </row>
    <row r="1065" spans="1:2" ht="13">
      <c r="A1065" s="140"/>
      <c r="B1065" s="140"/>
    </row>
    <row r="1066" spans="1:2" ht="13">
      <c r="A1066" s="140"/>
      <c r="B1066" s="140"/>
    </row>
    <row r="1067" spans="1:2" ht="13">
      <c r="A1067" s="140"/>
      <c r="B1067" s="140"/>
    </row>
    <row r="1068" spans="1:2" ht="13">
      <c r="A1068" s="140"/>
      <c r="B1068" s="140"/>
    </row>
    <row r="1069" spans="1:2" ht="13">
      <c r="A1069" s="140"/>
      <c r="B1069" s="140"/>
    </row>
    <row r="1070" spans="1:2" ht="13">
      <c r="A1070" s="140"/>
      <c r="B1070" s="140"/>
    </row>
    <row r="1071" spans="1:2" ht="13">
      <c r="A1071" s="140"/>
      <c r="B1071" s="140"/>
    </row>
    <row r="1072" spans="1:2" ht="13">
      <c r="A1072" s="140"/>
      <c r="B1072" s="140"/>
    </row>
    <row r="1073" spans="1:2" ht="13">
      <c r="A1073" s="140"/>
      <c r="B1073" s="140"/>
    </row>
    <row r="1074" spans="1:2" ht="13">
      <c r="A1074" s="140"/>
      <c r="B1074" s="140"/>
    </row>
    <row r="1075" spans="1:2" ht="13">
      <c r="A1075" s="140"/>
      <c r="B1075" s="140"/>
    </row>
    <row r="1076" spans="1:2" ht="13">
      <c r="A1076" s="140"/>
      <c r="B1076" s="140"/>
    </row>
    <row r="1077" spans="1:2" ht="13">
      <c r="A1077" s="140"/>
      <c r="B1077" s="140"/>
    </row>
    <row r="1078" spans="1:2" ht="13">
      <c r="A1078" s="140"/>
      <c r="B1078" s="140"/>
    </row>
    <row r="1079" spans="1:2" ht="13">
      <c r="A1079" s="140"/>
      <c r="B1079" s="140"/>
    </row>
    <row r="1080" spans="1:2" ht="13">
      <c r="A1080" s="140"/>
      <c r="B1080" s="140"/>
    </row>
    <row r="1081" spans="1:2" ht="13">
      <c r="A1081" s="140"/>
      <c r="B1081" s="140"/>
    </row>
    <row r="1082" spans="1:2" ht="13">
      <c r="A1082" s="140"/>
      <c r="B1082" s="140"/>
    </row>
    <row r="1083" spans="1:2" ht="13">
      <c r="A1083" s="140"/>
      <c r="B1083" s="140"/>
    </row>
    <row r="1084" spans="1:2" ht="13">
      <c r="A1084" s="140"/>
      <c r="B1084" s="140"/>
    </row>
    <row r="1085" spans="1:2" ht="13">
      <c r="A1085" s="140"/>
      <c r="B1085" s="140"/>
    </row>
    <row r="1086" spans="1:2" ht="13">
      <c r="A1086" s="140"/>
      <c r="B1086" s="140"/>
    </row>
    <row r="1087" spans="1:2" ht="13">
      <c r="A1087" s="140"/>
      <c r="B1087" s="140"/>
    </row>
    <row r="1088" spans="1:2" ht="13">
      <c r="A1088" s="140"/>
      <c r="B1088" s="140"/>
    </row>
    <row r="1089" spans="1:2" ht="13">
      <c r="A1089" s="140"/>
      <c r="B1089" s="140"/>
    </row>
    <row r="1090" spans="1:2" ht="13">
      <c r="A1090" s="140"/>
      <c r="B1090" s="140"/>
    </row>
    <row r="1091" spans="1:2" ht="13">
      <c r="A1091" s="140"/>
      <c r="B1091" s="140"/>
    </row>
    <row r="1092" spans="1:2" ht="13">
      <c r="A1092" s="140"/>
      <c r="B1092" s="140"/>
    </row>
    <row r="1093" spans="1:2" ht="13">
      <c r="A1093" s="140"/>
      <c r="B1093" s="140"/>
    </row>
    <row r="1094" spans="1:2" ht="13">
      <c r="A1094" s="140"/>
      <c r="B1094" s="140"/>
    </row>
    <row r="1095" spans="1:2" ht="13">
      <c r="A1095" s="140"/>
      <c r="B1095" s="140"/>
    </row>
    <row r="1096" spans="1:2" ht="13">
      <c r="A1096" s="140"/>
      <c r="B1096" s="140"/>
    </row>
    <row r="1097" spans="1:2" ht="13">
      <c r="A1097" s="140"/>
      <c r="B1097" s="140"/>
    </row>
    <row r="1098" spans="1:2" ht="13">
      <c r="A1098" s="140"/>
      <c r="B1098" s="140"/>
    </row>
    <row r="1099" spans="1:2" ht="13">
      <c r="A1099" s="140"/>
      <c r="B1099" s="140"/>
    </row>
    <row r="1100" spans="1:2" ht="13">
      <c r="A1100" s="140"/>
      <c r="B1100" s="140"/>
    </row>
    <row r="1101" spans="1:2" ht="13">
      <c r="A1101" s="140"/>
      <c r="B1101" s="140"/>
    </row>
    <row r="1102" spans="1:2" ht="13">
      <c r="A1102" s="140"/>
      <c r="B1102" s="140"/>
    </row>
    <row r="1103" spans="1:2" ht="13">
      <c r="A1103" s="140"/>
      <c r="B1103" s="140"/>
    </row>
    <row r="1104" spans="1:2" ht="13">
      <c r="A1104" s="140"/>
      <c r="B1104" s="140"/>
    </row>
    <row r="1105" spans="1:2" ht="13">
      <c r="A1105" s="140"/>
      <c r="B1105" s="140"/>
    </row>
    <row r="1106" spans="1:2" ht="13">
      <c r="A1106" s="140"/>
      <c r="B1106" s="140"/>
    </row>
    <row r="1107" spans="1:2" ht="13">
      <c r="A1107" s="140"/>
      <c r="B1107" s="140"/>
    </row>
    <row r="1108" spans="1:2" ht="13">
      <c r="A1108" s="140"/>
      <c r="B1108" s="140"/>
    </row>
    <row r="1109" spans="1:2" ht="13">
      <c r="A1109" s="140"/>
      <c r="B1109" s="140"/>
    </row>
    <row r="1110" spans="1:2" ht="13">
      <c r="A1110" s="140"/>
      <c r="B1110" s="140"/>
    </row>
    <row r="1111" spans="1:2" ht="13">
      <c r="A1111" s="140"/>
      <c r="B1111" s="140"/>
    </row>
    <row r="1112" spans="1:2" ht="13">
      <c r="A1112" s="140"/>
      <c r="B1112" s="140"/>
    </row>
    <row r="1113" spans="1:2" ht="13">
      <c r="A1113" s="140"/>
      <c r="B1113" s="140"/>
    </row>
    <row r="1114" spans="1:2" ht="13">
      <c r="A1114" s="140"/>
      <c r="B1114" s="140"/>
    </row>
    <row r="1115" spans="1:2" ht="13">
      <c r="A1115" s="140"/>
      <c r="B1115" s="140"/>
    </row>
    <row r="1116" spans="1:2" ht="13">
      <c r="A1116" s="140"/>
      <c r="B1116" s="140"/>
    </row>
    <row r="1117" spans="1:2" ht="13">
      <c r="A1117" s="140"/>
      <c r="B1117" s="140"/>
    </row>
    <row r="1118" spans="1:2" ht="13">
      <c r="A1118" s="140"/>
      <c r="B1118" s="140"/>
    </row>
    <row r="1119" spans="1:2" ht="13">
      <c r="A1119" s="140"/>
      <c r="B1119" s="140"/>
    </row>
    <row r="1120" spans="1:2" ht="13">
      <c r="A1120" s="140"/>
      <c r="B1120" s="140"/>
    </row>
    <row r="1121" spans="1:2" ht="13">
      <c r="A1121" s="140"/>
      <c r="B1121" s="140"/>
    </row>
    <row r="1122" spans="1:2" ht="13">
      <c r="A1122" s="140"/>
      <c r="B1122" s="140"/>
    </row>
    <row r="1123" spans="1:2" ht="13">
      <c r="A1123" s="140"/>
      <c r="B1123" s="140"/>
    </row>
    <row r="1124" spans="1:2" ht="13">
      <c r="A1124" s="140"/>
      <c r="B1124" s="140"/>
    </row>
    <row r="1125" spans="1:2" ht="13">
      <c r="A1125" s="140"/>
      <c r="B1125" s="140"/>
    </row>
    <row r="1126" spans="1:2" ht="13">
      <c r="A1126" s="140"/>
      <c r="B1126" s="140"/>
    </row>
    <row r="1127" spans="1:2" ht="13">
      <c r="A1127" s="140"/>
      <c r="B1127" s="140"/>
    </row>
    <row r="1128" spans="1:2" ht="13">
      <c r="A1128" s="140"/>
      <c r="B1128" s="140"/>
    </row>
    <row r="1129" spans="1:2" ht="13">
      <c r="A1129" s="140"/>
      <c r="B1129" s="140"/>
    </row>
    <row r="1130" spans="1:2" ht="13">
      <c r="A1130" s="140"/>
      <c r="B1130" s="140"/>
    </row>
    <row r="1131" spans="1:2" ht="13">
      <c r="A1131" s="140"/>
      <c r="B1131" s="140"/>
    </row>
    <row r="1132" spans="1:2" ht="13">
      <c r="A1132" s="140"/>
      <c r="B1132" s="140"/>
    </row>
    <row r="1133" spans="1:2" ht="13">
      <c r="A1133" s="140"/>
      <c r="B1133" s="140"/>
    </row>
    <row r="1134" spans="1:2" ht="13">
      <c r="A1134" s="140"/>
      <c r="B1134" s="140"/>
    </row>
    <row r="1135" spans="1:2" ht="13">
      <c r="A1135" s="140"/>
      <c r="B1135" s="140"/>
    </row>
    <row r="1136" spans="1:2" ht="13">
      <c r="A1136" s="140"/>
      <c r="B1136" s="140"/>
    </row>
    <row r="1137" spans="1:2" ht="13">
      <c r="A1137" s="140"/>
      <c r="B1137" s="140"/>
    </row>
    <row r="1138" spans="1:2" ht="13">
      <c r="A1138" s="140"/>
      <c r="B1138" s="140"/>
    </row>
    <row r="1139" spans="1:2" ht="13">
      <c r="A1139" s="140"/>
      <c r="B1139" s="140"/>
    </row>
    <row r="1140" spans="1:2" ht="13">
      <c r="A1140" s="140"/>
      <c r="B1140" s="140"/>
    </row>
    <row r="1141" spans="1:2" ht="13">
      <c r="A1141" s="140"/>
      <c r="B1141" s="140"/>
    </row>
    <row r="1142" spans="1:2" ht="13">
      <c r="A1142" s="140"/>
      <c r="B1142" s="140"/>
    </row>
    <row r="1143" spans="1:2" ht="13">
      <c r="A1143" s="140"/>
      <c r="B1143" s="140"/>
    </row>
    <row r="1144" spans="1:2" ht="13">
      <c r="A1144" s="140"/>
      <c r="B1144" s="140"/>
    </row>
    <row r="1145" spans="1:2" ht="13">
      <c r="A1145" s="140"/>
      <c r="B1145" s="140"/>
    </row>
    <row r="1146" spans="1:2" ht="13">
      <c r="A1146" s="140"/>
      <c r="B1146" s="140"/>
    </row>
    <row r="1147" spans="1:2" ht="13">
      <c r="A1147" s="140"/>
      <c r="B1147" s="140"/>
    </row>
    <row r="1148" spans="1:2" ht="13">
      <c r="A1148" s="140"/>
      <c r="B1148" s="140"/>
    </row>
    <row r="1149" spans="1:2" ht="13">
      <c r="A1149" s="140"/>
      <c r="B1149" s="140"/>
    </row>
    <row r="1150" spans="1:2" ht="13">
      <c r="A1150" s="140"/>
      <c r="B1150" s="140"/>
    </row>
    <row r="1151" spans="1:2" ht="13">
      <c r="A1151" s="140"/>
      <c r="B1151" s="140"/>
    </row>
    <row r="1152" spans="1:2" ht="13">
      <c r="A1152" s="140"/>
      <c r="B1152" s="140"/>
    </row>
    <row r="1153" spans="1:2" ht="13">
      <c r="A1153" s="140"/>
      <c r="B1153" s="140"/>
    </row>
    <row r="1154" spans="1:2" ht="13">
      <c r="A1154" s="140"/>
      <c r="B1154" s="140"/>
    </row>
    <row r="1155" spans="1:2" ht="13">
      <c r="A1155" s="140"/>
      <c r="B1155" s="140"/>
    </row>
    <row r="1156" spans="1:2" ht="13">
      <c r="A1156" s="140"/>
      <c r="B1156" s="140"/>
    </row>
    <row r="1157" spans="1:2" ht="13">
      <c r="A1157" s="140"/>
      <c r="B1157" s="140"/>
    </row>
    <row r="1158" spans="1:2" ht="13">
      <c r="A1158" s="140"/>
      <c r="B1158" s="140"/>
    </row>
    <row r="1159" spans="1:2" ht="13">
      <c r="A1159" s="140"/>
      <c r="B1159" s="140"/>
    </row>
    <row r="1160" spans="1:2" ht="13">
      <c r="A1160" s="140"/>
      <c r="B1160" s="140"/>
    </row>
    <row r="1161" spans="1:2" ht="13">
      <c r="A1161" s="140"/>
      <c r="B1161" s="140"/>
    </row>
    <row r="1162" spans="1:2" ht="13">
      <c r="A1162" s="140"/>
      <c r="B1162" s="140"/>
    </row>
    <row r="1163" spans="1:2" ht="13">
      <c r="A1163" s="140"/>
      <c r="B1163" s="140"/>
    </row>
    <row r="1164" spans="1:2" ht="13">
      <c r="A1164" s="140"/>
      <c r="B1164" s="140"/>
    </row>
    <row r="1165" spans="1:2" ht="13">
      <c r="A1165" s="140"/>
      <c r="B1165" s="140"/>
    </row>
    <row r="1166" spans="1:2" ht="13">
      <c r="A1166" s="140"/>
      <c r="B1166" s="140"/>
    </row>
    <row r="1167" spans="1:2" ht="13">
      <c r="A1167" s="140"/>
      <c r="B1167" s="140"/>
    </row>
    <row r="1168" spans="1:2" ht="13">
      <c r="A1168" s="140"/>
      <c r="B1168" s="140"/>
    </row>
    <row r="1169" spans="1:2" ht="13">
      <c r="A1169" s="140"/>
      <c r="B1169" s="140"/>
    </row>
    <row r="1170" spans="1:2" ht="13">
      <c r="A1170" s="140"/>
      <c r="B1170" s="140"/>
    </row>
    <row r="1171" spans="1:2" ht="13">
      <c r="A1171" s="140"/>
      <c r="B1171" s="140"/>
    </row>
    <row r="1172" spans="1:2" ht="13">
      <c r="A1172" s="140"/>
      <c r="B1172" s="140"/>
    </row>
    <row r="1173" spans="1:2" ht="13">
      <c r="A1173" s="140"/>
      <c r="B1173" s="140"/>
    </row>
    <row r="1174" spans="1:2" ht="13">
      <c r="A1174" s="140"/>
      <c r="B1174" s="140"/>
    </row>
    <row r="1175" spans="1:2" ht="13">
      <c r="A1175" s="140"/>
      <c r="B1175" s="140"/>
    </row>
    <row r="1176" spans="1:2" ht="13">
      <c r="A1176" s="140"/>
      <c r="B1176" s="140"/>
    </row>
    <row r="1177" spans="1:2" ht="13">
      <c r="A1177" s="140"/>
      <c r="B1177" s="140"/>
    </row>
    <row r="1178" spans="1:2" ht="13">
      <c r="A1178" s="140"/>
      <c r="B1178" s="140"/>
    </row>
    <row r="1179" spans="1:2" ht="13">
      <c r="A1179" s="140"/>
      <c r="B1179" s="140"/>
    </row>
    <row r="1180" spans="1:2" ht="13">
      <c r="A1180" s="140"/>
      <c r="B1180" s="140"/>
    </row>
    <row r="1181" spans="1:2" ht="13">
      <c r="A1181" s="140"/>
      <c r="B1181" s="140"/>
    </row>
    <row r="1182" spans="1:2" ht="13">
      <c r="A1182" s="140"/>
      <c r="B1182" s="140"/>
    </row>
    <row r="1183" spans="1:2" ht="13">
      <c r="A1183" s="140"/>
      <c r="B1183" s="140"/>
    </row>
    <row r="1184" spans="1:2" ht="13">
      <c r="A1184" s="140"/>
      <c r="B1184" s="140"/>
    </row>
    <row r="1185" spans="1:2" ht="13">
      <c r="A1185" s="140"/>
      <c r="B1185" s="140"/>
    </row>
    <row r="1186" spans="1:2" ht="13">
      <c r="A1186" s="140"/>
      <c r="B1186" s="140"/>
    </row>
    <row r="1187" spans="1:2" ht="13">
      <c r="A1187" s="140"/>
      <c r="B1187" s="140"/>
    </row>
    <row r="1188" spans="1:2" ht="13">
      <c r="A1188" s="140"/>
      <c r="B1188" s="140"/>
    </row>
    <row r="1189" spans="1:2" ht="13">
      <c r="A1189" s="140"/>
      <c r="B1189" s="140"/>
    </row>
    <row r="1190" spans="1:2" ht="13">
      <c r="A1190" s="140"/>
      <c r="B1190" s="140"/>
    </row>
    <row r="1191" spans="1:2" ht="13">
      <c r="A1191" s="140"/>
      <c r="B1191" s="140"/>
    </row>
    <row r="1192" spans="1:2" ht="13">
      <c r="A1192" s="140"/>
      <c r="B1192" s="140"/>
    </row>
    <row r="1193" spans="1:2" ht="13">
      <c r="A1193" s="140"/>
      <c r="B1193" s="140"/>
    </row>
    <row r="1194" spans="1:2" ht="13">
      <c r="A1194" s="140"/>
      <c r="B1194" s="140"/>
    </row>
    <row r="1195" spans="1:2" ht="13">
      <c r="A1195" s="140"/>
      <c r="B1195" s="140"/>
    </row>
    <row r="1196" spans="1:2" ht="13">
      <c r="A1196" s="140"/>
      <c r="B1196" s="140"/>
    </row>
    <row r="1197" spans="1:2" ht="13">
      <c r="A1197" s="140"/>
      <c r="B1197" s="140"/>
    </row>
    <row r="1198" spans="1:2" ht="13">
      <c r="A1198" s="140"/>
      <c r="B1198" s="140"/>
    </row>
    <row r="1199" spans="1:2" ht="13">
      <c r="A1199" s="140"/>
      <c r="B1199" s="140"/>
    </row>
    <row r="1200" spans="1:2" ht="13">
      <c r="A1200" s="140"/>
      <c r="B1200" s="140"/>
    </row>
    <row r="1201" spans="1:2" ht="13">
      <c r="A1201" s="140"/>
      <c r="B1201" s="140"/>
    </row>
    <row r="1202" spans="1:2" ht="13">
      <c r="A1202" s="140"/>
      <c r="B1202" s="140"/>
    </row>
    <row r="1203" spans="1:2" ht="13">
      <c r="A1203" s="140"/>
      <c r="B1203" s="140"/>
    </row>
    <row r="1204" spans="1:2" ht="13">
      <c r="A1204" s="140"/>
      <c r="B1204" s="140"/>
    </row>
    <row r="1205" spans="1:2" ht="13">
      <c r="A1205" s="140"/>
      <c r="B1205" s="140"/>
    </row>
    <row r="1206" spans="1:2" ht="13">
      <c r="A1206" s="140"/>
      <c r="B1206" s="140"/>
    </row>
    <row r="1207" spans="1:2" ht="13">
      <c r="A1207" s="140"/>
      <c r="B1207" s="140"/>
    </row>
    <row r="1208" spans="1:2" ht="13">
      <c r="A1208" s="140"/>
      <c r="B1208" s="140"/>
    </row>
    <row r="1209" spans="1:2" ht="13">
      <c r="A1209" s="140"/>
      <c r="B1209" s="140"/>
    </row>
    <row r="1210" spans="1:2" ht="13">
      <c r="A1210" s="140"/>
      <c r="B1210" s="140"/>
    </row>
    <row r="1211" spans="1:2" ht="13">
      <c r="A1211" s="140"/>
      <c r="B1211" s="140"/>
    </row>
    <row r="1212" spans="1:2" ht="13">
      <c r="A1212" s="140"/>
      <c r="B1212" s="140"/>
    </row>
    <row r="1213" spans="1:2" ht="13">
      <c r="A1213" s="140"/>
      <c r="B1213" s="140"/>
    </row>
    <row r="1214" spans="1:2" ht="13">
      <c r="A1214" s="140"/>
      <c r="B1214" s="140"/>
    </row>
    <row r="1215" spans="1:2" ht="13">
      <c r="A1215" s="140"/>
      <c r="B1215" s="140"/>
    </row>
    <row r="1216" spans="1:2" ht="13">
      <c r="A1216" s="140"/>
      <c r="B1216" s="140"/>
    </row>
    <row r="1217" spans="1:2" ht="13">
      <c r="A1217" s="140"/>
      <c r="B1217" s="140"/>
    </row>
    <row r="1218" spans="1:2" ht="13">
      <c r="A1218" s="140"/>
      <c r="B1218" s="140"/>
    </row>
    <row r="1219" spans="1:2" ht="13">
      <c r="A1219" s="140"/>
      <c r="B1219" s="140"/>
    </row>
    <row r="1220" spans="1:2" ht="13">
      <c r="A1220" s="140"/>
      <c r="B1220" s="140"/>
    </row>
    <row r="1221" spans="1:2" ht="13">
      <c r="A1221" s="140"/>
      <c r="B1221" s="140"/>
    </row>
    <row r="1222" spans="1:2" ht="13">
      <c r="A1222" s="140"/>
      <c r="B1222" s="140"/>
    </row>
    <row r="1223" spans="1:2" ht="13">
      <c r="A1223" s="140"/>
      <c r="B1223" s="140"/>
    </row>
    <row r="1224" spans="1:2" ht="13">
      <c r="A1224" s="140"/>
      <c r="B1224" s="140"/>
    </row>
    <row r="1225" spans="1:2" ht="13">
      <c r="A1225" s="140"/>
      <c r="B1225" s="140"/>
    </row>
    <row r="1226" spans="1:2" ht="13">
      <c r="A1226" s="140"/>
      <c r="B1226" s="140"/>
    </row>
    <row r="1227" spans="1:2" ht="13">
      <c r="A1227" s="140"/>
      <c r="B1227" s="140"/>
    </row>
    <row r="1228" spans="1:2" ht="13">
      <c r="A1228" s="140"/>
      <c r="B1228" s="140"/>
    </row>
    <row r="1229" spans="1:2" ht="13">
      <c r="A1229" s="140"/>
      <c r="B1229" s="140"/>
    </row>
    <row r="1230" spans="1:2" ht="13">
      <c r="A1230" s="140"/>
      <c r="B1230" s="140"/>
    </row>
    <row r="1231" spans="1:2" ht="13">
      <c r="A1231" s="140"/>
      <c r="B1231" s="140"/>
    </row>
    <row r="1232" spans="1:2" ht="13">
      <c r="A1232" s="140"/>
      <c r="B1232" s="140"/>
    </row>
    <row r="1233" spans="1:2" ht="13">
      <c r="A1233" s="140"/>
      <c r="B1233" s="140"/>
    </row>
    <row r="1234" spans="1:2" ht="13">
      <c r="A1234" s="140"/>
      <c r="B1234" s="140"/>
    </row>
    <row r="1235" spans="1:2" ht="13">
      <c r="A1235" s="140"/>
      <c r="B1235" s="140"/>
    </row>
    <row r="1236" spans="1:2" ht="13">
      <c r="A1236" s="140"/>
      <c r="B1236" s="140"/>
    </row>
    <row r="1237" spans="1:2" ht="13">
      <c r="A1237" s="140"/>
      <c r="B1237" s="140"/>
    </row>
    <row r="1238" spans="1:2" ht="13">
      <c r="A1238" s="140"/>
      <c r="B1238" s="140"/>
    </row>
    <row r="1239" spans="1:2" ht="13">
      <c r="A1239" s="140"/>
      <c r="B1239" s="140"/>
    </row>
    <row r="1240" spans="1:2" ht="13">
      <c r="A1240" s="140"/>
      <c r="B1240" s="140"/>
    </row>
    <row r="1241" spans="1:2" ht="13">
      <c r="A1241" s="140"/>
      <c r="B1241" s="140"/>
    </row>
    <row r="1242" spans="1:2" ht="13">
      <c r="A1242" s="140"/>
      <c r="B1242" s="140"/>
    </row>
    <row r="1243" spans="1:2" ht="13">
      <c r="A1243" s="140"/>
      <c r="B1243" s="140"/>
    </row>
    <row r="1244" spans="1:2" ht="13">
      <c r="A1244" s="140"/>
      <c r="B1244" s="140"/>
    </row>
    <row r="1245" spans="1:2" ht="13">
      <c r="A1245" s="140"/>
      <c r="B1245" s="140"/>
    </row>
    <row r="1246" spans="1:2" ht="13">
      <c r="A1246" s="140"/>
      <c r="B1246" s="140"/>
    </row>
    <row r="1247" spans="1:2" ht="13">
      <c r="A1247" s="140"/>
      <c r="B1247" s="140"/>
    </row>
    <row r="1248" spans="1:2" ht="13">
      <c r="A1248" s="140"/>
      <c r="B1248" s="140"/>
    </row>
    <row r="1249" spans="1:2" ht="13">
      <c r="A1249" s="140"/>
      <c r="B1249" s="140"/>
    </row>
    <row r="1250" spans="1:2" ht="13">
      <c r="A1250" s="140"/>
      <c r="B1250" s="140"/>
    </row>
    <row r="1251" spans="1:2" ht="13">
      <c r="A1251" s="140"/>
      <c r="B1251" s="140"/>
    </row>
    <row r="1252" spans="1:2" ht="13">
      <c r="A1252" s="140"/>
      <c r="B1252" s="140"/>
    </row>
    <row r="1253" spans="1:2" ht="13">
      <c r="A1253" s="140"/>
      <c r="B1253" s="140"/>
    </row>
    <row r="1254" spans="1:2" ht="13">
      <c r="A1254" s="140"/>
      <c r="B1254" s="140"/>
    </row>
    <row r="1255" spans="1:2" ht="13">
      <c r="A1255" s="140"/>
      <c r="B1255" s="140"/>
    </row>
    <row r="1256" spans="1:2" ht="13">
      <c r="A1256" s="140"/>
      <c r="B1256" s="140"/>
    </row>
    <row r="1257" spans="1:2" ht="13">
      <c r="A1257" s="140"/>
      <c r="B1257" s="140"/>
    </row>
    <row r="1258" spans="1:2" ht="13">
      <c r="A1258" s="140"/>
      <c r="B1258" s="140"/>
    </row>
    <row r="1259" spans="1:2" ht="13">
      <c r="A1259" s="140"/>
      <c r="B1259" s="140"/>
    </row>
    <row r="1260" spans="1:2" ht="13">
      <c r="A1260" s="140"/>
      <c r="B1260" s="140"/>
    </row>
    <row r="1261" spans="1:2" ht="13">
      <c r="A1261" s="140"/>
      <c r="B1261" s="140"/>
    </row>
    <row r="1262" spans="1:2" ht="13">
      <c r="A1262" s="140"/>
      <c r="B1262" s="140"/>
    </row>
    <row r="1263" spans="1:2" ht="13">
      <c r="A1263" s="140"/>
      <c r="B1263" s="140"/>
    </row>
    <row r="1264" spans="1:2" ht="13">
      <c r="A1264" s="140"/>
      <c r="B1264" s="140"/>
    </row>
    <row r="1265" spans="1:2" ht="13">
      <c r="A1265" s="140"/>
      <c r="B1265" s="140"/>
    </row>
    <row r="1266" spans="1:2" ht="13">
      <c r="A1266" s="140"/>
      <c r="B1266" s="140"/>
    </row>
    <row r="1267" spans="1:2" ht="13">
      <c r="A1267" s="140"/>
      <c r="B1267" s="140"/>
    </row>
    <row r="1268" spans="1:2" ht="13">
      <c r="A1268" s="140"/>
      <c r="B1268" s="140"/>
    </row>
    <row r="1269" spans="1:2" ht="13">
      <c r="A1269" s="140"/>
      <c r="B1269" s="140"/>
    </row>
    <row r="1270" spans="1:2" ht="13">
      <c r="A1270" s="140"/>
      <c r="B1270" s="140"/>
    </row>
    <row r="1271" spans="1:2" ht="13">
      <c r="A1271" s="140"/>
      <c r="B1271" s="140"/>
    </row>
    <row r="1272" spans="1:2" ht="13">
      <c r="A1272" s="140"/>
      <c r="B1272" s="140"/>
    </row>
    <row r="1273" spans="1:2" ht="13">
      <c r="A1273" s="140"/>
      <c r="B1273" s="140"/>
    </row>
    <row r="1274" spans="1:2" ht="13">
      <c r="A1274" s="140"/>
      <c r="B1274" s="140"/>
    </row>
    <row r="1275" spans="1:2" ht="13">
      <c r="A1275" s="140"/>
      <c r="B1275" s="140"/>
    </row>
    <row r="1276" spans="1:2" ht="13">
      <c r="A1276" s="140"/>
      <c r="B1276" s="140"/>
    </row>
    <row r="1277" spans="1:2" ht="13">
      <c r="A1277" s="140"/>
      <c r="B1277" s="140"/>
    </row>
    <row r="1278" spans="1:2" ht="13">
      <c r="A1278" s="140"/>
      <c r="B1278" s="140"/>
    </row>
    <row r="1279" spans="1:2" ht="13">
      <c r="A1279" s="140"/>
      <c r="B1279" s="140"/>
    </row>
    <row r="1280" spans="1:2" ht="13">
      <c r="A1280" s="140"/>
      <c r="B1280" s="140"/>
    </row>
    <row r="1281" spans="1:2" ht="13">
      <c r="A1281" s="140"/>
      <c r="B1281" s="140"/>
    </row>
    <row r="1282" spans="1:2" ht="13">
      <c r="A1282" s="140"/>
      <c r="B1282" s="140"/>
    </row>
    <row r="1283" spans="1:2" ht="13">
      <c r="A1283" s="140"/>
      <c r="B1283" s="140"/>
    </row>
    <row r="1284" spans="1:2" ht="13">
      <c r="A1284" s="140"/>
      <c r="B1284" s="140"/>
    </row>
    <row r="1285" spans="1:2" ht="13">
      <c r="A1285" s="140"/>
      <c r="B1285" s="140"/>
    </row>
    <row r="1286" spans="1:2" ht="13">
      <c r="A1286" s="140"/>
      <c r="B1286" s="140"/>
    </row>
    <row r="1287" spans="1:2" ht="13">
      <c r="A1287" s="140"/>
      <c r="B1287" s="140"/>
    </row>
    <row r="1288" spans="1:2" ht="13">
      <c r="A1288" s="140"/>
      <c r="B1288" s="140"/>
    </row>
    <row r="1289" spans="1:2" ht="13">
      <c r="A1289" s="140"/>
      <c r="B1289" s="140"/>
    </row>
    <row r="1290" spans="1:2" ht="13">
      <c r="A1290" s="140"/>
      <c r="B1290" s="140"/>
    </row>
    <row r="1291" spans="1:2" ht="13">
      <c r="A1291" s="140"/>
      <c r="B1291" s="140"/>
    </row>
    <row r="1292" spans="1:2" ht="13">
      <c r="A1292" s="140"/>
      <c r="B1292" s="140"/>
    </row>
    <row r="1293" spans="1:2" ht="13">
      <c r="A1293" s="140"/>
      <c r="B1293" s="140"/>
    </row>
    <row r="1294" spans="1:2" ht="13">
      <c r="A1294" s="140"/>
      <c r="B1294" s="140"/>
    </row>
    <row r="1295" spans="1:2" ht="13">
      <c r="A1295" s="140"/>
      <c r="B1295" s="140"/>
    </row>
    <row r="1296" spans="1:2" ht="13">
      <c r="A1296" s="140"/>
      <c r="B1296" s="140"/>
    </row>
    <row r="1297" spans="1:2" ht="13">
      <c r="A1297" s="140"/>
      <c r="B1297" s="140"/>
    </row>
    <row r="1298" spans="1:2" ht="13">
      <c r="A1298" s="140"/>
      <c r="B1298" s="140"/>
    </row>
    <row r="1299" spans="1:2" ht="13">
      <c r="A1299" s="140"/>
      <c r="B1299" s="140"/>
    </row>
    <row r="1300" spans="1:2" ht="13">
      <c r="A1300" s="140"/>
      <c r="B1300" s="140"/>
    </row>
    <row r="1301" spans="1:2" ht="13">
      <c r="A1301" s="140"/>
      <c r="B1301" s="140"/>
    </row>
    <row r="1302" spans="1:2" ht="13">
      <c r="A1302" s="140"/>
      <c r="B1302" s="140"/>
    </row>
    <row r="1303" spans="1:2" ht="13">
      <c r="A1303" s="140"/>
      <c r="B1303" s="140"/>
    </row>
    <row r="1304" spans="1:2" ht="13">
      <c r="A1304" s="140"/>
      <c r="B1304" s="140"/>
    </row>
    <row r="1305" spans="1:2" ht="13">
      <c r="A1305" s="140"/>
      <c r="B1305" s="140"/>
    </row>
    <row r="1306" spans="1:2" ht="13">
      <c r="A1306" s="140"/>
      <c r="B1306" s="140"/>
    </row>
    <row r="1307" spans="1:2" ht="13">
      <c r="A1307" s="140"/>
      <c r="B1307" s="140"/>
    </row>
    <row r="1308" spans="1:2" ht="13">
      <c r="A1308" s="140"/>
      <c r="B1308" s="140"/>
    </row>
    <row r="1309" spans="1:2" ht="13">
      <c r="A1309" s="140"/>
      <c r="B1309" s="140"/>
    </row>
    <row r="1310" spans="1:2" ht="13">
      <c r="A1310" s="140"/>
      <c r="B1310" s="140"/>
    </row>
    <row r="1311" spans="1:2" ht="13">
      <c r="A1311" s="140"/>
      <c r="B1311" s="140"/>
    </row>
    <row r="1312" spans="1:2" ht="13">
      <c r="A1312" s="140"/>
      <c r="B1312" s="140"/>
    </row>
    <row r="1313" spans="1:2" ht="13">
      <c r="A1313" s="140"/>
      <c r="B1313" s="140"/>
    </row>
    <row r="1314" spans="1:2" ht="13">
      <c r="A1314" s="140"/>
      <c r="B1314" s="140"/>
    </row>
    <row r="1315" spans="1:2" ht="13">
      <c r="A1315" s="140"/>
      <c r="B1315" s="140"/>
    </row>
    <row r="1316" spans="1:2" ht="13">
      <c r="A1316" s="140"/>
      <c r="B1316" s="140"/>
    </row>
    <row r="1317" spans="1:2" ht="13">
      <c r="A1317" s="140"/>
      <c r="B1317" s="140"/>
    </row>
    <row r="1318" spans="1:2" ht="13">
      <c r="A1318" s="140"/>
      <c r="B1318" s="140"/>
    </row>
    <row r="1319" spans="1:2" ht="13">
      <c r="A1319" s="140"/>
      <c r="B1319" s="140"/>
    </row>
    <row r="1320" spans="1:2" ht="13">
      <c r="A1320" s="140"/>
      <c r="B1320" s="140"/>
    </row>
    <row r="1321" spans="1:2" ht="13">
      <c r="A1321" s="140"/>
      <c r="B1321" s="140"/>
    </row>
    <row r="1322" spans="1:2" ht="13">
      <c r="A1322" s="140"/>
      <c r="B1322" s="140"/>
    </row>
    <row r="1323" spans="1:2" ht="13">
      <c r="A1323" s="140"/>
      <c r="B1323" s="140"/>
    </row>
    <row r="1324" spans="1:2" ht="13">
      <c r="A1324" s="140"/>
      <c r="B1324" s="140"/>
    </row>
    <row r="1325" spans="1:2" ht="13">
      <c r="A1325" s="140"/>
      <c r="B1325" s="140"/>
    </row>
    <row r="1326" spans="1:2" ht="13">
      <c r="A1326" s="140"/>
      <c r="B1326" s="140"/>
    </row>
    <row r="1327" spans="1:2" ht="13">
      <c r="A1327" s="140"/>
      <c r="B1327" s="140"/>
    </row>
    <row r="1328" spans="1:2" ht="13">
      <c r="A1328" s="140"/>
      <c r="B1328" s="140"/>
    </row>
    <row r="1329" spans="1:2" ht="13">
      <c r="A1329" s="140"/>
      <c r="B1329" s="140"/>
    </row>
    <row r="1330" spans="1:2" ht="13">
      <c r="A1330" s="140"/>
      <c r="B1330" s="140"/>
    </row>
    <row r="1331" spans="1:2" ht="13">
      <c r="A1331" s="140"/>
      <c r="B1331" s="140"/>
    </row>
    <row r="1332" spans="1:2" ht="13">
      <c r="A1332" s="140"/>
      <c r="B1332" s="140"/>
    </row>
    <row r="1333" spans="1:2" ht="13">
      <c r="A1333" s="140"/>
      <c r="B1333" s="140"/>
    </row>
    <row r="1334" spans="1:2" ht="13">
      <c r="A1334" s="140"/>
      <c r="B1334" s="140"/>
    </row>
    <row r="1335" spans="1:2" ht="13">
      <c r="A1335" s="140"/>
      <c r="B1335" s="140"/>
    </row>
    <row r="1336" spans="1:2" ht="13">
      <c r="A1336" s="140"/>
      <c r="B1336" s="140"/>
    </row>
    <row r="1337" spans="1:2" ht="13">
      <c r="A1337" s="140"/>
      <c r="B1337" s="140"/>
    </row>
    <row r="1338" spans="1:2" ht="13">
      <c r="A1338" s="140"/>
      <c r="B1338" s="140"/>
    </row>
    <row r="1339" spans="1:2" ht="13">
      <c r="A1339" s="140"/>
      <c r="B1339" s="140"/>
    </row>
    <row r="1340" spans="1:2" ht="13">
      <c r="A1340" s="140"/>
      <c r="B1340" s="140"/>
    </row>
    <row r="1341" spans="1:2" ht="13">
      <c r="A1341" s="140"/>
      <c r="B1341" s="140"/>
    </row>
    <row r="1342" spans="1:2" ht="13">
      <c r="A1342" s="140"/>
      <c r="B1342" s="140"/>
    </row>
    <row r="1343" spans="1:2" ht="13">
      <c r="A1343" s="140"/>
      <c r="B1343" s="140"/>
    </row>
    <row r="1344" spans="1:2" ht="13">
      <c r="A1344" s="140"/>
      <c r="B1344" s="140"/>
    </row>
    <row r="1345" spans="1:2" ht="13">
      <c r="A1345" s="140"/>
      <c r="B1345" s="140"/>
    </row>
    <row r="1346" spans="1:2" ht="13">
      <c r="A1346" s="140"/>
      <c r="B1346" s="140"/>
    </row>
    <row r="1347" spans="1:2" ht="13">
      <c r="A1347" s="140"/>
      <c r="B1347" s="140"/>
    </row>
    <row r="1348" spans="1:2" ht="13">
      <c r="A1348" s="140"/>
      <c r="B1348" s="140"/>
    </row>
    <row r="1349" spans="1:2" ht="13">
      <c r="A1349" s="140"/>
      <c r="B1349" s="140"/>
    </row>
    <row r="1350" spans="1:2" ht="13">
      <c r="A1350" s="140"/>
      <c r="B1350" s="140"/>
    </row>
    <row r="1351" spans="1:2" ht="13">
      <c r="A1351" s="140"/>
      <c r="B1351" s="140"/>
    </row>
    <row r="1352" spans="1:2" ht="13">
      <c r="A1352" s="140"/>
      <c r="B1352" s="140"/>
    </row>
    <row r="1353" spans="1:2" ht="13">
      <c r="A1353" s="140"/>
      <c r="B1353" s="140"/>
    </row>
    <row r="1354" spans="1:2" ht="13">
      <c r="A1354" s="140"/>
      <c r="B1354" s="140"/>
    </row>
    <row r="1355" spans="1:2" ht="13">
      <c r="A1355" s="140"/>
      <c r="B1355" s="140"/>
    </row>
    <row r="1356" spans="1:2" ht="13">
      <c r="A1356" s="140"/>
      <c r="B1356" s="140"/>
    </row>
    <row r="1357" spans="1:2" ht="13">
      <c r="A1357" s="140"/>
      <c r="B1357" s="140"/>
    </row>
    <row r="1358" spans="1:2" ht="13">
      <c r="A1358" s="140"/>
      <c r="B1358" s="140"/>
    </row>
    <row r="1359" spans="1:2" ht="13">
      <c r="A1359" s="140"/>
      <c r="B1359" s="140"/>
    </row>
    <row r="1360" spans="1:2" ht="13">
      <c r="A1360" s="140"/>
      <c r="B1360" s="140"/>
    </row>
    <row r="1361" spans="1:2" ht="13">
      <c r="A1361" s="140"/>
      <c r="B1361" s="140"/>
    </row>
    <row r="1362" spans="1:2" ht="13">
      <c r="A1362" s="140"/>
      <c r="B1362" s="140"/>
    </row>
    <row r="1363" spans="1:2" ht="13">
      <c r="A1363" s="140"/>
      <c r="B1363" s="140"/>
    </row>
    <row r="1364" spans="1:2" ht="13">
      <c r="A1364" s="140"/>
      <c r="B1364" s="140"/>
    </row>
    <row r="1365" spans="1:2" ht="13">
      <c r="A1365" s="140"/>
      <c r="B1365" s="140"/>
    </row>
    <row r="1366" spans="1:2" ht="13">
      <c r="A1366" s="140"/>
      <c r="B1366" s="140"/>
    </row>
    <row r="1367" spans="1:2" ht="13">
      <c r="A1367" s="140"/>
      <c r="B1367" s="140"/>
    </row>
    <row r="1368" spans="1:2" ht="13">
      <c r="A1368" s="140"/>
      <c r="B1368" s="140"/>
    </row>
    <row r="1369" spans="1:2" ht="13">
      <c r="A1369" s="140"/>
      <c r="B1369" s="140"/>
    </row>
    <row r="1370" spans="1:2" ht="13">
      <c r="A1370" s="140"/>
      <c r="B1370" s="140"/>
    </row>
    <row r="1371" spans="1:2" ht="13">
      <c r="A1371" s="140"/>
      <c r="B1371" s="140"/>
    </row>
    <row r="1372" spans="1:2" ht="13">
      <c r="A1372" s="140"/>
      <c r="B1372" s="140"/>
    </row>
    <row r="1373" spans="1:2" ht="13">
      <c r="A1373" s="140"/>
      <c r="B1373" s="140"/>
    </row>
    <row r="1374" spans="1:2" ht="13">
      <c r="A1374" s="140"/>
      <c r="B1374" s="140"/>
    </row>
    <row r="1375" spans="1:2" ht="13">
      <c r="A1375" s="140"/>
      <c r="B1375" s="140"/>
    </row>
    <row r="1376" spans="1:2" ht="13">
      <c r="A1376" s="140"/>
      <c r="B1376" s="140"/>
    </row>
    <row r="1377" spans="1:2" ht="13">
      <c r="A1377" s="140"/>
      <c r="B1377" s="140"/>
    </row>
    <row r="1378" spans="1:2" ht="13">
      <c r="A1378" s="140"/>
      <c r="B1378" s="140"/>
    </row>
    <row r="1379" spans="1:2" ht="13">
      <c r="A1379" s="140"/>
      <c r="B1379" s="140"/>
    </row>
    <row r="1380" spans="1:2" ht="13">
      <c r="A1380" s="140"/>
      <c r="B1380" s="140"/>
    </row>
    <row r="1381" spans="1:2" ht="13">
      <c r="A1381" s="140"/>
      <c r="B1381" s="140"/>
    </row>
    <row r="1382" spans="1:2" ht="13">
      <c r="A1382" s="140"/>
      <c r="B1382" s="140"/>
    </row>
    <row r="1383" spans="1:2" ht="13">
      <c r="A1383" s="140"/>
      <c r="B1383" s="140"/>
    </row>
    <row r="1384" spans="1:2" ht="13">
      <c r="A1384" s="140"/>
      <c r="B1384" s="140"/>
    </row>
    <row r="1385" spans="1:2" ht="13">
      <c r="A1385" s="140"/>
      <c r="B1385" s="140"/>
    </row>
    <row r="1386" spans="1:2" ht="13">
      <c r="A1386" s="140"/>
      <c r="B1386" s="140"/>
    </row>
    <row r="1387" spans="1:2" ht="13">
      <c r="A1387" s="140"/>
      <c r="B1387" s="140"/>
    </row>
    <row r="1388" spans="1:2" ht="13">
      <c r="A1388" s="140"/>
      <c r="B1388" s="140"/>
    </row>
    <row r="1389" spans="1:2" ht="13">
      <c r="A1389" s="140"/>
      <c r="B1389" s="140"/>
    </row>
    <row r="1390" spans="1:2" ht="13">
      <c r="A1390" s="140"/>
      <c r="B1390" s="140"/>
    </row>
    <row r="1391" spans="1:2" ht="13">
      <c r="A1391" s="140"/>
      <c r="B1391" s="140"/>
    </row>
    <row r="1392" spans="1:2" ht="13">
      <c r="A1392" s="140"/>
      <c r="B1392" s="140"/>
    </row>
    <row r="1393" spans="1:2" ht="13">
      <c r="A1393" s="140"/>
      <c r="B1393" s="140"/>
    </row>
    <row r="1394" spans="1:2" ht="13">
      <c r="A1394" s="140"/>
      <c r="B1394" s="140"/>
    </row>
    <row r="1395" spans="1:2" ht="13">
      <c r="A1395" s="140"/>
      <c r="B1395" s="140"/>
    </row>
    <row r="1396" spans="1:2" ht="13">
      <c r="A1396" s="140"/>
      <c r="B1396" s="140"/>
    </row>
    <row r="1397" spans="1:2" ht="13">
      <c r="A1397" s="140"/>
      <c r="B1397" s="140"/>
    </row>
    <row r="1398" spans="1:2" ht="13">
      <c r="A1398" s="140"/>
      <c r="B1398" s="140"/>
    </row>
    <row r="1399" spans="1:2" ht="13">
      <c r="A1399" s="140"/>
      <c r="B1399" s="140"/>
    </row>
    <row r="1400" spans="1:2" ht="13">
      <c r="A1400" s="140"/>
      <c r="B1400" s="140"/>
    </row>
    <row r="1401" spans="1:2" ht="13">
      <c r="A1401" s="140"/>
      <c r="B1401" s="140"/>
    </row>
    <row r="1402" spans="1:2" ht="13">
      <c r="A1402" s="140"/>
      <c r="B1402" s="140"/>
    </row>
    <row r="1403" spans="1:2" ht="13">
      <c r="A1403" s="140"/>
      <c r="B1403" s="140"/>
    </row>
    <row r="1404" spans="1:2" ht="13">
      <c r="A1404" s="140"/>
      <c r="B1404" s="140"/>
    </row>
    <row r="1405" spans="1:2" ht="13">
      <c r="A1405" s="140"/>
      <c r="B1405" s="140"/>
    </row>
    <row r="1406" spans="1:2" ht="13">
      <c r="A1406" s="140"/>
      <c r="B1406" s="140"/>
    </row>
    <row r="1407" spans="1:2" ht="13">
      <c r="A1407" s="140"/>
      <c r="B1407" s="140"/>
    </row>
    <row r="1408" spans="1:2" ht="13">
      <c r="A1408" s="140"/>
      <c r="B1408" s="140"/>
    </row>
    <row r="1409" spans="1:2" ht="13">
      <c r="A1409" s="140"/>
      <c r="B1409" s="140"/>
    </row>
    <row r="1410" spans="1:2" ht="13">
      <c r="A1410" s="140"/>
      <c r="B1410" s="140"/>
    </row>
    <row r="1411" spans="1:2" ht="13">
      <c r="A1411" s="140"/>
      <c r="B1411" s="140"/>
    </row>
    <row r="1412" spans="1:2" ht="13">
      <c r="A1412" s="140"/>
      <c r="B1412" s="140"/>
    </row>
    <row r="1413" spans="1:2" ht="13">
      <c r="A1413" s="140"/>
      <c r="B1413" s="140"/>
    </row>
    <row r="1414" spans="1:2" ht="13">
      <c r="A1414" s="140"/>
      <c r="B1414" s="140"/>
    </row>
    <row r="1415" spans="1:2" ht="13">
      <c r="A1415" s="140"/>
      <c r="B1415" s="140"/>
    </row>
    <row r="1416" spans="1:2" ht="13">
      <c r="A1416" s="140"/>
      <c r="B1416" s="140"/>
    </row>
    <row r="1417" spans="1:2" ht="13">
      <c r="A1417" s="140"/>
      <c r="B1417" s="140"/>
    </row>
    <row r="1418" spans="1:2" ht="13">
      <c r="A1418" s="140"/>
      <c r="B1418" s="140"/>
    </row>
    <row r="1419" spans="1:2" ht="13">
      <c r="A1419" s="140"/>
      <c r="B1419" s="140"/>
    </row>
    <row r="1420" spans="1:2" ht="13">
      <c r="A1420" s="140"/>
      <c r="B1420" s="140"/>
    </row>
    <row r="1421" spans="1:2" ht="13">
      <c r="A1421" s="140"/>
      <c r="B1421" s="140"/>
    </row>
    <row r="1422" spans="1:2" ht="13">
      <c r="A1422" s="140"/>
      <c r="B1422" s="140"/>
    </row>
    <row r="1423" spans="1:2" ht="13">
      <c r="A1423" s="140"/>
      <c r="B1423" s="140"/>
    </row>
    <row r="1424" spans="1:2" ht="13">
      <c r="A1424" s="140"/>
      <c r="B1424" s="140"/>
    </row>
    <row r="1425" spans="1:2" ht="13">
      <c r="A1425" s="140"/>
      <c r="B1425" s="140"/>
    </row>
    <row r="1426" spans="1:2" ht="13">
      <c r="A1426" s="140"/>
      <c r="B1426" s="140"/>
    </row>
    <row r="1427" spans="1:2" ht="13">
      <c r="A1427" s="140"/>
      <c r="B1427" s="140"/>
    </row>
    <row r="1428" spans="1:2" ht="13">
      <c r="A1428" s="140"/>
      <c r="B1428" s="140"/>
    </row>
    <row r="1429" spans="1:2" ht="13">
      <c r="A1429" s="140"/>
      <c r="B1429" s="140"/>
    </row>
    <row r="1430" spans="1:2" ht="13">
      <c r="A1430" s="140"/>
      <c r="B1430" s="140"/>
    </row>
    <row r="1431" spans="1:2" ht="13">
      <c r="A1431" s="140"/>
      <c r="B1431" s="140"/>
    </row>
    <row r="1432" spans="1:2" ht="13">
      <c r="A1432" s="140"/>
      <c r="B1432" s="140"/>
    </row>
    <row r="1433" spans="1:2" ht="13">
      <c r="A1433" s="140"/>
      <c r="B1433" s="140"/>
    </row>
    <row r="1434" spans="1:2" ht="13">
      <c r="A1434" s="140"/>
      <c r="B1434" s="140"/>
    </row>
    <row r="1435" spans="1:2" ht="13">
      <c r="A1435" s="140"/>
      <c r="B1435" s="140"/>
    </row>
    <row r="1436" spans="1:2" ht="13">
      <c r="A1436" s="140"/>
      <c r="B1436" s="140"/>
    </row>
    <row r="1437" spans="1:2" ht="13">
      <c r="A1437" s="140"/>
      <c r="B1437" s="140"/>
    </row>
    <row r="1438" spans="1:2" ht="13">
      <c r="A1438" s="140"/>
      <c r="B1438" s="140"/>
    </row>
    <row r="1439" spans="1:2" ht="13">
      <c r="A1439" s="140"/>
      <c r="B1439" s="140"/>
    </row>
    <row r="1440" spans="1:2" ht="13">
      <c r="A1440" s="140"/>
      <c r="B1440" s="140"/>
    </row>
    <row r="1441" spans="1:2" ht="13">
      <c r="A1441" s="140"/>
      <c r="B1441" s="140"/>
    </row>
    <row r="1442" spans="1:2" ht="13">
      <c r="A1442" s="140"/>
      <c r="B1442" s="140"/>
    </row>
    <row r="1443" spans="1:2" ht="13">
      <c r="A1443" s="140"/>
      <c r="B1443" s="140"/>
    </row>
    <row r="1444" spans="1:2" ht="13">
      <c r="A1444" s="140"/>
      <c r="B1444" s="140"/>
    </row>
    <row r="1445" spans="1:2" ht="13">
      <c r="A1445" s="140"/>
      <c r="B1445" s="140"/>
    </row>
    <row r="1446" spans="1:2" ht="13">
      <c r="A1446" s="140"/>
      <c r="B1446" s="140"/>
    </row>
    <row r="1447" spans="1:2" ht="13">
      <c r="A1447" s="140"/>
      <c r="B1447" s="140"/>
    </row>
    <row r="1448" spans="1:2" ht="13">
      <c r="A1448" s="140"/>
      <c r="B1448" s="140"/>
    </row>
    <row r="1449" spans="1:2" ht="13">
      <c r="A1449" s="140"/>
      <c r="B1449" s="140"/>
    </row>
    <row r="1450" spans="1:2" ht="13">
      <c r="A1450" s="140"/>
      <c r="B1450" s="140"/>
    </row>
    <row r="1451" spans="1:2" ht="13">
      <c r="A1451" s="140"/>
      <c r="B1451" s="140"/>
    </row>
    <row r="1452" spans="1:2" ht="13">
      <c r="A1452" s="140"/>
      <c r="B1452" s="140"/>
    </row>
    <row r="1453" spans="1:2" ht="13">
      <c r="A1453" s="140"/>
      <c r="B1453" s="140"/>
    </row>
    <row r="1454" spans="1:2" ht="13">
      <c r="A1454" s="140"/>
      <c r="B1454" s="140"/>
    </row>
    <row r="1455" spans="1:2" ht="13">
      <c r="A1455" s="140"/>
      <c r="B1455" s="140"/>
    </row>
    <row r="1456" spans="1:2" ht="13">
      <c r="A1456" s="140"/>
      <c r="B1456" s="140"/>
    </row>
    <row r="1457" spans="1:2" ht="13">
      <c r="A1457" s="140"/>
      <c r="B1457" s="140"/>
    </row>
    <row r="1458" spans="1:2" ht="13">
      <c r="A1458" s="140"/>
      <c r="B1458" s="140"/>
    </row>
    <row r="1459" spans="1:2" ht="13">
      <c r="A1459" s="140"/>
      <c r="B1459" s="140"/>
    </row>
    <row r="1460" spans="1:2" ht="13">
      <c r="A1460" s="140"/>
      <c r="B1460" s="140"/>
    </row>
    <row r="1461" spans="1:2" ht="13">
      <c r="A1461" s="140"/>
      <c r="B1461" s="140"/>
    </row>
    <row r="1462" spans="1:2" ht="13">
      <c r="A1462" s="140"/>
      <c r="B1462" s="140"/>
    </row>
    <row r="1463" spans="1:2" ht="13">
      <c r="A1463" s="140"/>
      <c r="B1463" s="140"/>
    </row>
    <row r="1464" spans="1:2" ht="13">
      <c r="A1464" s="140"/>
      <c r="B1464" s="140"/>
    </row>
    <row r="1465" spans="1:2" ht="13">
      <c r="A1465" s="140"/>
      <c r="B1465" s="140"/>
    </row>
    <row r="1466" spans="1:2" ht="13">
      <c r="A1466" s="140"/>
      <c r="B1466" s="140"/>
    </row>
    <row r="1467" spans="1:2" ht="13">
      <c r="A1467" s="140"/>
      <c r="B1467" s="140"/>
    </row>
    <row r="1468" spans="1:2" ht="13">
      <c r="A1468" s="140"/>
      <c r="B1468" s="140"/>
    </row>
    <row r="1469" spans="1:2" ht="13">
      <c r="A1469" s="140"/>
      <c r="B1469" s="140"/>
    </row>
    <row r="1470" spans="1:2" ht="13">
      <c r="A1470" s="140"/>
      <c r="B1470" s="140"/>
    </row>
    <row r="1471" spans="1:2" ht="13">
      <c r="A1471" s="140"/>
      <c r="B1471" s="140"/>
    </row>
    <row r="1472" spans="1:2" ht="13">
      <c r="A1472" s="140"/>
      <c r="B1472" s="140"/>
    </row>
    <row r="1473" spans="1:2" ht="13">
      <c r="A1473" s="140"/>
      <c r="B1473" s="140"/>
    </row>
    <row r="1474" spans="1:2" ht="13">
      <c r="A1474" s="140"/>
      <c r="B1474" s="140"/>
    </row>
    <row r="1475" spans="1:2" ht="13">
      <c r="A1475" s="140"/>
      <c r="B1475" s="140"/>
    </row>
    <row r="1476" spans="1:2" ht="13">
      <c r="A1476" s="140"/>
      <c r="B1476" s="140"/>
    </row>
    <row r="1477" spans="1:2" ht="13">
      <c r="A1477" s="140"/>
      <c r="B1477" s="140"/>
    </row>
    <row r="1478" spans="1:2" ht="13">
      <c r="A1478" s="140"/>
      <c r="B1478" s="140"/>
    </row>
    <row r="1479" spans="1:2" ht="13">
      <c r="A1479" s="140"/>
      <c r="B1479" s="140"/>
    </row>
    <row r="1480" spans="1:2" ht="13">
      <c r="A1480" s="140"/>
      <c r="B1480" s="140"/>
    </row>
    <row r="1481" spans="1:2" ht="13">
      <c r="A1481" s="140"/>
      <c r="B1481" s="140"/>
    </row>
    <row r="1482" spans="1:2" ht="13">
      <c r="A1482" s="140"/>
      <c r="B1482" s="140"/>
    </row>
    <row r="1483" spans="1:2" ht="13">
      <c r="A1483" s="140"/>
      <c r="B1483" s="140"/>
    </row>
    <row r="1484" spans="1:2" ht="13">
      <c r="A1484" s="140"/>
      <c r="B1484" s="140"/>
    </row>
    <row r="1485" spans="1:2" ht="13">
      <c r="A1485" s="140"/>
      <c r="B1485" s="140"/>
    </row>
    <row r="1486" spans="1:2" ht="13">
      <c r="A1486" s="140"/>
      <c r="B1486" s="140"/>
    </row>
    <row r="1487" spans="1:2" ht="13">
      <c r="A1487" s="140"/>
      <c r="B1487" s="140"/>
    </row>
    <row r="1488" spans="1:2" ht="13">
      <c r="A1488" s="140"/>
      <c r="B1488" s="140"/>
    </row>
    <row r="1489" spans="1:2" ht="13">
      <c r="A1489" s="140"/>
      <c r="B1489" s="140"/>
    </row>
    <row r="1490" spans="1:2" ht="13">
      <c r="A1490" s="140"/>
      <c r="B1490" s="140"/>
    </row>
    <row r="1491" spans="1:2" ht="13">
      <c r="A1491" s="140"/>
      <c r="B1491" s="140"/>
    </row>
    <row r="1492" spans="1:2" ht="13">
      <c r="A1492" s="140"/>
      <c r="B1492" s="140"/>
    </row>
    <row r="1493" spans="1:2" ht="13">
      <c r="A1493" s="140"/>
      <c r="B1493" s="140"/>
    </row>
    <row r="1494" spans="1:2" ht="13">
      <c r="A1494" s="140"/>
      <c r="B1494" s="140"/>
    </row>
    <row r="1495" spans="1:2" ht="13">
      <c r="A1495" s="140"/>
      <c r="B1495" s="140"/>
    </row>
    <row r="1496" spans="1:2" ht="13">
      <c r="A1496" s="140"/>
      <c r="B1496" s="140"/>
    </row>
    <row r="1497" spans="1:2" ht="13">
      <c r="A1497" s="140"/>
      <c r="B1497" s="140"/>
    </row>
    <row r="1498" spans="1:2" ht="13">
      <c r="A1498" s="140"/>
      <c r="B1498" s="140"/>
    </row>
    <row r="1499" spans="1:2" ht="13">
      <c r="A1499" s="140"/>
      <c r="B1499" s="140"/>
    </row>
    <row r="1500" spans="1:2" ht="13">
      <c r="A1500" s="140"/>
      <c r="B1500" s="140"/>
    </row>
    <row r="1501" spans="1:2" ht="13">
      <c r="A1501" s="140"/>
      <c r="B1501" s="140"/>
    </row>
    <row r="1502" spans="1:2" ht="13">
      <c r="A1502" s="140"/>
      <c r="B1502" s="140"/>
    </row>
    <row r="1503" spans="1:2" ht="13">
      <c r="A1503" s="140"/>
      <c r="B1503" s="140"/>
    </row>
    <row r="1504" spans="1:2" ht="13">
      <c r="A1504" s="140"/>
      <c r="B1504" s="140"/>
    </row>
    <row r="1505" spans="1:2" ht="13">
      <c r="A1505" s="140"/>
      <c r="B1505" s="140"/>
    </row>
    <row r="1506" spans="1:2" ht="13">
      <c r="A1506" s="140"/>
      <c r="B1506" s="140"/>
    </row>
    <row r="1507" spans="1:2" ht="13">
      <c r="A1507" s="140"/>
      <c r="B1507" s="140"/>
    </row>
    <row r="1508" spans="1:2" ht="13">
      <c r="A1508" s="140"/>
      <c r="B1508" s="140"/>
    </row>
    <row r="1509" spans="1:2" ht="13">
      <c r="A1509" s="140"/>
      <c r="B1509" s="140"/>
    </row>
    <row r="1510" spans="1:2" ht="13">
      <c r="A1510" s="140"/>
      <c r="B1510" s="140"/>
    </row>
    <row r="1511" spans="1:2" ht="13">
      <c r="A1511" s="140"/>
      <c r="B1511" s="140"/>
    </row>
    <row r="1512" spans="1:2" ht="13">
      <c r="A1512" s="140"/>
      <c r="B1512" s="140"/>
    </row>
    <row r="1513" spans="1:2" ht="13">
      <c r="A1513" s="140"/>
      <c r="B1513" s="140"/>
    </row>
    <row r="1514" spans="1:2" ht="13">
      <c r="A1514" s="140"/>
      <c r="B1514" s="140"/>
    </row>
    <row r="1515" spans="1:2" ht="13">
      <c r="A1515" s="140"/>
      <c r="B1515" s="140"/>
    </row>
    <row r="1516" spans="1:2" ht="13">
      <c r="A1516" s="140"/>
      <c r="B1516" s="140"/>
    </row>
    <row r="1517" spans="1:2" ht="13">
      <c r="A1517" s="140"/>
      <c r="B1517" s="140"/>
    </row>
    <row r="1518" spans="1:2" ht="13">
      <c r="A1518" s="140"/>
      <c r="B1518" s="140"/>
    </row>
    <row r="1519" spans="1:2" ht="13">
      <c r="A1519" s="140"/>
      <c r="B1519" s="140"/>
    </row>
    <row r="1520" spans="1:2" ht="13">
      <c r="A1520" s="140"/>
      <c r="B1520" s="140"/>
    </row>
    <row r="1521" spans="1:2" ht="13">
      <c r="A1521" s="140"/>
      <c r="B1521" s="140"/>
    </row>
    <row r="1522" spans="1:2" ht="13">
      <c r="A1522" s="140"/>
      <c r="B1522" s="140"/>
    </row>
    <row r="1523" spans="1:2" ht="13">
      <c r="A1523" s="140"/>
      <c r="B1523" s="140"/>
    </row>
    <row r="1524" spans="1:2" ht="13">
      <c r="A1524" s="140"/>
      <c r="B1524" s="140"/>
    </row>
    <row r="1525" spans="1:2" ht="13">
      <c r="A1525" s="140"/>
      <c r="B1525" s="140"/>
    </row>
    <row r="1526" spans="1:2" ht="13">
      <c r="A1526" s="140"/>
      <c r="B1526" s="140"/>
    </row>
    <row r="1527" spans="1:2" ht="13">
      <c r="A1527" s="140"/>
      <c r="B1527" s="140"/>
    </row>
    <row r="1528" spans="1:2" ht="13">
      <c r="A1528" s="140"/>
      <c r="B1528" s="140"/>
    </row>
    <row r="1529" spans="1:2" ht="13">
      <c r="A1529" s="140"/>
      <c r="B1529" s="140"/>
    </row>
    <row r="1530" spans="1:2" ht="13">
      <c r="A1530" s="140"/>
      <c r="B1530" s="140"/>
    </row>
    <row r="1531" spans="1:2" ht="13">
      <c r="A1531" s="140"/>
      <c r="B1531" s="140"/>
    </row>
    <row r="1532" spans="1:2" ht="13">
      <c r="A1532" s="140"/>
      <c r="B1532" s="140"/>
    </row>
    <row r="1533" spans="1:2" ht="13">
      <c r="A1533" s="140"/>
      <c r="B1533" s="140"/>
    </row>
    <row r="1534" spans="1:2" ht="13">
      <c r="A1534" s="140"/>
      <c r="B1534" s="140"/>
    </row>
    <row r="1535" spans="1:2" ht="13">
      <c r="A1535" s="140"/>
      <c r="B1535" s="140"/>
    </row>
    <row r="1536" spans="1:2" ht="13">
      <c r="A1536" s="140"/>
      <c r="B1536" s="140"/>
    </row>
    <row r="1537" spans="1:2" ht="13">
      <c r="A1537" s="140"/>
      <c r="B1537" s="140"/>
    </row>
    <row r="1538" spans="1:2" ht="13">
      <c r="A1538" s="140"/>
      <c r="B1538" s="140"/>
    </row>
    <row r="1539" spans="1:2" ht="13">
      <c r="A1539" s="140"/>
      <c r="B1539" s="140"/>
    </row>
    <row r="1540" spans="1:2" ht="13">
      <c r="A1540" s="140"/>
      <c r="B1540" s="140"/>
    </row>
    <row r="1541" spans="1:2" ht="13">
      <c r="A1541" s="140"/>
      <c r="B1541" s="140"/>
    </row>
    <row r="1542" spans="1:2" ht="13">
      <c r="A1542" s="140"/>
      <c r="B1542" s="140"/>
    </row>
    <row r="1543" spans="1:2" ht="13">
      <c r="A1543" s="140"/>
      <c r="B1543" s="140"/>
    </row>
    <row r="1544" spans="1:2" ht="13">
      <c r="A1544" s="140"/>
      <c r="B1544" s="140"/>
    </row>
    <row r="1545" spans="1:2" ht="13">
      <c r="A1545" s="140"/>
      <c r="B1545" s="140"/>
    </row>
    <row r="1546" spans="1:2" ht="13">
      <c r="A1546" s="140"/>
      <c r="B1546" s="140"/>
    </row>
    <row r="1547" spans="1:2" ht="13">
      <c r="A1547" s="140"/>
      <c r="B1547" s="140"/>
    </row>
    <row r="1548" spans="1:2" ht="13">
      <c r="A1548" s="140"/>
      <c r="B1548" s="140"/>
    </row>
    <row r="1549" spans="1:2" ht="13">
      <c r="A1549" s="140"/>
      <c r="B1549" s="140"/>
    </row>
    <row r="1550" spans="1:2" ht="13">
      <c r="A1550" s="140"/>
      <c r="B1550" s="140"/>
    </row>
    <row r="1551" spans="1:2" ht="13">
      <c r="A1551" s="140"/>
      <c r="B1551" s="140"/>
    </row>
    <row r="1552" spans="1:2" ht="13">
      <c r="A1552" s="140"/>
      <c r="B1552" s="140"/>
    </row>
    <row r="1553" spans="1:2" ht="13">
      <c r="A1553" s="140"/>
      <c r="B1553" s="140"/>
    </row>
    <row r="1554" spans="1:2" ht="13">
      <c r="A1554" s="140"/>
      <c r="B1554" s="140"/>
    </row>
    <row r="1555" spans="1:2" ht="13">
      <c r="A1555" s="140"/>
      <c r="B1555" s="140"/>
    </row>
    <row r="1556" spans="1:2" ht="13">
      <c r="A1556" s="140"/>
      <c r="B1556" s="140"/>
    </row>
    <row r="1557" spans="1:2" ht="13">
      <c r="A1557" s="140"/>
      <c r="B1557" s="140"/>
    </row>
    <row r="1558" spans="1:2" ht="13">
      <c r="A1558" s="140"/>
      <c r="B1558" s="140"/>
    </row>
    <row r="1559" spans="1:2" ht="13">
      <c r="A1559" s="140"/>
      <c r="B1559" s="140"/>
    </row>
    <row r="1560" spans="1:2" ht="13">
      <c r="A1560" s="140"/>
      <c r="B1560" s="140"/>
    </row>
    <row r="1561" spans="1:2" ht="13">
      <c r="A1561" s="140"/>
      <c r="B1561" s="140"/>
    </row>
    <row r="1562" spans="1:2" ht="13">
      <c r="A1562" s="140"/>
      <c r="B1562" s="140"/>
    </row>
    <row r="1563" spans="1:2" ht="13">
      <c r="A1563" s="140"/>
      <c r="B1563" s="140"/>
    </row>
    <row r="1564" spans="1:2" ht="13">
      <c r="A1564" s="140"/>
      <c r="B1564" s="140"/>
    </row>
    <row r="1565" spans="1:2" ht="13">
      <c r="A1565" s="140"/>
      <c r="B1565" s="140"/>
    </row>
    <row r="1566" spans="1:2" ht="13">
      <c r="A1566" s="140"/>
      <c r="B1566" s="140"/>
    </row>
    <row r="1567" spans="1:2" ht="13">
      <c r="A1567" s="140"/>
      <c r="B1567" s="140"/>
    </row>
    <row r="1568" spans="1:2" ht="13">
      <c r="A1568" s="140"/>
      <c r="B1568" s="140"/>
    </row>
    <row r="1569" spans="1:2" ht="13">
      <c r="A1569" s="140"/>
      <c r="B1569" s="140"/>
    </row>
    <row r="1570" spans="1:2" ht="13">
      <c r="A1570" s="140"/>
      <c r="B1570" s="140"/>
    </row>
    <row r="1571" spans="1:2" ht="13">
      <c r="A1571" s="140"/>
      <c r="B1571" s="140"/>
    </row>
    <row r="1572" spans="1:2" ht="13">
      <c r="A1572" s="140"/>
      <c r="B1572" s="140"/>
    </row>
    <row r="1573" spans="1:2" ht="13">
      <c r="A1573" s="140"/>
      <c r="B1573" s="140"/>
    </row>
    <row r="1574" spans="1:2" ht="13">
      <c r="A1574" s="140"/>
      <c r="B1574" s="140"/>
    </row>
    <row r="1575" spans="1:2" ht="13">
      <c r="A1575" s="140"/>
      <c r="B1575" s="140"/>
    </row>
    <row r="1576" spans="1:2" ht="13">
      <c r="A1576" s="140"/>
      <c r="B1576" s="140"/>
    </row>
    <row r="1577" spans="1:2" ht="13">
      <c r="A1577" s="140"/>
      <c r="B1577" s="140"/>
    </row>
    <row r="1578" spans="1:2" ht="13">
      <c r="A1578" s="140"/>
      <c r="B1578" s="140"/>
    </row>
    <row r="1579" spans="1:2" ht="13">
      <c r="A1579" s="140"/>
      <c r="B1579" s="140"/>
    </row>
    <row r="1580" spans="1:2" ht="13">
      <c r="A1580" s="140"/>
      <c r="B1580" s="140"/>
    </row>
    <row r="1581" spans="1:2" ht="13">
      <c r="A1581" s="140"/>
      <c r="B1581" s="140"/>
    </row>
    <row r="1582" spans="1:2" ht="13">
      <c r="A1582" s="140"/>
      <c r="B1582" s="140"/>
    </row>
    <row r="1583" spans="1:2" ht="13">
      <c r="A1583" s="140"/>
      <c r="B1583" s="140"/>
    </row>
    <row r="1584" spans="1:2" ht="13">
      <c r="A1584" s="140"/>
      <c r="B1584" s="140"/>
    </row>
    <row r="1585" spans="1:2" ht="13">
      <c r="A1585" s="140"/>
      <c r="B1585" s="140"/>
    </row>
    <row r="1586" spans="1:2" ht="13">
      <c r="A1586" s="140"/>
      <c r="B1586" s="140"/>
    </row>
    <row r="1587" spans="1:2" ht="13">
      <c r="A1587" s="140"/>
      <c r="B1587" s="140"/>
    </row>
    <row r="1588" spans="1:2" ht="13">
      <c r="A1588" s="140"/>
      <c r="B1588" s="140"/>
    </row>
    <row r="1589" spans="1:2" ht="13">
      <c r="A1589" s="140"/>
      <c r="B1589" s="140"/>
    </row>
    <row r="1590" spans="1:2" ht="13">
      <c r="A1590" s="140"/>
      <c r="B1590" s="140"/>
    </row>
    <row r="1591" spans="1:2" ht="13">
      <c r="A1591" s="140"/>
      <c r="B1591" s="140"/>
    </row>
    <row r="1592" spans="1:2" ht="13">
      <c r="A1592" s="140"/>
      <c r="B1592" s="140"/>
    </row>
    <row r="1593" spans="1:2" ht="13">
      <c r="A1593" s="140"/>
      <c r="B1593" s="140"/>
    </row>
    <row r="1594" spans="1:2" ht="13">
      <c r="A1594" s="140"/>
      <c r="B1594" s="140"/>
    </row>
    <row r="1595" spans="1:2" ht="13">
      <c r="A1595" s="140"/>
      <c r="B1595" s="140"/>
    </row>
    <row r="1596" spans="1:2" ht="13">
      <c r="A1596" s="140"/>
      <c r="B1596" s="140"/>
    </row>
    <row r="1597" spans="1:2" ht="13">
      <c r="A1597" s="140"/>
      <c r="B1597" s="140"/>
    </row>
    <row r="1598" spans="1:2" ht="13">
      <c r="A1598" s="140"/>
      <c r="B1598" s="140"/>
    </row>
    <row r="1599" spans="1:2" ht="13">
      <c r="A1599" s="140"/>
      <c r="B1599" s="140"/>
    </row>
    <row r="1600" spans="1:2" ht="13">
      <c r="A1600" s="140"/>
      <c r="B1600" s="140"/>
    </row>
    <row r="1601" spans="1:2" ht="13">
      <c r="A1601" s="140"/>
      <c r="B1601" s="140"/>
    </row>
    <row r="1602" spans="1:2" ht="13">
      <c r="A1602" s="140"/>
      <c r="B1602" s="140"/>
    </row>
    <row r="1603" spans="1:2" ht="13">
      <c r="A1603" s="140"/>
      <c r="B1603" s="140"/>
    </row>
    <row r="1604" spans="1:2" ht="13">
      <c r="A1604" s="140"/>
      <c r="B1604" s="140"/>
    </row>
    <row r="1605" spans="1:2" ht="13">
      <c r="A1605" s="140"/>
      <c r="B1605" s="140"/>
    </row>
    <row r="1606" spans="1:2" ht="13">
      <c r="A1606" s="140"/>
      <c r="B1606" s="140"/>
    </row>
    <row r="1607" spans="1:2" ht="13">
      <c r="A1607" s="140"/>
      <c r="B1607" s="140"/>
    </row>
    <row r="1608" spans="1:2" ht="13">
      <c r="A1608" s="140"/>
      <c r="B1608" s="140"/>
    </row>
    <row r="1609" spans="1:2" ht="13">
      <c r="A1609" s="140"/>
      <c r="B1609" s="140"/>
    </row>
    <row r="1610" spans="1:2" ht="13">
      <c r="A1610" s="140"/>
      <c r="B1610" s="140"/>
    </row>
    <row r="1611" spans="1:2" ht="13">
      <c r="A1611" s="140"/>
      <c r="B1611" s="140"/>
    </row>
    <row r="1612" spans="1:2" ht="13">
      <c r="A1612" s="140"/>
      <c r="B1612" s="140"/>
    </row>
    <row r="1613" spans="1:2" ht="13">
      <c r="A1613" s="140"/>
      <c r="B1613" s="140"/>
    </row>
    <row r="1614" spans="1:2" ht="13">
      <c r="A1614" s="140"/>
      <c r="B1614" s="140"/>
    </row>
    <row r="1615" spans="1:2" ht="13">
      <c r="A1615" s="140"/>
      <c r="B1615" s="140"/>
    </row>
    <row r="1616" spans="1:2" ht="13">
      <c r="A1616" s="140"/>
      <c r="B1616" s="140"/>
    </row>
    <row r="1617" spans="1:2" ht="13">
      <c r="A1617" s="140"/>
      <c r="B1617" s="140"/>
    </row>
    <row r="1618" spans="1:2" ht="13">
      <c r="A1618" s="140"/>
      <c r="B1618" s="140"/>
    </row>
    <row r="1619" spans="1:2" ht="13">
      <c r="A1619" s="140"/>
      <c r="B1619" s="140"/>
    </row>
    <row r="1620" spans="1:2" ht="13">
      <c r="A1620" s="140"/>
      <c r="B1620" s="140"/>
    </row>
    <row r="1621" spans="1:2" ht="13">
      <c r="A1621" s="140"/>
      <c r="B1621" s="140"/>
    </row>
    <row r="1622" spans="1:2" ht="13">
      <c r="A1622" s="140"/>
      <c r="B1622" s="140"/>
    </row>
    <row r="1623" spans="1:2" ht="13">
      <c r="A1623" s="140"/>
      <c r="B1623" s="140"/>
    </row>
    <row r="1624" spans="1:2" ht="13">
      <c r="A1624" s="140"/>
      <c r="B1624" s="140"/>
    </row>
    <row r="1625" spans="1:2" ht="13">
      <c r="A1625" s="140"/>
      <c r="B1625" s="140"/>
    </row>
    <row r="1626" spans="1:2" ht="13">
      <c r="A1626" s="140"/>
      <c r="B1626" s="140"/>
    </row>
    <row r="1627" spans="1:2" ht="13">
      <c r="A1627" s="140"/>
      <c r="B1627" s="140"/>
    </row>
    <row r="1628" spans="1:2" ht="13">
      <c r="A1628" s="140"/>
      <c r="B1628" s="140"/>
    </row>
    <row r="1629" spans="1:2" ht="13">
      <c r="A1629" s="140"/>
      <c r="B1629" s="140"/>
    </row>
    <row r="1630" spans="1:2" ht="13">
      <c r="A1630" s="140"/>
      <c r="B1630" s="140"/>
    </row>
    <row r="1631" spans="1:2" ht="13">
      <c r="A1631" s="140"/>
      <c r="B1631" s="140"/>
    </row>
    <row r="1632" spans="1:2" ht="13">
      <c r="A1632" s="140"/>
      <c r="B1632" s="140"/>
    </row>
    <row r="1633" spans="1:2" ht="13">
      <c r="A1633" s="140"/>
      <c r="B1633" s="140"/>
    </row>
    <row r="1634" spans="1:2" ht="13">
      <c r="A1634" s="140"/>
      <c r="B1634" s="140"/>
    </row>
    <row r="1635" spans="1:2" ht="13">
      <c r="A1635" s="140"/>
      <c r="B1635" s="140"/>
    </row>
    <row r="1636" spans="1:2" ht="13">
      <c r="A1636" s="140"/>
      <c r="B1636" s="140"/>
    </row>
    <row r="1637" spans="1:2" ht="13">
      <c r="A1637" s="140"/>
      <c r="B1637" s="140"/>
    </row>
    <row r="1638" spans="1:2" ht="13">
      <c r="A1638" s="140"/>
      <c r="B1638" s="140"/>
    </row>
    <row r="1639" spans="1:2" ht="13">
      <c r="A1639" s="140"/>
      <c r="B1639" s="140"/>
    </row>
    <row r="1640" spans="1:2" ht="13">
      <c r="A1640" s="140"/>
      <c r="B1640" s="140"/>
    </row>
    <row r="1641" spans="1:2" ht="13">
      <c r="A1641" s="140"/>
      <c r="B1641" s="140"/>
    </row>
    <row r="1642" spans="1:2" ht="13">
      <c r="A1642" s="140"/>
      <c r="B1642" s="140"/>
    </row>
    <row r="1643" spans="1:2" ht="13">
      <c r="A1643" s="140"/>
      <c r="B1643" s="140"/>
    </row>
    <row r="1644" spans="1:2" ht="13">
      <c r="A1644" s="140"/>
      <c r="B1644" s="140"/>
    </row>
    <row r="1645" spans="1:2" ht="13">
      <c r="A1645" s="140"/>
      <c r="B1645" s="140"/>
    </row>
    <row r="1646" spans="1:2" ht="13">
      <c r="A1646" s="140"/>
      <c r="B1646" s="140"/>
    </row>
    <row r="1647" spans="1:2" ht="13">
      <c r="A1647" s="140"/>
      <c r="B1647" s="140"/>
    </row>
    <row r="1648" spans="1:2" ht="13">
      <c r="A1648" s="140"/>
      <c r="B1648" s="140"/>
    </row>
    <row r="1649" spans="1:2" ht="13">
      <c r="A1649" s="140"/>
      <c r="B1649" s="140"/>
    </row>
    <row r="1650" spans="1:2" ht="13">
      <c r="A1650" s="140"/>
      <c r="B1650" s="140"/>
    </row>
    <row r="1651" spans="1:2" ht="13">
      <c r="A1651" s="140"/>
      <c r="B1651" s="140"/>
    </row>
    <row r="1652" spans="1:2" ht="13">
      <c r="A1652" s="140"/>
      <c r="B1652" s="140"/>
    </row>
    <row r="1653" spans="1:2" ht="13">
      <c r="A1653" s="140"/>
      <c r="B1653" s="140"/>
    </row>
    <row r="1654" spans="1:2" ht="13">
      <c r="A1654" s="140"/>
      <c r="B1654" s="140"/>
    </row>
    <row r="1655" spans="1:2" ht="13">
      <c r="A1655" s="140"/>
      <c r="B1655" s="140"/>
    </row>
    <row r="1656" spans="1:2" ht="13">
      <c r="A1656" s="140"/>
      <c r="B1656" s="140"/>
    </row>
    <row r="1657" spans="1:2" ht="13">
      <c r="A1657" s="140"/>
      <c r="B1657" s="140"/>
    </row>
    <row r="1658" spans="1:2" ht="13">
      <c r="A1658" s="140"/>
      <c r="B1658" s="140"/>
    </row>
    <row r="1659" spans="1:2" ht="13">
      <c r="A1659" s="140"/>
      <c r="B1659" s="140"/>
    </row>
    <row r="1660" spans="1:2" ht="13">
      <c r="A1660" s="140"/>
      <c r="B1660" s="140"/>
    </row>
    <row r="1661" spans="1:2" ht="13">
      <c r="A1661" s="140"/>
      <c r="B1661" s="140"/>
    </row>
    <row r="1662" spans="1:2" ht="13">
      <c r="A1662" s="140"/>
      <c r="B1662" s="140"/>
    </row>
    <row r="1663" spans="1:2" ht="13">
      <c r="A1663" s="140"/>
      <c r="B1663" s="140"/>
    </row>
    <row r="1664" spans="1:2" ht="13">
      <c r="A1664" s="140"/>
      <c r="B1664" s="140"/>
    </row>
    <row r="1665" spans="1:2" ht="13">
      <c r="A1665" s="140"/>
      <c r="B1665" s="140"/>
    </row>
    <row r="1666" spans="1:2" ht="13">
      <c r="A1666" s="140"/>
      <c r="B1666" s="140"/>
    </row>
    <row r="1667" spans="1:2" ht="13">
      <c r="A1667" s="140"/>
      <c r="B1667" s="140"/>
    </row>
    <row r="1668" spans="1:2" ht="13">
      <c r="A1668" s="140"/>
      <c r="B1668" s="140"/>
    </row>
    <row r="1669" spans="1:2" ht="13">
      <c r="A1669" s="140"/>
      <c r="B1669" s="140"/>
    </row>
    <row r="1670" spans="1:2" ht="13">
      <c r="A1670" s="140"/>
      <c r="B1670" s="140"/>
    </row>
    <row r="1671" spans="1:2" ht="13">
      <c r="A1671" s="140"/>
      <c r="B1671" s="140"/>
    </row>
    <row r="1672" spans="1:2" ht="13">
      <c r="A1672" s="140"/>
      <c r="B1672" s="140"/>
    </row>
    <row r="1673" spans="1:2" ht="13">
      <c r="A1673" s="140"/>
      <c r="B1673" s="140"/>
    </row>
    <row r="1674" spans="1:2" ht="13">
      <c r="A1674" s="140"/>
      <c r="B1674" s="140"/>
    </row>
    <row r="1675" spans="1:2" ht="13">
      <c r="A1675" s="140"/>
      <c r="B1675" s="140"/>
    </row>
    <row r="1676" spans="1:2" ht="13">
      <c r="A1676" s="140"/>
      <c r="B1676" s="140"/>
    </row>
    <row r="1677" spans="1:2" ht="13">
      <c r="A1677" s="140"/>
      <c r="B1677" s="140"/>
    </row>
    <row r="1678" spans="1:2" ht="13">
      <c r="A1678" s="140"/>
      <c r="B1678" s="140"/>
    </row>
    <row r="1679" spans="1:2" ht="13">
      <c r="A1679" s="140"/>
      <c r="B1679" s="140"/>
    </row>
    <row r="1680" spans="1:2" ht="13">
      <c r="A1680" s="140"/>
      <c r="B1680" s="140"/>
    </row>
    <row r="1681" spans="1:2" ht="13">
      <c r="A1681" s="140"/>
      <c r="B1681" s="140"/>
    </row>
    <row r="1682" spans="1:2" ht="13">
      <c r="A1682" s="140"/>
      <c r="B1682" s="140"/>
    </row>
    <row r="1683" spans="1:2" ht="13">
      <c r="A1683" s="140"/>
      <c r="B1683" s="140"/>
    </row>
    <row r="1684" spans="1:2" ht="13">
      <c r="A1684" s="140"/>
      <c r="B1684" s="140"/>
    </row>
    <row r="1685" spans="1:2" ht="13">
      <c r="A1685" s="140"/>
      <c r="B1685" s="140"/>
    </row>
    <row r="1686" spans="1:2" ht="13">
      <c r="A1686" s="140"/>
      <c r="B1686" s="140"/>
    </row>
    <row r="1687" spans="1:2" ht="13">
      <c r="A1687" s="140"/>
      <c r="B1687" s="140"/>
    </row>
    <row r="1688" spans="1:2" ht="13">
      <c r="A1688" s="140"/>
      <c r="B1688" s="140"/>
    </row>
    <row r="1689" spans="1:2" ht="13">
      <c r="A1689" s="140"/>
      <c r="B1689" s="140"/>
    </row>
    <row r="1690" spans="1:2" ht="13">
      <c r="A1690" s="140"/>
      <c r="B1690" s="140"/>
    </row>
    <row r="1691" spans="1:2" ht="13">
      <c r="A1691" s="140"/>
      <c r="B1691" s="140"/>
    </row>
    <row r="1692" spans="1:2" ht="13">
      <c r="A1692" s="140"/>
      <c r="B1692" s="140"/>
    </row>
    <row r="1693" spans="1:2" ht="13">
      <c r="A1693" s="140"/>
      <c r="B1693" s="140"/>
    </row>
    <row r="1694" spans="1:2" ht="13">
      <c r="A1694" s="140"/>
      <c r="B1694" s="140"/>
    </row>
    <row r="1695" spans="1:2" ht="13">
      <c r="A1695" s="140"/>
      <c r="B1695" s="140"/>
    </row>
    <row r="1696" spans="1:2" ht="13">
      <c r="A1696" s="140"/>
      <c r="B1696" s="140"/>
    </row>
    <row r="1697" spans="1:2" ht="13">
      <c r="A1697" s="140"/>
      <c r="B1697" s="140"/>
    </row>
    <row r="1698" spans="1:2" ht="13">
      <c r="A1698" s="140"/>
      <c r="B1698" s="140"/>
    </row>
    <row r="1699" spans="1:2" ht="13">
      <c r="A1699" s="140"/>
      <c r="B1699" s="140"/>
    </row>
    <row r="1700" spans="1:2" ht="13">
      <c r="A1700" s="140"/>
      <c r="B1700" s="140"/>
    </row>
    <row r="1701" spans="1:2" ht="13">
      <c r="A1701" s="140"/>
      <c r="B1701" s="140"/>
    </row>
    <row r="1702" spans="1:2" ht="13">
      <c r="A1702" s="140"/>
      <c r="B1702" s="140"/>
    </row>
    <row r="1703" spans="1:2" ht="13">
      <c r="A1703" s="140"/>
      <c r="B1703" s="140"/>
    </row>
    <row r="1704" spans="1:2" ht="13">
      <c r="A1704" s="140"/>
      <c r="B1704" s="140"/>
    </row>
    <row r="1705" spans="1:2" ht="13">
      <c r="A1705" s="140"/>
      <c r="B1705" s="140"/>
    </row>
    <row r="1706" spans="1:2" ht="13">
      <c r="A1706" s="140"/>
      <c r="B1706" s="140"/>
    </row>
    <row r="1707" spans="1:2" ht="13">
      <c r="A1707" s="140"/>
      <c r="B1707" s="140"/>
    </row>
    <row r="1708" spans="1:2" ht="13">
      <c r="A1708" s="140"/>
      <c r="B1708" s="140"/>
    </row>
    <row r="1709" spans="1:2" ht="13">
      <c r="A1709" s="140"/>
      <c r="B1709" s="140"/>
    </row>
    <row r="1710" spans="1:2" ht="13">
      <c r="A1710" s="140"/>
      <c r="B1710" s="140"/>
    </row>
    <row r="1711" spans="1:2" ht="13">
      <c r="A1711" s="140"/>
      <c r="B1711" s="140"/>
    </row>
    <row r="1712" spans="1:2" ht="13">
      <c r="A1712" s="140"/>
      <c r="B1712" s="140"/>
    </row>
    <row r="1713" spans="1:2" ht="13">
      <c r="A1713" s="140"/>
      <c r="B1713" s="140"/>
    </row>
    <row r="1714" spans="1:2" ht="13">
      <c r="A1714" s="140"/>
      <c r="B1714" s="140"/>
    </row>
    <row r="1715" spans="1:2" ht="13">
      <c r="A1715" s="140"/>
      <c r="B1715" s="140"/>
    </row>
    <row r="1716" spans="1:2" ht="13">
      <c r="A1716" s="140"/>
      <c r="B1716" s="140"/>
    </row>
    <row r="1717" spans="1:2" ht="13">
      <c r="A1717" s="140"/>
      <c r="B1717" s="140"/>
    </row>
    <row r="1718" spans="1:2" ht="13">
      <c r="A1718" s="140"/>
      <c r="B1718" s="140"/>
    </row>
    <row r="1719" spans="1:2" ht="13">
      <c r="A1719" s="140"/>
      <c r="B1719" s="140"/>
    </row>
    <row r="1720" spans="1:2" ht="13">
      <c r="A1720" s="140"/>
      <c r="B1720" s="140"/>
    </row>
    <row r="1721" spans="1:2" ht="13">
      <c r="A1721" s="140"/>
      <c r="B1721" s="140"/>
    </row>
    <row r="1722" spans="1:2" ht="13">
      <c r="A1722" s="140"/>
      <c r="B1722" s="140"/>
    </row>
    <row r="1723" spans="1:2" ht="13">
      <c r="A1723" s="140"/>
      <c r="B1723" s="140"/>
    </row>
    <row r="1724" spans="1:2" ht="13">
      <c r="A1724" s="140"/>
      <c r="B1724" s="140"/>
    </row>
    <row r="1725" spans="1:2" ht="13">
      <c r="A1725" s="140"/>
      <c r="B1725" s="140"/>
    </row>
    <row r="1726" spans="1:2" ht="13">
      <c r="A1726" s="140"/>
      <c r="B1726" s="140"/>
    </row>
    <row r="1727" spans="1:2" ht="13">
      <c r="A1727" s="140"/>
      <c r="B1727" s="140"/>
    </row>
    <row r="1728" spans="1:2" ht="13">
      <c r="A1728" s="140"/>
      <c r="B1728" s="140"/>
    </row>
    <row r="1729" spans="1:2" ht="13">
      <c r="A1729" s="140"/>
      <c r="B1729" s="140"/>
    </row>
    <row r="1730" spans="1:2" ht="13">
      <c r="A1730" s="140"/>
      <c r="B1730" s="140"/>
    </row>
    <row r="1731" spans="1:2" ht="13">
      <c r="A1731" s="140"/>
      <c r="B1731" s="140"/>
    </row>
    <row r="1732" spans="1:2" ht="13">
      <c r="A1732" s="140"/>
      <c r="B1732" s="140"/>
    </row>
    <row r="1733" spans="1:2" ht="13">
      <c r="A1733" s="140"/>
      <c r="B1733" s="140"/>
    </row>
    <row r="1734" spans="1:2" ht="13">
      <c r="A1734" s="140"/>
      <c r="B1734" s="140"/>
    </row>
    <row r="1735" spans="1:2" ht="13">
      <c r="A1735" s="140"/>
      <c r="B1735" s="140"/>
    </row>
    <row r="1736" spans="1:2" ht="13">
      <c r="A1736" s="140"/>
      <c r="B1736" s="140"/>
    </row>
    <row r="1737" spans="1:2" ht="13">
      <c r="A1737" s="140"/>
      <c r="B1737" s="140"/>
    </row>
    <row r="1738" spans="1:2" ht="13">
      <c r="A1738" s="140"/>
      <c r="B1738" s="140"/>
    </row>
    <row r="1739" spans="1:2" ht="13">
      <c r="A1739" s="140"/>
      <c r="B1739" s="140"/>
    </row>
    <row r="1740" spans="1:2" ht="13">
      <c r="A1740" s="140"/>
      <c r="B1740" s="140"/>
    </row>
    <row r="1741" spans="1:2" ht="13">
      <c r="A1741" s="140"/>
      <c r="B1741" s="140"/>
    </row>
    <row r="1742" spans="1:2" ht="13">
      <c r="A1742" s="140"/>
      <c r="B1742" s="140"/>
    </row>
    <row r="1743" spans="1:2" ht="13">
      <c r="A1743" s="140"/>
      <c r="B1743" s="140"/>
    </row>
    <row r="1744" spans="1:2" ht="13">
      <c r="A1744" s="140"/>
      <c r="B1744" s="140"/>
    </row>
    <row r="1745" spans="1:2" ht="13">
      <c r="A1745" s="140"/>
      <c r="B1745" s="140"/>
    </row>
    <row r="1746" spans="1:2" ht="13">
      <c r="A1746" s="140"/>
      <c r="B1746" s="140"/>
    </row>
    <row r="1747" spans="1:2" ht="13">
      <c r="A1747" s="140"/>
      <c r="B1747" s="140"/>
    </row>
    <row r="1748" spans="1:2" ht="13">
      <c r="A1748" s="140"/>
      <c r="B1748" s="140"/>
    </row>
    <row r="1749" spans="1:2" ht="13">
      <c r="A1749" s="140"/>
      <c r="B1749" s="140"/>
    </row>
    <row r="1750" spans="1:2" ht="13">
      <c r="A1750" s="140"/>
      <c r="B1750" s="140"/>
    </row>
    <row r="1751" spans="1:2" ht="13">
      <c r="A1751" s="140"/>
      <c r="B1751" s="140"/>
    </row>
    <row r="1752" spans="1:2" ht="13">
      <c r="A1752" s="140"/>
      <c r="B1752" s="140"/>
    </row>
    <row r="1753" spans="1:2" ht="13">
      <c r="A1753" s="140"/>
      <c r="B1753" s="140"/>
    </row>
    <row r="1754" spans="1:2" ht="13">
      <c r="A1754" s="140"/>
      <c r="B1754" s="140"/>
    </row>
    <row r="1755" spans="1:2" ht="13">
      <c r="A1755" s="140"/>
      <c r="B1755" s="140"/>
    </row>
    <row r="1756" spans="1:2" ht="13">
      <c r="A1756" s="140"/>
      <c r="B1756" s="140"/>
    </row>
    <row r="1757" spans="1:2" ht="13">
      <c r="A1757" s="140"/>
      <c r="B1757" s="140"/>
    </row>
    <row r="1758" spans="1:2" ht="13">
      <c r="A1758" s="140"/>
      <c r="B1758" s="140"/>
    </row>
    <row r="1759" spans="1:2" ht="13">
      <c r="A1759" s="140"/>
      <c r="B1759" s="140"/>
    </row>
    <row r="1760" spans="1:2" ht="13">
      <c r="A1760" s="140"/>
      <c r="B1760" s="140"/>
    </row>
    <row r="1761" spans="1:2" ht="13">
      <c r="A1761" s="140"/>
      <c r="B1761" s="140"/>
    </row>
    <row r="1762" spans="1:2" ht="13">
      <c r="A1762" s="140"/>
      <c r="B1762" s="140"/>
    </row>
    <row r="1763" spans="1:2" ht="13">
      <c r="A1763" s="140"/>
      <c r="B1763" s="140"/>
    </row>
    <row r="1764" spans="1:2" ht="13">
      <c r="A1764" s="140"/>
      <c r="B1764" s="140"/>
    </row>
    <row r="1765" spans="1:2" ht="13">
      <c r="A1765" s="140"/>
      <c r="B1765" s="140"/>
    </row>
    <row r="1766" spans="1:2" ht="13">
      <c r="A1766" s="140"/>
      <c r="B1766" s="140"/>
    </row>
    <row r="1767" spans="1:2" ht="13">
      <c r="A1767" s="140"/>
      <c r="B1767" s="140"/>
    </row>
    <row r="1768" spans="1:2" ht="13">
      <c r="A1768" s="140"/>
      <c r="B1768" s="140"/>
    </row>
    <row r="1769" spans="1:2" ht="13">
      <c r="A1769" s="140"/>
      <c r="B1769" s="140"/>
    </row>
    <row r="1770" spans="1:2" ht="13">
      <c r="A1770" s="140"/>
      <c r="B1770" s="140"/>
    </row>
    <row r="1771" spans="1:2" ht="13">
      <c r="A1771" s="140"/>
      <c r="B1771" s="140"/>
    </row>
    <row r="1772" spans="1:2" ht="13">
      <c r="A1772" s="140"/>
      <c r="B1772" s="140"/>
    </row>
    <row r="1773" spans="1:2" ht="13">
      <c r="A1773" s="140"/>
      <c r="B1773" s="140"/>
    </row>
    <row r="1774" spans="1:2" ht="13">
      <c r="A1774" s="140"/>
      <c r="B1774" s="140"/>
    </row>
    <row r="1775" spans="1:2" ht="13">
      <c r="A1775" s="140"/>
      <c r="B1775" s="140"/>
    </row>
    <row r="1776" spans="1:2" ht="13">
      <c r="A1776" s="140"/>
      <c r="B1776" s="140"/>
    </row>
    <row r="1777" spans="1:2" ht="13">
      <c r="A1777" s="140"/>
      <c r="B1777" s="140"/>
    </row>
    <row r="1778" spans="1:2" ht="13">
      <c r="A1778" s="140"/>
      <c r="B1778" s="140"/>
    </row>
    <row r="1779" spans="1:2" ht="13">
      <c r="A1779" s="140"/>
      <c r="B1779" s="140"/>
    </row>
    <row r="1780" spans="1:2" ht="13">
      <c r="A1780" s="140"/>
      <c r="B1780" s="140"/>
    </row>
    <row r="1781" spans="1:2" ht="13">
      <c r="A1781" s="140"/>
      <c r="B1781" s="140"/>
    </row>
    <row r="1782" spans="1:2" ht="13">
      <c r="A1782" s="140"/>
      <c r="B1782" s="140"/>
    </row>
    <row r="1783" spans="1:2" ht="13">
      <c r="A1783" s="140"/>
      <c r="B1783" s="140"/>
    </row>
    <row r="1784" spans="1:2" ht="13">
      <c r="A1784" s="140"/>
      <c r="B1784" s="140"/>
    </row>
    <row r="1785" spans="1:2" ht="13">
      <c r="A1785" s="140"/>
      <c r="B1785" s="140"/>
    </row>
    <row r="1786" spans="1:2" ht="13">
      <c r="A1786" s="140"/>
      <c r="B1786" s="140"/>
    </row>
    <row r="1787" spans="1:2" ht="13">
      <c r="A1787" s="140"/>
      <c r="B1787" s="140"/>
    </row>
    <row r="1788" spans="1:2" ht="13">
      <c r="A1788" s="140"/>
      <c r="B1788" s="140"/>
    </row>
    <row r="1789" spans="1:2" ht="13">
      <c r="A1789" s="140"/>
      <c r="B1789" s="140"/>
    </row>
    <row r="1790" spans="1:2" ht="13">
      <c r="A1790" s="140"/>
      <c r="B1790" s="140"/>
    </row>
    <row r="1791" spans="1:2" ht="13">
      <c r="A1791" s="140"/>
      <c r="B1791" s="140"/>
    </row>
    <row r="1792" spans="1:2" ht="13">
      <c r="A1792" s="140"/>
      <c r="B1792" s="140"/>
    </row>
    <row r="1793" spans="1:2" ht="13">
      <c r="A1793" s="140"/>
      <c r="B1793" s="140"/>
    </row>
    <row r="1794" spans="1:2" ht="13">
      <c r="A1794" s="140"/>
      <c r="B1794" s="140"/>
    </row>
    <row r="1795" spans="1:2" ht="13">
      <c r="A1795" s="140"/>
      <c r="B1795" s="140"/>
    </row>
    <row r="1796" spans="1:2" ht="13">
      <c r="A1796" s="140"/>
      <c r="B1796" s="140"/>
    </row>
    <row r="1797" spans="1:2" ht="13">
      <c r="A1797" s="140"/>
      <c r="B1797" s="140"/>
    </row>
    <row r="1798" spans="1:2" ht="13">
      <c r="A1798" s="140"/>
      <c r="B1798" s="140"/>
    </row>
    <row r="1799" spans="1:2" ht="13">
      <c r="A1799" s="140"/>
      <c r="B1799" s="140"/>
    </row>
    <row r="1800" spans="1:2" ht="13">
      <c r="A1800" s="140"/>
      <c r="B1800" s="140"/>
    </row>
    <row r="1801" spans="1:2" ht="13">
      <c r="A1801" s="140"/>
      <c r="B1801" s="140"/>
    </row>
    <row r="1802" spans="1:2" ht="13">
      <c r="A1802" s="140"/>
      <c r="B1802" s="140"/>
    </row>
    <row r="1803" spans="1:2" ht="13">
      <c r="A1803" s="140"/>
      <c r="B1803" s="140"/>
    </row>
    <row r="1804" spans="1:2" ht="13">
      <c r="A1804" s="140"/>
      <c r="B1804" s="140"/>
    </row>
    <row r="1805" spans="1:2" ht="13">
      <c r="A1805" s="140"/>
      <c r="B1805" s="140"/>
    </row>
    <row r="1806" spans="1:2" ht="13">
      <c r="A1806" s="140"/>
      <c r="B1806" s="140"/>
    </row>
    <row r="1807" spans="1:2" ht="13">
      <c r="A1807" s="140"/>
      <c r="B1807" s="140"/>
    </row>
    <row r="1808" spans="1:2" ht="13">
      <c r="A1808" s="140"/>
      <c r="B1808" s="140"/>
    </row>
    <row r="1809" spans="1:2" ht="13">
      <c r="A1809" s="140"/>
      <c r="B1809" s="140"/>
    </row>
    <row r="1810" spans="1:2" ht="13">
      <c r="A1810" s="140"/>
      <c r="B1810" s="140"/>
    </row>
    <row r="1811" spans="1:2" ht="13">
      <c r="A1811" s="140"/>
      <c r="B1811" s="140"/>
    </row>
    <row r="1812" spans="1:2" ht="13">
      <c r="A1812" s="140"/>
      <c r="B1812" s="140"/>
    </row>
    <row r="1813" spans="1:2" ht="13">
      <c r="A1813" s="140"/>
      <c r="B1813" s="140"/>
    </row>
    <row r="1814" spans="1:2" ht="13">
      <c r="A1814" s="140"/>
      <c r="B1814" s="140"/>
    </row>
    <row r="1815" spans="1:2" ht="13">
      <c r="A1815" s="140"/>
      <c r="B1815" s="140"/>
    </row>
    <row r="1816" spans="1:2" ht="13">
      <c r="A1816" s="140"/>
      <c r="B1816" s="140"/>
    </row>
    <row r="1817" spans="1:2" ht="13">
      <c r="A1817" s="140"/>
      <c r="B1817" s="140"/>
    </row>
    <row r="1818" spans="1:2" ht="13">
      <c r="A1818" s="140"/>
      <c r="B1818" s="140"/>
    </row>
    <row r="1819" spans="1:2" ht="13">
      <c r="A1819" s="140"/>
      <c r="B1819" s="140"/>
    </row>
    <row r="1820" spans="1:2" ht="13">
      <c r="A1820" s="140"/>
      <c r="B1820" s="140"/>
    </row>
    <row r="1821" spans="1:2" ht="13">
      <c r="A1821" s="140"/>
      <c r="B1821" s="140"/>
    </row>
    <row r="1822" spans="1:2" ht="13">
      <c r="A1822" s="140"/>
      <c r="B1822" s="140"/>
    </row>
    <row r="1823" spans="1:2" ht="13">
      <c r="A1823" s="140"/>
      <c r="B1823" s="140"/>
    </row>
    <row r="1824" spans="1:2" ht="13">
      <c r="A1824" s="140"/>
      <c r="B1824" s="140"/>
    </row>
    <row r="1825" spans="1:2" ht="13">
      <c r="A1825" s="140"/>
      <c r="B1825" s="140"/>
    </row>
    <row r="1826" spans="1:2" ht="13">
      <c r="A1826" s="140"/>
      <c r="B1826" s="140"/>
    </row>
    <row r="1827" spans="1:2" ht="13">
      <c r="A1827" s="140"/>
      <c r="B1827" s="140"/>
    </row>
    <row r="1828" spans="1:2" ht="13">
      <c r="A1828" s="140"/>
      <c r="B1828" s="140"/>
    </row>
    <row r="1829" spans="1:2" ht="13">
      <c r="A1829" s="140"/>
      <c r="B1829" s="140"/>
    </row>
    <row r="1830" spans="1:2" ht="13">
      <c r="A1830" s="140"/>
      <c r="B1830" s="140"/>
    </row>
    <row r="1831" spans="1:2" ht="13">
      <c r="A1831" s="140"/>
      <c r="B1831" s="140"/>
    </row>
    <row r="1832" spans="1:2" ht="13">
      <c r="A1832" s="140"/>
      <c r="B1832" s="140"/>
    </row>
    <row r="1833" spans="1:2" ht="13">
      <c r="A1833" s="140"/>
      <c r="B1833" s="140"/>
    </row>
    <row r="1834" spans="1:2" ht="13">
      <c r="A1834" s="140"/>
      <c r="B1834" s="140"/>
    </row>
  </sheetData>
  <sheetProtection sheet="1" formatColumns="0" formatRows="0"/>
  <mergeCells count="46">
    <mergeCell ref="D13:R13"/>
    <mergeCell ref="D664:R664"/>
    <mergeCell ref="L10:R10"/>
    <mergeCell ref="D765:R765"/>
    <mergeCell ref="E11:J11"/>
    <mergeCell ref="V6:W6"/>
    <mergeCell ref="V7:W7"/>
    <mergeCell ref="V8:W8"/>
    <mergeCell ref="T10:Z10"/>
    <mergeCell ref="L11:R11"/>
    <mergeCell ref="T11:Z11"/>
    <mergeCell ref="X6:Y6"/>
    <mergeCell ref="X7:Y7"/>
    <mergeCell ref="X8:Y8"/>
    <mergeCell ref="E6:R6"/>
    <mergeCell ref="E7:R7"/>
    <mergeCell ref="E3:R3"/>
    <mergeCell ref="E5:R5"/>
    <mergeCell ref="V4:W4"/>
    <mergeCell ref="V5:W5"/>
    <mergeCell ref="V3:Z3"/>
    <mergeCell ref="T3:U3"/>
    <mergeCell ref="X4:Y4"/>
    <mergeCell ref="X5:Y5"/>
    <mergeCell ref="E4:R4"/>
    <mergeCell ref="D874:R874"/>
    <mergeCell ref="T874:Z874"/>
    <mergeCell ref="D876:E876"/>
    <mergeCell ref="G876:H876"/>
    <mergeCell ref="L876:M876"/>
    <mergeCell ref="N876:O876"/>
    <mergeCell ref="P876:Q876"/>
    <mergeCell ref="D875:Q875"/>
    <mergeCell ref="D877:E877"/>
    <mergeCell ref="F877:H877"/>
    <mergeCell ref="L877:M877"/>
    <mergeCell ref="N877:O877"/>
    <mergeCell ref="P877:Q877"/>
    <mergeCell ref="D878:E878"/>
    <mergeCell ref="L878:M878"/>
    <mergeCell ref="N878:O878"/>
    <mergeCell ref="P878:Q878"/>
    <mergeCell ref="D879:E879"/>
    <mergeCell ref="L879:M879"/>
    <mergeCell ref="N879:O879"/>
    <mergeCell ref="P879:Q879"/>
  </mergeCells>
  <conditionalFormatting sqref="N62 V62 N112 V112 N162 V162 N212 V212 N262 V262 N312 V312 N362 V362 N412 V412 N462 V462 N512 V512 N562 V562 N612 V612 N662 V662">
    <cfRule type="expression" priority="2458" dxfId="2119">
      <formula>$N58="Drop Plan"</formula>
    </cfRule>
    <cfRule type="expression" priority="2470" dxfId="2118">
      <formula>$N58="Enter Percentages"</formula>
    </cfRule>
  </conditionalFormatting>
  <conditionalFormatting sqref="O62 W62 O112 W112 O162 W162 O212 W212 O262 W262 O312 W312 O362 W362 O412 W412 O462 W462 O512 W512 O562 W562 O612 W612 O662 W662">
    <cfRule type="expression" priority="2457" dxfId="2119">
      <formula>$N58="Drop Plan"</formula>
    </cfRule>
    <cfRule type="expression" priority="2465" dxfId="2118">
      <formula>$N58="Enter Dollar Amount"</formula>
    </cfRule>
  </conditionalFormatting>
  <conditionalFormatting sqref="O15:O18">
    <cfRule type="expression" priority="333" dxfId="2449">
      <formula>$N$14="Enter Percentages"</formula>
    </cfRule>
    <cfRule type="expression" priority="335" dxfId="2448">
      <formula>$N$14="Enter Dollar Amount"</formula>
    </cfRule>
  </conditionalFormatting>
  <conditionalFormatting sqref="N15:N18">
    <cfRule type="expression" priority="332" dxfId="2449">
      <formula>$N$14="Enter Dollar Amount"</formula>
    </cfRule>
    <cfRule type="expression" priority="334" dxfId="2448">
      <formula>$N$14="Enter Percentages"</formula>
    </cfRule>
  </conditionalFormatting>
  <conditionalFormatting sqref="N15:O18">
    <cfRule type="expression" priority="331" dxfId="2445">
      <formula>$N$14="Drop Plan"</formula>
    </cfRule>
  </conditionalFormatting>
  <conditionalFormatting sqref="W15:W18">
    <cfRule type="expression" priority="328" dxfId="2449">
      <formula>$V$14="Enter Percentages"</formula>
    </cfRule>
    <cfRule type="expression" priority="330" dxfId="2448">
      <formula>$V$14="Enter Dollar Amount"</formula>
    </cfRule>
  </conditionalFormatting>
  <conditionalFormatting sqref="V15:V18">
    <cfRule type="expression" priority="327" dxfId="2449">
      <formula>$V$14="Enter Dollar Amount"</formula>
    </cfRule>
    <cfRule type="expression" priority="329" dxfId="2448">
      <formula>$V$14="Enter Percentages"</formula>
    </cfRule>
  </conditionalFormatting>
  <conditionalFormatting sqref="V15:W18">
    <cfRule type="expression" priority="326" dxfId="2445">
      <formula>$V$14="Drop Plan"</formula>
    </cfRule>
  </conditionalFormatting>
  <conditionalFormatting sqref="O65:O68">
    <cfRule type="expression" priority="323" dxfId="2449">
      <formula>$N$64="Enter Percentages"</formula>
    </cfRule>
    <cfRule type="expression" priority="325" dxfId="2448">
      <formula>$N$64="Enter Dollar Amount"</formula>
    </cfRule>
  </conditionalFormatting>
  <conditionalFormatting sqref="N65:N68">
    <cfRule type="expression" priority="322" dxfId="2449">
      <formula>$N$64="Enter Dollar Amount"</formula>
    </cfRule>
    <cfRule type="expression" priority="324" dxfId="2448">
      <formula>$N$64="Enter Percentages"</formula>
    </cfRule>
  </conditionalFormatting>
  <conditionalFormatting sqref="N65:O68">
    <cfRule type="expression" priority="321" dxfId="2445">
      <formula>$N$64="Drop Plan"</formula>
    </cfRule>
  </conditionalFormatting>
  <conditionalFormatting sqref="W65:W68">
    <cfRule type="expression" priority="318" dxfId="2449">
      <formula>$V$64="Enter Percentages"</formula>
    </cfRule>
    <cfRule type="expression" priority="320" dxfId="2448">
      <formula>$V$64="Enter Dollar Amount"</formula>
    </cfRule>
  </conditionalFormatting>
  <conditionalFormatting sqref="V65:V68">
    <cfRule type="expression" priority="317" dxfId="2449">
      <formula>$V$64="Enter Dollar Amount"</formula>
    </cfRule>
    <cfRule type="expression" priority="319" dxfId="2448">
      <formula>$V$64="Enter Percentages"</formula>
    </cfRule>
  </conditionalFormatting>
  <conditionalFormatting sqref="V65:W68">
    <cfRule type="expression" priority="316" dxfId="2445">
      <formula>$V$64="Drop Plan"</formula>
    </cfRule>
  </conditionalFormatting>
  <conditionalFormatting sqref="O115:O118">
    <cfRule type="expression" priority="313" dxfId="2449">
      <formula>$N$114="Enter Percentages"</formula>
    </cfRule>
    <cfRule type="expression" priority="315" dxfId="2448">
      <formula>$N$114="Enter Dollar Amount"</formula>
    </cfRule>
  </conditionalFormatting>
  <conditionalFormatting sqref="N115:N118">
    <cfRule type="expression" priority="312" dxfId="2449">
      <formula>$N$114="Enter Dollar Amount"</formula>
    </cfRule>
    <cfRule type="expression" priority="314" dxfId="2448">
      <formula>$N$114="Enter Percentages"</formula>
    </cfRule>
  </conditionalFormatting>
  <conditionalFormatting sqref="N115:O118">
    <cfRule type="expression" priority="311" dxfId="2445">
      <formula>$N$114="Drop Plan"</formula>
    </cfRule>
  </conditionalFormatting>
  <conditionalFormatting sqref="W115:W118">
    <cfRule type="expression" priority="308" dxfId="2449">
      <formula>$V$114="Enter Percentages"</formula>
    </cfRule>
    <cfRule type="expression" priority="310" dxfId="2448">
      <formula>$V$114="Enter Dollar Amount"</formula>
    </cfRule>
  </conditionalFormatting>
  <conditionalFormatting sqref="V115:V118">
    <cfRule type="expression" priority="307" dxfId="2449">
      <formula>$V$114="Enter Dollar Amount"</formula>
    </cfRule>
    <cfRule type="expression" priority="309" dxfId="2448">
      <formula>$V$114="Enter Percentages"</formula>
    </cfRule>
  </conditionalFormatting>
  <conditionalFormatting sqref="V115:W118">
    <cfRule type="expression" priority="306" dxfId="2445">
      <formula>$V$114="Drop Plan"</formula>
    </cfRule>
  </conditionalFormatting>
  <conditionalFormatting sqref="O165:O168">
    <cfRule type="expression" priority="303" dxfId="2449">
      <formula>$N$164="Enter Percentages"</formula>
    </cfRule>
    <cfRule type="expression" priority="305" dxfId="2448">
      <formula>$N$164="Enter Dollar Amount"</formula>
    </cfRule>
  </conditionalFormatting>
  <conditionalFormatting sqref="N165:N168">
    <cfRule type="expression" priority="302" dxfId="2449">
      <formula>$N$164="Enter Dollar Amount"</formula>
    </cfRule>
    <cfRule type="expression" priority="304" dxfId="2448">
      <formula>$N$164="Enter Percentages"</formula>
    </cfRule>
  </conditionalFormatting>
  <conditionalFormatting sqref="N165:O168">
    <cfRule type="expression" priority="301" dxfId="2445">
      <formula>$N$164="Drop Plan"</formula>
    </cfRule>
  </conditionalFormatting>
  <conditionalFormatting sqref="W165:W168">
    <cfRule type="expression" priority="298" dxfId="2449">
      <formula>$V$164="Enter Percentages"</formula>
    </cfRule>
    <cfRule type="expression" priority="300" dxfId="2448">
      <formula>$V$164="Enter Dollar Amount"</formula>
    </cfRule>
  </conditionalFormatting>
  <conditionalFormatting sqref="V165:V168">
    <cfRule type="expression" priority="297" dxfId="2449">
      <formula>$V$164="Enter Dollar Amount"</formula>
    </cfRule>
    <cfRule type="expression" priority="299" dxfId="2448">
      <formula>$V$164="Enter Percentages"</formula>
    </cfRule>
  </conditionalFormatting>
  <conditionalFormatting sqref="V165:W168">
    <cfRule type="expression" priority="296" dxfId="2445">
      <formula>$V$164="Drop Plan"</formula>
    </cfRule>
  </conditionalFormatting>
  <conditionalFormatting sqref="O215:O218">
    <cfRule type="expression" priority="293" dxfId="2449">
      <formula>$N$214="Enter Percentages"</formula>
    </cfRule>
    <cfRule type="expression" priority="295" dxfId="2448">
      <formula>$N$214="Enter Dollar Amount"</formula>
    </cfRule>
  </conditionalFormatting>
  <conditionalFormatting sqref="N215:N218">
    <cfRule type="expression" priority="292" dxfId="2449">
      <formula>$N$214="Enter Dollar Amount"</formula>
    </cfRule>
    <cfRule type="expression" priority="294" dxfId="2448">
      <formula>$N$214="Enter Percentages"</formula>
    </cfRule>
  </conditionalFormatting>
  <conditionalFormatting sqref="N215:O218">
    <cfRule type="expression" priority="291" dxfId="2445">
      <formula>$N$214="Drop Plan"</formula>
    </cfRule>
  </conditionalFormatting>
  <conditionalFormatting sqref="W215:W218">
    <cfRule type="expression" priority="288" dxfId="2449">
      <formula>$V$214="Enter Percentages"</formula>
    </cfRule>
    <cfRule type="expression" priority="290" dxfId="2448">
      <formula>$V$214="Enter Dollar Amount"</formula>
    </cfRule>
  </conditionalFormatting>
  <conditionalFormatting sqref="V215:V218">
    <cfRule type="expression" priority="287" dxfId="2449">
      <formula>$V$214="Enter Dollar Amount"</formula>
    </cfRule>
    <cfRule type="expression" priority="289" dxfId="2448">
      <formula>$V$214="Enter Percentages"</formula>
    </cfRule>
  </conditionalFormatting>
  <conditionalFormatting sqref="V215:W218">
    <cfRule type="expression" priority="286" dxfId="2445">
      <formula>$V$214="Drop Plan"</formula>
    </cfRule>
  </conditionalFormatting>
  <conditionalFormatting sqref="O265:O268">
    <cfRule type="expression" priority="283" dxfId="2449">
      <formula>$N$264="Enter Percentages"</formula>
    </cfRule>
    <cfRule type="expression" priority="285" dxfId="2448">
      <formula>$N$264="Enter Dollar Amount"</formula>
    </cfRule>
  </conditionalFormatting>
  <conditionalFormatting sqref="N265:N268">
    <cfRule type="expression" priority="282" dxfId="2449">
      <formula>$N$264="Enter Dollar Amount"</formula>
    </cfRule>
    <cfRule type="expression" priority="284" dxfId="2448">
      <formula>$N$264="Enter Percentages"</formula>
    </cfRule>
  </conditionalFormatting>
  <conditionalFormatting sqref="N265:O268">
    <cfRule type="expression" priority="281" dxfId="2445">
      <formula>$N$264="Drop Plan"</formula>
    </cfRule>
  </conditionalFormatting>
  <conditionalFormatting sqref="W265:W268">
    <cfRule type="expression" priority="278" dxfId="2449">
      <formula>$V$264="Enter Percentages"</formula>
    </cfRule>
    <cfRule type="expression" priority="280" dxfId="2448">
      <formula>$V$264="Enter Dollar Amount"</formula>
    </cfRule>
  </conditionalFormatting>
  <conditionalFormatting sqref="V265:V268">
    <cfRule type="expression" priority="277" dxfId="2449">
      <formula>$V$264="Enter Dollar Amount"</formula>
    </cfRule>
    <cfRule type="expression" priority="279" dxfId="2448">
      <formula>$V$264="Enter Percentages"</formula>
    </cfRule>
  </conditionalFormatting>
  <conditionalFormatting sqref="V265:W268">
    <cfRule type="expression" priority="276" dxfId="2445">
      <formula>$V$264="Drop Plan"</formula>
    </cfRule>
  </conditionalFormatting>
  <conditionalFormatting sqref="O315:O318">
    <cfRule type="expression" priority="273" dxfId="2449">
      <formula>$N$314="Enter Percentages"</formula>
    </cfRule>
    <cfRule type="expression" priority="275" dxfId="2448">
      <formula>$N$314="Enter Dollar Amount"</formula>
    </cfRule>
  </conditionalFormatting>
  <conditionalFormatting sqref="N315:N318">
    <cfRule type="expression" priority="272" dxfId="2449">
      <formula>$N$314="Enter Dollar Amount"</formula>
    </cfRule>
    <cfRule type="expression" priority="274" dxfId="2448">
      <formula>$N$314="Enter Percentages"</formula>
    </cfRule>
  </conditionalFormatting>
  <conditionalFormatting sqref="N315:O318">
    <cfRule type="expression" priority="271" dxfId="2445">
      <formula>$N$314="Drop Plan"</formula>
    </cfRule>
  </conditionalFormatting>
  <conditionalFormatting sqref="W315:W318">
    <cfRule type="expression" priority="268" dxfId="2449">
      <formula>$V$314="Enter Percentages"</formula>
    </cfRule>
    <cfRule type="expression" priority="270" dxfId="2448">
      <formula>$V$314="Enter Dollar Amount"</formula>
    </cfRule>
  </conditionalFormatting>
  <conditionalFormatting sqref="V315:V318">
    <cfRule type="expression" priority="267" dxfId="2449">
      <formula>$V$314="Enter Dollar Amount"</formula>
    </cfRule>
    <cfRule type="expression" priority="269" dxfId="2448">
      <formula>$V$314="Enter Percentages"</formula>
    </cfRule>
  </conditionalFormatting>
  <conditionalFormatting sqref="V315:W318">
    <cfRule type="expression" priority="266" dxfId="2445">
      <formula>$V$314="Drop Plan"</formula>
    </cfRule>
  </conditionalFormatting>
  <conditionalFormatting sqref="O365:O368">
    <cfRule type="expression" priority="263" dxfId="2449">
      <formula>$N$364="Enter Percentages"</formula>
    </cfRule>
    <cfRule type="expression" priority="265" dxfId="2448">
      <formula>$N$364="Enter Dollar Amount"</formula>
    </cfRule>
  </conditionalFormatting>
  <conditionalFormatting sqref="N365:N368">
    <cfRule type="expression" priority="262" dxfId="2449">
      <formula>$N$364="Enter Dollar Amount"</formula>
    </cfRule>
    <cfRule type="expression" priority="264" dxfId="2448">
      <formula>$N$364="Enter Percentages"</formula>
    </cfRule>
  </conditionalFormatting>
  <conditionalFormatting sqref="N365:O368">
    <cfRule type="expression" priority="261" dxfId="2445">
      <formula>$N$364="Drop Plan"</formula>
    </cfRule>
  </conditionalFormatting>
  <conditionalFormatting sqref="W365:W368">
    <cfRule type="expression" priority="258" dxfId="2449">
      <formula>$V$364="Enter Percentages"</formula>
    </cfRule>
    <cfRule type="expression" priority="260" dxfId="2448">
      <formula>$V$364="Enter Dollar Amount"</formula>
    </cfRule>
  </conditionalFormatting>
  <conditionalFormatting sqref="V365:V368">
    <cfRule type="expression" priority="257" dxfId="2449">
      <formula>$V$364="Enter Dollar Amount"</formula>
    </cfRule>
    <cfRule type="expression" priority="259" dxfId="2448">
      <formula>$V$364="Enter Percentages"</formula>
    </cfRule>
  </conditionalFormatting>
  <conditionalFormatting sqref="V365:W368">
    <cfRule type="expression" priority="256" dxfId="2445">
      <formula>$V$364="Drop Plan"</formula>
    </cfRule>
  </conditionalFormatting>
  <conditionalFormatting sqref="O415:O418">
    <cfRule type="expression" priority="253" dxfId="2449">
      <formula>$N$414="Enter Percentages"</formula>
    </cfRule>
    <cfRule type="expression" priority="255" dxfId="2448">
      <formula>$N$414="Enter Dollar Amount"</formula>
    </cfRule>
  </conditionalFormatting>
  <conditionalFormatting sqref="N415:N418">
    <cfRule type="expression" priority="252" dxfId="2449">
      <formula>$N$414="Enter Dollar Amount"</formula>
    </cfRule>
    <cfRule type="expression" priority="254" dxfId="2448">
      <formula>$N$414="Enter Percentages"</formula>
    </cfRule>
  </conditionalFormatting>
  <conditionalFormatting sqref="N415:O418">
    <cfRule type="expression" priority="251" dxfId="2445">
      <formula>$N$414="Drop Plan"</formula>
    </cfRule>
  </conditionalFormatting>
  <conditionalFormatting sqref="W415:W418">
    <cfRule type="expression" priority="248" dxfId="2449">
      <formula>$V$414="Enter Percentages"</formula>
    </cfRule>
    <cfRule type="expression" priority="250" dxfId="2448">
      <formula>$V$414="Enter Dollar Amount"</formula>
    </cfRule>
  </conditionalFormatting>
  <conditionalFormatting sqref="V415:V418">
    <cfRule type="expression" priority="247" dxfId="2449">
      <formula>$V$414="Enter Dollar Amount"</formula>
    </cfRule>
    <cfRule type="expression" priority="249" dxfId="2448">
      <formula>$V$414="Enter Percentages"</formula>
    </cfRule>
  </conditionalFormatting>
  <conditionalFormatting sqref="V415:W418">
    <cfRule type="expression" priority="246" dxfId="2445">
      <formula>$V$414="Drop Plan"</formula>
    </cfRule>
  </conditionalFormatting>
  <conditionalFormatting sqref="O465:O468">
    <cfRule type="expression" priority="243" dxfId="2449">
      <formula>$N$464="Enter Percentages"</formula>
    </cfRule>
    <cfRule type="expression" priority="245" dxfId="2448">
      <formula>$N$464="Enter Dollar Amount"</formula>
    </cfRule>
  </conditionalFormatting>
  <conditionalFormatting sqref="N465:N468">
    <cfRule type="expression" priority="242" dxfId="2449">
      <formula>$N$464="Enter Dollar Amount"</formula>
    </cfRule>
    <cfRule type="expression" priority="244" dxfId="2448">
      <formula>$N$464="Enter Percentages"</formula>
    </cfRule>
  </conditionalFormatting>
  <conditionalFormatting sqref="N465:O468">
    <cfRule type="expression" priority="241" dxfId="2445">
      <formula>$N$464="Drop Plan"</formula>
    </cfRule>
  </conditionalFormatting>
  <conditionalFormatting sqref="W465:W468">
    <cfRule type="expression" priority="238" dxfId="2449">
      <formula>$V$464="Enter Percentages"</formula>
    </cfRule>
    <cfRule type="expression" priority="240" dxfId="2448">
      <formula>$V$464="Enter Dollar Amount"</formula>
    </cfRule>
  </conditionalFormatting>
  <conditionalFormatting sqref="V465:V468">
    <cfRule type="expression" priority="237" dxfId="2449">
      <formula>$V$464="Enter Dollar Amount"</formula>
    </cfRule>
    <cfRule type="expression" priority="239" dxfId="2448">
      <formula>$V$464="Enter Percentages"</formula>
    </cfRule>
  </conditionalFormatting>
  <conditionalFormatting sqref="V465:W468">
    <cfRule type="expression" priority="236" dxfId="2445">
      <formula>$V$464="Drop Plan"</formula>
    </cfRule>
  </conditionalFormatting>
  <conditionalFormatting sqref="O515:O518">
    <cfRule type="expression" priority="233" dxfId="2449">
      <formula>$N$514="Enter Percentages"</formula>
    </cfRule>
    <cfRule type="expression" priority="235" dxfId="2448">
      <formula>$N$514="Enter Dollar Amount"</formula>
    </cfRule>
  </conditionalFormatting>
  <conditionalFormatting sqref="N515:N518">
    <cfRule type="expression" priority="232" dxfId="2449">
      <formula>$N$514="Enter Dollar Amount"</formula>
    </cfRule>
    <cfRule type="expression" priority="234" dxfId="2448">
      <formula>$N$514="Enter Percentages"</formula>
    </cfRule>
  </conditionalFormatting>
  <conditionalFormatting sqref="N515:O518">
    <cfRule type="expression" priority="231" dxfId="2445">
      <formula>$N$514="Drop Plan"</formula>
    </cfRule>
  </conditionalFormatting>
  <conditionalFormatting sqref="W515:W518">
    <cfRule type="expression" priority="228" dxfId="2449">
      <formula>$V$514="Enter Percentages"</formula>
    </cfRule>
    <cfRule type="expression" priority="230" dxfId="2448">
      <formula>$V$514="Enter Dollar Amount"</formula>
    </cfRule>
  </conditionalFormatting>
  <conditionalFormatting sqref="V515:V518">
    <cfRule type="expression" priority="227" dxfId="2449">
      <formula>$V$514="Enter Dollar Amount"</formula>
    </cfRule>
    <cfRule type="expression" priority="229" dxfId="2448">
      <formula>$V$514="Enter Percentages"</formula>
    </cfRule>
  </conditionalFormatting>
  <conditionalFormatting sqref="V515:W518">
    <cfRule type="expression" priority="226" dxfId="2445">
      <formula>$V$514="Drop Plan"</formula>
    </cfRule>
  </conditionalFormatting>
  <conditionalFormatting sqref="O565:O568">
    <cfRule type="expression" priority="223" dxfId="2449">
      <formula>$N$564="Enter Percentages"</formula>
    </cfRule>
    <cfRule type="expression" priority="225" dxfId="2448">
      <formula>$N$564="Enter Dollar Amount"</formula>
    </cfRule>
  </conditionalFormatting>
  <conditionalFormatting sqref="N565:N568">
    <cfRule type="expression" priority="222" dxfId="2449">
      <formula>$N$564="Enter Dollar Amount"</formula>
    </cfRule>
    <cfRule type="expression" priority="224" dxfId="2448">
      <formula>$N$564="Enter Percentages"</formula>
    </cfRule>
  </conditionalFormatting>
  <conditionalFormatting sqref="N565:O568">
    <cfRule type="expression" priority="221" dxfId="2445">
      <formula>$N$564="Drop Plan"</formula>
    </cfRule>
  </conditionalFormatting>
  <conditionalFormatting sqref="W565:W568">
    <cfRule type="expression" priority="218" dxfId="2449">
      <formula>$V$564="Enter Percentages"</formula>
    </cfRule>
    <cfRule type="expression" priority="220" dxfId="2448">
      <formula>$V$564="Enter Dollar Amount"</formula>
    </cfRule>
  </conditionalFormatting>
  <conditionalFormatting sqref="V565:V568">
    <cfRule type="expression" priority="217" dxfId="2449">
      <formula>$V$564="Enter Dollar Amount"</formula>
    </cfRule>
    <cfRule type="expression" priority="219" dxfId="2448">
      <formula>$V$564="Enter Percentages"</formula>
    </cfRule>
  </conditionalFormatting>
  <conditionalFormatting sqref="V565:W568">
    <cfRule type="expression" priority="216" dxfId="2445">
      <formula>$V$564="Drop Plan"</formula>
    </cfRule>
  </conditionalFormatting>
  <conditionalFormatting sqref="O615:O618">
    <cfRule type="expression" priority="213" dxfId="2449">
      <formula>$N$614="Enter Percentages"</formula>
    </cfRule>
    <cfRule type="expression" priority="215" dxfId="2448">
      <formula>$N$614="Enter Dollar Amount"</formula>
    </cfRule>
  </conditionalFormatting>
  <conditionalFormatting sqref="N615:N618">
    <cfRule type="expression" priority="212" dxfId="2449">
      <formula>$N$614="Enter Dollar Amount"</formula>
    </cfRule>
    <cfRule type="expression" priority="214" dxfId="2448">
      <formula>$N$614="Enter Percentages"</formula>
    </cfRule>
  </conditionalFormatting>
  <conditionalFormatting sqref="N615:O618">
    <cfRule type="expression" priority="211" dxfId="2445">
      <formula>$N$614="Drop Plan"</formula>
    </cfRule>
  </conditionalFormatting>
  <conditionalFormatting sqref="W615:W618">
    <cfRule type="expression" priority="208" dxfId="2449">
      <formula>$V$614="Enter Percentages"</formula>
    </cfRule>
    <cfRule type="expression" priority="210" dxfId="2448">
      <formula>$V$614="Enter Dollar Amount"</formula>
    </cfRule>
  </conditionalFormatting>
  <conditionalFormatting sqref="V615:V618">
    <cfRule type="expression" priority="207" dxfId="2449">
      <formula>$V$614="Enter Dollar Amount"</formula>
    </cfRule>
    <cfRule type="expression" priority="209" dxfId="2448">
      <formula>$V$614="Enter Percentages"</formula>
    </cfRule>
  </conditionalFormatting>
  <conditionalFormatting sqref="V615:W618">
    <cfRule type="expression" priority="206" dxfId="2445">
      <formula>$V$614="Drop Plan"</formula>
    </cfRule>
  </conditionalFormatting>
  <conditionalFormatting sqref="O666:O669">
    <cfRule type="expression" priority="198" dxfId="2449">
      <formula>$N$665="Enter Percentages"</formula>
    </cfRule>
    <cfRule type="expression" priority="200" dxfId="2448">
      <formula>$N$665="Enter Dollar Amount"</formula>
    </cfRule>
  </conditionalFormatting>
  <conditionalFormatting sqref="N666:N669">
    <cfRule type="expression" priority="197" dxfId="2449">
      <formula>$N$665="Enter Dollar Amount"</formula>
    </cfRule>
    <cfRule type="expression" priority="199" dxfId="2448">
      <formula>$N$665="Enter Percentages"</formula>
    </cfRule>
  </conditionalFormatting>
  <conditionalFormatting sqref="N666:O669">
    <cfRule type="expression" priority="196" dxfId="2445">
      <formula>$N$665="Drop Plan"</formula>
    </cfRule>
  </conditionalFormatting>
  <conditionalFormatting sqref="W666:W669">
    <cfRule type="expression" priority="193" dxfId="2449">
      <formula>$V$665="Enter Percentages"</formula>
    </cfRule>
    <cfRule type="expression" priority="195" dxfId="2448">
      <formula>$V$665="Enter Dollar Amount"</formula>
    </cfRule>
  </conditionalFormatting>
  <conditionalFormatting sqref="V666:V669">
    <cfRule type="expression" priority="192" dxfId="2449">
      <formula>$V$665="Enter Dollar Amount"</formula>
    </cfRule>
    <cfRule type="expression" priority="194" dxfId="2448">
      <formula>$V$665="Enter Percentages"</formula>
    </cfRule>
  </conditionalFormatting>
  <conditionalFormatting sqref="V666:W669">
    <cfRule type="expression" priority="191" dxfId="2445">
      <formula>$V$665="Drop Plan"</formula>
    </cfRule>
  </conditionalFormatting>
  <conditionalFormatting sqref="O676:O679">
    <cfRule type="expression" priority="188" dxfId="2449">
      <formula>$N$675="Enter Percentages"</formula>
    </cfRule>
    <cfRule type="expression" priority="190" dxfId="2448">
      <formula>$N$675="Enter Dollar Amount"</formula>
    </cfRule>
  </conditionalFormatting>
  <conditionalFormatting sqref="N676:N679">
    <cfRule type="expression" priority="187" dxfId="2449">
      <formula>$N$675="Enter Dollar Amount"</formula>
    </cfRule>
    <cfRule type="expression" priority="189" dxfId="2448">
      <formula>$N$675="Enter Percentages"</formula>
    </cfRule>
  </conditionalFormatting>
  <conditionalFormatting sqref="N676:O679">
    <cfRule type="expression" priority="186" dxfId="2445">
      <formula>$N$675="Drop Plan"</formula>
    </cfRule>
  </conditionalFormatting>
  <conditionalFormatting sqref="W676:W679">
    <cfRule type="expression" priority="183" dxfId="2449">
      <formula>$V$675="Enter Percentages"</formula>
    </cfRule>
    <cfRule type="expression" priority="185" dxfId="2448">
      <formula>$V$675="Enter Dollar Amount"</formula>
    </cfRule>
  </conditionalFormatting>
  <conditionalFormatting sqref="V676:V679">
    <cfRule type="expression" priority="182" dxfId="2449">
      <formula>$V$675="Enter Dollar Amount"</formula>
    </cfRule>
    <cfRule type="expression" priority="184" dxfId="2448">
      <formula>$V$675="Enter Percentages"</formula>
    </cfRule>
  </conditionalFormatting>
  <conditionalFormatting sqref="V676:W679">
    <cfRule type="expression" priority="181" dxfId="2445">
      <formula>$V$675="Drop Plan"</formula>
    </cfRule>
  </conditionalFormatting>
  <conditionalFormatting sqref="O686:O689">
    <cfRule type="expression" priority="178" dxfId="2449">
      <formula>$N$685="Enter Percentages"</formula>
    </cfRule>
    <cfRule type="expression" priority="180" dxfId="2448">
      <formula>$N$685="Enter Dollar Amount"</formula>
    </cfRule>
  </conditionalFormatting>
  <conditionalFormatting sqref="N686:N689">
    <cfRule type="expression" priority="177" dxfId="2449">
      <formula>$N$685="Enter Dollar Amount"</formula>
    </cfRule>
    <cfRule type="expression" priority="179" dxfId="2448">
      <formula>$N$685="Enter Percentages"</formula>
    </cfRule>
  </conditionalFormatting>
  <conditionalFormatting sqref="N686:O689">
    <cfRule type="expression" priority="176" dxfId="2445">
      <formula>$N$685="Drop Plan"</formula>
    </cfRule>
  </conditionalFormatting>
  <conditionalFormatting sqref="W686:W689">
    <cfRule type="expression" priority="173" dxfId="2449">
      <formula>$V$685="Enter Percentages"</formula>
    </cfRule>
    <cfRule type="expression" priority="175" dxfId="2448">
      <formula>$V$685="Enter Dollar Amount"</formula>
    </cfRule>
  </conditionalFormatting>
  <conditionalFormatting sqref="V686:V689">
    <cfRule type="expression" priority="172" dxfId="2449">
      <formula>$V$685="Enter Dollar Amount"</formula>
    </cfRule>
    <cfRule type="expression" priority="174" dxfId="2448">
      <formula>$V$685="Enter Percentages"</formula>
    </cfRule>
  </conditionalFormatting>
  <conditionalFormatting sqref="V686:W689">
    <cfRule type="expression" priority="171" dxfId="2445">
      <formula>$V$685="Drop Plan"</formula>
    </cfRule>
  </conditionalFormatting>
  <conditionalFormatting sqref="O696:O699">
    <cfRule type="expression" priority="168" dxfId="2449">
      <formula>$N$695="Enter Percentages"</formula>
    </cfRule>
    <cfRule type="expression" priority="170" dxfId="2448">
      <formula>$N$695="Enter Dollar Amount"</formula>
    </cfRule>
  </conditionalFormatting>
  <conditionalFormatting sqref="N696:N699">
    <cfRule type="expression" priority="167" dxfId="2449">
      <formula>$N$695="Enter Dollar Amount"</formula>
    </cfRule>
    <cfRule type="expression" priority="169" dxfId="2448">
      <formula>$N$695="Enter Percentages"</formula>
    </cfRule>
  </conditionalFormatting>
  <conditionalFormatting sqref="N696:O699">
    <cfRule type="expression" priority="166" dxfId="2445">
      <formula>$N$695="Drop Plan"</formula>
    </cfRule>
  </conditionalFormatting>
  <conditionalFormatting sqref="W696:W699">
    <cfRule type="expression" priority="163" dxfId="2449">
      <formula>$V$695="Enter Percentages"</formula>
    </cfRule>
    <cfRule type="expression" priority="165" dxfId="2448">
      <formula>$V$695="Enter Dollar Amount"</formula>
    </cfRule>
  </conditionalFormatting>
  <conditionalFormatting sqref="V696:V699">
    <cfRule type="expression" priority="162" dxfId="2449">
      <formula>$V$695="Enter Dollar Amount"</formula>
    </cfRule>
    <cfRule type="expression" priority="164" dxfId="2448">
      <formula>$V$695="Enter Percentages"</formula>
    </cfRule>
  </conditionalFormatting>
  <conditionalFormatting sqref="V696:W699">
    <cfRule type="expression" priority="161" dxfId="2445">
      <formula>$V$695="Drop Plan"</formula>
    </cfRule>
  </conditionalFormatting>
  <conditionalFormatting sqref="O706:O709">
    <cfRule type="expression" priority="158" dxfId="2449">
      <formula>$N$705="Enter Percentages"</formula>
    </cfRule>
    <cfRule type="expression" priority="160" dxfId="2448">
      <formula>$N$705="Enter Dollar Amount"</formula>
    </cfRule>
  </conditionalFormatting>
  <conditionalFormatting sqref="N706:N709">
    <cfRule type="expression" priority="157" dxfId="2449">
      <formula>$N$705="Enter Dollar Amount"</formula>
    </cfRule>
    <cfRule type="expression" priority="159" dxfId="2448">
      <formula>$N$705="Enter Percentages"</formula>
    </cfRule>
  </conditionalFormatting>
  <conditionalFormatting sqref="N706:O709">
    <cfRule type="expression" priority="156" dxfId="2445">
      <formula>$N$705="Drop Plan"</formula>
    </cfRule>
  </conditionalFormatting>
  <conditionalFormatting sqref="W706:W709">
    <cfRule type="expression" priority="153" dxfId="2449">
      <formula>$V$705="Enter Percentages"</formula>
    </cfRule>
    <cfRule type="expression" priority="155" dxfId="2448">
      <formula>$V$705="Enter Dollar Amount"</formula>
    </cfRule>
  </conditionalFormatting>
  <conditionalFormatting sqref="V706:V709">
    <cfRule type="expression" priority="152" dxfId="2449">
      <formula>$V$705="Enter Dollar Amount"</formula>
    </cfRule>
    <cfRule type="expression" priority="154" dxfId="2448">
      <formula>$V$705="Enter Percentages"</formula>
    </cfRule>
  </conditionalFormatting>
  <conditionalFormatting sqref="V706:W709">
    <cfRule type="expression" priority="151" dxfId="2445">
      <formula>$V$705="Drop Plan"</formula>
    </cfRule>
  </conditionalFormatting>
  <conditionalFormatting sqref="O716:O719">
    <cfRule type="expression" priority="148" dxfId="2449">
      <formula>$N$715="Enter Percentages"</formula>
    </cfRule>
    <cfRule type="expression" priority="150" dxfId="2448">
      <formula>$N$715="Enter Dollar Amount"</formula>
    </cfRule>
  </conditionalFormatting>
  <conditionalFormatting sqref="N716:N719">
    <cfRule type="expression" priority="147" dxfId="2449">
      <formula>$N$715="Enter Dollar Amount"</formula>
    </cfRule>
    <cfRule type="expression" priority="149" dxfId="2448">
      <formula>$N$715="Enter Percentages"</formula>
    </cfRule>
  </conditionalFormatting>
  <conditionalFormatting sqref="N716:O719">
    <cfRule type="expression" priority="146" dxfId="2445">
      <formula>$N$715="Drop Plan"</formula>
    </cfRule>
  </conditionalFormatting>
  <conditionalFormatting sqref="W716:W719">
    <cfRule type="expression" priority="143" dxfId="2449">
      <formula>$V$715="Enter Percentages"</formula>
    </cfRule>
    <cfRule type="expression" priority="145" dxfId="2448">
      <formula>$V$715="Enter Dollar Amount"</formula>
    </cfRule>
  </conditionalFormatting>
  <conditionalFormatting sqref="V716:V719">
    <cfRule type="expression" priority="142" dxfId="2449">
      <formula>$V$715="Enter Dollar Amount"</formula>
    </cfRule>
    <cfRule type="expression" priority="144" dxfId="2448">
      <formula>$V$715="Enter Percentages"</formula>
    </cfRule>
  </conditionalFormatting>
  <conditionalFormatting sqref="V716:W719">
    <cfRule type="expression" priority="141" dxfId="2445">
      <formula>$V$715="Drop Plan"</formula>
    </cfRule>
  </conditionalFormatting>
  <conditionalFormatting sqref="O726:O729">
    <cfRule type="expression" priority="138" dxfId="2449">
      <formula>$N$725="Enter Percentages"</formula>
    </cfRule>
    <cfRule type="expression" priority="140" dxfId="2448">
      <formula>$N$725="Enter Dollar Amount"</formula>
    </cfRule>
  </conditionalFormatting>
  <conditionalFormatting sqref="N726:N729">
    <cfRule type="expression" priority="137" dxfId="2449">
      <formula>$N$725="Enter Dollar Amount"</formula>
    </cfRule>
    <cfRule type="expression" priority="139" dxfId="2448">
      <formula>$N$725="Enter Percentages"</formula>
    </cfRule>
  </conditionalFormatting>
  <conditionalFormatting sqref="N726:O729">
    <cfRule type="expression" priority="136" dxfId="2445">
      <formula>$N$725="Drop Plan"</formula>
    </cfRule>
  </conditionalFormatting>
  <conditionalFormatting sqref="W726:W729">
    <cfRule type="expression" priority="133" dxfId="2449">
      <formula>$V$725="Enter Percentages"</formula>
    </cfRule>
    <cfRule type="expression" priority="135" dxfId="2448">
      <formula>$V$725="Enter Dollar Amount"</formula>
    </cfRule>
  </conditionalFormatting>
  <conditionalFormatting sqref="V726:V729">
    <cfRule type="expression" priority="132" dxfId="2449">
      <formula>$V$725="Enter Dollar Amount"</formula>
    </cfRule>
    <cfRule type="expression" priority="134" dxfId="2448">
      <formula>$V$725="Enter Percentages"</formula>
    </cfRule>
  </conditionalFormatting>
  <conditionalFormatting sqref="V726:W729">
    <cfRule type="expression" priority="131" dxfId="2445">
      <formula>$V$725="Drop Plan"</formula>
    </cfRule>
  </conditionalFormatting>
  <conditionalFormatting sqref="O736:O739">
    <cfRule type="expression" priority="128" dxfId="2449">
      <formula>$N$735="Enter Percentages"</formula>
    </cfRule>
    <cfRule type="expression" priority="130" dxfId="2448">
      <formula>$N$735="Enter Dollar Amount"</formula>
    </cfRule>
  </conditionalFormatting>
  <conditionalFormatting sqref="N736:N739">
    <cfRule type="expression" priority="127" dxfId="2449">
      <formula>$N$735="Enter Dollar Amount"</formula>
    </cfRule>
    <cfRule type="expression" priority="129" dxfId="2448">
      <formula>$N$735="Enter Percentages"</formula>
    </cfRule>
  </conditionalFormatting>
  <conditionalFormatting sqref="N736:O739">
    <cfRule type="expression" priority="126" dxfId="2445">
      <formula>$N$735="Drop Plan"</formula>
    </cfRule>
  </conditionalFormatting>
  <conditionalFormatting sqref="W736:W739">
    <cfRule type="expression" priority="123" dxfId="2449">
      <formula>$V$735="Enter Percentages"</formula>
    </cfRule>
    <cfRule type="expression" priority="125" dxfId="2448">
      <formula>$V$735="Enter Dollar Amount"</formula>
    </cfRule>
  </conditionalFormatting>
  <conditionalFormatting sqref="V736:V739">
    <cfRule type="expression" priority="122" dxfId="2449">
      <formula>$V$735="Enter Dollar Amount"</formula>
    </cfRule>
    <cfRule type="expression" priority="124" dxfId="2448">
      <formula>$V$735="Enter Percentages"</formula>
    </cfRule>
  </conditionalFormatting>
  <conditionalFormatting sqref="V736:W739">
    <cfRule type="expression" priority="121" dxfId="2445">
      <formula>$V$735="Drop Plan"</formula>
    </cfRule>
  </conditionalFormatting>
  <conditionalFormatting sqref="O746:O749">
    <cfRule type="expression" priority="118" dxfId="2449">
      <formula>$N$745="Enter Percentages"</formula>
    </cfRule>
    <cfRule type="expression" priority="120" dxfId="2448">
      <formula>$N$745="Enter Dollar Amount"</formula>
    </cfRule>
  </conditionalFormatting>
  <conditionalFormatting sqref="N746:N749">
    <cfRule type="expression" priority="117" dxfId="2449">
      <formula>$N$745="Enter Dollar Amount"</formula>
    </cfRule>
    <cfRule type="expression" priority="119" dxfId="2448">
      <formula>$N$745="Enter Percentages"</formula>
    </cfRule>
  </conditionalFormatting>
  <conditionalFormatting sqref="N746:O749">
    <cfRule type="expression" priority="116" dxfId="2445">
      <formula>$N$745="Drop Plan"</formula>
    </cfRule>
  </conditionalFormatting>
  <conditionalFormatting sqref="W746:W749">
    <cfRule type="expression" priority="113" dxfId="2449">
      <formula>$V$745="Enter Percentages"</formula>
    </cfRule>
    <cfRule type="expression" priority="115" dxfId="2448">
      <formula>$V$745="Enter Dollar Amount"</formula>
    </cfRule>
  </conditionalFormatting>
  <conditionalFormatting sqref="V746:V749">
    <cfRule type="expression" priority="112" dxfId="2449">
      <formula>$V$745="Enter Dollar Amount"</formula>
    </cfRule>
    <cfRule type="expression" priority="114" dxfId="2448">
      <formula>$V$745="Enter Percentages"</formula>
    </cfRule>
  </conditionalFormatting>
  <conditionalFormatting sqref="V746:W749">
    <cfRule type="expression" priority="111" dxfId="2445">
      <formula>$V$745="Drop Plan"</formula>
    </cfRule>
  </conditionalFormatting>
  <conditionalFormatting sqref="O756:O759">
    <cfRule type="expression" priority="108" dxfId="2449">
      <formula>$N$755="Enter Percentages"</formula>
    </cfRule>
    <cfRule type="expression" priority="110" dxfId="2448">
      <formula>$N$755="Enter Dollar Amount"</formula>
    </cfRule>
  </conditionalFormatting>
  <conditionalFormatting sqref="N756:N759">
    <cfRule type="expression" priority="107" dxfId="2449">
      <formula>$N$755="Enter Dollar Amount"</formula>
    </cfRule>
    <cfRule type="expression" priority="109" dxfId="2448">
      <formula>$N$755="Enter Percentages"</formula>
    </cfRule>
  </conditionalFormatting>
  <conditionalFormatting sqref="N756:O759">
    <cfRule type="expression" priority="106" dxfId="2445">
      <formula>$N$755="Drop Plan"</formula>
    </cfRule>
  </conditionalFormatting>
  <conditionalFormatting sqref="W756:W759">
    <cfRule type="expression" priority="103" dxfId="2449">
      <formula>$V$755="Enter Percentages"</formula>
    </cfRule>
    <cfRule type="expression" priority="105" dxfId="2448">
      <formula>$V$755="Enter Dollar Amount"</formula>
    </cfRule>
  </conditionalFormatting>
  <conditionalFormatting sqref="V756:V759">
    <cfRule type="expression" priority="102" dxfId="2449">
      <formula>$V$755="Enter Dollar Amount"</formula>
    </cfRule>
    <cfRule type="expression" priority="104" dxfId="2448">
      <formula>$V$755="Enter Percentages"</formula>
    </cfRule>
  </conditionalFormatting>
  <conditionalFormatting sqref="V756:W759">
    <cfRule type="expression" priority="101" dxfId="2445">
      <formula>$V$755="Drop Plan"</formula>
    </cfRule>
  </conditionalFormatting>
  <conditionalFormatting sqref="O767:O770">
    <cfRule type="expression" priority="98" dxfId="2449">
      <formula>$N$766="Enter Percentages"</formula>
    </cfRule>
    <cfRule type="expression" priority="100" dxfId="2448">
      <formula>$N$766="Enter Dollar Amount"</formula>
    </cfRule>
  </conditionalFormatting>
  <conditionalFormatting sqref="N767:N770">
    <cfRule type="expression" priority="97" dxfId="2449">
      <formula>$N$766="Enter Dollar Amount"</formula>
    </cfRule>
    <cfRule type="expression" priority="99" dxfId="2448">
      <formula>$N$766="Enter Percentages"</formula>
    </cfRule>
  </conditionalFormatting>
  <conditionalFormatting sqref="N767:O770">
    <cfRule type="expression" priority="96" dxfId="2445">
      <formula>$N$766="Drop Plan"</formula>
    </cfRule>
  </conditionalFormatting>
  <conditionalFormatting sqref="W767:W770">
    <cfRule type="expression" priority="93" dxfId="2449">
      <formula>$V$766="Enter Percentages"</formula>
    </cfRule>
    <cfRule type="expression" priority="95" dxfId="2448">
      <formula>$V$766="Enter Dollar Amount"</formula>
    </cfRule>
  </conditionalFormatting>
  <conditionalFormatting sqref="V767:V770">
    <cfRule type="expression" priority="92" dxfId="2449">
      <formula>$V$766="Enter Dollar Amount"</formula>
    </cfRule>
    <cfRule type="expression" priority="94" dxfId="2448">
      <formula>$V$766="Enter Percentages"</formula>
    </cfRule>
  </conditionalFormatting>
  <conditionalFormatting sqref="V767:W770">
    <cfRule type="expression" priority="91" dxfId="2445">
      <formula>$V$766="Drop Plan"</formula>
    </cfRule>
  </conditionalFormatting>
  <conditionalFormatting sqref="O777:O780">
    <cfRule type="expression" priority="88" dxfId="2449">
      <formula>$N$776="Enter Percentages"</formula>
    </cfRule>
    <cfRule type="expression" priority="90" dxfId="2448">
      <formula>$N$776="Enter Dollar Amount"</formula>
    </cfRule>
  </conditionalFormatting>
  <conditionalFormatting sqref="N777:N780">
    <cfRule type="expression" priority="87" dxfId="2449">
      <formula>$N$776="Enter Dollar Amount"</formula>
    </cfRule>
    <cfRule type="expression" priority="89" dxfId="2448">
      <formula>$N$776="Enter Percentages"</formula>
    </cfRule>
  </conditionalFormatting>
  <conditionalFormatting sqref="N777:O780">
    <cfRule type="expression" priority="86" dxfId="2445">
      <formula>$N$776="Drop Plan"</formula>
    </cfRule>
  </conditionalFormatting>
  <conditionalFormatting sqref="W777:W780">
    <cfRule type="expression" priority="83" dxfId="2449">
      <formula>$V$776="Enter Percentages"</formula>
    </cfRule>
    <cfRule type="expression" priority="85" dxfId="2448">
      <formula>$V$776="Enter Dollar Amount"</formula>
    </cfRule>
  </conditionalFormatting>
  <conditionalFormatting sqref="V777:V780">
    <cfRule type="expression" priority="82" dxfId="2449">
      <formula>$V$776="Enter Dollar Amount"</formula>
    </cfRule>
    <cfRule type="expression" priority="84" dxfId="2448">
      <formula>$V$776="Enter Percentages"</formula>
    </cfRule>
  </conditionalFormatting>
  <conditionalFormatting sqref="V777:W780">
    <cfRule type="expression" priority="81" dxfId="2445">
      <formula>$V$776="Drop Plan"</formula>
    </cfRule>
  </conditionalFormatting>
  <conditionalFormatting sqref="O787:O790">
    <cfRule type="expression" priority="78" dxfId="2449">
      <formula>$N$786="Enter Percentages"</formula>
    </cfRule>
    <cfRule type="expression" priority="80" dxfId="2448">
      <formula>$N$786="Enter Dollar Amount"</formula>
    </cfRule>
  </conditionalFormatting>
  <conditionalFormatting sqref="N787:N790">
    <cfRule type="expression" priority="77" dxfId="2449">
      <formula>$N$786="Enter Dollar Amount"</formula>
    </cfRule>
    <cfRule type="expression" priority="79" dxfId="2448">
      <formula>$N$786="Enter Percentages"</formula>
    </cfRule>
  </conditionalFormatting>
  <conditionalFormatting sqref="N787:O790">
    <cfRule type="expression" priority="76" dxfId="2445">
      <formula>$N$786="Drop Plan"</formula>
    </cfRule>
  </conditionalFormatting>
  <conditionalFormatting sqref="W787:W790">
    <cfRule type="expression" priority="73" dxfId="2449">
      <formula>$V$786="Enter Percentages"</formula>
    </cfRule>
    <cfRule type="expression" priority="75" dxfId="2448">
      <formula>$V$786="Enter Dollar Amount"</formula>
    </cfRule>
  </conditionalFormatting>
  <conditionalFormatting sqref="V787:V790">
    <cfRule type="expression" priority="72" dxfId="2449">
      <formula>$V$786="Enter Dollar Amount"</formula>
    </cfRule>
    <cfRule type="expression" priority="74" dxfId="2448">
      <formula>$V$786="Enter Percentages"</formula>
    </cfRule>
  </conditionalFormatting>
  <conditionalFormatting sqref="V787:W790">
    <cfRule type="expression" priority="71" dxfId="2445">
      <formula>$V$786="Drop Plan"</formula>
    </cfRule>
  </conditionalFormatting>
  <conditionalFormatting sqref="O797:O800">
    <cfRule type="expression" priority="68" dxfId="2449">
      <formula>$N$796="Enter Percentages"</formula>
    </cfRule>
    <cfRule type="expression" priority="70" dxfId="2448">
      <formula>$N$796="Enter Dollar Amount"</formula>
    </cfRule>
  </conditionalFormatting>
  <conditionalFormatting sqref="N797:N800">
    <cfRule type="expression" priority="67" dxfId="2449">
      <formula>$N$796="Enter Dollar Amount"</formula>
    </cfRule>
    <cfRule type="expression" priority="69" dxfId="2448">
      <formula>$N$796="Enter Percentages"</formula>
    </cfRule>
  </conditionalFormatting>
  <conditionalFormatting sqref="N797:O800">
    <cfRule type="expression" priority="66" dxfId="2445">
      <formula>$N$796="Drop Plan"</formula>
    </cfRule>
  </conditionalFormatting>
  <conditionalFormatting sqref="W797:W800">
    <cfRule type="expression" priority="63" dxfId="2449">
      <formula>$V$796="Enter Percentages"</formula>
    </cfRule>
    <cfRule type="expression" priority="65" dxfId="2448">
      <formula>$V$796="Enter Dollar Amount"</formula>
    </cfRule>
  </conditionalFormatting>
  <conditionalFormatting sqref="V797:V800">
    <cfRule type="expression" priority="62" dxfId="2449">
      <formula>$V$796="Enter Dollar Amount"</formula>
    </cfRule>
    <cfRule type="expression" priority="64" dxfId="2448">
      <formula>$V$796="Enter Percentages"</formula>
    </cfRule>
  </conditionalFormatting>
  <conditionalFormatting sqref="V797:W800">
    <cfRule type="expression" priority="61" dxfId="2445">
      <formula>$V$796="Drop Plan"</formula>
    </cfRule>
  </conditionalFormatting>
  <conditionalFormatting sqref="O807:O810">
    <cfRule type="expression" priority="58" dxfId="2449">
      <formula>$N$806="Enter Percentages"</formula>
    </cfRule>
    <cfRule type="expression" priority="60" dxfId="2448">
      <formula>$N$806="Enter Dollar Amount"</formula>
    </cfRule>
  </conditionalFormatting>
  <conditionalFormatting sqref="N807:N810">
    <cfRule type="expression" priority="57" dxfId="2449">
      <formula>$N$806="Enter Dollar Amount"</formula>
    </cfRule>
    <cfRule type="expression" priority="59" dxfId="2448">
      <formula>$N$806="Enter Percentages"</formula>
    </cfRule>
  </conditionalFormatting>
  <conditionalFormatting sqref="N807:O810">
    <cfRule type="expression" priority="56" dxfId="2445">
      <formula>$N$806="Drop Plan"</formula>
    </cfRule>
  </conditionalFormatting>
  <conditionalFormatting sqref="W807:W810">
    <cfRule type="expression" priority="53" dxfId="2449">
      <formula>$V$806="Enter Percentages"</formula>
    </cfRule>
    <cfRule type="expression" priority="55" dxfId="2448">
      <formula>$V$806="Enter Dollar Amount"</formula>
    </cfRule>
  </conditionalFormatting>
  <conditionalFormatting sqref="V807:V810">
    <cfRule type="expression" priority="52" dxfId="2449">
      <formula>$V$806="Enter Dollar Amount"</formula>
    </cfRule>
    <cfRule type="expression" priority="54" dxfId="2448">
      <formula>$V$806="Enter Percentages"</formula>
    </cfRule>
  </conditionalFormatting>
  <conditionalFormatting sqref="V807:W810">
    <cfRule type="expression" priority="51" dxfId="2445">
      <formula>$V$806="Drop Plan"</formula>
    </cfRule>
  </conditionalFormatting>
  <conditionalFormatting sqref="O817:O820">
    <cfRule type="expression" priority="48" dxfId="2449">
      <formula>$N$816="Enter Percentages"</formula>
    </cfRule>
    <cfRule type="expression" priority="50" dxfId="2448">
      <formula>$N$816="Enter Dollar Amount"</formula>
    </cfRule>
  </conditionalFormatting>
  <conditionalFormatting sqref="N817:N820">
    <cfRule type="expression" priority="47" dxfId="2449">
      <formula>$N$816="Enter Dollar Amount"</formula>
    </cfRule>
    <cfRule type="expression" priority="49" dxfId="2448">
      <formula>$N$816="Enter Percentages"</formula>
    </cfRule>
  </conditionalFormatting>
  <conditionalFormatting sqref="N817:O820">
    <cfRule type="expression" priority="46" dxfId="2445">
      <formula>$N$816="Drop Plan"</formula>
    </cfRule>
  </conditionalFormatting>
  <conditionalFormatting sqref="W817:W820">
    <cfRule type="expression" priority="43" dxfId="2449">
      <formula>$V$816="Enter Percentages"</formula>
    </cfRule>
    <cfRule type="expression" priority="45" dxfId="2448">
      <formula>$V$816="Enter Dollar Amount"</formula>
    </cfRule>
  </conditionalFormatting>
  <conditionalFormatting sqref="V817:V820">
    <cfRule type="expression" priority="42" dxfId="2449">
      <formula>$V$816="Enter Dollar Amount"</formula>
    </cfRule>
    <cfRule type="expression" priority="44" dxfId="2448">
      <formula>$V$816="Enter Percentages"</formula>
    </cfRule>
  </conditionalFormatting>
  <conditionalFormatting sqref="V817:W820">
    <cfRule type="expression" priority="41" dxfId="2445">
      <formula>$V$816="Drop Plan"</formula>
    </cfRule>
  </conditionalFormatting>
  <conditionalFormatting sqref="O827:O830">
    <cfRule type="expression" priority="38" dxfId="2449">
      <formula>$N$826="Enter Percentages"</formula>
    </cfRule>
    <cfRule type="expression" priority="40" dxfId="2448">
      <formula>$N$826="Enter Dollar Amount"</formula>
    </cfRule>
  </conditionalFormatting>
  <conditionalFormatting sqref="N827:N830">
    <cfRule type="expression" priority="37" dxfId="2449">
      <formula>$N$826="Enter Dollar Amount"</formula>
    </cfRule>
    <cfRule type="expression" priority="39" dxfId="2448">
      <formula>$N$826="Enter Percentages"</formula>
    </cfRule>
  </conditionalFormatting>
  <conditionalFormatting sqref="N827:O830">
    <cfRule type="expression" priority="36" dxfId="2445">
      <formula>$N$826="Drop Plan"</formula>
    </cfRule>
  </conditionalFormatting>
  <conditionalFormatting sqref="W827:W830">
    <cfRule type="expression" priority="33" dxfId="2449">
      <formula>$V$826="Enter Percentages"</formula>
    </cfRule>
    <cfRule type="expression" priority="35" dxfId="2448">
      <formula>$V$826="Enter Dollar Amount"</formula>
    </cfRule>
  </conditionalFormatting>
  <conditionalFormatting sqref="V827:V830">
    <cfRule type="expression" priority="32" dxfId="2449">
      <formula>$V$826="Enter Dollar Amount"</formula>
    </cfRule>
    <cfRule type="expression" priority="34" dxfId="2448">
      <formula>$V$826="Enter Percentages"</formula>
    </cfRule>
  </conditionalFormatting>
  <conditionalFormatting sqref="V827:W830">
    <cfRule type="expression" priority="31" dxfId="2445">
      <formula>$V$826="Drop Plan"</formula>
    </cfRule>
  </conditionalFormatting>
  <conditionalFormatting sqref="O837:O840">
    <cfRule type="expression" priority="28" dxfId="2449">
      <formula>$N$836="Enter Percentages"</formula>
    </cfRule>
    <cfRule type="expression" priority="30" dxfId="2448">
      <formula>$N$836="Enter Dollar Amount"</formula>
    </cfRule>
  </conditionalFormatting>
  <conditionalFormatting sqref="N837:N840">
    <cfRule type="expression" priority="27" dxfId="2449">
      <formula>$N$836="Enter Dollar Amount"</formula>
    </cfRule>
    <cfRule type="expression" priority="29" dxfId="2448">
      <formula>$N$836="Enter Percentages"</formula>
    </cfRule>
  </conditionalFormatting>
  <conditionalFormatting sqref="N837:O840">
    <cfRule type="expression" priority="26" dxfId="2445">
      <formula>$N$836="Drop Plan"</formula>
    </cfRule>
  </conditionalFormatting>
  <conditionalFormatting sqref="W837:W840">
    <cfRule type="expression" priority="23" dxfId="2449">
      <formula>$V$836="Enter Percentages"</formula>
    </cfRule>
    <cfRule type="expression" priority="25" dxfId="2448">
      <formula>$V$836="Enter Dollar Amount"</formula>
    </cfRule>
  </conditionalFormatting>
  <conditionalFormatting sqref="V837:V840">
    <cfRule type="expression" priority="22" dxfId="2449">
      <formula>$V$836="Enter Dollar Amount"</formula>
    </cfRule>
    <cfRule type="expression" priority="24" dxfId="2448">
      <formula>$V$836="Enter Percentages"</formula>
    </cfRule>
  </conditionalFormatting>
  <conditionalFormatting sqref="V837:W840">
    <cfRule type="expression" priority="21" dxfId="2445">
      <formula>$V$836="Drop Plan"</formula>
    </cfRule>
  </conditionalFormatting>
  <conditionalFormatting sqref="O847:O850">
    <cfRule type="expression" priority="18" dxfId="2449">
      <formula>$N$846="Enter Percentages"</formula>
    </cfRule>
    <cfRule type="expression" priority="20" dxfId="2448">
      <formula>$N$846="Enter Dollar Amount"</formula>
    </cfRule>
  </conditionalFormatting>
  <conditionalFormatting sqref="N847:N850">
    <cfRule type="expression" priority="17" dxfId="2449">
      <formula>$N$846="Enter Dollar Amount"</formula>
    </cfRule>
    <cfRule type="expression" priority="19" dxfId="2448">
      <formula>$N$846="Enter Percentages"</formula>
    </cfRule>
  </conditionalFormatting>
  <conditionalFormatting sqref="N847:O850">
    <cfRule type="expression" priority="16" dxfId="2445">
      <formula>$N$846="Drop Plan"</formula>
    </cfRule>
  </conditionalFormatting>
  <conditionalFormatting sqref="W847:W850">
    <cfRule type="expression" priority="13" dxfId="2449">
      <formula>$V$846="Enter Percentages"</formula>
    </cfRule>
    <cfRule type="expression" priority="15" dxfId="2448">
      <formula>$V$846="Enter Dollar Amount"</formula>
    </cfRule>
  </conditionalFormatting>
  <conditionalFormatting sqref="V847:V850">
    <cfRule type="expression" priority="12" dxfId="2449">
      <formula>$V$846="Enter Dollar Amount"</formula>
    </cfRule>
    <cfRule type="expression" priority="14" dxfId="2448">
      <formula>$V$846="Enter Percentages"</formula>
    </cfRule>
  </conditionalFormatting>
  <conditionalFormatting sqref="V847:W850">
    <cfRule type="expression" priority="11" dxfId="2445">
      <formula>$V$846="Drop Plan"</formula>
    </cfRule>
  </conditionalFormatting>
  <conditionalFormatting sqref="O857:O860">
    <cfRule type="expression" priority="8" dxfId="2449">
      <formula>$N$856="Enter Percentages"</formula>
    </cfRule>
    <cfRule type="expression" priority="10" dxfId="2448">
      <formula>$N$856="Enter Dollar Amount"</formula>
    </cfRule>
  </conditionalFormatting>
  <conditionalFormatting sqref="N857:N860">
    <cfRule type="expression" priority="7" dxfId="2449">
      <formula>$N$856="Enter Dollar Amount"</formula>
    </cfRule>
    <cfRule type="expression" priority="9" dxfId="2448">
      <formula>$N$856="Enter Percentages"</formula>
    </cfRule>
  </conditionalFormatting>
  <conditionalFormatting sqref="N857:O860">
    <cfRule type="expression" priority="6" dxfId="2445">
      <formula>$N$856="Drop Plan"</formula>
    </cfRule>
  </conditionalFormatting>
  <conditionalFormatting sqref="W857:W860">
    <cfRule type="expression" priority="3" dxfId="2449">
      <formula>$V$856="Enter Percentages"</formula>
    </cfRule>
    <cfRule type="expression" priority="5" dxfId="2448">
      <formula>$V$856="Enter Dollar Amount"</formula>
    </cfRule>
  </conditionalFormatting>
  <conditionalFormatting sqref="V857:V860">
    <cfRule type="expression" priority="2" dxfId="2449">
      <formula>$V$856="Enter Dollar Amount"</formula>
    </cfRule>
    <cfRule type="expression" priority="4" dxfId="2448">
      <formula>$V$856="Enter Percentages"</formula>
    </cfRule>
  </conditionalFormatting>
  <conditionalFormatting sqref="V857:W860">
    <cfRule type="expression" priority="1" dxfId="2445">
      <formula>$V$856="Drop Plan"</formula>
    </cfRule>
  </conditionalFormatting>
  <dataValidations count="8">
    <dataValidation type="list" allowBlank="1" showInputMessage="1" showErrorMessage="1" sqref="N14 V14 N64 V64 N114 V114 N164 V164 N214 V214 N264 V264 N314 V314 N364 V364 N414 V414 N464 V464 N514 V514 N564 V564 N614 V614 N665 V665 N675 V675 N685 V685 N695 V695 N705 V705 N715 V715 N725 V725 N735 V735 N745 V745 N755 V755 N766 V766 N776 V776 N786 V786 N796 V796 N806 V806 N816 V816 N826 V826 N836 V836 N846 V846 N856 V856">
      <formula1>"[Contribution Methods],Keep Contribution Same,Keep Percentage Same,Enter Dollar Amount,Enter Percentages,Drop Plan"</formula1>
    </dataValidation>
    <dataValidation type="list" allowBlank="1" showInputMessage="1" showErrorMessage="1" sqref="F876 F878:F879">
      <formula1>"Yes,No"</formula1>
    </dataValidation>
    <dataValidation type="list" allowBlank="1" showInputMessage="1" showErrorMessage="1" sqref="L14 T14 L64 T64 L114 T114 L164 T164 L214 T214 L264 T264 L314 T314 L364 T364 L414 T414 L464 T464 L514 T514 L564 T564 L614 T614">
      <formula1>'Health Summary'!$B$5:$AK$5</formula1>
    </dataValidation>
    <dataValidation type="list" allowBlank="1" showInputMessage="1" showErrorMessage="1" sqref="L665 T665 L675 T675 L685 T685 L695 T695 L705 T705 L715 T715 L725 T725 L735 T735 L745 T745 L755 T755">
      <formula1>'Dental Summary'!$B$5:$AK$5</formula1>
    </dataValidation>
    <dataValidation type="list" allowBlank="1" showInputMessage="1" showErrorMessage="1" sqref="L766 T766 L776 T776 L786 T786 L796 T796 L806 T806 L816 T816 L826 T826 L836 T836 L846 T846 L856 T856">
      <formula1>'Vision Summary'!$B$5:$AK$5</formula1>
    </dataValidation>
    <dataValidation type="list" allowBlank="1" showInputMessage="1" showErrorMessage="1" sqref="N879:O879">
      <formula1>'Life Summary'!$B$6:$W$6</formula1>
    </dataValidation>
    <dataValidation type="list" allowBlank="1" showInputMessage="1" showErrorMessage="1" sqref="N877:O877">
      <formula1>'LTD Summary'!$B$5:$W$5</formula1>
    </dataValidation>
    <dataValidation type="list" allowBlank="1" showInputMessage="1" showErrorMessage="1" sqref="N878:O878">
      <formula1>'STD Summary'!$B$5:$W$5</formula1>
    </dataValidation>
  </dataValidations>
  <hyperlinks>
    <hyperlink ref="E4" location="Class1_Health_Section" display="Medical"/>
    <hyperlink ref="E5" location="Class4_HealthSection" display="Dental"/>
    <hyperlink ref="E4:R4" location="Class4_HealthSection" display="Medical"/>
    <hyperlink ref="E5:R5" location="Class4_DentalSection" display="Dental"/>
    <hyperlink ref="E6:R6" location="Class4_VisionSection" display="Vision"/>
    <hyperlink ref="E7:R7" location="Class4_LifeSection" display="Life / Disability"/>
  </hyperlinks>
  <pageMargins left="0.25" right="0.25" top="0.5" bottom="0.25" header="0.3" footer="0.3"/>
  <pageSetup fitToHeight="0" orientation="landscape" paperSize="1" scale="33" r:id="rId4"/>
  <drawing r:id="rId2"/>
  <legacyDrawing r:id="rId3"/>
  <mc:AlternateContent xmlns:mc="http://schemas.openxmlformats.org/markup-compatibility/2006">
    <mc:Choice Requires="x14">
      <controls>
        <mc:AlternateContent xmlns:mc="http://schemas.openxmlformats.org/markup-compatibility/2006">
          <mc:Choice Requires="x14">
            <control shapeId="11268" r:id="rId1" name="Button 4">
              <controlPr defaultSize="0" print="0" autoLine="0" autoPict="0" macro="[0]!Loc">
                <anchor moveWithCells="1" sizeWithCells="1">
                  <from>
                    <xdr:col>2</xdr:col>
                    <xdr:colOff>31750</xdr:colOff>
                    <xdr:row>9</xdr:row>
                    <xdr:rowOff>222250</xdr:rowOff>
                  </from>
                  <to>
                    <xdr:col>2</xdr:col>
                    <xdr:colOff>609600</xdr:colOff>
                    <xdr:row>11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17BFBC76-BD44-45FE-B2F0-03C50190FBDC}">
  <sheetPr codeName="Sheet5">
    <pageSetUpPr fitToPage="1"/>
  </sheetPr>
  <dimension ref="A1:EJ1834"/>
  <sheetViews>
    <sheetView showGridLines="0" zoomScale="70" zoomScaleNormal="70" workbookViewId="0" topLeftCell="C1">
      <pane ySplit="12" topLeftCell="A13" activePane="bottomLeft" state="frozen"/>
      <selection pane="topLeft" activeCell="E15" sqref="E15"/>
      <selection pane="bottomLeft" activeCell="L15" sqref="L15"/>
    </sheetView>
  </sheetViews>
  <sheetFormatPr defaultColWidth="9.29333333333333" defaultRowHeight="13"/>
  <cols>
    <col min="1" max="2" width="3.33333333333333" style="1" hidden="1" customWidth="1"/>
    <col min="3" max="3" width="10.8333333333333" style="141" bestFit="1" customWidth="1"/>
    <col min="4" max="4" width="45.8333333333333" style="142" customWidth="1"/>
    <col min="5" max="5" width="18.8333333333333" style="142" customWidth="1"/>
    <col min="6" max="8" width="18.8333333333333" style="4" customWidth="1"/>
    <col min="9" max="9" width="18.8333333333333" style="254" customWidth="1"/>
    <col min="10" max="10" width="20.8333333333333" style="4" customWidth="1"/>
    <col min="11" max="11" width="1.66666666666667" style="4" customWidth="1"/>
    <col min="12" max="12" width="20.1666666666667" style="4" customWidth="1"/>
    <col min="13" max="13" width="18.8333333333333" style="4" customWidth="1"/>
    <col min="14" max="14" width="18.8333333333333" style="252" customWidth="1"/>
    <col min="15" max="17" width="18.8333333333333" style="4" customWidth="1"/>
    <col min="18" max="18" width="20.8333333333333" style="4" customWidth="1"/>
    <col min="19" max="19" width="1.16666666666667" style="1" customWidth="1"/>
    <col min="20" max="20" width="20.1666666666667" style="1" customWidth="1"/>
    <col min="21" max="25" width="18.8333333333333" style="1" customWidth="1"/>
    <col min="26" max="26" width="20.8333333333333" style="1" customWidth="1"/>
    <col min="27" max="27" width="2.5" style="1" customWidth="1"/>
    <col min="28" max="28" width="37.5" bestFit="1" customWidth="1"/>
    <col min="29" max="29" width="24.6666666666667" customWidth="1"/>
    <col min="30" max="31" width="1" customWidth="1"/>
    <col min="32" max="32" width="24.6666666666667" customWidth="1"/>
    <col min="33" max="33" width="0.333333333333333" customWidth="1"/>
    <col min="34" max="34" width="24.6666666666667" customWidth="1"/>
    <col min="141" max="16384" width="9.33333333333333" style="1"/>
  </cols>
  <sheetData>
    <row r="1" spans="1:25" ht="28.5" customHeight="1">
      <c r="A1" s="140"/>
      <c r="B1" s="140"/>
      <c r="E1"/>
      <c r="F1"/>
      <c r="G1"/>
      <c r="H1"/>
      <c r="I1"/>
      <c r="J1"/>
      <c r="K1"/>
      <c r="L1"/>
      <c r="M1"/>
      <c r="N1"/>
      <c r="O1"/>
      <c r="P1"/>
      <c r="Q1"/>
      <c r="R1"/>
      <c r="V1" s="118"/>
      <c r="W1" s="119"/>
      <c r="X1" s="118"/>
      <c r="Y1" s="118"/>
    </row>
    <row r="2" spans="1:25" ht="18" customHeight="1" thickBot="1">
      <c r="A2" s="140"/>
      <c r="B2" s="140"/>
      <c r="D2" s="143"/>
      <c r="E2"/>
      <c r="F2"/>
      <c r="G2"/>
      <c r="H2"/>
      <c r="I2"/>
      <c r="J2"/>
      <c r="K2"/>
      <c r="L2"/>
      <c r="M2"/>
      <c r="N2"/>
      <c r="O2"/>
      <c r="P2"/>
      <c r="Q2"/>
      <c r="R2"/>
      <c r="S2" s="144"/>
      <c r="V2" s="118"/>
      <c r="W2" s="119"/>
      <c r="X2" s="118"/>
      <c r="Y2" s="118"/>
    </row>
    <row r="3" spans="1:26" ht="25" customHeight="1" thickBot="1">
      <c r="A3" s="140"/>
      <c r="B3" s="140"/>
      <c r="D3" s="143"/>
      <c r="E3" s="504" t="str">
        <f>Client_Name&amp;" ("&amp;Client_Number&amp;") "&amp;Benefit_Year_Display&amp;" Renewal Rates"</f>
        <v>QUESTCO TEST (102) 2025 Renewal Rates</v>
      </c>
      <c r="F3" s="504"/>
      <c r="G3" s="504"/>
      <c r="H3" s="504"/>
      <c r="I3" s="504"/>
      <c r="J3" s="504"/>
      <c r="K3" s="504"/>
      <c r="L3" s="504"/>
      <c r="M3" s="504"/>
      <c r="N3" s="504"/>
      <c r="O3" s="504"/>
      <c r="P3" s="504"/>
      <c r="Q3" s="504"/>
      <c r="R3" s="504"/>
      <c r="S3" s="145"/>
      <c r="T3" s="498" t="s">
        <v>212</v>
      </c>
      <c r="U3" s="499"/>
      <c r="V3" s="496" t="s">
        <v>213</v>
      </c>
      <c r="W3" s="496"/>
      <c r="X3" s="496"/>
      <c r="Y3" s="496"/>
      <c r="Z3" s="497"/>
    </row>
    <row r="4" spans="1:26" ht="25.5" customHeight="1">
      <c r="A4" s="140"/>
      <c r="B4" s="140"/>
      <c r="D4" s="143"/>
      <c r="E4" s="533" t="s">
        <v>214</v>
      </c>
      <c r="F4" s="533"/>
      <c r="G4" s="533"/>
      <c r="H4" s="533"/>
      <c r="I4" s="533"/>
      <c r="J4" s="533"/>
      <c r="K4" s="533"/>
      <c r="L4" s="533"/>
      <c r="M4" s="533"/>
      <c r="N4" s="533"/>
      <c r="O4" s="533"/>
      <c r="P4" s="533"/>
      <c r="Q4" s="533"/>
      <c r="R4" s="533"/>
      <c r="S4" s="145"/>
      <c r="T4" s="393"/>
      <c r="U4" s="394"/>
      <c r="V4" s="492" t="s">
        <v>215</v>
      </c>
      <c r="W4" s="493"/>
      <c r="X4" s="500" t="s">
        <v>216</v>
      </c>
      <c r="Y4" s="501"/>
      <c r="Z4" s="395" t="s">
        <v>217</v>
      </c>
    </row>
    <row r="5" spans="1:26" ht="18" customHeight="1">
      <c r="A5" s="140"/>
      <c r="B5" s="140"/>
      <c r="D5" s="143"/>
      <c r="E5" s="533" t="s">
        <v>39</v>
      </c>
      <c r="F5" s="533"/>
      <c r="G5" s="533"/>
      <c r="H5" s="533"/>
      <c r="I5" s="533"/>
      <c r="J5" s="533"/>
      <c r="K5" s="533"/>
      <c r="L5" s="533"/>
      <c r="M5" s="533"/>
      <c r="N5" s="533"/>
      <c r="O5" s="533"/>
      <c r="P5" s="533"/>
      <c r="Q5" s="533"/>
      <c r="R5" s="533"/>
      <c r="T5" s="396" t="s">
        <v>218</v>
      </c>
      <c r="U5" s="397"/>
      <c r="V5" s="494">
        <f ca="1">IFERROR(IF(F20="",0,F20)+IF(F70="",0,F70)+IF(F120="",0,F120)+IF(F170="",0,F170)+IF(F220="",0,F220)+IF(F270="",0,F270)+IF(F320="",0,F320)+IF(F370="",0,F370)+IF(F420="",0,F420)+IF(F470="",0,F470)+IF(F520="",0,F520)+IF(F570="",0,F570)+IF(F620="",0,F620),"")</f>
        <v>0</v>
      </c>
      <c r="W5" s="495"/>
      <c r="X5" s="502">
        <f ca="1">IFERROR(IF(L20="",0,L20)+IF(L70="",0,L70)+IF(L120="",0,L120)+IF(L170="",0,L170)+IF(L220="",0,L220)+IF(L270="",0,L270)+IF(L320="",0,L320)+IF(L370="",0,L370)+IF(L420="",0,L420)+IF(L470="",0,L470)+IF(L520="",0,L520)+IF(L570="",0,L570)+IF(L620="",0,L620),"")</f>
        <v>0</v>
      </c>
      <c r="Y5" s="503"/>
      <c r="Z5" s="398">
        <f ca="1">IFERROR(IF(T20="",0,T20)+IF(T70="",0,T70)+IF(T120="",0,T120)+IF(T170="",0,T170)+IF(T220="",0,T220)+IF(T270="",0,T270)+IF(T320="",0,T320)+IF(T370="",0,T370)+IF(T420="",0,T420)+IF(T470="",0,T470)+IF(T520="",0,T520)+IF(T570="",0,T570)+IF(T620="",0,T620),"")</f>
        <v>0</v>
      </c>
    </row>
    <row r="6" spans="1:26" ht="18" customHeight="1">
      <c r="A6" s="140"/>
      <c r="B6" s="140"/>
      <c r="D6" s="143"/>
      <c r="E6" s="533" t="s">
        <v>40</v>
      </c>
      <c r="F6" s="533"/>
      <c r="G6" s="533"/>
      <c r="H6" s="533"/>
      <c r="I6" s="533"/>
      <c r="J6" s="533"/>
      <c r="K6" s="533"/>
      <c r="L6" s="533"/>
      <c r="M6" s="533"/>
      <c r="N6" s="533"/>
      <c r="O6" s="533"/>
      <c r="P6" s="533"/>
      <c r="Q6" s="533"/>
      <c r="R6" s="533"/>
      <c r="T6" s="399" t="s">
        <v>219</v>
      </c>
      <c r="U6" s="400"/>
      <c r="V6" s="477">
        <f ca="1">IFERROR(Current_Medical_EE_Count,"")</f>
        <v>0</v>
      </c>
      <c r="W6" s="478"/>
      <c r="X6" s="477">
        <f ca="1">IFERROR(Renewal_Medical_EE_Count,"")</f>
        <v>0</v>
      </c>
      <c r="Y6" s="478"/>
      <c r="Z6" s="401">
        <f ca="1">IFERROR(Alternate_Medical_EE_Count,"")</f>
        <v>0</v>
      </c>
    </row>
    <row r="7" spans="1:26" ht="18" customHeight="1">
      <c r="A7" s="140"/>
      <c r="B7" s="140"/>
      <c r="D7" s="143"/>
      <c r="E7" s="533" t="s">
        <v>220</v>
      </c>
      <c r="F7" s="533"/>
      <c r="G7" s="533"/>
      <c r="H7" s="533"/>
      <c r="I7" s="533"/>
      <c r="J7" s="533"/>
      <c r="K7" s="533"/>
      <c r="L7" s="533"/>
      <c r="M7" s="533"/>
      <c r="N7" s="533"/>
      <c r="O7" s="533"/>
      <c r="P7" s="533"/>
      <c r="Q7" s="533"/>
      <c r="R7" s="533"/>
      <c r="T7" s="402" t="s">
        <v>221</v>
      </c>
      <c r="U7" s="406"/>
      <c r="V7" s="487" t="s">
        <v>222</v>
      </c>
      <c r="W7" s="488"/>
      <c r="X7" s="479">
        <f ca="1">IFERROR(IF(V5="","",X5-V5),0)</f>
        <v>0</v>
      </c>
      <c r="Y7" s="480"/>
      <c r="Z7" s="398">
        <f ca="1">IFERROR(IF(V5="","",Z5-V5),0)</f>
        <v>0</v>
      </c>
    </row>
    <row r="8" spans="1:26" ht="18" customHeight="1" thickBot="1">
      <c r="A8" s="140"/>
      <c r="B8" s="140"/>
      <c r="D8" s="143"/>
      <c r="E8" s="143"/>
      <c r="F8" s="145"/>
      <c r="G8" s="145"/>
      <c r="H8" s="145"/>
      <c r="I8" s="145"/>
      <c r="J8" s="145"/>
      <c r="K8" s="145"/>
      <c r="L8" s="145"/>
      <c r="M8" s="145"/>
      <c r="N8" s="145"/>
      <c r="O8" s="145"/>
      <c r="P8" s="145"/>
      <c r="Q8" s="145"/>
      <c r="R8" s="145"/>
      <c r="T8" s="403" t="s">
        <v>223</v>
      </c>
      <c r="U8" s="404"/>
      <c r="V8" s="489" t="s">
        <v>222</v>
      </c>
      <c r="W8" s="490"/>
      <c r="X8" s="481">
        <f ca="1">IFERROR(IF(X5="","",(X5/V5)-1),0)</f>
        <v>0</v>
      </c>
      <c r="Y8" s="482"/>
      <c r="Z8" s="405">
        <f ca="1">IFERROR(IF(Z5="","",(Z5/V5)-1),0)</f>
        <v>0</v>
      </c>
    </row>
    <row r="9" spans="1:140" s="151" customFormat="1" ht="18" customHeight="1">
      <c r="A9" s="140"/>
      <c r="B9" s="140"/>
      <c r="C9" s="141"/>
      <c r="D9" s="143"/>
      <c r="E9" s="143"/>
      <c r="F9" s="145"/>
      <c r="G9" s="145"/>
      <c r="H9" s="145"/>
      <c r="I9" s="145"/>
      <c r="J9" s="145"/>
      <c r="K9" s="145"/>
      <c r="L9" s="145"/>
      <c r="M9" s="145"/>
      <c r="N9" s="145"/>
      <c r="O9" s="145"/>
      <c r="P9" s="145"/>
      <c r="Q9" s="145"/>
      <c r="R9" s="145"/>
      <c r="S9" s="1"/>
      <c r="T9" s="2"/>
      <c r="U9" s="146"/>
      <c r="V9" s="146"/>
      <c r="W9" s="147"/>
      <c r="X9" s="148"/>
      <c r="Y9" s="147"/>
      <c r="Z9" s="148"/>
      <c r="AA9" s="1"/>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row>
    <row r="10" spans="1:27" ht="18" customHeight="1">
      <c r="A10" s="149"/>
      <c r="B10" s="149"/>
      <c r="C10"/>
      <c r="D10"/>
      <c r="E10"/>
      <c r="F10"/>
      <c r="G10"/>
      <c r="H10"/>
      <c r="I10"/>
      <c r="J10"/>
      <c r="K10" s="150"/>
      <c r="L10" s="483"/>
      <c r="M10" s="483"/>
      <c r="N10" s="483"/>
      <c r="O10" s="483"/>
      <c r="P10" s="483"/>
      <c r="Q10" s="483"/>
      <c r="R10" s="483"/>
      <c r="S10" s="151"/>
      <c r="T10" s="483"/>
      <c r="U10" s="483"/>
      <c r="V10" s="483"/>
      <c r="W10" s="483"/>
      <c r="X10" s="483"/>
      <c r="Y10" s="483"/>
      <c r="Z10" s="483"/>
      <c r="AA10" s="151"/>
    </row>
    <row r="11" spans="1:140" s="159" customFormat="1" ht="18" customHeight="1">
      <c r="A11" s="140"/>
      <c r="B11" s="140"/>
      <c r="C11"/>
      <c r="D11"/>
      <c r="E11" s="483" t="s">
        <v>224</v>
      </c>
      <c r="F11" s="483"/>
      <c r="G11" s="483"/>
      <c r="H11" s="483"/>
      <c r="I11" s="483"/>
      <c r="J11" s="483"/>
      <c r="K11" s="152"/>
      <c r="L11" s="483" t="s">
        <v>225</v>
      </c>
      <c r="M11" s="483"/>
      <c r="N11" s="483"/>
      <c r="O11" s="483"/>
      <c r="P11" s="483"/>
      <c r="Q11" s="483"/>
      <c r="R11" s="483"/>
      <c r="S11" s="1"/>
      <c r="T11" s="483" t="s">
        <v>226</v>
      </c>
      <c r="U11" s="483"/>
      <c r="V11" s="483"/>
      <c r="W11" s="483"/>
      <c r="X11" s="483"/>
      <c r="Y11" s="483"/>
      <c r="Z11" s="483"/>
      <c r="AA11" s="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row>
    <row r="12" spans="1:140" s="162" customFormat="1" ht="60" customHeight="1" thickBot="1">
      <c r="A12" s="153"/>
      <c r="B12" s="153"/>
      <c r="C12" s="154" t="s">
        <v>227</v>
      </c>
      <c r="D12" s="467" t="str">
        <f>IF(Class5_Name=0,"",Class5_Name)</f>
        <v/>
      </c>
      <c r="E12" s="155" t="str">
        <f>"Employee Count (as of "&amp;TEXT(CountsAsOfDate,"MM/DD/YY")&amp;")"</f>
        <v>Employee Count (as of 08/01/24)</v>
      </c>
      <c r="F12" s="156" t="str">
        <f>"CurrentRates"&amp;Benefit_Year_Display-1</f>
        <v>CurrentRates2024</v>
      </c>
      <c r="G12" s="156" t="s">
        <v>228</v>
      </c>
      <c r="H12" s="156" t="s">
        <v>229</v>
      </c>
      <c r="I12" s="155" t="s">
        <v>230</v>
      </c>
      <c r="J12" s="156" t="s">
        <v>231</v>
      </c>
      <c r="K12" s="157"/>
      <c r="L12" s="158" t="str">
        <f>"Rates Effective 1/1/"&amp;Benefit_Year_Display</f>
        <v>Rates Effective 1/1/2025</v>
      </c>
      <c r="M12" s="158" t="s">
        <v>232</v>
      </c>
      <c r="N12" s="116" t="s">
        <v>233</v>
      </c>
      <c r="O12" s="116" t="s">
        <v>234</v>
      </c>
      <c r="P12" s="158" t="str">
        <f>"Employer Contribution "&amp;Benefit_Year_Display</f>
        <v>Employer Contribution 2025</v>
      </c>
      <c r="Q12" s="158" t="str">
        <f>"Employee Contribution "&amp;Benefit_Year_Display</f>
        <v>Employee Contribution 2025</v>
      </c>
      <c r="R12" s="158" t="s">
        <v>231</v>
      </c>
      <c r="S12" s="159"/>
      <c r="T12" s="160" t="str">
        <f>"Rates Effective 1/1/"&amp;Benefit_Year_Display</f>
        <v>Rates Effective 1/1/2025</v>
      </c>
      <c r="U12" s="160" t="s">
        <v>232</v>
      </c>
      <c r="V12" s="117" t="s">
        <v>233</v>
      </c>
      <c r="W12" s="117" t="s">
        <v>234</v>
      </c>
      <c r="X12" s="160" t="str">
        <f>"Employer Contribution "&amp;Benefit_Year_Display</f>
        <v>Employer Contribution 2025</v>
      </c>
      <c r="Y12" s="160" t="str">
        <f>"Employee Contribution "&amp;Benefit_Year_Display</f>
        <v>Employee Contribution 2025</v>
      </c>
      <c r="Z12" s="160" t="s">
        <v>231</v>
      </c>
      <c r="AA12" s="159"/>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row>
    <row r="13" spans="1:27" ht="38.25" customHeight="1" thickBot="1">
      <c r="A13" s="153"/>
      <c r="B13" s="153"/>
      <c r="C13" s="161"/>
      <c r="D13" s="474" t="s">
        <v>235</v>
      </c>
      <c r="E13" s="475"/>
      <c r="F13" s="475"/>
      <c r="G13" s="475"/>
      <c r="H13" s="475"/>
      <c r="I13" s="475"/>
      <c r="J13" s="475"/>
      <c r="K13" s="475"/>
      <c r="L13" s="475"/>
      <c r="M13" s="475"/>
      <c r="N13" s="475"/>
      <c r="O13" s="475"/>
      <c r="P13" s="475"/>
      <c r="Q13" s="475"/>
      <c r="R13" s="476"/>
      <c r="S13" s="162"/>
      <c r="T13" s="163"/>
      <c r="U13" s="163"/>
      <c r="V13" s="163"/>
      <c r="W13" s="163"/>
      <c r="X13" s="163"/>
      <c r="Y13" s="163"/>
      <c r="Z13" s="163"/>
      <c r="AA13" s="159"/>
    </row>
    <row r="14" spans="1:26" ht="50.15" customHeight="1">
      <c r="A14" s="140">
        <v>1</v>
      </c>
      <c r="B14" s="140" t="str">
        <f>IF(A14&gt;Class5_CurrentHealthCount,"DELETE",Class5_CurrentHealthStart+A14)</f>
        <v>DELETE</v>
      </c>
      <c r="C14" s="164" t="s">
        <v>236</v>
      </c>
      <c r="D14" s="273" t="str">
        <f>IF(B14="Delete","",VLOOKUP(F14,BEGIN_CURRENT_HEALTH:END_CURRENT_HEALTH,3,FALSE))</f>
        <v/>
      </c>
      <c r="E14" s="165"/>
      <c r="F14" s="320" t="str" cm="1">
        <f t="array" ca="1" aca="1" ref="F14">IF(B14="Delete","",INDIRECT("CurrentPlans!A"&amp;B14,TRUE))</f>
        <v/>
      </c>
      <c r="G14" s="166"/>
      <c r="H14" s="167"/>
      <c r="I14" s="168"/>
      <c r="J14" s="169"/>
      <c r="K14"/>
      <c r="L14" s="274" t="str">
        <f ca="1">_xlfn.IFNA(VLOOKUP(F14,BEGIN_RENEWEDFROM_HEALTH:ROW_RenewHealth_PlanID,3,FALSE),"SELECT PLAN")</f>
        <v>SELECT PLAN</v>
      </c>
      <c r="M14" s="170"/>
      <c r="N14" s="274" t="s">
        <v>237</v>
      </c>
      <c r="O14" s="171"/>
      <c r="P14" s="171"/>
      <c r="Q14" s="171"/>
      <c r="R14" s="169"/>
      <c r="T14" s="274" t="s">
        <v>38</v>
      </c>
      <c r="U14" s="170"/>
      <c r="V14" s="274" t="s">
        <v>237</v>
      </c>
      <c r="W14" s="171"/>
      <c r="X14" s="171"/>
      <c r="Y14" s="171"/>
      <c r="Z14" s="169"/>
    </row>
    <row r="15" spans="1:26" ht="18.75" customHeight="1">
      <c r="A15" s="140"/>
      <c r="B15" s="140"/>
      <c r="D15" s="172" t="s">
        <v>238</v>
      </c>
      <c r="E15" s="407" t="str">
        <f ca="1">_xlfn.IFNA(VLOOKUP(F14,BEGIN_CURRENT_HEALTH:END_CURRENT_HEALTH,CURRENT_COL_EO_count,FALSE),"")</f>
        <v/>
      </c>
      <c r="F15" s="408" t="str">
        <f ca="1">_xlfn.IFNA(VLOOKUP(F14,BEGIN_CURRENT_HEALTH:END_CURRENT_HEALTH,CURRENT_COL_EO,FALSE),"")</f>
        <v/>
      </c>
      <c r="G15" s="468" t="str">
        <f ca="1" t="shared" si="0" ref="G15:G18">IF(F15="","",H15/F15)</f>
        <v/>
      </c>
      <c r="H15" s="408" t="str">
        <f ca="1">_xlfn.IFNA(VLOOKUP(F14,BEGIN_CURRENT_HEALTH:END_CURRENT_HEALTH,CURRENT_COL_EOContrib,FALSE),"")</f>
        <v/>
      </c>
      <c r="I15" s="409" t="str">
        <f ca="1">IFERROR(F15-H15,"")</f>
        <v/>
      </c>
      <c r="J15" s="410" t="str">
        <f ca="1">IF(F15="","",H15*E15)</f>
        <v/>
      </c>
      <c r="K15" s="411"/>
      <c r="L15" s="408" t="str" cm="1">
        <f t="array" ca="1" aca="1" ref="L15">_xlfn.IFNA(VLOOKUP(INDIRECT("L"&amp;ROW()-1)&amp;"_"&amp;$D$12,BEGIN_RENEW_HEALTH:END_RENEW_HEALTH,RENEW_COL_EO,FALSE),"")</f>
        <v/>
      </c>
      <c r="M15" s="412" t="str">
        <f ca="1">IF(E15="","",E15)</f>
        <v/>
      </c>
      <c r="N15" s="413"/>
      <c r="O15" s="414"/>
      <c r="P15" s="415" t="str">
        <f>IFERROR(IF($N14="Keep Contribution Same",H15,IF($N14="Enter Percentages",IF(N15="","",N15*L15),IF($N14="Keep Percentage Same",IF(G15="","",G15*L15),IF($N14="Enter Dollar Amount",IF(O15="","",O15),"")))),"")</f>
        <v/>
      </c>
      <c r="Q15" s="408" t="str">
        <f ca="1">IFERROR(L15-P15,"")</f>
        <v/>
      </c>
      <c r="R15" s="410" t="str">
        <f>IFERROR(IF(P15="","",M15*P15),"")</f>
        <v/>
      </c>
      <c r="S15" s="411"/>
      <c r="T15" s="408" t="str" cm="1">
        <f t="array" ca="1" aca="1" ref="T15">_xlfn.IFNA(VLOOKUP(INDIRECT("T"&amp;ROW()-1)&amp;"_"&amp;$D$12,BEGIN_RENEW_HEALTH:END_RENEW_HEALTH,RENEW_COL_EO,FALSE),"")</f>
        <v/>
      </c>
      <c r="U15" s="412" t="str">
        <f ca="1">IF(E15="","",E15)</f>
        <v/>
      </c>
      <c r="V15" s="413"/>
      <c r="W15" s="414"/>
      <c r="X15" s="415" t="str">
        <f>IFERROR(IF($V14="Keep Contribution Same",H15,IF($V14="Enter Percentages",IF(V15="","",V15*T15),IF($V14="Keep Percentage Same",IF(G15="","",G15*T15),IF($V14="Enter Dollar Amount",IF(W15="","",W15),"")))),"")</f>
        <v/>
      </c>
      <c r="Y15" s="408" t="str">
        <f ca="1">IFERROR(T15-X15,"")</f>
        <v/>
      </c>
      <c r="Z15" s="410" t="str">
        <f>IFERROR(IF(X15="","",U15*X15),"")</f>
        <v/>
      </c>
    </row>
    <row r="16" spans="1:26" ht="18.75" customHeight="1">
      <c r="A16" s="140"/>
      <c r="B16" s="140"/>
      <c r="D16" s="172" t="s">
        <v>239</v>
      </c>
      <c r="E16" s="407" t="str">
        <f ca="1">_xlfn.IFNA(VLOOKUP(F14,BEGIN_CURRENT_HEALTH:END_CURRENT_HEALTH,CURRENT_COL_ES_count,FALSE),"")</f>
        <v/>
      </c>
      <c r="F16" s="408" t="str">
        <f ca="1">_xlfn.IFNA(VLOOKUP(F14,BEGIN_CURRENT_HEALTH:END_CURRENT_HEALTH,CURRENT_COL_ES,FALSE),"")</f>
        <v/>
      </c>
      <c r="G16" s="468" t="str">
        <f t="shared" ca="1" si="0"/>
        <v/>
      </c>
      <c r="H16" s="408" t="str">
        <f ca="1">_xlfn.IFNA(VLOOKUP(F14,BEGIN_CURRENT_HEALTH:END_CURRENT_HEALTH,CURRENT_COL_ESContrib,FALSE),"")</f>
        <v/>
      </c>
      <c r="I16" s="409" t="str">
        <f ca="1" t="shared" si="1" ref="I16:I18">IFERROR(F16-H16,"")</f>
        <v/>
      </c>
      <c r="J16" s="410" t="str">
        <f ca="1">IF(F16="","",H16*E16)</f>
        <v/>
      </c>
      <c r="K16" s="411"/>
      <c r="L16" s="408" t="str" cm="1">
        <f t="array" ca="1" aca="1" ref="L16">_xlfn.IFNA(VLOOKUP(INDIRECT("L"&amp;ROW()-2)&amp;"_"&amp;$D$12,BEGIN_RENEW_HEALTH:END_RENEW_HEALTH,RENEW_COL_ES,FALSE),"")</f>
        <v/>
      </c>
      <c r="M16" s="412" t="str">
        <f ca="1">IF(E16="","",E16)</f>
        <v/>
      </c>
      <c r="N16" s="413"/>
      <c r="O16" s="414"/>
      <c r="P16" s="415" t="str">
        <f>IFERROR(IF($N14="Keep Contribution Same",H16,IF($N14="Enter Percentages",IF(N16="","",N16*L16),IF($N14="Keep Percentage Same",IF(G16="","",G16*L16),IF($N14="Enter Dollar Amount",IF(O16="","",O16),"")))),"")</f>
        <v/>
      </c>
      <c r="Q16" s="408" t="str">
        <f ca="1">IFERROR(L16-P16,"")</f>
        <v/>
      </c>
      <c r="R16" s="410" t="str">
        <f>IFERROR(IF(P16="","",M16*P16),"")</f>
        <v/>
      </c>
      <c r="S16" s="411"/>
      <c r="T16" s="408" t="str" cm="1">
        <f t="array" ca="1" aca="1" ref="T16">_xlfn.IFNA(VLOOKUP(INDIRECT("T"&amp;ROW()-2)&amp;"_"&amp;$D$12,BEGIN_RENEW_HEALTH:END_RENEW_HEALTH,RENEW_COL_ES,FALSE),"")</f>
        <v/>
      </c>
      <c r="U16" s="412" t="str">
        <f ca="1" t="shared" si="2" ref="U16:U18">IF(E16="","",E16)</f>
        <v/>
      </c>
      <c r="V16" s="413"/>
      <c r="W16" s="414"/>
      <c r="X16" s="415" t="str">
        <f>IFERROR(IF($V14="Keep Contribution Same",H16,IF($V14="Enter Percentages",IF(V16="","",V16*T16),IF($V14="Keep Percentage Same",IF(G16="","",G16*T16),IF($V14="Enter Dollar Amount",IF(W16="","",W16),"")))),"")</f>
        <v/>
      </c>
      <c r="Y16" s="408" t="str">
        <f ca="1" t="shared" si="3" ref="Y16:Y18">IFERROR(T16-X16,"")</f>
        <v/>
      </c>
      <c r="Z16" s="410" t="str">
        <f t="shared" si="4" ref="Z16:Z18">IFERROR(IF(X16="","",U16*X16),"")</f>
        <v/>
      </c>
    </row>
    <row r="17" spans="1:26" ht="18.75" customHeight="1">
      <c r="A17" s="140"/>
      <c r="B17" s="140"/>
      <c r="D17" s="172" t="s">
        <v>240</v>
      </c>
      <c r="E17" s="407" t="str">
        <f ca="1">_xlfn.IFNA(VLOOKUP(F14,BEGIN_CURRENT_HEALTH:END_CURRENT_HEALTH,CURRENT_COL_EC_count,FALSE),"")</f>
        <v/>
      </c>
      <c r="F17" s="408" t="str">
        <f ca="1">_xlfn.IFNA(VLOOKUP(F14,BEGIN_CURRENT_HEALTH:END_CURRENT_HEALTH,CURRENT_COL_EC,FALSE),"")</f>
        <v/>
      </c>
      <c r="G17" s="468" t="str">
        <f t="shared" ca="1" si="0"/>
        <v/>
      </c>
      <c r="H17" s="408" t="str">
        <f ca="1">_xlfn.IFNA(VLOOKUP(F14,BEGIN_CURRENT_HEALTH:END_CURRENT_HEALTH,CURRENT_COL_ECContrib,FALSE),"")</f>
        <v/>
      </c>
      <c r="I17" s="409" t="str">
        <f t="shared" ca="1" si="1"/>
        <v/>
      </c>
      <c r="J17" s="410" t="str">
        <f ca="1">IF(F17="","",H17*E17)</f>
        <v/>
      </c>
      <c r="K17" s="411"/>
      <c r="L17" s="408" t="str" cm="1">
        <f t="array" ca="1" aca="1" ref="L17">_xlfn.IFNA(VLOOKUP(INDIRECT("L"&amp;ROW()-3)&amp;"_"&amp;$D$12,BEGIN_RENEW_HEALTH:END_RENEW_HEALTH,RENEW_COL_EC,FALSE),"")</f>
        <v/>
      </c>
      <c r="M17" s="412" t="str">
        <f ca="1">IF(E17="","",E17)</f>
        <v/>
      </c>
      <c r="N17" s="413"/>
      <c r="O17" s="414"/>
      <c r="P17" s="415" t="str">
        <f>IFERROR(IF($N14="Keep Contribution Same",H17,IF($N14="Enter Percentages",IF(N17="","",N17*L17),IF($N14="Keep Percentage Same",IF(G17="","",G17*L17),IF($N14="Enter Dollar Amount",IF(O17="","",O17),"")))),"")</f>
        <v/>
      </c>
      <c r="Q17" s="408" t="str">
        <f ca="1">IFERROR(L17-P17,"")</f>
        <v/>
      </c>
      <c r="R17" s="410" t="str">
        <f>IFERROR(IF(P17="","",M17*P17),"")</f>
        <v/>
      </c>
      <c r="S17" s="411"/>
      <c r="T17" s="408" t="str" cm="1">
        <f t="array" ca="1" aca="1" ref="T17">_xlfn.IFNA(VLOOKUP(INDIRECT("T"&amp;ROW()-3)&amp;"_"&amp;$D$12,BEGIN_RENEW_HEALTH:END_RENEW_HEALTH,RENEW_COL_EC,FALSE),"")</f>
        <v/>
      </c>
      <c r="U17" s="412" t="str">
        <f t="shared" ca="1" si="2"/>
        <v/>
      </c>
      <c r="V17" s="413"/>
      <c r="W17" s="414"/>
      <c r="X17" s="415" t="str">
        <f>IFERROR(IF($V14="Keep Contribution Same",H17,IF($V14="Enter Percentages",IF(V17="","",V17*T17),IF($V14="Keep Percentage Same",IF(G17="","",G17*T17),IF($V14="Enter Dollar Amount",IF(W17="","",W17),"")))),"")</f>
        <v/>
      </c>
      <c r="Y17" s="408" t="str">
        <f t="shared" ca="1" si="3"/>
        <v/>
      </c>
      <c r="Z17" s="410" t="str">
        <f t="shared" si="4"/>
        <v/>
      </c>
    </row>
    <row r="18" spans="1:26" ht="18.75" customHeight="1" thickBot="1">
      <c r="A18" s="140"/>
      <c r="B18" s="140"/>
      <c r="D18" s="174" t="s">
        <v>241</v>
      </c>
      <c r="E18" s="416" t="str">
        <f ca="1">_xlfn.IFNA(VLOOKUP(F14,BEGIN_CURRENT_HEALTH:END_CURRENT_HEALTH,CURRENT_COL_FAM_count,FALSE),"")</f>
        <v/>
      </c>
      <c r="F18" s="417" t="str">
        <f ca="1">_xlfn.IFNA(VLOOKUP(F14,BEGIN_CURRENT_HEALTH:END_CURRENT_HEALTH,CURRENT_COL_FAM,FALSE),"")</f>
        <v/>
      </c>
      <c r="G18" s="469" t="str">
        <f t="shared" ca="1" si="0"/>
        <v/>
      </c>
      <c r="H18" s="417" t="str">
        <f ca="1">_xlfn.IFNA(VLOOKUP(F14,BEGIN_CURRENT_HEALTH:END_CURRENT_HEALTH,CURRENT_COL_FAMContrib,FALSE),"")</f>
        <v/>
      </c>
      <c r="I18" s="418" t="str">
        <f t="shared" ca="1" si="1"/>
        <v/>
      </c>
      <c r="J18" s="419" t="str">
        <f ca="1">IF(F18="","",H18*E18)</f>
        <v/>
      </c>
      <c r="K18" s="411"/>
      <c r="L18" s="417" t="str" cm="1">
        <f t="array" ca="1" aca="1" ref="L18">_xlfn.IFNA(VLOOKUP(INDIRECT("L"&amp;ROW()-4)&amp;"_"&amp;$D$12,BEGIN_RENEW_HEALTH:END_RENEW_HEALTH,RENEW_COL_FAM,FALSE),"")</f>
        <v/>
      </c>
      <c r="M18" s="423" t="str">
        <f ca="1">IF(E18="","",E18)</f>
        <v/>
      </c>
      <c r="N18" s="420"/>
      <c r="O18" s="421"/>
      <c r="P18" s="422" t="str">
        <f>IFERROR(IF($N14="Keep Contribution Same",H18,IF($N14="Enter Percentages",IF(N18="","",N18*L18),IF($N14="Keep Percentage Same",IF(G18="","",G18*L18),IF($N14="Enter Dollar Amount",IF(O18="","",O18),"")))),"")</f>
        <v/>
      </c>
      <c r="Q18" s="417" t="str">
        <f ca="1">IFERROR(L18-P18,"")</f>
        <v/>
      </c>
      <c r="R18" s="419" t="str">
        <f>IFERROR(IF(P18="","",M18*P18),"")</f>
        <v/>
      </c>
      <c r="S18" s="411"/>
      <c r="T18" s="417" t="str" cm="1">
        <f t="array" ca="1" aca="1" ref="T18">_xlfn.IFNA(VLOOKUP(INDIRECT("T"&amp;ROW()-4)&amp;"_"&amp;$D$12,BEGIN_RENEW_HEALTH:END_RENEW_HEALTH,RENEW_COL_FAM,FALSE),"")</f>
        <v/>
      </c>
      <c r="U18" s="423" t="str">
        <f t="shared" ca="1" si="2"/>
        <v/>
      </c>
      <c r="V18" s="420"/>
      <c r="W18" s="421"/>
      <c r="X18" s="422" t="str">
        <f>IFERROR(IF($V14="Keep Contribution Same",H18,IF($V14="Enter Percentages",IF(V18="","",V18*T18),IF($V14="Keep Percentage Same",IF(G18="","",G18*T18),IF($V14="Enter Dollar Amount",IF(W18="","",W18),"")))),"")</f>
        <v/>
      </c>
      <c r="Y18" s="417" t="str">
        <f t="shared" ca="1" si="3"/>
        <v/>
      </c>
      <c r="Z18" s="419" t="str">
        <f t="shared" si="4"/>
        <v/>
      </c>
    </row>
    <row r="19" spans="1:26" ht="18.75" customHeight="1" thickTop="1">
      <c r="A19" s="140"/>
      <c r="B19" s="140"/>
      <c r="D19" s="175" t="s">
        <v>242</v>
      </c>
      <c r="E19" s="424"/>
      <c r="F19" s="447" t="str">
        <f ca="1">IFERROR((F15*E15)+(F16*E16)+(F17*E17)+(F18*E18),"")</f>
        <v/>
      </c>
      <c r="G19" s="426"/>
      <c r="H19" s="427"/>
      <c r="I19" s="428"/>
      <c r="J19" s="429" t="str">
        <f ca="1">IFERROR(IF(J15="","",SUM(J15:J18)),0)</f>
        <v/>
      </c>
      <c r="K19" s="1"/>
      <c r="L19" s="430" t="str">
        <f ca="1">IFERROR((M15*L15)+(M16*L16)+(M17*L17)+(M18*L18),"")</f>
        <v/>
      </c>
      <c r="M19" s="427"/>
      <c r="N19" s="426"/>
      <c r="O19" s="427"/>
      <c r="P19" s="431"/>
      <c r="Q19" s="432"/>
      <c r="R19" s="429" t="str">
        <f>IFERROR(IF(R15="","",SUM(R15:R18)),0)</f>
        <v/>
      </c>
      <c r="T19" s="430" t="str">
        <f ca="1">IFERROR((U15*T15)+(U16*T16)+(U17*T17)+(U18*T18),"")</f>
        <v/>
      </c>
      <c r="U19" s="427"/>
      <c r="V19" s="426"/>
      <c r="W19" s="427"/>
      <c r="X19" s="431"/>
      <c r="Y19" s="432"/>
      <c r="Z19" s="429" t="str">
        <f>IFERROR(IF(Z15="","",SUM(Z15:Z18)),0)</f>
        <v/>
      </c>
    </row>
    <row r="20" spans="1:26" ht="18.75" customHeight="1">
      <c r="A20" s="140"/>
      <c r="B20" s="140"/>
      <c r="D20" s="177" t="s">
        <v>243</v>
      </c>
      <c r="E20" s="433"/>
      <c r="F20" s="448" t="str">
        <f ca="1">IFERROR(F19*12,"")</f>
        <v/>
      </c>
      <c r="G20" s="435"/>
      <c r="H20" s="436"/>
      <c r="I20" s="432"/>
      <c r="J20" s="437" t="str">
        <f ca="1">IF(J19="","",J19*12)</f>
        <v/>
      </c>
      <c r="K20" s="1"/>
      <c r="L20" s="438" t="str">
        <f ca="1">IFERROR(L19*12,"")</f>
        <v/>
      </c>
      <c r="M20" s="436"/>
      <c r="N20" s="435"/>
      <c r="O20" s="436"/>
      <c r="P20" s="432"/>
      <c r="Q20" s="432"/>
      <c r="R20" s="437" t="str">
        <f>IF(R19="","",R19*12)</f>
        <v/>
      </c>
      <c r="T20" s="438" t="str">
        <f ca="1">IFERROR(T19*12,"")</f>
        <v/>
      </c>
      <c r="U20" s="436"/>
      <c r="V20" s="435"/>
      <c r="W20" s="436"/>
      <c r="X20" s="432"/>
      <c r="Y20" s="432"/>
      <c r="Z20" s="437" t="str">
        <f>IF(Z19="","",Z19*12)</f>
        <v/>
      </c>
    </row>
    <row r="21" spans="1:26" ht="18.75" customHeight="1">
      <c r="A21" s="140"/>
      <c r="B21" s="140"/>
      <c r="D21" s="177" t="s">
        <v>244</v>
      </c>
      <c r="E21" s="433"/>
      <c r="F21" s="436"/>
      <c r="G21" s="435"/>
      <c r="H21" s="436"/>
      <c r="I21" s="432"/>
      <c r="J21" s="437"/>
      <c r="K21" s="1"/>
      <c r="L21" s="434" t="str">
        <f ca="1">IFERROR(L20-F20,"")</f>
        <v/>
      </c>
      <c r="M21" s="436"/>
      <c r="N21" s="435"/>
      <c r="O21" s="436"/>
      <c r="P21" s="432"/>
      <c r="Q21" s="432"/>
      <c r="R21" s="437" t="str">
        <f ca="1">IFERROR(IF(J20="","",R20-J20),0)</f>
        <v/>
      </c>
      <c r="T21" s="434" t="str">
        <f ca="1">IFERROR(T20-F20,"")</f>
        <v/>
      </c>
      <c r="U21" s="436"/>
      <c r="V21" s="435"/>
      <c r="W21" s="436"/>
      <c r="X21" s="432"/>
      <c r="Y21" s="432"/>
      <c r="Z21" s="437" t="str">
        <f>IFERROR(IF(R20="","",Z20-R20),0)</f>
        <v/>
      </c>
    </row>
    <row r="22" spans="1:26" ht="18.75" customHeight="1" thickBot="1">
      <c r="A22" s="140"/>
      <c r="B22" s="140"/>
      <c r="D22" s="180" t="s">
        <v>245</v>
      </c>
      <c r="E22" s="439"/>
      <c r="F22" s="440"/>
      <c r="G22" s="441"/>
      <c r="H22" s="440"/>
      <c r="I22" s="442"/>
      <c r="J22" s="443"/>
      <c r="K22" s="1"/>
      <c r="L22" s="444" t="str">
        <f ca="1">IFERROR(L20/F20-1,"")</f>
        <v/>
      </c>
      <c r="M22" s="440"/>
      <c r="N22" s="441"/>
      <c r="O22" s="440"/>
      <c r="P22" s="445"/>
      <c r="Q22" s="445"/>
      <c r="R22" s="446" t="str">
        <f ca="1">IFERROR(IF(J20="","",(R20/J20)-1),0)</f>
        <v/>
      </c>
      <c r="T22" s="444" t="str">
        <f ca="1">IFERROR(T20/F20-1,"")</f>
        <v/>
      </c>
      <c r="U22" s="440"/>
      <c r="V22" s="441"/>
      <c r="W22" s="440"/>
      <c r="X22" s="445"/>
      <c r="Y22" s="445"/>
      <c r="Z22" s="446" t="str">
        <f>IFERROR(IF(R20="","",(Z20/R20)-1),0)</f>
        <v/>
      </c>
    </row>
    <row r="23" spans="1:26" ht="18.75" customHeight="1">
      <c r="A23" s="140"/>
      <c r="B23" s="140"/>
      <c r="D23" s="181" t="s">
        <v>246</v>
      </c>
      <c r="E23" s="182"/>
      <c r="F23" s="182"/>
      <c r="G23" s="182"/>
      <c r="H23" s="182"/>
      <c r="I23" s="182"/>
      <c r="J23" s="183"/>
      <c r="K23"/>
      <c r="L23" s="184"/>
      <c r="M23" s="182"/>
      <c r="N23" s="182"/>
      <c r="O23" s="182"/>
      <c r="P23" s="182"/>
      <c r="Q23" s="182"/>
      <c r="R23" s="183"/>
      <c r="T23" s="184"/>
      <c r="U23" s="182"/>
      <c r="V23" s="182"/>
      <c r="W23" s="182"/>
      <c r="X23" s="182"/>
      <c r="Y23" s="182"/>
      <c r="Z23" s="183"/>
    </row>
    <row r="24" spans="1:26" ht="18.75" customHeight="1" hidden="1">
      <c r="A24" s="140"/>
      <c r="B24" s="140"/>
      <c r="D24" s="185" t="s">
        <v>247</v>
      </c>
      <c r="E24" s="186"/>
      <c r="F24" s="186"/>
      <c r="G24" s="186"/>
      <c r="H24" s="186"/>
      <c r="I24" s="186"/>
      <c r="J24" s="187"/>
      <c r="K24"/>
      <c r="L24" s="188"/>
      <c r="M24" s="186"/>
      <c r="N24" s="186"/>
      <c r="O24" s="186"/>
      <c r="P24" s="186"/>
      <c r="Q24" s="186"/>
      <c r="R24" s="187"/>
      <c r="T24" s="188"/>
      <c r="U24" s="186"/>
      <c r="V24" s="186"/>
      <c r="W24" s="186"/>
      <c r="X24" s="186"/>
      <c r="Y24" s="186"/>
      <c r="Z24" s="187"/>
    </row>
    <row r="25" spans="1:26" ht="18.75" customHeight="1" hidden="1">
      <c r="A25" s="140"/>
      <c r="B25" s="140"/>
      <c r="D25" s="189" t="s">
        <v>248</v>
      </c>
      <c r="E25" s="190" t="str">
        <f>D14&amp;"_"&amp;D12</f>
        <v>_</v>
      </c>
      <c r="F25" s="191"/>
      <c r="G25" s="191"/>
      <c r="H25" s="191"/>
      <c r="I25" s="190"/>
      <c r="J25" s="192"/>
      <c r="K25"/>
      <c r="L25" s="193" t="str">
        <f ca="1">L14&amp;"_"&amp;D12</f>
        <v>SELECT PLAN_</v>
      </c>
      <c r="M25" s="191"/>
      <c r="N25" s="191"/>
      <c r="O25" s="191"/>
      <c r="P25" s="190"/>
      <c r="Q25" s="191"/>
      <c r="R25" s="192"/>
      <c r="T25" s="193" t="str">
        <f>T14&amp;"_"&amp;D12</f>
        <v>SELECT PLAN_</v>
      </c>
      <c r="U25" s="191"/>
      <c r="V25" s="191"/>
      <c r="W25" s="191"/>
      <c r="X25" s="190"/>
      <c r="Y25" s="191"/>
      <c r="Z25" s="192"/>
    </row>
    <row r="26" spans="1:26" ht="18.75" customHeight="1" hidden="1">
      <c r="A26" s="140"/>
      <c r="B26" s="140"/>
      <c r="D26" s="189" t="s">
        <v>249</v>
      </c>
      <c r="E26" s="191"/>
      <c r="F26" s="191"/>
      <c r="G26" s="191"/>
      <c r="H26" s="191"/>
      <c r="I26" s="191"/>
      <c r="J26" s="192"/>
      <c r="K26"/>
      <c r="L26" s="189"/>
      <c r="M26" s="191"/>
      <c r="N26" s="191"/>
      <c r="O26" s="191"/>
      <c r="P26" s="191"/>
      <c r="Q26" s="191"/>
      <c r="R26" s="192"/>
      <c r="T26" s="189"/>
      <c r="U26" s="191"/>
      <c r="V26" s="191"/>
      <c r="W26" s="191"/>
      <c r="X26" s="191"/>
      <c r="Y26" s="191"/>
      <c r="Z26" s="192"/>
    </row>
    <row r="27" spans="1:26" ht="18.75" customHeight="1" hidden="1">
      <c r="A27" s="140"/>
      <c r="B27" s="140"/>
      <c r="D27" s="194" t="s">
        <v>250</v>
      </c>
      <c r="E27" s="195"/>
      <c r="F27" s="195"/>
      <c r="G27" s="195"/>
      <c r="H27" s="195"/>
      <c r="I27" s="195"/>
      <c r="J27" s="196"/>
      <c r="K27"/>
      <c r="L27" s="197"/>
      <c r="M27" s="195"/>
      <c r="N27" s="195"/>
      <c r="O27" s="195"/>
      <c r="P27" s="195"/>
      <c r="Q27" s="195"/>
      <c r="R27" s="196"/>
      <c r="T27" s="197"/>
      <c r="U27" s="195"/>
      <c r="V27" s="195"/>
      <c r="W27" s="195"/>
      <c r="X27" s="195"/>
      <c r="Y27" s="195"/>
      <c r="Z27" s="196"/>
    </row>
    <row r="28" spans="1:26" ht="18.75" customHeight="1" hidden="1">
      <c r="A28" s="140"/>
      <c r="B28" s="140"/>
      <c r="D28" s="198" t="s">
        <v>251</v>
      </c>
      <c r="E28" s="199" t="str">
        <f>_xlfn.XLOOKUP(E25,CurrentPlans!B:B,CurrentPlans!X:X,"NA",0,1)</f>
        <v>NA</v>
      </c>
      <c r="F28" s="200"/>
      <c r="G28" s="200"/>
      <c r="H28" s="200"/>
      <c r="I28" s="199"/>
      <c r="J28" s="201"/>
      <c r="K28"/>
      <c r="L28" s="202" t="str">
        <f ca="1">_xlfn.XLOOKUP(L25,RenewalPlans!B:B,RenewalPlans!AA:AA,"NA",0,1)</f>
        <v>NA</v>
      </c>
      <c r="M28" s="200"/>
      <c r="N28" s="200"/>
      <c r="O28" s="200"/>
      <c r="P28" s="199"/>
      <c r="Q28" s="200"/>
      <c r="R28" s="201"/>
      <c r="T28" s="202" t="str">
        <f>_xlfn.XLOOKUP(T25,RenewalPlans!B:B,RenewalPlans!AA:AA,"NA",0,1)</f>
        <v>NA</v>
      </c>
      <c r="U28" s="200"/>
      <c r="V28" s="200"/>
      <c r="W28" s="200"/>
      <c r="X28" s="199"/>
      <c r="Y28" s="200"/>
      <c r="Z28" s="201"/>
    </row>
    <row r="29" spans="1:26" ht="18.75" customHeight="1" hidden="1">
      <c r="A29" s="140"/>
      <c r="B29" s="140"/>
      <c r="D29" s="198" t="s">
        <v>252</v>
      </c>
      <c r="E29" s="199" t="str">
        <f>_xlfn.XLOOKUP(E25,CurrentPlans!B:B,CurrentPlans!Y:Y,"NA",0,1)</f>
        <v>NA</v>
      </c>
      <c r="F29" s="200"/>
      <c r="G29" s="200"/>
      <c r="H29" s="200"/>
      <c r="I29" s="199"/>
      <c r="J29" s="201"/>
      <c r="K29"/>
      <c r="L29" s="202" t="str">
        <f ca="1">_xlfn.XLOOKUP(L25,RenewalPlans!B:B,RenewalPlans!AB:AB,"NA",0,1)</f>
        <v>NA</v>
      </c>
      <c r="M29" s="200"/>
      <c r="N29" s="200"/>
      <c r="O29" s="200"/>
      <c r="P29" s="199"/>
      <c r="Q29" s="200"/>
      <c r="R29" s="201"/>
      <c r="T29" s="202" t="str">
        <f>_xlfn.XLOOKUP(T25,RenewalPlans!B:B,RenewalPlans!AB:AB,"NA",0,1)</f>
        <v>NA</v>
      </c>
      <c r="U29" s="200"/>
      <c r="V29" s="200"/>
      <c r="W29" s="200"/>
      <c r="X29" s="199"/>
      <c r="Y29" s="200"/>
      <c r="Z29" s="201"/>
    </row>
    <row r="30" spans="1:26" ht="18.75" customHeight="1" hidden="1">
      <c r="A30" s="140"/>
      <c r="B30" s="140"/>
      <c r="D30" s="120" t="s">
        <v>253</v>
      </c>
      <c r="E30" s="121" t="str">
        <f>_xlfn.XLOOKUP(E25,CurrentPlans!B:B,CurrentPlans!W:W,"NA",0,1)</f>
        <v>NA</v>
      </c>
      <c r="F30" s="122"/>
      <c r="G30" s="122"/>
      <c r="H30" s="122"/>
      <c r="I30" s="121"/>
      <c r="J30" s="123"/>
      <c r="K30"/>
      <c r="L30" s="124" t="str">
        <f ca="1">_xlfn.XLOOKUP(L25,RenewalPlans!B:B,RenewalPlans!Z:Z,"NA",0,1)</f>
        <v>NA</v>
      </c>
      <c r="M30" s="122"/>
      <c r="N30" s="122"/>
      <c r="O30" s="122"/>
      <c r="P30" s="121"/>
      <c r="Q30" s="122"/>
      <c r="R30" s="123"/>
      <c r="T30" s="124" t="str">
        <f>_xlfn.XLOOKUP(T25,RenewalPlans!B:B,RenewalPlans!Z:Z,"NA",0,1)</f>
        <v>NA</v>
      </c>
      <c r="U30" s="122"/>
      <c r="V30" s="122"/>
      <c r="W30" s="122"/>
      <c r="X30" s="121"/>
      <c r="Y30" s="122"/>
      <c r="Z30" s="123"/>
    </row>
    <row r="31" spans="1:26" ht="18.75" customHeight="1" hidden="1">
      <c r="A31" s="140"/>
      <c r="B31" s="140"/>
      <c r="D31" s="203" t="s">
        <v>254</v>
      </c>
      <c r="E31" s="204"/>
      <c r="F31" s="205"/>
      <c r="G31" s="205"/>
      <c r="H31" s="205"/>
      <c r="I31" s="204"/>
      <c r="J31" s="206"/>
      <c r="K31"/>
      <c r="L31" s="207"/>
      <c r="M31" s="205"/>
      <c r="N31" s="205"/>
      <c r="O31" s="205"/>
      <c r="P31" s="204"/>
      <c r="Q31" s="205"/>
      <c r="R31" s="206"/>
      <c r="T31" s="207"/>
      <c r="U31" s="205"/>
      <c r="V31" s="205"/>
      <c r="W31" s="205"/>
      <c r="X31" s="204"/>
      <c r="Y31" s="205"/>
      <c r="Z31" s="206"/>
    </row>
    <row r="32" spans="1:26" ht="18.75" customHeight="1" hidden="1">
      <c r="A32" s="140"/>
      <c r="B32" s="140"/>
      <c r="D32" s="125" t="s">
        <v>255</v>
      </c>
      <c r="E32" s="126" t="str">
        <f>_xlfn.XLOOKUP(E25,CurrentPlans!B:B,CurrentPlans!Z:Z,"NA",0,1)</f>
        <v>NA</v>
      </c>
      <c r="F32" s="127"/>
      <c r="G32" s="127"/>
      <c r="H32" s="127"/>
      <c r="I32" s="126"/>
      <c r="J32" s="128"/>
      <c r="K32"/>
      <c r="L32" s="129" t="str">
        <f ca="1">_xlfn.XLOOKUP(L25,RenewalPlans!B:B,RenewalPlans!AC:AC,"NA",0,1)</f>
        <v>NA</v>
      </c>
      <c r="M32" s="127"/>
      <c r="N32" s="127"/>
      <c r="O32" s="127"/>
      <c r="P32" s="126"/>
      <c r="Q32" s="127"/>
      <c r="R32" s="128"/>
      <c r="T32" s="129" t="str">
        <f>_xlfn.XLOOKUP(T25,RenewalPlans!B:B,RenewalPlans!AC:AC,"NA",0,1)</f>
        <v>NA</v>
      </c>
      <c r="U32" s="127"/>
      <c r="V32" s="127"/>
      <c r="W32" s="127"/>
      <c r="X32" s="126"/>
      <c r="Y32" s="127"/>
      <c r="Z32" s="128"/>
    </row>
    <row r="33" spans="1:26" ht="18.75" customHeight="1" hidden="1">
      <c r="A33" s="140"/>
      <c r="B33" s="140"/>
      <c r="D33" s="198" t="s">
        <v>256</v>
      </c>
      <c r="E33" s="208" t="str">
        <f>_xlfn.XLOOKUP(E25,CurrentPlans!B:B,CurrentPlans!AA:AA,"NA",0,1)</f>
        <v>NA</v>
      </c>
      <c r="F33" s="200"/>
      <c r="G33" s="200"/>
      <c r="H33" s="200"/>
      <c r="I33" s="208"/>
      <c r="J33" s="201"/>
      <c r="K33"/>
      <c r="L33" s="209" t="str">
        <f ca="1">_xlfn.XLOOKUP(L25,RenewalPlans!B:B,RenewalPlans!AD:AD,"NA",0,1)</f>
        <v>NA</v>
      </c>
      <c r="M33" s="200"/>
      <c r="N33" s="200"/>
      <c r="O33" s="200"/>
      <c r="P33" s="208"/>
      <c r="Q33" s="200"/>
      <c r="R33" s="201"/>
      <c r="T33" s="209" t="str">
        <f>_xlfn.XLOOKUP(T25,RenewalPlans!B:B,RenewalPlans!AD:AD,"NA",0,1)</f>
        <v>NA</v>
      </c>
      <c r="U33" s="200"/>
      <c r="V33" s="200"/>
      <c r="W33" s="200"/>
      <c r="X33" s="208"/>
      <c r="Y33" s="200"/>
      <c r="Z33" s="201"/>
    </row>
    <row r="34" spans="1:26" ht="18.75" customHeight="1" hidden="1">
      <c r="A34" s="140"/>
      <c r="B34" s="140"/>
      <c r="D34" s="203" t="s">
        <v>257</v>
      </c>
      <c r="E34" s="204"/>
      <c r="F34" s="205"/>
      <c r="G34" s="205"/>
      <c r="H34" s="205"/>
      <c r="I34" s="204"/>
      <c r="J34" s="206"/>
      <c r="K34"/>
      <c r="L34" s="207"/>
      <c r="M34" s="205"/>
      <c r="N34" s="205"/>
      <c r="O34" s="205"/>
      <c r="P34" s="204"/>
      <c r="Q34" s="205"/>
      <c r="R34" s="206"/>
      <c r="T34" s="207"/>
      <c r="U34" s="205"/>
      <c r="V34" s="205"/>
      <c r="W34" s="205"/>
      <c r="X34" s="204"/>
      <c r="Y34" s="205"/>
      <c r="Z34" s="206"/>
    </row>
    <row r="35" spans="1:26" ht="18.75" customHeight="1" hidden="1">
      <c r="A35" s="140"/>
      <c r="B35" s="140"/>
      <c r="D35" s="198" t="s">
        <v>258</v>
      </c>
      <c r="E35" s="208" t="str">
        <f>_xlfn.XLOOKUP(E25,CurrentPlans!B:B,CurrentPlans!AB:AB,"NA",0,1)</f>
        <v>NA</v>
      </c>
      <c r="F35" s="200"/>
      <c r="G35" s="200"/>
      <c r="H35" s="200"/>
      <c r="I35" s="208"/>
      <c r="J35" s="201"/>
      <c r="K35"/>
      <c r="L35" s="209" t="str">
        <f ca="1">_xlfn.XLOOKUP(L25,RenewalPlans!B:B,RenewalPlans!AE:AE,"NA",0,1)</f>
        <v>NA</v>
      </c>
      <c r="M35" s="200"/>
      <c r="N35" s="200"/>
      <c r="O35" s="200"/>
      <c r="P35" s="208"/>
      <c r="Q35" s="200"/>
      <c r="R35" s="201"/>
      <c r="T35" s="209" t="str">
        <f>_xlfn.XLOOKUP(T25,RenewalPlans!B:B,RenewalPlans!AE:AE,"NA",0,1)</f>
        <v>NA</v>
      </c>
      <c r="U35" s="200"/>
      <c r="V35" s="200"/>
      <c r="W35" s="200"/>
      <c r="X35" s="208"/>
      <c r="Y35" s="200"/>
      <c r="Z35" s="201"/>
    </row>
    <row r="36" spans="1:26" ht="18.75" customHeight="1" hidden="1">
      <c r="A36" s="140"/>
      <c r="B36" s="140"/>
      <c r="D36" s="198" t="s">
        <v>259</v>
      </c>
      <c r="E36" s="208" t="str">
        <f>_xlfn.XLOOKUP(E25,CurrentPlans!B:B,CurrentPlans!AC:AC,"NA",0,1)</f>
        <v>NA</v>
      </c>
      <c r="F36" s="200"/>
      <c r="G36" s="200"/>
      <c r="H36" s="200"/>
      <c r="I36" s="208"/>
      <c r="J36" s="201"/>
      <c r="K36"/>
      <c r="L36" s="209" t="str">
        <f ca="1">_xlfn.XLOOKUP(L25,RenewalPlans!B:B,RenewalPlans!AF:AF,"NA",0,1)</f>
        <v>NA</v>
      </c>
      <c r="M36" s="200"/>
      <c r="N36" s="200"/>
      <c r="O36" s="200"/>
      <c r="P36" s="208"/>
      <c r="Q36" s="200"/>
      <c r="R36" s="201"/>
      <c r="T36" s="209" t="str">
        <f>_xlfn.XLOOKUP(T25,RenewalPlans!B:B,RenewalPlans!AF:AF,"NA",0,1)</f>
        <v>NA</v>
      </c>
      <c r="U36" s="200"/>
      <c r="V36" s="200"/>
      <c r="W36" s="200"/>
      <c r="X36" s="208"/>
      <c r="Y36" s="200"/>
      <c r="Z36" s="201"/>
    </row>
    <row r="37" spans="1:26" ht="18.75" customHeight="1" hidden="1">
      <c r="A37" s="140"/>
      <c r="B37" s="140"/>
      <c r="D37" s="210"/>
      <c r="E37" s="211"/>
      <c r="F37" s="211"/>
      <c r="G37" s="211"/>
      <c r="H37" s="211"/>
      <c r="I37" s="211"/>
      <c r="J37" s="212"/>
      <c r="K37"/>
      <c r="L37" s="210"/>
      <c r="M37" s="211"/>
      <c r="N37" s="211"/>
      <c r="O37" s="211"/>
      <c r="P37" s="211"/>
      <c r="Q37" s="211"/>
      <c r="R37" s="212"/>
      <c r="T37" s="210"/>
      <c r="U37" s="211"/>
      <c r="V37" s="211"/>
      <c r="W37" s="211"/>
      <c r="X37" s="211"/>
      <c r="Y37" s="211"/>
      <c r="Z37" s="212"/>
    </row>
    <row r="38" spans="1:26" ht="18.75" customHeight="1" hidden="1">
      <c r="A38" s="140"/>
      <c r="B38" s="140"/>
      <c r="D38" s="185" t="s">
        <v>260</v>
      </c>
      <c r="E38" s="186"/>
      <c r="F38" s="186"/>
      <c r="G38" s="186"/>
      <c r="H38" s="186"/>
      <c r="I38" s="186"/>
      <c r="J38" s="187"/>
      <c r="K38"/>
      <c r="L38" s="188"/>
      <c r="M38" s="186"/>
      <c r="N38" s="186"/>
      <c r="O38" s="186"/>
      <c r="P38" s="186"/>
      <c r="Q38" s="186"/>
      <c r="R38" s="187"/>
      <c r="T38" s="188"/>
      <c r="U38" s="186"/>
      <c r="V38" s="186"/>
      <c r="W38" s="186"/>
      <c r="X38" s="186"/>
      <c r="Y38" s="186"/>
      <c r="Z38" s="187"/>
    </row>
    <row r="39" spans="1:26" ht="18.75" customHeight="1" hidden="1">
      <c r="A39" s="140"/>
      <c r="B39" s="140"/>
      <c r="D39" s="213" t="s">
        <v>261</v>
      </c>
      <c r="E39" s="130" t="str">
        <f>_xlfn.XLOOKUP(E25,CurrentPlans!B:B,CurrentPlans!AJ:AJ,"NA",0,1)</f>
        <v>NA</v>
      </c>
      <c r="F39" s="214"/>
      <c r="G39" s="214"/>
      <c r="H39" s="214"/>
      <c r="I39" s="130"/>
      <c r="J39" s="215"/>
      <c r="K39"/>
      <c r="L39" s="131" t="str">
        <f ca="1">_xlfn.XLOOKUP(L25,RenewalPlans!B:B,RenewalPlans!AM:AM,"NA",0,1)</f>
        <v>NA</v>
      </c>
      <c r="M39" s="214"/>
      <c r="N39" s="214"/>
      <c r="O39" s="214"/>
      <c r="P39" s="130"/>
      <c r="Q39" s="214"/>
      <c r="R39" s="215"/>
      <c r="T39" s="131" t="str">
        <f>_xlfn.XLOOKUP(T25,RenewalPlans!B:B,RenewalPlans!AM:AM,"NA",0,1)</f>
        <v>NA</v>
      </c>
      <c r="U39" s="214"/>
      <c r="V39" s="214"/>
      <c r="W39" s="214"/>
      <c r="X39" s="130"/>
      <c r="Y39" s="214"/>
      <c r="Z39" s="215"/>
    </row>
    <row r="40" spans="1:26" ht="18.75" customHeight="1" hidden="1">
      <c r="A40" s="140"/>
      <c r="B40" s="140"/>
      <c r="D40" s="198" t="s">
        <v>262</v>
      </c>
      <c r="E40" s="130" t="str">
        <f>_xlfn.XLOOKUP(E25,CurrentPlans!B:B,CurrentPlans!AM:AM,"NA",0,1)</f>
        <v>NA</v>
      </c>
      <c r="F40" s="200"/>
      <c r="G40" s="200"/>
      <c r="H40" s="200"/>
      <c r="I40" s="130"/>
      <c r="J40" s="201"/>
      <c r="K40"/>
      <c r="L40" s="131" t="str">
        <f ca="1">_xlfn.XLOOKUP(L25,RenewalPlans!B:B,RenewalPlans!AP:AP,"NA",0,1)</f>
        <v>NA</v>
      </c>
      <c r="M40" s="200"/>
      <c r="N40" s="200"/>
      <c r="O40" s="200"/>
      <c r="P40" s="130"/>
      <c r="Q40" s="200"/>
      <c r="R40" s="201"/>
      <c r="T40" s="131" t="str">
        <f>_xlfn.XLOOKUP(T25,RenewalPlans!B:B,RenewalPlans!AP:AP,"NA",0,1)</f>
        <v>NA</v>
      </c>
      <c r="U40" s="200"/>
      <c r="V40" s="200"/>
      <c r="W40" s="200"/>
      <c r="X40" s="130"/>
      <c r="Y40" s="200"/>
      <c r="Z40" s="201"/>
    </row>
    <row r="41" spans="1:26" ht="18.75" customHeight="1" hidden="1">
      <c r="A41" s="140"/>
      <c r="B41" s="140"/>
      <c r="D41" s="198" t="s">
        <v>263</v>
      </c>
      <c r="E41" s="130" t="str">
        <f>_xlfn.XLOOKUP(E25,CurrentPlans!B:B,CurrentPlans!AI:AI,"NA",0,1)</f>
        <v>NA</v>
      </c>
      <c r="F41" s="200"/>
      <c r="G41" s="200"/>
      <c r="H41" s="200"/>
      <c r="I41" s="130"/>
      <c r="J41" s="201"/>
      <c r="K41"/>
      <c r="L41" s="131" t="str">
        <f ca="1">_xlfn.XLOOKUP(L25,RenewalPlans!B:B,RenewalPlans!AL:AL,"NA",0,1)</f>
        <v>NA</v>
      </c>
      <c r="M41" s="200"/>
      <c r="N41" s="200"/>
      <c r="O41" s="200"/>
      <c r="P41" s="130"/>
      <c r="Q41" s="200"/>
      <c r="R41" s="201"/>
      <c r="T41" s="131" t="str">
        <f>_xlfn.XLOOKUP(T25,RenewalPlans!B:B,RenewalPlans!AL:AL,"NA",0,1)</f>
        <v>NA</v>
      </c>
      <c r="U41" s="200"/>
      <c r="V41" s="200"/>
      <c r="W41" s="200"/>
      <c r="X41" s="130"/>
      <c r="Y41" s="200"/>
      <c r="Z41" s="201"/>
    </row>
    <row r="42" spans="1:26" ht="18.75" customHeight="1" hidden="1">
      <c r="A42" s="140"/>
      <c r="B42" s="140"/>
      <c r="D42" s="198" t="s">
        <v>264</v>
      </c>
      <c r="E42" s="208" t="str">
        <f>_xlfn.XLOOKUP(E25,CurrentPlans!B:B,CurrentPlans!AN:AN,"NA",0,1)</f>
        <v>NA</v>
      </c>
      <c r="F42" s="200"/>
      <c r="G42" s="200"/>
      <c r="H42" s="200"/>
      <c r="I42" s="208"/>
      <c r="J42" s="201"/>
      <c r="K42"/>
      <c r="L42" s="209" t="str">
        <f ca="1">_xlfn.XLOOKUP(L25,RenewalPlans!B:B,RenewalPlans!AQ:AQ,"NA",0,1)</f>
        <v>NA</v>
      </c>
      <c r="M42" s="200"/>
      <c r="N42" s="200"/>
      <c r="O42" s="200"/>
      <c r="P42" s="208"/>
      <c r="Q42" s="200"/>
      <c r="R42" s="201"/>
      <c r="T42" s="209" t="str">
        <f>_xlfn.XLOOKUP(T25,RenewalPlans!B:B,RenewalPlans!AQ:AQ,"NA",0,1)</f>
        <v>NA</v>
      </c>
      <c r="U42" s="200"/>
      <c r="V42" s="200"/>
      <c r="W42" s="200"/>
      <c r="X42" s="208"/>
      <c r="Y42" s="200"/>
      <c r="Z42" s="201"/>
    </row>
    <row r="43" spans="1:26" ht="18.75" customHeight="1" hidden="1">
      <c r="A43" s="140"/>
      <c r="B43" s="140"/>
      <c r="D43" s="210"/>
      <c r="E43" s="211"/>
      <c r="F43" s="211"/>
      <c r="G43" s="211"/>
      <c r="H43" s="211"/>
      <c r="I43" s="211"/>
      <c r="J43" s="212"/>
      <c r="K43"/>
      <c r="L43" s="210"/>
      <c r="M43" s="211"/>
      <c r="N43" s="211"/>
      <c r="O43" s="211"/>
      <c r="P43" s="211"/>
      <c r="Q43" s="211"/>
      <c r="R43" s="212"/>
      <c r="T43" s="210"/>
      <c r="U43" s="211"/>
      <c r="V43" s="211"/>
      <c r="W43" s="211"/>
      <c r="X43" s="211"/>
      <c r="Y43" s="211"/>
      <c r="Z43" s="212"/>
    </row>
    <row r="44" spans="1:26" ht="18.75" customHeight="1" hidden="1">
      <c r="A44" s="140"/>
      <c r="B44" s="140"/>
      <c r="D44" s="185" t="s">
        <v>265</v>
      </c>
      <c r="E44" s="186"/>
      <c r="F44" s="186"/>
      <c r="G44" s="186"/>
      <c r="H44" s="186"/>
      <c r="I44" s="186"/>
      <c r="J44" s="187"/>
      <c r="K44"/>
      <c r="L44" s="188"/>
      <c r="M44" s="186"/>
      <c r="N44" s="186"/>
      <c r="O44" s="186"/>
      <c r="P44" s="186"/>
      <c r="Q44" s="186"/>
      <c r="R44" s="187"/>
      <c r="T44" s="188"/>
      <c r="U44" s="186"/>
      <c r="V44" s="186"/>
      <c r="W44" s="186"/>
      <c r="X44" s="186"/>
      <c r="Y44" s="186"/>
      <c r="Z44" s="187"/>
    </row>
    <row r="45" spans="1:26" ht="18.75" customHeight="1" hidden="1">
      <c r="A45" s="140"/>
      <c r="B45" s="140"/>
      <c r="D45" s="132" t="s">
        <v>266</v>
      </c>
      <c r="E45" s="133" t="str">
        <f>_xlfn.XLOOKUP(E25,CurrentPlans!B:B,CurrentPlans!AE:AE,"NA",0,1)</f>
        <v>NA</v>
      </c>
      <c r="F45" s="134"/>
      <c r="G45" s="134"/>
      <c r="H45" s="134"/>
      <c r="I45" s="133"/>
      <c r="J45" s="135"/>
      <c r="K45"/>
      <c r="L45" s="136" t="str">
        <f ca="1">_xlfn.XLOOKUP(L25,RenewalPlans!B:B,RenewalPlans!AH:AH,"NA",0,1)</f>
        <v>NA</v>
      </c>
      <c r="M45" s="134"/>
      <c r="N45" s="134"/>
      <c r="O45" s="134"/>
      <c r="P45" s="133"/>
      <c r="Q45" s="134"/>
      <c r="R45" s="135"/>
      <c r="T45" s="136" t="str">
        <f>_xlfn.XLOOKUP(T25,RenewalPlans!B:B,RenewalPlans!AH:AH,"NA",0,1)</f>
        <v>NA</v>
      </c>
      <c r="U45" s="134"/>
      <c r="V45" s="134"/>
      <c r="W45" s="134"/>
      <c r="X45" s="133"/>
      <c r="Y45" s="134"/>
      <c r="Z45" s="135"/>
    </row>
    <row r="46" spans="1:26" ht="18.75" customHeight="1" hidden="1">
      <c r="A46" s="140"/>
      <c r="B46" s="140"/>
      <c r="D46" s="120" t="s">
        <v>267</v>
      </c>
      <c r="E46" s="130" t="str">
        <f>_xlfn.XLOOKUP(E25,CurrentPlans!B:B,CurrentPlans!AF:AF,"NA",0,1)</f>
        <v>NA</v>
      </c>
      <c r="F46" s="122"/>
      <c r="G46" s="122"/>
      <c r="H46" s="122"/>
      <c r="I46" s="130"/>
      <c r="J46" s="123"/>
      <c r="K46"/>
      <c r="L46" s="131" t="str">
        <f ca="1">_xlfn.XLOOKUP(L25,RenewalPlans!B:B,RenewalPlans!AI:AI,"NA",0,1)</f>
        <v>NA</v>
      </c>
      <c r="M46" s="122"/>
      <c r="N46" s="122"/>
      <c r="O46" s="122"/>
      <c r="P46" s="130"/>
      <c r="Q46" s="122"/>
      <c r="R46" s="123"/>
      <c r="T46" s="131" t="str">
        <f>_xlfn.XLOOKUP(T25,RenewalPlans!B:B,RenewalPlans!AI:AI,"NA",0,1)</f>
        <v>NA</v>
      </c>
      <c r="U46" s="122"/>
      <c r="V46" s="122"/>
      <c r="W46" s="122"/>
      <c r="X46" s="130"/>
      <c r="Y46" s="122"/>
      <c r="Z46" s="123"/>
    </row>
    <row r="47" spans="1:26" ht="18.75" customHeight="1" hidden="1">
      <c r="A47" s="140"/>
      <c r="B47" s="140"/>
      <c r="D47" s="198" t="s">
        <v>268</v>
      </c>
      <c r="E47" s="130" t="str">
        <f>_xlfn.XLOOKUP(E25,CurrentPlans!B:B,CurrentPlans!AH:AH,"NA",0,1)</f>
        <v>NA</v>
      </c>
      <c r="F47" s="200"/>
      <c r="G47" s="200"/>
      <c r="H47" s="200"/>
      <c r="I47" s="130"/>
      <c r="J47" s="201"/>
      <c r="K47"/>
      <c r="L47" s="131" t="str">
        <f ca="1">_xlfn.XLOOKUP(L25,RenewalPlans!B:B,RenewalPlans!AK:AK,"NA",0,1)</f>
        <v>NA</v>
      </c>
      <c r="M47" s="200"/>
      <c r="N47" s="200"/>
      <c r="O47" s="200"/>
      <c r="P47" s="130"/>
      <c r="Q47" s="200"/>
      <c r="R47" s="201"/>
      <c r="T47" s="131" t="str">
        <f>_xlfn.XLOOKUP(T25,RenewalPlans!B:B,RenewalPlans!AK:AK,"NA",0,1)</f>
        <v>NA</v>
      </c>
      <c r="U47" s="200"/>
      <c r="V47" s="200"/>
      <c r="W47" s="200"/>
      <c r="X47" s="130"/>
      <c r="Y47" s="200"/>
      <c r="Z47" s="201"/>
    </row>
    <row r="48" spans="1:26" ht="18.75" customHeight="1" hidden="1">
      <c r="A48" s="140"/>
      <c r="B48" s="140"/>
      <c r="D48" s="198" t="s">
        <v>269</v>
      </c>
      <c r="E48" s="130" t="str">
        <f>_xlfn.XLOOKUP(E25,CurrentPlans!B:B,CurrentPlans!AG:AG,"NA",0,1)</f>
        <v>NA</v>
      </c>
      <c r="F48" s="200"/>
      <c r="G48" s="200"/>
      <c r="H48" s="200"/>
      <c r="I48" s="130"/>
      <c r="J48" s="201"/>
      <c r="K48"/>
      <c r="L48" s="131" t="str">
        <f ca="1">_xlfn.XLOOKUP(L25,RenewalPlans!B:B,RenewalPlans!AJ:AJ,"NA",0,1)</f>
        <v>NA</v>
      </c>
      <c r="M48" s="200"/>
      <c r="N48" s="200"/>
      <c r="O48" s="200"/>
      <c r="P48" s="130"/>
      <c r="Q48" s="200"/>
      <c r="R48" s="201"/>
      <c r="T48" s="131" t="str">
        <f>_xlfn.XLOOKUP(T25,RenewalPlans!B:B,RenewalPlans!AJ:AJ,"NA",0,1)</f>
        <v>NA</v>
      </c>
      <c r="U48" s="200"/>
      <c r="V48" s="200"/>
      <c r="W48" s="200"/>
      <c r="X48" s="130"/>
      <c r="Y48" s="200"/>
      <c r="Z48" s="201"/>
    </row>
    <row r="49" spans="1:26" ht="18.75" customHeight="1" hidden="1">
      <c r="A49" s="140"/>
      <c r="B49" s="140"/>
      <c r="D49" s="213" t="s">
        <v>270</v>
      </c>
      <c r="E49" s="216" t="str">
        <f>_xlfn.XLOOKUP(E25,CurrentPlans!B:B,CurrentPlans!AU:AU,"NA",0,1)</f>
        <v>NA</v>
      </c>
      <c r="F49" s="214"/>
      <c r="G49" s="214"/>
      <c r="H49" s="214"/>
      <c r="I49" s="217"/>
      <c r="J49" s="215"/>
      <c r="K49"/>
      <c r="L49" s="218" t="str">
        <f ca="1">_xlfn.XLOOKUP(L25,RenewalPlans!B:B,RenewalPlans!AX:AX,"NA",0,1)</f>
        <v>NA</v>
      </c>
      <c r="M49" s="214"/>
      <c r="N49" s="214"/>
      <c r="O49" s="214"/>
      <c r="P49" s="217"/>
      <c r="Q49" s="214"/>
      <c r="R49" s="215"/>
      <c r="T49" s="218" t="str">
        <f>_xlfn.XLOOKUP(T25,RenewalPlans!B:B,RenewalPlans!AX:AX,"NA",0,1)</f>
        <v>NA</v>
      </c>
      <c r="U49" s="214"/>
      <c r="V49" s="214"/>
      <c r="W49" s="214"/>
      <c r="X49" s="217"/>
      <c r="Y49" s="214"/>
      <c r="Z49" s="215"/>
    </row>
    <row r="50" spans="1:26" ht="18.75" customHeight="1" hidden="1">
      <c r="A50" s="140"/>
      <c r="B50" s="140"/>
      <c r="D50" s="213" t="s">
        <v>271</v>
      </c>
      <c r="E50" s="216" t="str">
        <f>_xlfn.XLOOKUP(E25,CurrentPlans!B:B,CurrentPlans!AT:AT,"NA",0,1)</f>
        <v>NA</v>
      </c>
      <c r="F50" s="214"/>
      <c r="G50" s="214"/>
      <c r="H50" s="214"/>
      <c r="I50" s="217"/>
      <c r="J50" s="215"/>
      <c r="K50"/>
      <c r="L50" s="218" t="str">
        <f ca="1">_xlfn.XLOOKUP(L25,RenewalPlans!B:B,RenewalPlans!AW:AW,"NA",0,1)</f>
        <v>NA</v>
      </c>
      <c r="M50" s="214"/>
      <c r="N50" s="214"/>
      <c r="O50" s="214"/>
      <c r="P50" s="217"/>
      <c r="Q50" s="214"/>
      <c r="R50" s="215"/>
      <c r="T50" s="218" t="str">
        <f>_xlfn.XLOOKUP(T25,RenewalPlans!B:B,RenewalPlans!AW:AW,"NA",0,1)</f>
        <v>NA</v>
      </c>
      <c r="U50" s="214"/>
      <c r="V50" s="214"/>
      <c r="W50" s="214"/>
      <c r="X50" s="217"/>
      <c r="Y50" s="214"/>
      <c r="Z50" s="215"/>
    </row>
    <row r="51" spans="1:26" ht="18.75" customHeight="1" hidden="1">
      <c r="A51" s="140"/>
      <c r="B51" s="140"/>
      <c r="D51" s="198" t="s">
        <v>272</v>
      </c>
      <c r="E51" s="130" t="str">
        <f>_xlfn.XLOOKUP(E25,CurrentPlans!B:B,CurrentPlans!AD:AD,"NA",0,1)</f>
        <v>NA</v>
      </c>
      <c r="F51" s="200"/>
      <c r="G51" s="200"/>
      <c r="H51" s="200"/>
      <c r="I51" s="130"/>
      <c r="J51" s="201"/>
      <c r="K51"/>
      <c r="L51" s="131" t="str">
        <f ca="1">_xlfn.XLOOKUP(L25,RenewalPlans!B:B,RenewalPlans!AG:AG,"NA",0,1)</f>
        <v>NA</v>
      </c>
      <c r="M51" s="200"/>
      <c r="N51" s="200"/>
      <c r="O51" s="200"/>
      <c r="P51" s="130"/>
      <c r="Q51" s="200"/>
      <c r="R51" s="201"/>
      <c r="T51" s="131" t="str">
        <f>_xlfn.XLOOKUP(T25,RenewalPlans!B:B,RenewalPlans!AG:AG,"NA",0,1)</f>
        <v>NA</v>
      </c>
      <c r="U51" s="200"/>
      <c r="V51" s="200"/>
      <c r="W51" s="200"/>
      <c r="X51" s="130"/>
      <c r="Y51" s="200"/>
      <c r="Z51" s="201"/>
    </row>
    <row r="52" spans="1:26" ht="18.75" customHeight="1" hidden="1">
      <c r="A52" s="140"/>
      <c r="B52" s="140"/>
      <c r="D52" s="198" t="s">
        <v>273</v>
      </c>
      <c r="E52" s="200"/>
      <c r="F52" s="200"/>
      <c r="G52" s="200"/>
      <c r="H52" s="200"/>
      <c r="I52" s="200"/>
      <c r="J52" s="201"/>
      <c r="K52"/>
      <c r="L52" s="198"/>
      <c r="M52" s="200"/>
      <c r="N52" s="200"/>
      <c r="O52" s="200"/>
      <c r="P52" s="200"/>
      <c r="Q52" s="200"/>
      <c r="R52" s="201"/>
      <c r="T52" s="198"/>
      <c r="U52" s="200"/>
      <c r="V52" s="200"/>
      <c r="W52" s="200"/>
      <c r="X52" s="200"/>
      <c r="Y52" s="200"/>
      <c r="Z52" s="201"/>
    </row>
    <row r="53" spans="1:26" ht="18.75" customHeight="1" hidden="1">
      <c r="A53" s="140"/>
      <c r="B53" s="140"/>
      <c r="D53" s="210"/>
      <c r="E53" s="211"/>
      <c r="F53" s="211"/>
      <c r="G53" s="211"/>
      <c r="H53" s="211"/>
      <c r="I53" s="211"/>
      <c r="J53" s="212"/>
      <c r="K53"/>
      <c r="L53" s="210"/>
      <c r="M53" s="211"/>
      <c r="N53" s="211"/>
      <c r="O53" s="211"/>
      <c r="P53" s="211"/>
      <c r="Q53" s="211"/>
      <c r="R53" s="212"/>
      <c r="T53" s="210"/>
      <c r="U53" s="211"/>
      <c r="V53" s="211"/>
      <c r="W53" s="211"/>
      <c r="X53" s="211"/>
      <c r="Y53" s="211"/>
      <c r="Z53" s="212"/>
    </row>
    <row r="54" spans="1:26" ht="18.75" customHeight="1" hidden="1">
      <c r="A54" s="140"/>
      <c r="B54" s="140"/>
      <c r="D54" s="219" t="s">
        <v>274</v>
      </c>
      <c r="E54" s="220"/>
      <c r="F54" s="220"/>
      <c r="G54" s="220"/>
      <c r="H54" s="220"/>
      <c r="I54" s="220"/>
      <c r="J54" s="221"/>
      <c r="K54"/>
      <c r="L54" s="222"/>
      <c r="M54" s="220"/>
      <c r="N54" s="220"/>
      <c r="O54" s="220"/>
      <c r="P54" s="220"/>
      <c r="Q54" s="220"/>
      <c r="R54" s="221"/>
      <c r="T54" s="222"/>
      <c r="U54" s="220"/>
      <c r="V54" s="220"/>
      <c r="W54" s="220"/>
      <c r="X54" s="220"/>
      <c r="Y54" s="220"/>
      <c r="Z54" s="221"/>
    </row>
    <row r="55" spans="1:26" ht="18.75" customHeight="1" hidden="1">
      <c r="A55" s="140"/>
      <c r="B55" s="140"/>
      <c r="D55" s="223" t="s">
        <v>250</v>
      </c>
      <c r="E55" s="205"/>
      <c r="F55" s="205"/>
      <c r="G55" s="205"/>
      <c r="H55" s="205"/>
      <c r="I55" s="205"/>
      <c r="J55" s="206"/>
      <c r="K55"/>
      <c r="L55" s="203"/>
      <c r="M55" s="205"/>
      <c r="N55" s="205"/>
      <c r="O55" s="205"/>
      <c r="P55" s="205"/>
      <c r="Q55" s="205"/>
      <c r="R55" s="206"/>
      <c r="T55" s="203"/>
      <c r="U55" s="205"/>
      <c r="V55" s="205"/>
      <c r="W55" s="205"/>
      <c r="X55" s="205"/>
      <c r="Y55" s="205"/>
      <c r="Z55" s="206"/>
    </row>
    <row r="56" spans="1:26" ht="18.75" customHeight="1" hidden="1">
      <c r="A56" s="140"/>
      <c r="B56" s="140"/>
      <c r="D56" s="198" t="s">
        <v>251</v>
      </c>
      <c r="E56" s="130" t="str">
        <f>_xlfn.XLOOKUP(E25,CurrentPlans!B:B,CurrentPlans!AP:AP,"NA",0,1)</f>
        <v>NA</v>
      </c>
      <c r="F56" s="200"/>
      <c r="G56" s="200"/>
      <c r="H56" s="200"/>
      <c r="I56" s="130"/>
      <c r="J56" s="201"/>
      <c r="K56"/>
      <c r="L56" s="131" t="str">
        <f ca="1">_xlfn.XLOOKUP(L25,RenewalPlans!B:B,RenewalPlans!AS:AS,"NA",0,1)</f>
        <v>NA</v>
      </c>
      <c r="M56" s="200"/>
      <c r="N56" s="200"/>
      <c r="O56" s="200"/>
      <c r="P56" s="130"/>
      <c r="Q56" s="200"/>
      <c r="R56" s="201"/>
      <c r="T56" s="131" t="str">
        <f>_xlfn.XLOOKUP(T25,RenewalPlans!B:B,RenewalPlans!AS:AS,"NA",0,1)</f>
        <v>NA</v>
      </c>
      <c r="U56" s="200"/>
      <c r="V56" s="200"/>
      <c r="W56" s="200"/>
      <c r="X56" s="130"/>
      <c r="Y56" s="200"/>
      <c r="Z56" s="201"/>
    </row>
    <row r="57" spans="1:26" ht="18.75" customHeight="1" hidden="1">
      <c r="A57" s="140"/>
      <c r="B57" s="140"/>
      <c r="D57" s="198" t="s">
        <v>252</v>
      </c>
      <c r="E57" s="130" t="str">
        <f>_xlfn.XLOOKUP(E25,CurrentPlans!B:B,CurrentPlans!AQ:AQ,"NA",0,1)</f>
        <v>NA</v>
      </c>
      <c r="F57" s="200"/>
      <c r="G57" s="200"/>
      <c r="H57" s="200"/>
      <c r="I57" s="130"/>
      <c r="J57" s="201"/>
      <c r="K57"/>
      <c r="L57" s="131" t="str">
        <f ca="1">_xlfn.XLOOKUP(L25,RenewalPlans!B:B,RenewalPlans!AT:AT,"NA",0,1)</f>
        <v>NA</v>
      </c>
      <c r="M57" s="200"/>
      <c r="N57" s="200"/>
      <c r="O57" s="200"/>
      <c r="P57" s="130"/>
      <c r="Q57" s="200"/>
      <c r="R57" s="201"/>
      <c r="T57" s="131" t="str">
        <f>_xlfn.XLOOKUP(T25,RenewalPlans!B:B,RenewalPlans!AT:AT,"NA",0,1)</f>
        <v>NA</v>
      </c>
      <c r="U57" s="200"/>
      <c r="V57" s="200"/>
      <c r="W57" s="200"/>
      <c r="X57" s="130"/>
      <c r="Y57" s="200"/>
      <c r="Z57" s="201"/>
    </row>
    <row r="58" spans="1:26" ht="18.75" customHeight="1" hidden="1">
      <c r="A58" s="140"/>
      <c r="B58" s="140"/>
      <c r="D58" s="120" t="s">
        <v>253</v>
      </c>
      <c r="E58" s="133" t="str">
        <f>_xlfn.XLOOKUP(E25,CurrentPlans!B:B,CurrentPlans!AO:AO,"NA",0,1)</f>
        <v>NA</v>
      </c>
      <c r="F58" s="122"/>
      <c r="G58" s="122"/>
      <c r="H58" s="122"/>
      <c r="I58" s="133"/>
      <c r="J58" s="123"/>
      <c r="K58"/>
      <c r="L58" s="136" t="str">
        <f ca="1">_xlfn.XLOOKUP(L25,RenewalPlans!B:B,RenewalPlans!AR:AR,"NA",0,1)</f>
        <v>NA</v>
      </c>
      <c r="M58" s="122"/>
      <c r="N58" s="122"/>
      <c r="O58" s="122"/>
      <c r="P58" s="133"/>
      <c r="Q58" s="122"/>
      <c r="R58" s="123"/>
      <c r="T58" s="136" t="str">
        <f>_xlfn.XLOOKUP(T25,RenewalPlans!B:B,RenewalPlans!AR:AR,"NA",0,1)</f>
        <v>NA</v>
      </c>
      <c r="U58" s="122"/>
      <c r="V58" s="122"/>
      <c r="W58" s="122"/>
      <c r="X58" s="133"/>
      <c r="Y58" s="122"/>
      <c r="Z58" s="123"/>
    </row>
    <row r="59" spans="1:26" ht="18.75" customHeight="1" hidden="1">
      <c r="A59" s="140"/>
      <c r="B59" s="140"/>
      <c r="D59" s="223" t="s">
        <v>254</v>
      </c>
      <c r="E59" s="205"/>
      <c r="F59" s="205"/>
      <c r="G59" s="205"/>
      <c r="H59" s="205"/>
      <c r="I59" s="205"/>
      <c r="J59" s="206"/>
      <c r="K59"/>
      <c r="L59" s="203"/>
      <c r="M59" s="205"/>
      <c r="N59" s="205"/>
      <c r="O59" s="205"/>
      <c r="P59" s="205"/>
      <c r="Q59" s="205"/>
      <c r="R59" s="206"/>
      <c r="T59" s="203"/>
      <c r="U59" s="205"/>
      <c r="V59" s="205"/>
      <c r="W59" s="205"/>
      <c r="X59" s="205"/>
      <c r="Y59" s="205"/>
      <c r="Z59" s="206"/>
    </row>
    <row r="60" spans="1:26" ht="18.75" customHeight="1" hidden="1">
      <c r="A60" s="140"/>
      <c r="B60" s="140"/>
      <c r="D60" s="198" t="s">
        <v>255</v>
      </c>
      <c r="E60" s="130" t="str">
        <f>_xlfn.XLOOKUP(E25,CurrentPlans!B:B,CurrentPlans!AR:AR,"NA",0,1)</f>
        <v>NA</v>
      </c>
      <c r="F60" s="200"/>
      <c r="G60" s="200"/>
      <c r="H60" s="200"/>
      <c r="I60" s="130"/>
      <c r="J60" s="201"/>
      <c r="K60"/>
      <c r="L60" s="131" t="str">
        <f ca="1">_xlfn.XLOOKUP(L25,RenewalPlans!B:B,RenewalPlans!AU:AU,"NA",0,1)</f>
        <v>NA</v>
      </c>
      <c r="M60" s="200"/>
      <c r="N60" s="200"/>
      <c r="O60" s="200"/>
      <c r="P60" s="130"/>
      <c r="Q60" s="200"/>
      <c r="R60" s="201"/>
      <c r="T60" s="131" t="str">
        <f>_xlfn.XLOOKUP(T25,RenewalPlans!B:B,RenewalPlans!AU:AU,"NA",0,1)</f>
        <v>NA</v>
      </c>
      <c r="U60" s="200"/>
      <c r="V60" s="200"/>
      <c r="W60" s="200"/>
      <c r="X60" s="130"/>
      <c r="Y60" s="200"/>
      <c r="Z60" s="201"/>
    </row>
    <row r="61" spans="1:26" ht="18.75" customHeight="1" hidden="1" thickBot="1">
      <c r="A61" s="140"/>
      <c r="B61" s="140"/>
      <c r="D61" s="224" t="s">
        <v>256</v>
      </c>
      <c r="E61" s="137" t="str">
        <f>_xlfn.XLOOKUP(E25,CurrentPlans!B:B,CurrentPlans!AS:AS,"NA",0,1)</f>
        <v>NA</v>
      </c>
      <c r="F61" s="225"/>
      <c r="G61" s="225"/>
      <c r="H61" s="225"/>
      <c r="I61" s="137"/>
      <c r="J61" s="226"/>
      <c r="K61"/>
      <c r="L61" s="138" t="str">
        <f ca="1">_xlfn.XLOOKUP(L25,RenewalPlans!B:B,RenewalPlans!AV:AV,"NA",0,1)</f>
        <v>NA</v>
      </c>
      <c r="M61" s="225"/>
      <c r="N61" s="225"/>
      <c r="O61" s="225"/>
      <c r="P61" s="137"/>
      <c r="Q61" s="225"/>
      <c r="R61" s="226"/>
      <c r="T61" s="138" t="str">
        <f>_xlfn.XLOOKUP(T25,RenewalPlans!B:B,RenewalPlans!AV:AV,"NA",0,1)</f>
        <v>NA</v>
      </c>
      <c r="U61" s="225"/>
      <c r="V61" s="225"/>
      <c r="W61" s="225"/>
      <c r="X61" s="137"/>
      <c r="Y61" s="225"/>
      <c r="Z61" s="226"/>
    </row>
    <row r="62" spans="1:26" ht="18" customHeight="1">
      <c r="A62" s="140"/>
      <c r="B62" s="140"/>
      <c r="D62" s="227"/>
      <c r="E62" s="176"/>
      <c r="F62" s="178"/>
      <c r="G62" s="179"/>
      <c r="H62" s="178"/>
      <c r="I62" s="176"/>
      <c r="J62" s="228"/>
      <c r="K62"/>
      <c r="L62" s="178"/>
      <c r="M62" s="176"/>
      <c r="N62" s="139"/>
      <c r="O62" s="178"/>
      <c r="P62" s="178"/>
      <c r="Q62" s="178"/>
      <c r="R62" s="228"/>
      <c r="T62" s="178"/>
      <c r="U62" s="176"/>
      <c r="V62" s="139"/>
      <c r="W62" s="178"/>
      <c r="X62" s="178"/>
      <c r="Y62" s="178"/>
      <c r="Z62" s="228"/>
    </row>
    <row r="63" spans="1:26" ht="5.25" customHeight="1" thickBot="1">
      <c r="A63" s="140"/>
      <c r="B63" s="140"/>
      <c r="D63" s="229"/>
      <c r="E63" s="229"/>
      <c r="F63" s="230"/>
      <c r="G63" s="231"/>
      <c r="H63" s="232"/>
      <c r="I63" s="233"/>
      <c r="J63" s="233"/>
      <c r="K63"/>
      <c r="L63" s="233"/>
      <c r="M63" s="233"/>
      <c r="N63" s="233"/>
      <c r="O63" s="233"/>
      <c r="P63" s="233"/>
      <c r="Q63" s="233"/>
      <c r="R63" s="233"/>
      <c r="T63" s="233"/>
      <c r="U63" s="233"/>
      <c r="V63" s="233"/>
      <c r="W63" s="233"/>
      <c r="X63" s="233"/>
      <c r="Y63" s="233"/>
      <c r="Z63" s="233"/>
    </row>
    <row r="64" spans="1:26" ht="50.15" customHeight="1">
      <c r="A64" s="140">
        <v>2</v>
      </c>
      <c r="B64" s="140" t="str">
        <f>IF(A64&gt;Class5_CurrentHealthCount,"DELETE",Class5_CurrentHealthStart+A64)</f>
        <v>DELETE</v>
      </c>
      <c r="C64" s="164" t="s">
        <v>275</v>
      </c>
      <c r="D64" s="273" t="str">
        <f>IF(B64="Delete","",VLOOKUP(F64,BEGIN_CURRENT_HEALTH:END_CURRENT_HEALTH,3,FALSE))</f>
        <v/>
      </c>
      <c r="E64" s="165"/>
      <c r="F64" s="272" t="str" cm="1">
        <f t="array" ca="1" aca="1" ref="F64">IF(B64="Delete","",INDIRECT("CurrentPlans!A"&amp;B64,TRUE))</f>
        <v/>
      </c>
      <c r="G64" s="166"/>
      <c r="H64" s="167"/>
      <c r="I64" s="168"/>
      <c r="J64" s="169"/>
      <c r="K64"/>
      <c r="L64" s="274" t="str">
        <f ca="1">_xlfn.IFNA(VLOOKUP(F64,BEGIN_RENEWEDFROM_HEALTH:ROW_RenewHealth_PlanID,3,FALSE),"SELECT PLAN")</f>
        <v>SELECT PLAN</v>
      </c>
      <c r="M64" s="170"/>
      <c r="N64" s="274" t="s">
        <v>237</v>
      </c>
      <c r="O64" s="171"/>
      <c r="P64" s="171"/>
      <c r="Q64" s="171"/>
      <c r="R64" s="169"/>
      <c r="T64" s="274" t="s">
        <v>38</v>
      </c>
      <c r="U64" s="170"/>
      <c r="V64" s="274" t="s">
        <v>237</v>
      </c>
      <c r="W64" s="171"/>
      <c r="X64" s="171"/>
      <c r="Y64" s="171"/>
      <c r="Z64" s="169"/>
    </row>
    <row r="65" spans="1:26" ht="18.75" customHeight="1">
      <c r="A65" s="140"/>
      <c r="B65" s="140"/>
      <c r="D65" s="172" t="s">
        <v>238</v>
      </c>
      <c r="E65" s="407" t="str">
        <f ca="1">_xlfn.IFNA(VLOOKUP(F64,BEGIN_CURRENT_HEALTH:END_CURRENT_HEALTH,CURRENT_COL_EO_count,FALSE),"")</f>
        <v/>
      </c>
      <c r="F65" s="408" t="str">
        <f ca="1">_xlfn.IFNA(VLOOKUP(F64,BEGIN_CURRENT_HEALTH:END_CURRENT_HEALTH,CURRENT_COL_EO,FALSE),"")</f>
        <v/>
      </c>
      <c r="G65" s="468" t="str">
        <f ca="1" t="shared" si="5" ref="G65:G68">IF(F65="","",H65/F65)</f>
        <v/>
      </c>
      <c r="H65" s="408" t="str">
        <f ca="1">_xlfn.IFNA(VLOOKUP(F64,BEGIN_CURRENT_HEALTH:END_CURRENT_HEALTH,CURRENT_COL_EOContrib,FALSE),"")</f>
        <v/>
      </c>
      <c r="I65" s="409" t="str">
        <f ca="1">IFERROR(F65-H65,"")</f>
        <v/>
      </c>
      <c r="J65" s="410" t="str">
        <f ca="1">IF(F65="","",H65*E65)</f>
        <v/>
      </c>
      <c r="K65" s="411"/>
      <c r="L65" s="408" t="str" cm="1">
        <f t="array" ca="1" aca="1" ref="L65">_xlfn.IFNA(VLOOKUP(INDIRECT("L"&amp;ROW()-1)&amp;"_"&amp;$D$12,BEGIN_RENEW_HEALTH:END_RENEW_HEALTH,RENEW_COL_EO,FALSE),"")</f>
        <v/>
      </c>
      <c r="M65" s="412" t="str">
        <f ca="1">IF(E65="","",E65)</f>
        <v/>
      </c>
      <c r="N65" s="413"/>
      <c r="O65" s="414"/>
      <c r="P65" s="415" t="str">
        <f>IFERROR(IF($N64="Keep Contribution Same",H65,IF($N64="Enter Percentages",IF(N65="","",N65*L65),IF($N64="Keep Percentage Same",IF(G65="","",G65*L65),IF($N64="Enter Dollar Amount",IF(O65="","",O65),"")))),"")</f>
        <v/>
      </c>
      <c r="Q65" s="408" t="str">
        <f ca="1">IFERROR(L65-P65,"")</f>
        <v/>
      </c>
      <c r="R65" s="410" t="str">
        <f>IFERROR(IF(P65="","",M65*P65),"")</f>
        <v/>
      </c>
      <c r="S65" s="411"/>
      <c r="T65" s="408" t="str" cm="1">
        <f t="array" ca="1" aca="1" ref="T65">_xlfn.IFNA(VLOOKUP(INDIRECT("T"&amp;ROW()-1)&amp;"_"&amp;$D$12,BEGIN_RENEW_HEALTH:END_RENEW_HEALTH,RENEW_COL_EO,FALSE),"")</f>
        <v/>
      </c>
      <c r="U65" s="412" t="str">
        <f ca="1">IF(E65="","",E65)</f>
        <v/>
      </c>
      <c r="V65" s="413"/>
      <c r="W65" s="414"/>
      <c r="X65" s="415" t="str">
        <f>IFERROR(IF($V64="Keep Contribution Same",H65,IF($V64="Enter Percentages",IF(V65="","",V65*T65),IF($V64="Keep Percentage Same",IF(G65="","",G65*T65),IF($V64="Enter Dollar Amount",IF(W65="","",W65),"")))),"")</f>
        <v/>
      </c>
      <c r="Y65" s="408" t="str">
        <f ca="1">IFERROR(T65-X65,"")</f>
        <v/>
      </c>
      <c r="Z65" s="410" t="str">
        <f>IFERROR(IF(X65="","",U65*X65),"")</f>
        <v/>
      </c>
    </row>
    <row r="66" spans="1:26" ht="18.75" customHeight="1">
      <c r="A66" s="140"/>
      <c r="B66" s="140"/>
      <c r="D66" s="172" t="s">
        <v>239</v>
      </c>
      <c r="E66" s="407" t="str">
        <f ca="1">_xlfn.IFNA(VLOOKUP(F64,BEGIN_CURRENT_HEALTH:END_CURRENT_HEALTH,CURRENT_COL_ES_count,FALSE),"")</f>
        <v/>
      </c>
      <c r="F66" s="408" t="str">
        <f ca="1">_xlfn.IFNA(VLOOKUP(F64,BEGIN_CURRENT_HEALTH:END_CURRENT_HEALTH,CURRENT_COL_ES,FALSE),"")</f>
        <v/>
      </c>
      <c r="G66" s="468" t="str">
        <f t="shared" ca="1" si="5"/>
        <v/>
      </c>
      <c r="H66" s="408" t="str">
        <f ca="1">_xlfn.IFNA(VLOOKUP(F64,BEGIN_CURRENT_HEALTH:END_CURRENT_HEALTH,CURRENT_COL_ESContrib,FALSE),"")</f>
        <v/>
      </c>
      <c r="I66" s="409" t="str">
        <f ca="1" t="shared" si="6" ref="I66:I68">IFERROR(F66-H66,"")</f>
        <v/>
      </c>
      <c r="J66" s="410" t="str">
        <f ca="1">IF(F66="","",H66*E66)</f>
        <v/>
      </c>
      <c r="K66" s="411"/>
      <c r="L66" s="408" t="str" cm="1">
        <f t="array" ca="1" aca="1" ref="L66">_xlfn.IFNA(VLOOKUP(INDIRECT("L"&amp;ROW()-2)&amp;"_"&amp;$D$12,BEGIN_RENEW_HEALTH:END_RENEW_HEALTH,RENEW_COL_ES,FALSE),"")</f>
        <v/>
      </c>
      <c r="M66" s="412" t="str">
        <f ca="1">IF(E66="","",E66)</f>
        <v/>
      </c>
      <c r="N66" s="413"/>
      <c r="O66" s="414"/>
      <c r="P66" s="415" t="str">
        <f>IFERROR(IF($N64="Keep Contribution Same",H66,IF($N64="Enter Percentages",IF(N66="","",N66*L66),IF($N64="Keep Percentage Same",IF(G66="","",G66*L66),IF($N64="Enter Dollar Amount",IF(O66="","",O66),"")))),"")</f>
        <v/>
      </c>
      <c r="Q66" s="408" t="str">
        <f ca="1">IFERROR(L66-P66,"")</f>
        <v/>
      </c>
      <c r="R66" s="410" t="str">
        <f>IFERROR(IF(P66="","",M66*P66),"")</f>
        <v/>
      </c>
      <c r="S66" s="411"/>
      <c r="T66" s="408" t="str" cm="1">
        <f t="array" ca="1" aca="1" ref="T66">_xlfn.IFNA(VLOOKUP(INDIRECT("T"&amp;ROW()-2)&amp;"_"&amp;$D$12,BEGIN_RENEW_HEALTH:END_RENEW_HEALTH,RENEW_COL_ES,FALSE),"")</f>
        <v/>
      </c>
      <c r="U66" s="412" t="str">
        <f ca="1" t="shared" si="7" ref="U66:U68">IF(E66="","",E66)</f>
        <v/>
      </c>
      <c r="V66" s="413"/>
      <c r="W66" s="414"/>
      <c r="X66" s="415" t="str">
        <f>IFERROR(IF($V64="Keep Contribution Same",H66,IF($V64="Enter Percentages",IF(V66="","",V66*T66),IF($V64="Keep Percentage Same",IF(G66="","",G66*T66),IF($V64="Enter Dollar Amount",IF(W66="","",W66),"")))),"")</f>
        <v/>
      </c>
      <c r="Y66" s="408" t="str">
        <f ca="1" t="shared" si="8" ref="Y66:Y68">IFERROR(T66-X66,"")</f>
        <v/>
      </c>
      <c r="Z66" s="410" t="str">
        <f t="shared" si="9" ref="Z66:Z68">IFERROR(IF(X66="","",U66*X66),"")</f>
        <v/>
      </c>
    </row>
    <row r="67" spans="1:26" ht="18.75" customHeight="1">
      <c r="A67" s="140"/>
      <c r="B67" s="140"/>
      <c r="D67" s="172" t="s">
        <v>240</v>
      </c>
      <c r="E67" s="407" t="str">
        <f ca="1">_xlfn.IFNA(VLOOKUP(F64,BEGIN_CURRENT_HEALTH:END_CURRENT_HEALTH,CURRENT_COL_EC_count,FALSE),"")</f>
        <v/>
      </c>
      <c r="F67" s="408" t="str">
        <f ca="1">_xlfn.IFNA(VLOOKUP(F64,BEGIN_CURRENT_HEALTH:END_CURRENT_HEALTH,CURRENT_COL_EC,FALSE),"")</f>
        <v/>
      </c>
      <c r="G67" s="468" t="str">
        <f t="shared" ca="1" si="5"/>
        <v/>
      </c>
      <c r="H67" s="408" t="str">
        <f ca="1">_xlfn.IFNA(VLOOKUP(F64,BEGIN_CURRENT_HEALTH:END_CURRENT_HEALTH,CURRENT_COL_ECContrib,FALSE),"")</f>
        <v/>
      </c>
      <c r="I67" s="409" t="str">
        <f t="shared" ca="1" si="6"/>
        <v/>
      </c>
      <c r="J67" s="410" t="str">
        <f ca="1">IF(F67="","",H67*E67)</f>
        <v/>
      </c>
      <c r="K67" s="411"/>
      <c r="L67" s="408" t="str" cm="1">
        <f t="array" ca="1" aca="1" ref="L67">_xlfn.IFNA(VLOOKUP(INDIRECT("L"&amp;ROW()-3)&amp;"_"&amp;$D$12,BEGIN_RENEW_HEALTH:END_RENEW_HEALTH,RENEW_COL_EC,FALSE),"")</f>
        <v/>
      </c>
      <c r="M67" s="412" t="str">
        <f ca="1">IF(E67="","",E67)</f>
        <v/>
      </c>
      <c r="N67" s="413"/>
      <c r="O67" s="414"/>
      <c r="P67" s="415" t="str">
        <f>IFERROR(IF($N64="Keep Contribution Same",H67,IF($N64="Enter Percentages",IF(N67="","",N67*L67),IF($N64="Keep Percentage Same",IF(G67="","",G67*L67),IF($N64="Enter Dollar Amount",IF(O67="","",O67),"")))),"")</f>
        <v/>
      </c>
      <c r="Q67" s="408" t="str">
        <f ca="1">IFERROR(L67-P67,"")</f>
        <v/>
      </c>
      <c r="R67" s="410" t="str">
        <f>IFERROR(IF(P67="","",M67*P67),"")</f>
        <v/>
      </c>
      <c r="S67" s="411"/>
      <c r="T67" s="408" t="str" cm="1">
        <f t="array" ca="1" aca="1" ref="T67">_xlfn.IFNA(VLOOKUP(INDIRECT("T"&amp;ROW()-3)&amp;"_"&amp;$D$12,BEGIN_RENEW_HEALTH:END_RENEW_HEALTH,RENEW_COL_EC,FALSE),"")</f>
        <v/>
      </c>
      <c r="U67" s="412" t="str">
        <f t="shared" ca="1" si="7"/>
        <v/>
      </c>
      <c r="V67" s="413"/>
      <c r="W67" s="414"/>
      <c r="X67" s="415" t="str">
        <f>IFERROR(IF($V64="Keep Contribution Same",H67,IF($V64="Enter Percentages",IF(V67="","",V67*T67),IF($V64="Keep Percentage Same",IF(G67="","",G67*T67),IF($V64="Enter Dollar Amount",IF(W67="","",W67),"")))),"")</f>
        <v/>
      </c>
      <c r="Y67" s="408" t="str">
        <f t="shared" ca="1" si="8"/>
        <v/>
      </c>
      <c r="Z67" s="410" t="str">
        <f t="shared" si="9"/>
        <v/>
      </c>
    </row>
    <row r="68" spans="1:26" ht="18.75" customHeight="1" thickBot="1">
      <c r="A68" s="140"/>
      <c r="B68" s="140"/>
      <c r="D68" s="174" t="s">
        <v>241</v>
      </c>
      <c r="E68" s="416" t="str">
        <f ca="1">_xlfn.IFNA(VLOOKUP(F64,BEGIN_CURRENT_HEALTH:END_CURRENT_HEALTH,CURRENT_COL_FAM_count,FALSE),"")</f>
        <v/>
      </c>
      <c r="F68" s="417" t="str">
        <f ca="1">_xlfn.IFNA(VLOOKUP(F64,BEGIN_CURRENT_HEALTH:END_CURRENT_HEALTH,CURRENT_COL_FAM,FALSE),"")</f>
        <v/>
      </c>
      <c r="G68" s="469" t="str">
        <f t="shared" ca="1" si="5"/>
        <v/>
      </c>
      <c r="H68" s="417" t="str">
        <f ca="1">_xlfn.IFNA(VLOOKUP(F64,BEGIN_CURRENT_HEALTH:END_CURRENT_HEALTH,CURRENT_COL_FAMContrib,FALSE),"")</f>
        <v/>
      </c>
      <c r="I68" s="418" t="str">
        <f t="shared" ca="1" si="6"/>
        <v/>
      </c>
      <c r="J68" s="419" t="str">
        <f ca="1">IF(F68="","",H68*E68)</f>
        <v/>
      </c>
      <c r="K68" s="411"/>
      <c r="L68" s="417" t="str" cm="1">
        <f t="array" ca="1" aca="1" ref="L68">_xlfn.IFNA(VLOOKUP(INDIRECT("L"&amp;ROW()-4)&amp;"_"&amp;$D$12,BEGIN_RENEW_HEALTH:END_RENEW_HEALTH,RENEW_COL_FAM,FALSE),"")</f>
        <v/>
      </c>
      <c r="M68" s="423" t="str">
        <f ca="1">IF(E68="","",E68)</f>
        <v/>
      </c>
      <c r="N68" s="420"/>
      <c r="O68" s="421"/>
      <c r="P68" s="422" t="str">
        <f>IFERROR(IF($N64="Keep Contribution Same",H68,IF($N64="Enter Percentages",IF(N68="","",N68*L68),IF($N64="Keep Percentage Same",IF(G68="","",G68*L68),IF($N64="Enter Dollar Amount",IF(O68="","",O68),"")))),"")</f>
        <v/>
      </c>
      <c r="Q68" s="417" t="str">
        <f ca="1">IFERROR(L68-P68,"")</f>
        <v/>
      </c>
      <c r="R68" s="419" t="str">
        <f>IFERROR(IF(P68="","",M68*P68),"")</f>
        <v/>
      </c>
      <c r="S68" s="411"/>
      <c r="T68" s="417" t="str" cm="1">
        <f t="array" ca="1" aca="1" ref="T68">_xlfn.IFNA(VLOOKUP(INDIRECT("T"&amp;ROW()-4)&amp;"_"&amp;$D$12,BEGIN_RENEW_HEALTH:END_RENEW_HEALTH,RENEW_COL_FAM,FALSE),"")</f>
        <v/>
      </c>
      <c r="U68" s="423" t="str">
        <f t="shared" ca="1" si="7"/>
        <v/>
      </c>
      <c r="V68" s="420"/>
      <c r="W68" s="421"/>
      <c r="X68" s="422" t="str">
        <f>IFERROR(IF($V64="Keep Contribution Same",H68,IF($V64="Enter Percentages",IF(V68="","",V68*T68),IF($V64="Keep Percentage Same",IF(G68="","",G68*T68),IF($V64="Enter Dollar Amount",IF(W68="","",W68),"")))),"")</f>
        <v/>
      </c>
      <c r="Y68" s="417" t="str">
        <f t="shared" ca="1" si="8"/>
        <v/>
      </c>
      <c r="Z68" s="419" t="str">
        <f t="shared" si="9"/>
        <v/>
      </c>
    </row>
    <row r="69" spans="1:26" ht="18.75" customHeight="1" thickTop="1">
      <c r="A69" s="140"/>
      <c r="B69" s="140"/>
      <c r="D69" s="175" t="s">
        <v>242</v>
      </c>
      <c r="E69" s="424"/>
      <c r="F69" s="447" t="str">
        <f ca="1">IFERROR((F65*E65)+(F66*E66)+(F67*E67)+(F68*E68),"")</f>
        <v/>
      </c>
      <c r="G69" s="426"/>
      <c r="H69" s="427"/>
      <c r="I69" s="428"/>
      <c r="J69" s="429" t="str">
        <f ca="1">IFERROR(IF(J65="","",SUM(J65:J68)),0)</f>
        <v/>
      </c>
      <c r="K69" s="1"/>
      <c r="L69" s="430" t="str">
        <f ca="1">IFERROR((M65*L65)+(M66*L66)+(M67*L67)+(M68*L68),"")</f>
        <v/>
      </c>
      <c r="M69" s="427"/>
      <c r="N69" s="426"/>
      <c r="O69" s="427"/>
      <c r="P69" s="431"/>
      <c r="Q69" s="432"/>
      <c r="R69" s="429" t="str">
        <f>IFERROR(IF(R65="","",SUM(R65:R68)),0)</f>
        <v/>
      </c>
      <c r="T69" s="430" t="str">
        <f ca="1">IFERROR((U65*T65)+(U66*T66)+(U67*T67)+(U68*T68),"")</f>
        <v/>
      </c>
      <c r="U69" s="427"/>
      <c r="V69" s="426"/>
      <c r="W69" s="427"/>
      <c r="X69" s="431"/>
      <c r="Y69" s="432"/>
      <c r="Z69" s="429" t="str">
        <f>IFERROR(IF(Z65="","",SUM(Z65:Z68)),0)</f>
        <v/>
      </c>
    </row>
    <row r="70" spans="1:26" ht="18.75" customHeight="1">
      <c r="A70" s="140"/>
      <c r="B70" s="140"/>
      <c r="D70" s="177" t="s">
        <v>243</v>
      </c>
      <c r="E70" s="433"/>
      <c r="F70" s="448" t="str">
        <f ca="1">IFERROR(F69*12,"")</f>
        <v/>
      </c>
      <c r="G70" s="435"/>
      <c r="H70" s="436"/>
      <c r="I70" s="432"/>
      <c r="J70" s="437" t="str">
        <f ca="1">IF(J69="","",J69*12)</f>
        <v/>
      </c>
      <c r="K70" s="1"/>
      <c r="L70" s="438" t="str">
        <f ca="1">IFERROR(L69*12,"")</f>
        <v/>
      </c>
      <c r="M70" s="436"/>
      <c r="N70" s="435"/>
      <c r="O70" s="436"/>
      <c r="P70" s="432"/>
      <c r="Q70" s="432"/>
      <c r="R70" s="437" t="str">
        <f>IF(R69="","",R69*12)</f>
        <v/>
      </c>
      <c r="T70" s="438" t="str">
        <f ca="1">IFERROR(T69*12,"")</f>
        <v/>
      </c>
      <c r="U70" s="436"/>
      <c r="V70" s="435"/>
      <c r="W70" s="436"/>
      <c r="X70" s="432"/>
      <c r="Y70" s="432"/>
      <c r="Z70" s="437" t="str">
        <f>IF(Z69="","",Z69*12)</f>
        <v/>
      </c>
    </row>
    <row r="71" spans="1:26" ht="18.75" customHeight="1">
      <c r="A71" s="140"/>
      <c r="B71" s="140"/>
      <c r="D71" s="177" t="s">
        <v>244</v>
      </c>
      <c r="E71" s="433"/>
      <c r="F71" s="436"/>
      <c r="G71" s="435"/>
      <c r="H71" s="436"/>
      <c r="I71" s="432"/>
      <c r="J71" s="437"/>
      <c r="K71" s="1"/>
      <c r="L71" s="434" t="str">
        <f ca="1">IFERROR(L70-F70,"")</f>
        <v/>
      </c>
      <c r="M71" s="436"/>
      <c r="N71" s="435"/>
      <c r="O71" s="436"/>
      <c r="P71" s="432"/>
      <c r="Q71" s="432"/>
      <c r="R71" s="437" t="str">
        <f ca="1">IFERROR(IF(J70="","",R70-J70),0)</f>
        <v/>
      </c>
      <c r="T71" s="434" t="str">
        <f ca="1">IFERROR(T70-F70,"")</f>
        <v/>
      </c>
      <c r="U71" s="436"/>
      <c r="V71" s="435"/>
      <c r="W71" s="436"/>
      <c r="X71" s="432"/>
      <c r="Y71" s="432"/>
      <c r="Z71" s="437" t="str">
        <f>IFERROR(IF(R70="","",Z70-R70),0)</f>
        <v/>
      </c>
    </row>
    <row r="72" spans="1:26" ht="18.75" customHeight="1" thickBot="1">
      <c r="A72" s="140"/>
      <c r="B72" s="140"/>
      <c r="D72" s="180" t="s">
        <v>245</v>
      </c>
      <c r="E72" s="439"/>
      <c r="F72" s="440"/>
      <c r="G72" s="441"/>
      <c r="H72" s="440"/>
      <c r="I72" s="442"/>
      <c r="J72" s="443"/>
      <c r="K72" s="1"/>
      <c r="L72" s="444" t="str">
        <f ca="1">IFERROR(L70/F70-1,"")</f>
        <v/>
      </c>
      <c r="M72" s="440"/>
      <c r="N72" s="441"/>
      <c r="O72" s="440"/>
      <c r="P72" s="445"/>
      <c r="Q72" s="445"/>
      <c r="R72" s="446" t="str">
        <f ca="1">IFERROR(IF(J70="","",(R70/J70)-1),0)</f>
        <v/>
      </c>
      <c r="T72" s="444" t="str">
        <f ca="1">IFERROR(T70/F70-1,"")</f>
        <v/>
      </c>
      <c r="U72" s="440"/>
      <c r="V72" s="441"/>
      <c r="W72" s="440"/>
      <c r="X72" s="445"/>
      <c r="Y72" s="445"/>
      <c r="Z72" s="446" t="str">
        <f>IFERROR(IF(R70="","",(Z70/R70)-1),0)</f>
        <v/>
      </c>
    </row>
    <row r="73" spans="1:26" ht="18.75" customHeight="1">
      <c r="A73" s="140"/>
      <c r="B73" s="140"/>
      <c r="D73" s="181" t="s">
        <v>246</v>
      </c>
      <c r="E73" s="182"/>
      <c r="F73" s="182"/>
      <c r="G73" s="182"/>
      <c r="H73" s="182"/>
      <c r="I73" s="182"/>
      <c r="J73" s="183"/>
      <c r="K73"/>
      <c r="L73" s="184"/>
      <c r="M73" s="182"/>
      <c r="N73" s="182"/>
      <c r="O73" s="182"/>
      <c r="P73" s="182"/>
      <c r="Q73" s="182"/>
      <c r="R73" s="183"/>
      <c r="T73" s="184"/>
      <c r="U73" s="182"/>
      <c r="V73" s="182"/>
      <c r="W73" s="182"/>
      <c r="X73" s="182"/>
      <c r="Y73" s="182"/>
      <c r="Z73" s="183"/>
    </row>
    <row r="74" spans="1:26" ht="18.75" customHeight="1" hidden="1">
      <c r="A74" s="140"/>
      <c r="B74" s="140"/>
      <c r="D74" s="185" t="s">
        <v>247</v>
      </c>
      <c r="E74" s="186"/>
      <c r="F74" s="186"/>
      <c r="G74" s="186"/>
      <c r="H74" s="186"/>
      <c r="I74" s="186"/>
      <c r="J74" s="187"/>
      <c r="K74"/>
      <c r="L74" s="188"/>
      <c r="M74" s="186"/>
      <c r="N74" s="186"/>
      <c r="O74" s="186"/>
      <c r="P74" s="186"/>
      <c r="Q74" s="186"/>
      <c r="R74" s="187"/>
      <c r="T74" s="188"/>
      <c r="U74" s="186"/>
      <c r="V74" s="186"/>
      <c r="W74" s="186"/>
      <c r="X74" s="186"/>
      <c r="Y74" s="186"/>
      <c r="Z74" s="187"/>
    </row>
    <row r="75" spans="1:26" ht="18.75" customHeight="1" hidden="1">
      <c r="A75" s="140"/>
      <c r="B75" s="140"/>
      <c r="D75" s="189" t="s">
        <v>248</v>
      </c>
      <c r="E75" s="190" t="str">
        <f>D64&amp;"_"&amp;D12</f>
        <v>_</v>
      </c>
      <c r="F75" s="191"/>
      <c r="G75" s="191"/>
      <c r="H75" s="191"/>
      <c r="I75" s="190"/>
      <c r="J75" s="192"/>
      <c r="K75"/>
      <c r="L75" s="193" t="str">
        <f ca="1">L64&amp;"_"&amp;D12</f>
        <v>SELECT PLAN_</v>
      </c>
      <c r="M75" s="191"/>
      <c r="N75" s="191"/>
      <c r="O75" s="191"/>
      <c r="P75" s="190"/>
      <c r="Q75" s="191"/>
      <c r="R75" s="192"/>
      <c r="T75" s="193" t="str">
        <f>T64&amp;"_"&amp;D12</f>
        <v>SELECT PLAN_</v>
      </c>
      <c r="U75" s="191"/>
      <c r="V75" s="191"/>
      <c r="W75" s="191"/>
      <c r="X75" s="190"/>
      <c r="Y75" s="191"/>
      <c r="Z75" s="192"/>
    </row>
    <row r="76" spans="1:26" ht="18.75" customHeight="1" hidden="1">
      <c r="A76" s="140"/>
      <c r="B76" s="140"/>
      <c r="D76" s="189" t="s">
        <v>249</v>
      </c>
      <c r="E76" s="191"/>
      <c r="F76" s="191"/>
      <c r="G76" s="191"/>
      <c r="H76" s="191"/>
      <c r="I76" s="191"/>
      <c r="J76" s="192"/>
      <c r="K76"/>
      <c r="L76" s="189"/>
      <c r="M76" s="191"/>
      <c r="N76" s="191"/>
      <c r="O76" s="191"/>
      <c r="P76" s="191"/>
      <c r="Q76" s="191"/>
      <c r="R76" s="192"/>
      <c r="T76" s="189"/>
      <c r="U76" s="191"/>
      <c r="V76" s="191"/>
      <c r="W76" s="191"/>
      <c r="X76" s="191"/>
      <c r="Y76" s="191"/>
      <c r="Z76" s="192"/>
    </row>
    <row r="77" spans="1:26" ht="18.75" customHeight="1" hidden="1">
      <c r="A77" s="140"/>
      <c r="B77" s="140"/>
      <c r="D77" s="194" t="s">
        <v>250</v>
      </c>
      <c r="E77" s="195"/>
      <c r="F77" s="195"/>
      <c r="G77" s="195"/>
      <c r="H77" s="195"/>
      <c r="I77" s="195"/>
      <c r="J77" s="196"/>
      <c r="K77"/>
      <c r="L77" s="197"/>
      <c r="M77" s="195"/>
      <c r="N77" s="195"/>
      <c r="O77" s="195"/>
      <c r="P77" s="195"/>
      <c r="Q77" s="195"/>
      <c r="R77" s="196"/>
      <c r="T77" s="197"/>
      <c r="U77" s="195"/>
      <c r="V77" s="195"/>
      <c r="W77" s="195"/>
      <c r="X77" s="195"/>
      <c r="Y77" s="195"/>
      <c r="Z77" s="196"/>
    </row>
    <row r="78" spans="1:26" ht="18.75" customHeight="1" hidden="1">
      <c r="A78" s="140"/>
      <c r="B78" s="140"/>
      <c r="D78" s="198" t="s">
        <v>251</v>
      </c>
      <c r="E78" s="199" t="str">
        <f>_xlfn.XLOOKUP(E75,CurrentPlans!B:B,CurrentPlans!X:X,"NA",0,1)</f>
        <v>NA</v>
      </c>
      <c r="F78" s="200"/>
      <c r="G78" s="200"/>
      <c r="H78" s="200"/>
      <c r="I78" s="199"/>
      <c r="J78" s="201"/>
      <c r="K78"/>
      <c r="L78" s="202" t="str">
        <f ca="1">_xlfn.XLOOKUP(L75,RenewalPlans!B:B,RenewalPlans!AA:AA,"NA",0,1)</f>
        <v>NA</v>
      </c>
      <c r="M78" s="200"/>
      <c r="N78" s="200"/>
      <c r="O78" s="200"/>
      <c r="P78" s="199"/>
      <c r="Q78" s="200"/>
      <c r="R78" s="201"/>
      <c r="T78" s="202" t="str">
        <f>_xlfn.XLOOKUP(T75,RenewalPlans!B:B,RenewalPlans!AA:AA,"NA",0,1)</f>
        <v>NA</v>
      </c>
      <c r="U78" s="200"/>
      <c r="V78" s="200"/>
      <c r="W78" s="200"/>
      <c r="X78" s="199"/>
      <c r="Y78" s="200"/>
      <c r="Z78" s="201"/>
    </row>
    <row r="79" spans="1:26" ht="18.75" customHeight="1" hidden="1">
      <c r="A79" s="140"/>
      <c r="B79" s="140"/>
      <c r="D79" s="198" t="s">
        <v>252</v>
      </c>
      <c r="E79" s="199" t="str">
        <f>_xlfn.XLOOKUP(E75,CurrentPlans!B:B,CurrentPlans!Y:Y,"NA",0,1)</f>
        <v>NA</v>
      </c>
      <c r="F79" s="200"/>
      <c r="G79" s="200"/>
      <c r="H79" s="200"/>
      <c r="I79" s="199"/>
      <c r="J79" s="201"/>
      <c r="K79"/>
      <c r="L79" s="202" t="str">
        <f ca="1">_xlfn.XLOOKUP(L75,RenewalPlans!B:B,RenewalPlans!AB:AB,"NA",0,1)</f>
        <v>NA</v>
      </c>
      <c r="M79" s="200"/>
      <c r="N79" s="200"/>
      <c r="O79" s="200"/>
      <c r="P79" s="199"/>
      <c r="Q79" s="200"/>
      <c r="R79" s="201"/>
      <c r="T79" s="202" t="str">
        <f>_xlfn.XLOOKUP(T75,RenewalPlans!B:B,RenewalPlans!AB:AB,"NA",0,1)</f>
        <v>NA</v>
      </c>
      <c r="U79" s="200"/>
      <c r="V79" s="200"/>
      <c r="W79" s="200"/>
      <c r="X79" s="199"/>
      <c r="Y79" s="200"/>
      <c r="Z79" s="201"/>
    </row>
    <row r="80" spans="1:26" ht="18.75" customHeight="1" hidden="1">
      <c r="A80" s="140"/>
      <c r="B80" s="140"/>
      <c r="D80" s="120" t="s">
        <v>253</v>
      </c>
      <c r="E80" s="121" t="str">
        <f>_xlfn.XLOOKUP(E75,CurrentPlans!B:B,CurrentPlans!W:W,"NA",0,1)</f>
        <v>NA</v>
      </c>
      <c r="F80" s="122"/>
      <c r="G80" s="122"/>
      <c r="H80" s="122"/>
      <c r="I80" s="121"/>
      <c r="J80" s="123"/>
      <c r="K80"/>
      <c r="L80" s="124" t="str">
        <f ca="1">_xlfn.XLOOKUP(L75,RenewalPlans!B:B,RenewalPlans!Z:Z,"NA",0,1)</f>
        <v>NA</v>
      </c>
      <c r="M80" s="122"/>
      <c r="N80" s="122"/>
      <c r="O80" s="122"/>
      <c r="P80" s="121"/>
      <c r="Q80" s="122"/>
      <c r="R80" s="123"/>
      <c r="T80" s="124" t="str">
        <f>_xlfn.XLOOKUP(T75,RenewalPlans!B:B,RenewalPlans!Z:Z,"NA",0,1)</f>
        <v>NA</v>
      </c>
      <c r="U80" s="122"/>
      <c r="V80" s="122"/>
      <c r="W80" s="122"/>
      <c r="X80" s="121"/>
      <c r="Y80" s="122"/>
      <c r="Z80" s="123"/>
    </row>
    <row r="81" spans="1:26" ht="18.75" customHeight="1" hidden="1">
      <c r="A81" s="140"/>
      <c r="B81" s="140"/>
      <c r="D81" s="203" t="s">
        <v>254</v>
      </c>
      <c r="E81" s="204"/>
      <c r="F81" s="205"/>
      <c r="G81" s="205"/>
      <c r="H81" s="205"/>
      <c r="I81" s="204"/>
      <c r="J81" s="206"/>
      <c r="K81"/>
      <c r="L81" s="207"/>
      <c r="M81" s="205"/>
      <c r="N81" s="205"/>
      <c r="O81" s="205"/>
      <c r="P81" s="204"/>
      <c r="Q81" s="205"/>
      <c r="R81" s="206"/>
      <c r="T81" s="207"/>
      <c r="U81" s="205"/>
      <c r="V81" s="205"/>
      <c r="W81" s="205"/>
      <c r="X81" s="204"/>
      <c r="Y81" s="205"/>
      <c r="Z81" s="206"/>
    </row>
    <row r="82" spans="1:26" ht="18.75" customHeight="1" hidden="1">
      <c r="A82" s="140"/>
      <c r="B82" s="140"/>
      <c r="D82" s="125" t="s">
        <v>255</v>
      </c>
      <c r="E82" s="126" t="str">
        <f>_xlfn.XLOOKUP(E75,CurrentPlans!B:B,CurrentPlans!Z:Z,"NA",0,1)</f>
        <v>NA</v>
      </c>
      <c r="F82" s="127"/>
      <c r="G82" s="127"/>
      <c r="H82" s="127"/>
      <c r="I82" s="126"/>
      <c r="J82" s="128"/>
      <c r="K82"/>
      <c r="L82" s="129" t="str">
        <f ca="1">_xlfn.XLOOKUP(L75,RenewalPlans!B:B,RenewalPlans!AC:AC,"NA",0,1)</f>
        <v>NA</v>
      </c>
      <c r="M82" s="127"/>
      <c r="N82" s="127"/>
      <c r="O82" s="127"/>
      <c r="P82" s="126"/>
      <c r="Q82" s="127"/>
      <c r="R82" s="128"/>
      <c r="T82" s="129" t="str">
        <f>_xlfn.XLOOKUP(T75,RenewalPlans!B:B,RenewalPlans!AC:AC,"NA",0,1)</f>
        <v>NA</v>
      </c>
      <c r="U82" s="127"/>
      <c r="V82" s="127"/>
      <c r="W82" s="127"/>
      <c r="X82" s="126"/>
      <c r="Y82" s="127"/>
      <c r="Z82" s="128"/>
    </row>
    <row r="83" spans="1:26" ht="18.75" customHeight="1" hidden="1">
      <c r="A83" s="140"/>
      <c r="B83" s="140"/>
      <c r="D83" s="198" t="s">
        <v>256</v>
      </c>
      <c r="E83" s="208" t="str">
        <f>_xlfn.XLOOKUP(E75,CurrentPlans!B:B,CurrentPlans!AA:AA,"NA",0,1)</f>
        <v>NA</v>
      </c>
      <c r="F83" s="200"/>
      <c r="G83" s="200"/>
      <c r="H83" s="200"/>
      <c r="I83" s="208"/>
      <c r="J83" s="201"/>
      <c r="K83"/>
      <c r="L83" s="209" t="str">
        <f ca="1">_xlfn.XLOOKUP(L75,RenewalPlans!B:B,RenewalPlans!AD:AD,"NA",0,1)</f>
        <v>NA</v>
      </c>
      <c r="M83" s="200"/>
      <c r="N83" s="200"/>
      <c r="O83" s="200"/>
      <c r="P83" s="208"/>
      <c r="Q83" s="200"/>
      <c r="R83" s="201"/>
      <c r="T83" s="209" t="str">
        <f>_xlfn.XLOOKUP(T75,RenewalPlans!B:B,RenewalPlans!AD:AD,"NA",0,1)</f>
        <v>NA</v>
      </c>
      <c r="U83" s="200"/>
      <c r="V83" s="200"/>
      <c r="W83" s="200"/>
      <c r="X83" s="208"/>
      <c r="Y83" s="200"/>
      <c r="Z83" s="201"/>
    </row>
    <row r="84" spans="1:26" ht="18.75" customHeight="1" hidden="1">
      <c r="A84" s="140"/>
      <c r="B84" s="140"/>
      <c r="D84" s="203" t="s">
        <v>257</v>
      </c>
      <c r="E84" s="204"/>
      <c r="F84" s="205"/>
      <c r="G84" s="205"/>
      <c r="H84" s="205"/>
      <c r="I84" s="204"/>
      <c r="J84" s="206"/>
      <c r="K84"/>
      <c r="L84" s="207"/>
      <c r="M84" s="205"/>
      <c r="N84" s="205"/>
      <c r="O84" s="205"/>
      <c r="P84" s="204"/>
      <c r="Q84" s="205"/>
      <c r="R84" s="206"/>
      <c r="T84" s="207"/>
      <c r="U84" s="205"/>
      <c r="V84" s="205"/>
      <c r="W84" s="205"/>
      <c r="X84" s="204"/>
      <c r="Y84" s="205"/>
      <c r="Z84" s="206"/>
    </row>
    <row r="85" spans="1:26" ht="18.75" customHeight="1" hidden="1">
      <c r="A85" s="140"/>
      <c r="B85" s="140"/>
      <c r="D85" s="198" t="s">
        <v>258</v>
      </c>
      <c r="E85" s="208" t="str">
        <f>_xlfn.XLOOKUP(E75,CurrentPlans!B:B,CurrentPlans!AB:AB,"NA",0,1)</f>
        <v>NA</v>
      </c>
      <c r="F85" s="200"/>
      <c r="G85" s="200"/>
      <c r="H85" s="200"/>
      <c r="I85" s="208"/>
      <c r="J85" s="201"/>
      <c r="K85"/>
      <c r="L85" s="209" t="str">
        <f ca="1">_xlfn.XLOOKUP(L75,RenewalPlans!B:B,RenewalPlans!AE:AE,"NA",0,1)</f>
        <v>NA</v>
      </c>
      <c r="M85" s="200"/>
      <c r="N85" s="200"/>
      <c r="O85" s="200"/>
      <c r="P85" s="208"/>
      <c r="Q85" s="200"/>
      <c r="R85" s="201"/>
      <c r="T85" s="209" t="str">
        <f>_xlfn.XLOOKUP(T75,RenewalPlans!B:B,RenewalPlans!AE:AE,"NA",0,1)</f>
        <v>NA</v>
      </c>
      <c r="U85" s="200"/>
      <c r="V85" s="200"/>
      <c r="W85" s="200"/>
      <c r="X85" s="208"/>
      <c r="Y85" s="200"/>
      <c r="Z85" s="201"/>
    </row>
    <row r="86" spans="1:26" ht="18.75" customHeight="1" hidden="1">
      <c r="A86" s="140"/>
      <c r="B86" s="140"/>
      <c r="D86" s="198" t="s">
        <v>259</v>
      </c>
      <c r="E86" s="208" t="str">
        <f>_xlfn.XLOOKUP(E75,CurrentPlans!B:B,CurrentPlans!AC:AC,"NA",0,1)</f>
        <v>NA</v>
      </c>
      <c r="F86" s="200"/>
      <c r="G86" s="200"/>
      <c r="H86" s="200"/>
      <c r="I86" s="208"/>
      <c r="J86" s="201"/>
      <c r="K86"/>
      <c r="L86" s="209" t="str">
        <f ca="1">_xlfn.XLOOKUP(L75,RenewalPlans!B:B,RenewalPlans!AF:AF,"NA",0,1)</f>
        <v>NA</v>
      </c>
      <c r="M86" s="200"/>
      <c r="N86" s="200"/>
      <c r="O86" s="200"/>
      <c r="P86" s="208"/>
      <c r="Q86" s="200"/>
      <c r="R86" s="201"/>
      <c r="T86" s="209" t="str">
        <f>_xlfn.XLOOKUP(T75,RenewalPlans!B:B,RenewalPlans!AF:AF,"NA",0,1)</f>
        <v>NA</v>
      </c>
      <c r="U86" s="200"/>
      <c r="V86" s="200"/>
      <c r="W86" s="200"/>
      <c r="X86" s="208"/>
      <c r="Y86" s="200"/>
      <c r="Z86" s="201"/>
    </row>
    <row r="87" spans="1:26" ht="18.75" customHeight="1" hidden="1">
      <c r="A87" s="140"/>
      <c r="B87" s="140"/>
      <c r="D87" s="210"/>
      <c r="E87" s="211"/>
      <c r="F87" s="211"/>
      <c r="G87" s="211"/>
      <c r="H87" s="211"/>
      <c r="I87" s="211"/>
      <c r="J87" s="212"/>
      <c r="K87"/>
      <c r="L87" s="210"/>
      <c r="M87" s="211"/>
      <c r="N87" s="211"/>
      <c r="O87" s="211"/>
      <c r="P87" s="211"/>
      <c r="Q87" s="211"/>
      <c r="R87" s="212"/>
      <c r="T87" s="210"/>
      <c r="U87" s="211"/>
      <c r="V87" s="211"/>
      <c r="W87" s="211"/>
      <c r="X87" s="211"/>
      <c r="Y87" s="211"/>
      <c r="Z87" s="212"/>
    </row>
    <row r="88" spans="1:26" ht="18.75" customHeight="1" hidden="1">
      <c r="A88" s="140"/>
      <c r="B88" s="140"/>
      <c r="D88" s="185" t="s">
        <v>260</v>
      </c>
      <c r="E88" s="186"/>
      <c r="F88" s="186"/>
      <c r="G88" s="186"/>
      <c r="H88" s="186"/>
      <c r="I88" s="186"/>
      <c r="J88" s="187"/>
      <c r="K88"/>
      <c r="L88" s="188"/>
      <c r="M88" s="186"/>
      <c r="N88" s="186"/>
      <c r="O88" s="186"/>
      <c r="P88" s="186"/>
      <c r="Q88" s="186"/>
      <c r="R88" s="187"/>
      <c r="T88" s="188"/>
      <c r="U88" s="186"/>
      <c r="V88" s="186"/>
      <c r="W88" s="186"/>
      <c r="X88" s="186"/>
      <c r="Y88" s="186"/>
      <c r="Z88" s="187"/>
    </row>
    <row r="89" spans="1:26" ht="18.75" customHeight="1" hidden="1">
      <c r="A89" s="140"/>
      <c r="B89" s="140"/>
      <c r="D89" s="213" t="s">
        <v>261</v>
      </c>
      <c r="E89" s="130" t="str">
        <f>_xlfn.XLOOKUP(E75,CurrentPlans!B:B,CurrentPlans!AJ:AJ,"NA",0,1)</f>
        <v>NA</v>
      </c>
      <c r="F89" s="214"/>
      <c r="G89" s="214"/>
      <c r="H89" s="214"/>
      <c r="I89" s="130"/>
      <c r="J89" s="215"/>
      <c r="K89"/>
      <c r="L89" s="131" t="str">
        <f ca="1">_xlfn.XLOOKUP(L75,RenewalPlans!B:B,RenewalPlans!AM:AM,"NA",0,1)</f>
        <v>NA</v>
      </c>
      <c r="M89" s="214"/>
      <c r="N89" s="214"/>
      <c r="O89" s="214"/>
      <c r="P89" s="130"/>
      <c r="Q89" s="214"/>
      <c r="R89" s="215"/>
      <c r="T89" s="131" t="str">
        <f>_xlfn.XLOOKUP(T75,RenewalPlans!B:B,RenewalPlans!AM:AM,"NA",0,1)</f>
        <v>NA</v>
      </c>
      <c r="U89" s="214"/>
      <c r="V89" s="214"/>
      <c r="W89" s="214"/>
      <c r="X89" s="130"/>
      <c r="Y89" s="214"/>
      <c r="Z89" s="215"/>
    </row>
    <row r="90" spans="1:26" ht="18.75" customHeight="1" hidden="1">
      <c r="A90" s="140"/>
      <c r="B90" s="140"/>
      <c r="D90" s="198" t="s">
        <v>262</v>
      </c>
      <c r="E90" s="130" t="str">
        <f>_xlfn.XLOOKUP(E75,CurrentPlans!B:B,CurrentPlans!AM:AM,"NA",0,1)</f>
        <v>NA</v>
      </c>
      <c r="F90" s="200"/>
      <c r="G90" s="200"/>
      <c r="H90" s="200"/>
      <c r="I90" s="130"/>
      <c r="J90" s="201"/>
      <c r="K90"/>
      <c r="L90" s="131" t="str">
        <f ca="1">_xlfn.XLOOKUP(L75,RenewalPlans!B:B,RenewalPlans!AP:AP,"NA",0,1)</f>
        <v>NA</v>
      </c>
      <c r="M90" s="200"/>
      <c r="N90" s="200"/>
      <c r="O90" s="200"/>
      <c r="P90" s="130"/>
      <c r="Q90" s="200"/>
      <c r="R90" s="201"/>
      <c r="T90" s="131" t="str">
        <f>_xlfn.XLOOKUP(T75,RenewalPlans!B:B,RenewalPlans!AP:AP,"NA",0,1)</f>
        <v>NA</v>
      </c>
      <c r="U90" s="200"/>
      <c r="V90" s="200"/>
      <c r="W90" s="200"/>
      <c r="X90" s="130"/>
      <c r="Y90" s="200"/>
      <c r="Z90" s="201"/>
    </row>
    <row r="91" spans="1:26" ht="18.75" customHeight="1" hidden="1">
      <c r="A91" s="140"/>
      <c r="B91" s="140"/>
      <c r="D91" s="198" t="s">
        <v>263</v>
      </c>
      <c r="E91" s="130" t="str">
        <f>_xlfn.XLOOKUP(E75,CurrentPlans!B:B,CurrentPlans!AI:AI,"NA",0,1)</f>
        <v>NA</v>
      </c>
      <c r="F91" s="200"/>
      <c r="G91" s="200"/>
      <c r="H91" s="200"/>
      <c r="I91" s="130"/>
      <c r="J91" s="201"/>
      <c r="K91"/>
      <c r="L91" s="131" t="str">
        <f ca="1">_xlfn.XLOOKUP(L75,RenewalPlans!B:B,RenewalPlans!AL:AL,"NA",0,1)</f>
        <v>NA</v>
      </c>
      <c r="M91" s="200"/>
      <c r="N91" s="200"/>
      <c r="O91" s="200"/>
      <c r="P91" s="130"/>
      <c r="Q91" s="200"/>
      <c r="R91" s="201"/>
      <c r="T91" s="131" t="str">
        <f>_xlfn.XLOOKUP(T75,RenewalPlans!B:B,RenewalPlans!AL:AL,"NA",0,1)</f>
        <v>NA</v>
      </c>
      <c r="U91" s="200"/>
      <c r="V91" s="200"/>
      <c r="W91" s="200"/>
      <c r="X91" s="130"/>
      <c r="Y91" s="200"/>
      <c r="Z91" s="201"/>
    </row>
    <row r="92" spans="1:26" ht="18.75" customHeight="1" hidden="1">
      <c r="A92" s="140"/>
      <c r="B92" s="140"/>
      <c r="D92" s="198" t="s">
        <v>264</v>
      </c>
      <c r="E92" s="208" t="str">
        <f>_xlfn.XLOOKUP(E75,CurrentPlans!B:B,CurrentPlans!AN:AN,"NA",0,1)</f>
        <v>NA</v>
      </c>
      <c r="F92" s="200"/>
      <c r="G92" s="200"/>
      <c r="H92" s="200"/>
      <c r="I92" s="208"/>
      <c r="J92" s="201"/>
      <c r="K92"/>
      <c r="L92" s="209" t="str">
        <f ca="1">_xlfn.XLOOKUP(L75,RenewalPlans!B:B,RenewalPlans!AQ:AQ,"NA",0,1)</f>
        <v>NA</v>
      </c>
      <c r="M92" s="200"/>
      <c r="N92" s="200"/>
      <c r="O92" s="200"/>
      <c r="P92" s="208"/>
      <c r="Q92" s="200"/>
      <c r="R92" s="201"/>
      <c r="T92" s="209" t="str">
        <f>_xlfn.XLOOKUP(T75,RenewalPlans!B:B,RenewalPlans!AQ:AQ,"NA",0,1)</f>
        <v>NA</v>
      </c>
      <c r="U92" s="200"/>
      <c r="V92" s="200"/>
      <c r="W92" s="200"/>
      <c r="X92" s="208"/>
      <c r="Y92" s="200"/>
      <c r="Z92" s="201"/>
    </row>
    <row r="93" spans="1:26" ht="18.75" customHeight="1" hidden="1">
      <c r="A93" s="140"/>
      <c r="B93" s="140"/>
      <c r="D93" s="210"/>
      <c r="E93" s="211"/>
      <c r="F93" s="211"/>
      <c r="G93" s="211"/>
      <c r="H93" s="211"/>
      <c r="I93" s="211"/>
      <c r="J93" s="212"/>
      <c r="K93"/>
      <c r="L93" s="210"/>
      <c r="M93" s="211"/>
      <c r="N93" s="211"/>
      <c r="O93" s="211"/>
      <c r="P93" s="211"/>
      <c r="Q93" s="211"/>
      <c r="R93" s="212"/>
      <c r="T93" s="210"/>
      <c r="U93" s="211"/>
      <c r="V93" s="211"/>
      <c r="W93" s="211"/>
      <c r="X93" s="211"/>
      <c r="Y93" s="211"/>
      <c r="Z93" s="212"/>
    </row>
    <row r="94" spans="1:26" ht="18.75" customHeight="1" hidden="1">
      <c r="A94" s="140"/>
      <c r="B94" s="140"/>
      <c r="D94" s="185" t="s">
        <v>265</v>
      </c>
      <c r="E94" s="186"/>
      <c r="F94" s="186"/>
      <c r="G94" s="186"/>
      <c r="H94" s="186"/>
      <c r="I94" s="186"/>
      <c r="J94" s="187"/>
      <c r="K94"/>
      <c r="L94" s="188"/>
      <c r="M94" s="186"/>
      <c r="N94" s="186"/>
      <c r="O94" s="186"/>
      <c r="P94" s="186"/>
      <c r="Q94" s="186"/>
      <c r="R94" s="187"/>
      <c r="T94" s="188"/>
      <c r="U94" s="186"/>
      <c r="V94" s="186"/>
      <c r="W94" s="186"/>
      <c r="X94" s="186"/>
      <c r="Y94" s="186"/>
      <c r="Z94" s="187"/>
    </row>
    <row r="95" spans="1:26" ht="18.75" customHeight="1" hidden="1">
      <c r="A95" s="140"/>
      <c r="B95" s="140"/>
      <c r="D95" s="132" t="s">
        <v>266</v>
      </c>
      <c r="E95" s="133" t="str">
        <f>_xlfn.XLOOKUP(E75,CurrentPlans!B:B,CurrentPlans!AE:AE,"NA",0,1)</f>
        <v>NA</v>
      </c>
      <c r="F95" s="134"/>
      <c r="G95" s="134"/>
      <c r="H95" s="134"/>
      <c r="I95" s="133"/>
      <c r="J95" s="135"/>
      <c r="K95"/>
      <c r="L95" s="136" t="str">
        <f ca="1">_xlfn.XLOOKUP(L75,RenewalPlans!B:B,RenewalPlans!AH:AH,"NA",0,1)</f>
        <v>NA</v>
      </c>
      <c r="M95" s="134"/>
      <c r="N95" s="134"/>
      <c r="O95" s="134"/>
      <c r="P95" s="133"/>
      <c r="Q95" s="134"/>
      <c r="R95" s="135"/>
      <c r="T95" s="136" t="str">
        <f>_xlfn.XLOOKUP(T75,RenewalPlans!B:B,RenewalPlans!AH:AH,"NA",0,1)</f>
        <v>NA</v>
      </c>
      <c r="U95" s="134"/>
      <c r="V95" s="134"/>
      <c r="W95" s="134"/>
      <c r="X95" s="133"/>
      <c r="Y95" s="134"/>
      <c r="Z95" s="135"/>
    </row>
    <row r="96" spans="1:26" ht="18.75" customHeight="1" hidden="1">
      <c r="A96" s="140"/>
      <c r="B96" s="140"/>
      <c r="D96" s="120" t="s">
        <v>267</v>
      </c>
      <c r="E96" s="130" t="str">
        <f>_xlfn.XLOOKUP(E75,CurrentPlans!B:B,CurrentPlans!AF:AF,"NA",0,1)</f>
        <v>NA</v>
      </c>
      <c r="F96" s="122"/>
      <c r="G96" s="122"/>
      <c r="H96" s="122"/>
      <c r="I96" s="130"/>
      <c r="J96" s="123"/>
      <c r="K96"/>
      <c r="L96" s="131" t="str">
        <f ca="1">_xlfn.XLOOKUP(L75,RenewalPlans!B:B,RenewalPlans!AI:AI,"NA",0,1)</f>
        <v>NA</v>
      </c>
      <c r="M96" s="122"/>
      <c r="N96" s="122"/>
      <c r="O96" s="122"/>
      <c r="P96" s="130"/>
      <c r="Q96" s="122"/>
      <c r="R96" s="123"/>
      <c r="T96" s="131" t="str">
        <f>_xlfn.XLOOKUP(T75,RenewalPlans!B:B,RenewalPlans!AI:AI,"NA",0,1)</f>
        <v>NA</v>
      </c>
      <c r="U96" s="122"/>
      <c r="V96" s="122"/>
      <c r="W96" s="122"/>
      <c r="X96" s="130"/>
      <c r="Y96" s="122"/>
      <c r="Z96" s="123"/>
    </row>
    <row r="97" spans="1:26" ht="18.75" customHeight="1" hidden="1">
      <c r="A97" s="140"/>
      <c r="B97" s="140"/>
      <c r="D97" s="198" t="s">
        <v>268</v>
      </c>
      <c r="E97" s="130" t="str">
        <f>_xlfn.XLOOKUP(E75,CurrentPlans!B:B,CurrentPlans!AH:AH,"NA",0,1)</f>
        <v>NA</v>
      </c>
      <c r="F97" s="200"/>
      <c r="G97" s="200"/>
      <c r="H97" s="200"/>
      <c r="I97" s="130"/>
      <c r="J97" s="201"/>
      <c r="K97"/>
      <c r="L97" s="131" t="str">
        <f ca="1">_xlfn.XLOOKUP(L75,RenewalPlans!B:B,RenewalPlans!AK:AK,"NA",0,1)</f>
        <v>NA</v>
      </c>
      <c r="M97" s="200"/>
      <c r="N97" s="200"/>
      <c r="O97" s="200"/>
      <c r="P97" s="130"/>
      <c r="Q97" s="200"/>
      <c r="R97" s="201"/>
      <c r="T97" s="131" t="str">
        <f>_xlfn.XLOOKUP(T75,RenewalPlans!B:B,RenewalPlans!AK:AK,"NA",0,1)</f>
        <v>NA</v>
      </c>
      <c r="U97" s="200"/>
      <c r="V97" s="200"/>
      <c r="W97" s="200"/>
      <c r="X97" s="130"/>
      <c r="Y97" s="200"/>
      <c r="Z97" s="201"/>
    </row>
    <row r="98" spans="1:26" ht="18.75" customHeight="1" hidden="1">
      <c r="A98" s="140"/>
      <c r="B98" s="140"/>
      <c r="D98" s="198" t="s">
        <v>269</v>
      </c>
      <c r="E98" s="130" t="str">
        <f>_xlfn.XLOOKUP(E75,CurrentPlans!B:B,CurrentPlans!AG:AG,"NA",0,1)</f>
        <v>NA</v>
      </c>
      <c r="F98" s="200"/>
      <c r="G98" s="200"/>
      <c r="H98" s="200"/>
      <c r="I98" s="130"/>
      <c r="J98" s="201"/>
      <c r="K98"/>
      <c r="L98" s="131" t="str">
        <f ca="1">_xlfn.XLOOKUP(L75,RenewalPlans!B:B,RenewalPlans!AJ:AJ,"NA",0,1)</f>
        <v>NA</v>
      </c>
      <c r="M98" s="200"/>
      <c r="N98" s="200"/>
      <c r="O98" s="200"/>
      <c r="P98" s="130"/>
      <c r="Q98" s="200"/>
      <c r="R98" s="201"/>
      <c r="T98" s="131" t="str">
        <f>_xlfn.XLOOKUP(T75,RenewalPlans!B:B,RenewalPlans!AJ:AJ,"NA",0,1)</f>
        <v>NA</v>
      </c>
      <c r="U98" s="200"/>
      <c r="V98" s="200"/>
      <c r="W98" s="200"/>
      <c r="X98" s="130"/>
      <c r="Y98" s="200"/>
      <c r="Z98" s="201"/>
    </row>
    <row r="99" spans="1:26" ht="18.75" customHeight="1" hidden="1">
      <c r="A99" s="140"/>
      <c r="B99" s="140"/>
      <c r="D99" s="213" t="s">
        <v>270</v>
      </c>
      <c r="E99" s="216" t="str">
        <f>_xlfn.XLOOKUP(E75,CurrentPlans!B:B,CurrentPlans!AU:AU,"NA",0,1)</f>
        <v>NA</v>
      </c>
      <c r="F99" s="214"/>
      <c r="G99" s="214"/>
      <c r="H99" s="214"/>
      <c r="I99" s="217"/>
      <c r="J99" s="215"/>
      <c r="K99"/>
      <c r="L99" s="218" t="str">
        <f ca="1">_xlfn.XLOOKUP(L75,RenewalPlans!B:B,RenewalPlans!AX:AX,"NA",0,1)</f>
        <v>NA</v>
      </c>
      <c r="M99" s="214"/>
      <c r="N99" s="214"/>
      <c r="O99" s="214"/>
      <c r="P99" s="217"/>
      <c r="Q99" s="214"/>
      <c r="R99" s="215"/>
      <c r="T99" s="218" t="str">
        <f>_xlfn.XLOOKUP(T75,RenewalPlans!B:B,RenewalPlans!AX:AX,"NA",0,1)</f>
        <v>NA</v>
      </c>
      <c r="U99" s="214"/>
      <c r="V99" s="214"/>
      <c r="W99" s="214"/>
      <c r="X99" s="217"/>
      <c r="Y99" s="214"/>
      <c r="Z99" s="215"/>
    </row>
    <row r="100" spans="1:26" ht="18.75" customHeight="1" hidden="1">
      <c r="A100" s="140"/>
      <c r="B100" s="140"/>
      <c r="D100" s="213" t="s">
        <v>271</v>
      </c>
      <c r="E100" s="216" t="str">
        <f>_xlfn.XLOOKUP(E75,CurrentPlans!B:B,CurrentPlans!AT:AT,"NA",0,1)</f>
        <v>NA</v>
      </c>
      <c r="F100" s="214"/>
      <c r="G100" s="214"/>
      <c r="H100" s="214"/>
      <c r="I100" s="217"/>
      <c r="J100" s="215"/>
      <c r="K100"/>
      <c r="L100" s="218" t="str">
        <f ca="1">_xlfn.XLOOKUP(L75,RenewalPlans!B:B,RenewalPlans!AW:AW,"NA",0,1)</f>
        <v>NA</v>
      </c>
      <c r="M100" s="214"/>
      <c r="N100" s="214"/>
      <c r="O100" s="214"/>
      <c r="P100" s="217"/>
      <c r="Q100" s="214"/>
      <c r="R100" s="215"/>
      <c r="T100" s="218" t="str">
        <f>_xlfn.XLOOKUP(T75,RenewalPlans!B:B,RenewalPlans!AW:AW,"NA",0,1)</f>
        <v>NA</v>
      </c>
      <c r="U100" s="214"/>
      <c r="V100" s="214"/>
      <c r="W100" s="214"/>
      <c r="X100" s="217"/>
      <c r="Y100" s="214"/>
      <c r="Z100" s="215"/>
    </row>
    <row r="101" spans="1:26" ht="18.75" customHeight="1" hidden="1">
      <c r="A101" s="140"/>
      <c r="B101" s="140"/>
      <c r="D101" s="198" t="s">
        <v>272</v>
      </c>
      <c r="E101" s="130" t="str">
        <f>_xlfn.XLOOKUP(E75,CurrentPlans!B:B,CurrentPlans!AD:AD,"NA",0,1)</f>
        <v>NA</v>
      </c>
      <c r="F101" s="200"/>
      <c r="G101" s="200"/>
      <c r="H101" s="200"/>
      <c r="I101" s="130"/>
      <c r="J101" s="201"/>
      <c r="K101"/>
      <c r="L101" s="131" t="str">
        <f ca="1">_xlfn.XLOOKUP(L75,RenewalPlans!B:B,RenewalPlans!AG:AG,"NA",0,1)</f>
        <v>NA</v>
      </c>
      <c r="M101" s="200"/>
      <c r="N101" s="200"/>
      <c r="O101" s="200"/>
      <c r="P101" s="130"/>
      <c r="Q101" s="200"/>
      <c r="R101" s="201"/>
      <c r="T101" s="131" t="str">
        <f>_xlfn.XLOOKUP(T75,RenewalPlans!B:B,RenewalPlans!AG:AG,"NA",0,1)</f>
        <v>NA</v>
      </c>
      <c r="U101" s="200"/>
      <c r="V101" s="200"/>
      <c r="W101" s="200"/>
      <c r="X101" s="130"/>
      <c r="Y101" s="200"/>
      <c r="Z101" s="201"/>
    </row>
    <row r="102" spans="1:26" ht="18.75" customHeight="1" hidden="1">
      <c r="A102" s="140"/>
      <c r="B102" s="140"/>
      <c r="D102" s="198" t="s">
        <v>273</v>
      </c>
      <c r="E102" s="200"/>
      <c r="F102" s="200"/>
      <c r="G102" s="200"/>
      <c r="H102" s="200"/>
      <c r="I102" s="200"/>
      <c r="J102" s="201"/>
      <c r="K102"/>
      <c r="L102" s="198"/>
      <c r="M102" s="200"/>
      <c r="N102" s="200"/>
      <c r="O102" s="200"/>
      <c r="P102" s="200"/>
      <c r="Q102" s="200"/>
      <c r="R102" s="201"/>
      <c r="T102" s="198"/>
      <c r="U102" s="200"/>
      <c r="V102" s="200"/>
      <c r="W102" s="200"/>
      <c r="X102" s="200"/>
      <c r="Y102" s="200"/>
      <c r="Z102" s="201"/>
    </row>
    <row r="103" spans="1:26" ht="18.75" customHeight="1" hidden="1">
      <c r="A103" s="140"/>
      <c r="B103" s="140"/>
      <c r="D103" s="210"/>
      <c r="E103" s="211"/>
      <c r="F103" s="211"/>
      <c r="G103" s="211"/>
      <c r="H103" s="211"/>
      <c r="I103" s="211"/>
      <c r="J103" s="212"/>
      <c r="K103"/>
      <c r="L103" s="210"/>
      <c r="M103" s="211"/>
      <c r="N103" s="211"/>
      <c r="O103" s="211"/>
      <c r="P103" s="211"/>
      <c r="Q103" s="211"/>
      <c r="R103" s="212"/>
      <c r="T103" s="210"/>
      <c r="U103" s="211"/>
      <c r="V103" s="211"/>
      <c r="W103" s="211"/>
      <c r="X103" s="211"/>
      <c r="Y103" s="211"/>
      <c r="Z103" s="212"/>
    </row>
    <row r="104" spans="1:26" ht="18.75" customHeight="1" hidden="1">
      <c r="A104" s="140"/>
      <c r="B104" s="140"/>
      <c r="D104" s="219" t="s">
        <v>274</v>
      </c>
      <c r="E104" s="220"/>
      <c r="F104" s="220"/>
      <c r="G104" s="220"/>
      <c r="H104" s="220"/>
      <c r="I104" s="220"/>
      <c r="J104" s="221"/>
      <c r="K104"/>
      <c r="L104" s="222"/>
      <c r="M104" s="220"/>
      <c r="N104" s="220"/>
      <c r="O104" s="220"/>
      <c r="P104" s="220"/>
      <c r="Q104" s="220"/>
      <c r="R104" s="221"/>
      <c r="T104" s="222"/>
      <c r="U104" s="220"/>
      <c r="V104" s="220"/>
      <c r="W104" s="220"/>
      <c r="X104" s="220"/>
      <c r="Y104" s="220"/>
      <c r="Z104" s="221"/>
    </row>
    <row r="105" spans="1:26" ht="18.75" customHeight="1" hidden="1">
      <c r="A105" s="140"/>
      <c r="B105" s="140"/>
      <c r="D105" s="223" t="s">
        <v>250</v>
      </c>
      <c r="E105" s="205"/>
      <c r="F105" s="205"/>
      <c r="G105" s="205"/>
      <c r="H105" s="205"/>
      <c r="I105" s="205"/>
      <c r="J105" s="206"/>
      <c r="K105"/>
      <c r="L105" s="203"/>
      <c r="M105" s="205"/>
      <c r="N105" s="205"/>
      <c r="O105" s="205"/>
      <c r="P105" s="205"/>
      <c r="Q105" s="205"/>
      <c r="R105" s="206"/>
      <c r="T105" s="203"/>
      <c r="U105" s="205"/>
      <c r="V105" s="205"/>
      <c r="W105" s="205"/>
      <c r="X105" s="205"/>
      <c r="Y105" s="205"/>
      <c r="Z105" s="206"/>
    </row>
    <row r="106" spans="1:26" ht="18.75" customHeight="1" hidden="1">
      <c r="A106" s="140"/>
      <c r="B106" s="140"/>
      <c r="D106" s="198" t="s">
        <v>251</v>
      </c>
      <c r="E106" s="130" t="str">
        <f>_xlfn.XLOOKUP(E75,CurrentPlans!B:B,CurrentPlans!AP:AP,"NA",0,1)</f>
        <v>NA</v>
      </c>
      <c r="F106" s="200"/>
      <c r="G106" s="200"/>
      <c r="H106" s="200"/>
      <c r="I106" s="130"/>
      <c r="J106" s="201"/>
      <c r="K106"/>
      <c r="L106" s="131" t="str">
        <f ca="1">_xlfn.XLOOKUP(L75,RenewalPlans!B:B,RenewalPlans!AS:AS,"NA",0,1)</f>
        <v>NA</v>
      </c>
      <c r="M106" s="200"/>
      <c r="N106" s="200"/>
      <c r="O106" s="200"/>
      <c r="P106" s="130"/>
      <c r="Q106" s="200"/>
      <c r="R106" s="201"/>
      <c r="T106" s="131" t="str">
        <f>_xlfn.XLOOKUP(T75,RenewalPlans!B:B,RenewalPlans!AS:AS,"NA",0,1)</f>
        <v>NA</v>
      </c>
      <c r="U106" s="200"/>
      <c r="V106" s="200"/>
      <c r="W106" s="200"/>
      <c r="X106" s="130"/>
      <c r="Y106" s="200"/>
      <c r="Z106" s="201"/>
    </row>
    <row r="107" spans="1:26" ht="18.75" customHeight="1" hidden="1">
      <c r="A107" s="140"/>
      <c r="B107" s="140"/>
      <c r="D107" s="198" t="s">
        <v>252</v>
      </c>
      <c r="E107" s="130" t="str">
        <f>_xlfn.XLOOKUP(E75,CurrentPlans!B:B,CurrentPlans!AQ:AQ,"NA",0,1)</f>
        <v>NA</v>
      </c>
      <c r="F107" s="200"/>
      <c r="G107" s="200"/>
      <c r="H107" s="200"/>
      <c r="I107" s="130"/>
      <c r="J107" s="201"/>
      <c r="K107"/>
      <c r="L107" s="131" t="str">
        <f ca="1">_xlfn.XLOOKUP(L75,RenewalPlans!B:B,RenewalPlans!AT:AT,"NA",0,1)</f>
        <v>NA</v>
      </c>
      <c r="M107" s="200"/>
      <c r="N107" s="200"/>
      <c r="O107" s="200"/>
      <c r="P107" s="130"/>
      <c r="Q107" s="200"/>
      <c r="R107" s="201"/>
      <c r="T107" s="131" t="str">
        <f>_xlfn.XLOOKUP(T75,RenewalPlans!B:B,RenewalPlans!AT:AT,"NA",0,1)</f>
        <v>NA</v>
      </c>
      <c r="U107" s="200"/>
      <c r="V107" s="200"/>
      <c r="W107" s="200"/>
      <c r="X107" s="130"/>
      <c r="Y107" s="200"/>
      <c r="Z107" s="201"/>
    </row>
    <row r="108" spans="1:26" ht="18.75" customHeight="1" hidden="1">
      <c r="A108" s="140"/>
      <c r="B108" s="140"/>
      <c r="D108" s="120" t="s">
        <v>253</v>
      </c>
      <c r="E108" s="133" t="str">
        <f>_xlfn.XLOOKUP(E75,CurrentPlans!B:B,CurrentPlans!AO:AO,"NA",0,1)</f>
        <v>NA</v>
      </c>
      <c r="F108" s="122"/>
      <c r="G108" s="122"/>
      <c r="H108" s="122"/>
      <c r="I108" s="133"/>
      <c r="J108" s="123"/>
      <c r="K108"/>
      <c r="L108" s="136" t="str">
        <f ca="1">_xlfn.XLOOKUP(L75,RenewalPlans!B:B,RenewalPlans!AR:AR,"NA",0,1)</f>
        <v>NA</v>
      </c>
      <c r="M108" s="122"/>
      <c r="N108" s="122"/>
      <c r="O108" s="122"/>
      <c r="P108" s="133"/>
      <c r="Q108" s="122"/>
      <c r="R108" s="123"/>
      <c r="T108" s="136" t="str">
        <f>_xlfn.XLOOKUP(T75,RenewalPlans!B:B,RenewalPlans!AR:AR,"NA",0,1)</f>
        <v>NA</v>
      </c>
      <c r="U108" s="122"/>
      <c r="V108" s="122"/>
      <c r="W108" s="122"/>
      <c r="X108" s="133"/>
      <c r="Y108" s="122"/>
      <c r="Z108" s="123"/>
    </row>
    <row r="109" spans="1:26" ht="18.75" customHeight="1" hidden="1">
      <c r="A109" s="140"/>
      <c r="B109" s="140"/>
      <c r="D109" s="223" t="s">
        <v>254</v>
      </c>
      <c r="E109" s="205"/>
      <c r="F109" s="205"/>
      <c r="G109" s="205"/>
      <c r="H109" s="205"/>
      <c r="I109" s="205"/>
      <c r="J109" s="206"/>
      <c r="K109"/>
      <c r="L109" s="203"/>
      <c r="M109" s="205"/>
      <c r="N109" s="205"/>
      <c r="O109" s="205"/>
      <c r="P109" s="205"/>
      <c r="Q109" s="205"/>
      <c r="R109" s="206"/>
      <c r="T109" s="203"/>
      <c r="U109" s="205"/>
      <c r="V109" s="205"/>
      <c r="W109" s="205"/>
      <c r="X109" s="205"/>
      <c r="Y109" s="205"/>
      <c r="Z109" s="206"/>
    </row>
    <row r="110" spans="1:26" ht="18.75" customHeight="1" hidden="1">
      <c r="A110" s="140"/>
      <c r="B110" s="140"/>
      <c r="D110" s="198" t="s">
        <v>255</v>
      </c>
      <c r="E110" s="130" t="str">
        <f>_xlfn.XLOOKUP(E75,CurrentPlans!B:B,CurrentPlans!AR:AR,"NA",0,1)</f>
        <v>NA</v>
      </c>
      <c r="F110" s="200"/>
      <c r="G110" s="200"/>
      <c r="H110" s="200"/>
      <c r="I110" s="130"/>
      <c r="J110" s="201"/>
      <c r="K110"/>
      <c r="L110" s="131" t="str">
        <f ca="1">_xlfn.XLOOKUP(L75,RenewalPlans!B:B,RenewalPlans!AU:AU,"NA",0,1)</f>
        <v>NA</v>
      </c>
      <c r="M110" s="200"/>
      <c r="N110" s="200"/>
      <c r="O110" s="200"/>
      <c r="P110" s="130"/>
      <c r="Q110" s="200"/>
      <c r="R110" s="201"/>
      <c r="T110" s="131" t="str">
        <f>_xlfn.XLOOKUP(T75,RenewalPlans!B:B,RenewalPlans!AU:AU,"NA",0,1)</f>
        <v>NA</v>
      </c>
      <c r="U110" s="200"/>
      <c r="V110" s="200"/>
      <c r="W110" s="200"/>
      <c r="X110" s="130"/>
      <c r="Y110" s="200"/>
      <c r="Z110" s="201"/>
    </row>
    <row r="111" spans="1:26" ht="18" customHeight="1" hidden="1" thickBot="1">
      <c r="A111" s="140"/>
      <c r="B111" s="140"/>
      <c r="D111" s="224" t="s">
        <v>256</v>
      </c>
      <c r="E111" s="137" t="str">
        <f>_xlfn.XLOOKUP(E75,CurrentPlans!B:B,CurrentPlans!AS:AS,"NA",0,1)</f>
        <v>NA</v>
      </c>
      <c r="F111" s="225"/>
      <c r="G111" s="225"/>
      <c r="H111" s="225"/>
      <c r="I111" s="137"/>
      <c r="J111" s="226"/>
      <c r="K111"/>
      <c r="L111" s="138" t="str">
        <f ca="1">_xlfn.XLOOKUP(L75,RenewalPlans!B:B,RenewalPlans!AV:AV,"NA",0,1)</f>
        <v>NA</v>
      </c>
      <c r="M111" s="225"/>
      <c r="N111" s="225"/>
      <c r="O111" s="225"/>
      <c r="P111" s="137"/>
      <c r="Q111" s="225"/>
      <c r="R111" s="226"/>
      <c r="T111" s="138" t="str">
        <f>_xlfn.XLOOKUP(T75,RenewalPlans!B:B,RenewalPlans!AV:AV,"NA",0,1)</f>
        <v>NA</v>
      </c>
      <c r="U111" s="225"/>
      <c r="V111" s="225"/>
      <c r="W111" s="225"/>
      <c r="X111" s="137"/>
      <c r="Y111" s="225"/>
      <c r="Z111" s="226"/>
    </row>
    <row r="112" spans="1:26" ht="18" customHeight="1">
      <c r="A112" s="140"/>
      <c r="B112" s="140"/>
      <c r="D112" s="227"/>
      <c r="E112" s="176"/>
      <c r="F112" s="178"/>
      <c r="G112" s="179"/>
      <c r="H112" s="178"/>
      <c r="I112" s="176"/>
      <c r="J112" s="228"/>
      <c r="K112"/>
      <c r="L112" s="178"/>
      <c r="M112" s="176"/>
      <c r="N112" s="139"/>
      <c r="O112" s="178"/>
      <c r="P112" s="178"/>
      <c r="Q112" s="178"/>
      <c r="R112" s="228"/>
      <c r="T112" s="178"/>
      <c r="U112" s="176"/>
      <c r="V112" s="139"/>
      <c r="W112" s="178"/>
      <c r="X112" s="178"/>
      <c r="Y112" s="178"/>
      <c r="Z112" s="228"/>
    </row>
    <row r="113" spans="1:26" ht="5.25" customHeight="1" thickBot="1">
      <c r="A113" s="140"/>
      <c r="B113" s="140"/>
      <c r="D113" s="229"/>
      <c r="E113" s="229"/>
      <c r="F113" s="230"/>
      <c r="G113" s="231"/>
      <c r="H113" s="232"/>
      <c r="I113" s="233"/>
      <c r="J113" s="233"/>
      <c r="K113"/>
      <c r="L113" s="233"/>
      <c r="M113" s="233"/>
      <c r="N113" s="233"/>
      <c r="O113" s="233"/>
      <c r="P113" s="233"/>
      <c r="Q113" s="233"/>
      <c r="R113" s="233"/>
      <c r="T113" s="233"/>
      <c r="U113" s="233"/>
      <c r="V113" s="233"/>
      <c r="W113" s="233"/>
      <c r="X113" s="233"/>
      <c r="Y113" s="233"/>
      <c r="Z113" s="233"/>
    </row>
    <row r="114" spans="1:26" ht="50.15" customHeight="1">
      <c r="A114" s="140">
        <v>3</v>
      </c>
      <c r="B114" s="140" t="str">
        <f>IF(A114&gt;Class5_CurrentHealthCount,"DELETE",Class5_CurrentHealthStart+A114)</f>
        <v>DELETE</v>
      </c>
      <c r="C114" s="164" t="s">
        <v>276</v>
      </c>
      <c r="D114" s="273" t="str">
        <f>IF(B114="Delete","",VLOOKUP(F114,BEGIN_CURRENT_HEALTH:END_CURRENT_HEALTH,3,FALSE))</f>
        <v/>
      </c>
      <c r="E114" s="165"/>
      <c r="F114" s="272" t="str" cm="1">
        <f t="array" ca="1" aca="1" ref="F114">IF(B114="Delete","",INDIRECT("CurrentPlans!A"&amp;B114,TRUE))</f>
        <v/>
      </c>
      <c r="G114" s="166"/>
      <c r="H114" s="167"/>
      <c r="I114" s="168"/>
      <c r="J114" s="169"/>
      <c r="K114"/>
      <c r="L114" s="274" t="str">
        <f ca="1">_xlfn.IFNA(VLOOKUP(F114,BEGIN_RENEWEDFROM_HEALTH:ROW_RenewHealth_PlanID,3,FALSE),"SELECT PLAN")</f>
        <v>SELECT PLAN</v>
      </c>
      <c r="M114" s="170"/>
      <c r="N114" s="274" t="s">
        <v>237</v>
      </c>
      <c r="O114" s="171"/>
      <c r="P114" s="171"/>
      <c r="Q114" s="171"/>
      <c r="R114" s="169"/>
      <c r="T114" s="274" t="s">
        <v>38</v>
      </c>
      <c r="U114" s="170"/>
      <c r="V114" s="274" t="s">
        <v>237</v>
      </c>
      <c r="W114" s="171"/>
      <c r="X114" s="171"/>
      <c r="Y114" s="171"/>
      <c r="Z114" s="169"/>
    </row>
    <row r="115" spans="1:26" ht="18.75" customHeight="1">
      <c r="A115" s="140"/>
      <c r="B115" s="140"/>
      <c r="D115" s="172" t="s">
        <v>238</v>
      </c>
      <c r="E115" s="407" t="str">
        <f ca="1">_xlfn.IFNA(VLOOKUP(F114,BEGIN_CURRENT_HEALTH:END_CURRENT_HEALTH,CURRENT_COL_EO_count,FALSE),"")</f>
        <v/>
      </c>
      <c r="F115" s="408" t="str">
        <f ca="1">_xlfn.IFNA(VLOOKUP(F114,BEGIN_CURRENT_HEALTH:END_CURRENT_HEALTH,CURRENT_COL_EO,FALSE),"")</f>
        <v/>
      </c>
      <c r="G115" s="468" t="str">
        <f ca="1" t="shared" si="10" ref="G115:G118">IF(F115="","",H115/F115)</f>
        <v/>
      </c>
      <c r="H115" s="408" t="str">
        <f ca="1">_xlfn.IFNA(VLOOKUP(F114,BEGIN_CURRENT_HEALTH:END_CURRENT_HEALTH,CURRENT_COL_EOContrib,FALSE),"")</f>
        <v/>
      </c>
      <c r="I115" s="409" t="str">
        <f ca="1">IFERROR(F115-H115,"")</f>
        <v/>
      </c>
      <c r="J115" s="410" t="str">
        <f ca="1">IF(F115="","",H115*E115)</f>
        <v/>
      </c>
      <c r="K115" s="411"/>
      <c r="L115" s="408" t="str" cm="1">
        <f t="array" ca="1" aca="1" ref="L115">_xlfn.IFNA(VLOOKUP(INDIRECT("L"&amp;ROW()-1)&amp;"_"&amp;$D$12,BEGIN_RENEW_HEALTH:END_RENEW_HEALTH,RENEW_COL_EO,FALSE),"")</f>
        <v/>
      </c>
      <c r="M115" s="412" t="str">
        <f ca="1">IF(E115="","",E115)</f>
        <v/>
      </c>
      <c r="N115" s="413"/>
      <c r="O115" s="414"/>
      <c r="P115" s="415" t="str">
        <f>IFERROR(IF($N114="Keep Contribution Same",H115,IF($N114="Enter Percentages",IF(N115="","",N115*L115),IF($N114="Keep Percentage Same",IF(G115="","",G115*L115),IF($N114="Enter Dollar Amount",IF(O115="","",O115),"")))),"")</f>
        <v/>
      </c>
      <c r="Q115" s="408" t="str">
        <f ca="1">IFERROR(L115-P115,"")</f>
        <v/>
      </c>
      <c r="R115" s="410" t="str">
        <f>IFERROR(IF(P115="","",M115*P115),"")</f>
        <v/>
      </c>
      <c r="S115" s="411"/>
      <c r="T115" s="408" t="str" cm="1">
        <f t="array" ca="1" aca="1" ref="T115">_xlfn.IFNA(VLOOKUP(INDIRECT("T"&amp;ROW()-1)&amp;"_"&amp;$D$12,BEGIN_RENEW_HEALTH:END_RENEW_HEALTH,RENEW_COL_EO,FALSE),"")</f>
        <v/>
      </c>
      <c r="U115" s="412" t="str">
        <f ca="1">IF(E115="","",E115)</f>
        <v/>
      </c>
      <c r="V115" s="413"/>
      <c r="W115" s="414"/>
      <c r="X115" s="415" t="str">
        <f>IFERROR(IF($V114="Keep Contribution Same",H115,IF($V114="Enter Percentages",IF(V115="","",V115*T115),IF($V114="Keep Percentage Same",IF(G115="","",G115*T115),IF($V114="Enter Dollar Amount",IF(W115="","",W115),"")))),"")</f>
        <v/>
      </c>
      <c r="Y115" s="408" t="str">
        <f ca="1">IFERROR(T115-X115,"")</f>
        <v/>
      </c>
      <c r="Z115" s="410" t="str">
        <f>IFERROR(IF(X115="","",U115*X115),"")</f>
        <v/>
      </c>
    </row>
    <row r="116" spans="1:26" ht="18.75" customHeight="1">
      <c r="A116" s="140"/>
      <c r="B116" s="140"/>
      <c r="D116" s="172" t="s">
        <v>239</v>
      </c>
      <c r="E116" s="407" t="str">
        <f ca="1">_xlfn.IFNA(VLOOKUP(F114,BEGIN_CURRENT_HEALTH:END_CURRENT_HEALTH,CURRENT_COL_ES_count,FALSE),"")</f>
        <v/>
      </c>
      <c r="F116" s="408" t="str">
        <f ca="1">_xlfn.IFNA(VLOOKUP(F114,BEGIN_CURRENT_HEALTH:END_CURRENT_HEALTH,CURRENT_COL_ES,FALSE),"")</f>
        <v/>
      </c>
      <c r="G116" s="468" t="str">
        <f t="shared" ca="1" si="10"/>
        <v/>
      </c>
      <c r="H116" s="408" t="str">
        <f ca="1">_xlfn.IFNA(VLOOKUP(F114,BEGIN_CURRENT_HEALTH:END_CURRENT_HEALTH,CURRENT_COL_ESContrib,FALSE),"")</f>
        <v/>
      </c>
      <c r="I116" s="409" t="str">
        <f ca="1" t="shared" si="11" ref="I116:I118">IFERROR(F116-H116,"")</f>
        <v/>
      </c>
      <c r="J116" s="410" t="str">
        <f ca="1">IF(F116="","",H116*E116)</f>
        <v/>
      </c>
      <c r="K116" s="411"/>
      <c r="L116" s="408" t="str" cm="1">
        <f t="array" ca="1" aca="1" ref="L116">_xlfn.IFNA(VLOOKUP(INDIRECT("L"&amp;ROW()-2)&amp;"_"&amp;$D$12,BEGIN_RENEW_HEALTH:END_RENEW_HEALTH,RENEW_COL_ES,FALSE),"")</f>
        <v/>
      </c>
      <c r="M116" s="412" t="str">
        <f ca="1">IF(E116="","",E116)</f>
        <v/>
      </c>
      <c r="N116" s="413"/>
      <c r="O116" s="414"/>
      <c r="P116" s="415" t="str">
        <f>IFERROR(IF($N114="Keep Contribution Same",H116,IF($N114="Enter Percentages",IF(N116="","",N116*L116),IF($N114="Keep Percentage Same",IF(G116="","",G116*L116),IF($N114="Enter Dollar Amount",IF(O116="","",O116),"")))),"")</f>
        <v/>
      </c>
      <c r="Q116" s="408" t="str">
        <f ca="1">IFERROR(L116-P116,"")</f>
        <v/>
      </c>
      <c r="R116" s="410" t="str">
        <f>IFERROR(IF(P116="","",M116*P116),"")</f>
        <v/>
      </c>
      <c r="S116" s="411"/>
      <c r="T116" s="408" t="str" cm="1">
        <f t="array" ca="1" aca="1" ref="T116">_xlfn.IFNA(VLOOKUP(INDIRECT("T"&amp;ROW()-2)&amp;"_"&amp;$D$12,BEGIN_RENEW_HEALTH:END_RENEW_HEALTH,RENEW_COL_ES,FALSE),"")</f>
        <v/>
      </c>
      <c r="U116" s="412" t="str">
        <f ca="1" t="shared" si="12" ref="U116:U118">IF(E116="","",E116)</f>
        <v/>
      </c>
      <c r="V116" s="413"/>
      <c r="W116" s="414"/>
      <c r="X116" s="415" t="str">
        <f>IFERROR(IF($V114="Keep Contribution Same",H116,IF($V114="Enter Percentages",IF(V116="","",V116*T116),IF($V114="Keep Percentage Same",IF(G116="","",G116*T116),IF($V114="Enter Dollar Amount",IF(W116="","",W116),"")))),"")</f>
        <v/>
      </c>
      <c r="Y116" s="408" t="str">
        <f ca="1" t="shared" si="13" ref="Y116:Y118">IFERROR(T116-X116,"")</f>
        <v/>
      </c>
      <c r="Z116" s="410" t="str">
        <f t="shared" si="14" ref="Z116:Z118">IFERROR(IF(X116="","",U116*X116),"")</f>
        <v/>
      </c>
    </row>
    <row r="117" spans="1:26" ht="18.75" customHeight="1">
      <c r="A117" s="140"/>
      <c r="B117" s="140"/>
      <c r="D117" s="172" t="s">
        <v>240</v>
      </c>
      <c r="E117" s="407" t="str">
        <f ca="1">_xlfn.IFNA(VLOOKUP(F114,BEGIN_CURRENT_HEALTH:END_CURRENT_HEALTH,CURRENT_COL_EC_count,FALSE),"")</f>
        <v/>
      </c>
      <c r="F117" s="408" t="str">
        <f ca="1">_xlfn.IFNA(VLOOKUP(F114,BEGIN_CURRENT_HEALTH:END_CURRENT_HEALTH,CURRENT_COL_EC,FALSE),"")</f>
        <v/>
      </c>
      <c r="G117" s="468" t="str">
        <f t="shared" ca="1" si="10"/>
        <v/>
      </c>
      <c r="H117" s="408" t="str">
        <f ca="1">_xlfn.IFNA(VLOOKUP(F114,BEGIN_CURRENT_HEALTH:END_CURRENT_HEALTH,CURRENT_COL_ECContrib,FALSE),"")</f>
        <v/>
      </c>
      <c r="I117" s="409" t="str">
        <f t="shared" ca="1" si="11"/>
        <v/>
      </c>
      <c r="J117" s="410" t="str">
        <f ca="1">IF(F117="","",H117*E117)</f>
        <v/>
      </c>
      <c r="K117" s="411"/>
      <c r="L117" s="408" t="str" cm="1">
        <f t="array" ca="1" aca="1" ref="L117">_xlfn.IFNA(VLOOKUP(INDIRECT("L"&amp;ROW()-3)&amp;"_"&amp;$D$12,BEGIN_RENEW_HEALTH:END_RENEW_HEALTH,RENEW_COL_EC,FALSE),"")</f>
        <v/>
      </c>
      <c r="M117" s="412" t="str">
        <f ca="1">IF(E117="","",E117)</f>
        <v/>
      </c>
      <c r="N117" s="413"/>
      <c r="O117" s="414"/>
      <c r="P117" s="415" t="str">
        <f>IFERROR(IF($N114="Keep Contribution Same",H117,IF($N114="Enter Percentages",IF(N117="","",N117*L117),IF($N114="Keep Percentage Same",IF(G117="","",G117*L117),IF($N114="Enter Dollar Amount",IF(O117="","",O117),"")))),"")</f>
        <v/>
      </c>
      <c r="Q117" s="408" t="str">
        <f ca="1">IFERROR(L117-P117,"")</f>
        <v/>
      </c>
      <c r="R117" s="410" t="str">
        <f>IFERROR(IF(P117="","",M117*P117),"")</f>
        <v/>
      </c>
      <c r="S117" s="411"/>
      <c r="T117" s="408" t="str" cm="1">
        <f t="array" ca="1" aca="1" ref="T117">_xlfn.IFNA(VLOOKUP(INDIRECT("T"&amp;ROW()-3)&amp;"_"&amp;$D$12,BEGIN_RENEW_HEALTH:END_RENEW_HEALTH,RENEW_COL_EC,FALSE),"")</f>
        <v/>
      </c>
      <c r="U117" s="412" t="str">
        <f t="shared" ca="1" si="12"/>
        <v/>
      </c>
      <c r="V117" s="413"/>
      <c r="W117" s="414"/>
      <c r="X117" s="415" t="str">
        <f>IFERROR(IF($V114="Keep Contribution Same",H117,IF($V114="Enter Percentages",IF(V117="","",V117*T117),IF($V114="Keep Percentage Same",IF(G117="","",G117*T117),IF($V114="Enter Dollar Amount",IF(W117="","",W117),"")))),"")</f>
        <v/>
      </c>
      <c r="Y117" s="408" t="str">
        <f t="shared" ca="1" si="13"/>
        <v/>
      </c>
      <c r="Z117" s="410" t="str">
        <f t="shared" si="14"/>
        <v/>
      </c>
    </row>
    <row r="118" spans="1:26" ht="18.75" customHeight="1" thickBot="1">
      <c r="A118" s="140"/>
      <c r="B118" s="140"/>
      <c r="D118" s="174" t="s">
        <v>241</v>
      </c>
      <c r="E118" s="416" t="str">
        <f ca="1">_xlfn.IFNA(VLOOKUP(F114,BEGIN_CURRENT_HEALTH:END_CURRENT_HEALTH,CURRENT_COL_FAM_count,FALSE),"")</f>
        <v/>
      </c>
      <c r="F118" s="417" t="str">
        <f ca="1">_xlfn.IFNA(VLOOKUP(F114,BEGIN_CURRENT_HEALTH:END_CURRENT_HEALTH,CURRENT_COL_FAM,FALSE),"")</f>
        <v/>
      </c>
      <c r="G118" s="469" t="str">
        <f t="shared" ca="1" si="10"/>
        <v/>
      </c>
      <c r="H118" s="417" t="str">
        <f ca="1">_xlfn.IFNA(VLOOKUP(F114,BEGIN_CURRENT_HEALTH:END_CURRENT_HEALTH,CURRENT_COL_FAMContrib,FALSE),"")</f>
        <v/>
      </c>
      <c r="I118" s="418" t="str">
        <f t="shared" ca="1" si="11"/>
        <v/>
      </c>
      <c r="J118" s="419" t="str">
        <f ca="1">IF(F118="","",H118*E118)</f>
        <v/>
      </c>
      <c r="K118" s="411"/>
      <c r="L118" s="417" t="str" cm="1">
        <f t="array" ca="1" aca="1" ref="L118">_xlfn.IFNA(VLOOKUP(INDIRECT("L"&amp;ROW()-4)&amp;"_"&amp;$D$12,BEGIN_RENEW_HEALTH:END_RENEW_HEALTH,RENEW_COL_FAM,FALSE),"")</f>
        <v/>
      </c>
      <c r="M118" s="423" t="str">
        <f ca="1">IF(E118="","",E118)</f>
        <v/>
      </c>
      <c r="N118" s="420"/>
      <c r="O118" s="421"/>
      <c r="P118" s="422" t="str">
        <f>IFERROR(IF($N114="Keep Contribution Same",H118,IF($N114="Enter Percentages",IF(N118="","",N118*L118),IF($N114="Keep Percentage Same",IF(G118="","",G118*L118),IF($N114="Enter Dollar Amount",IF(O118="","",O118),"")))),"")</f>
        <v/>
      </c>
      <c r="Q118" s="417" t="str">
        <f ca="1">IFERROR(L118-P118,"")</f>
        <v/>
      </c>
      <c r="R118" s="419" t="str">
        <f>IFERROR(IF(P118="","",M118*P118),"")</f>
        <v/>
      </c>
      <c r="S118" s="411"/>
      <c r="T118" s="417" t="str" cm="1">
        <f t="array" ca="1" aca="1" ref="T118">_xlfn.IFNA(VLOOKUP(INDIRECT("T"&amp;ROW()-4)&amp;"_"&amp;$D$12,BEGIN_RENEW_HEALTH:END_RENEW_HEALTH,RENEW_COL_FAM,FALSE),"")</f>
        <v/>
      </c>
      <c r="U118" s="423" t="str">
        <f t="shared" ca="1" si="12"/>
        <v/>
      </c>
      <c r="V118" s="420"/>
      <c r="W118" s="421"/>
      <c r="X118" s="422" t="str">
        <f>IFERROR(IF($V114="Keep Contribution Same",H118,IF($V114="Enter Percentages",IF(V118="","",V118*T118),IF($V114="Keep Percentage Same",IF(G118="","",G118*T118),IF($V114="Enter Dollar Amount",IF(W118="","",W118),"")))),"")</f>
        <v/>
      </c>
      <c r="Y118" s="417" t="str">
        <f t="shared" ca="1" si="13"/>
        <v/>
      </c>
      <c r="Z118" s="419" t="str">
        <f t="shared" si="14"/>
        <v/>
      </c>
    </row>
    <row r="119" spans="1:26" ht="18.75" customHeight="1" thickTop="1">
      <c r="A119" s="140"/>
      <c r="B119" s="140"/>
      <c r="D119" s="175" t="s">
        <v>242</v>
      </c>
      <c r="E119" s="424"/>
      <c r="F119" s="447" t="str">
        <f ca="1">IFERROR((F115*E115)+(F116*E116)+(F117*E117)+(F118*E118),"")</f>
        <v/>
      </c>
      <c r="G119" s="426"/>
      <c r="H119" s="427"/>
      <c r="I119" s="428"/>
      <c r="J119" s="429" t="str">
        <f ca="1">IFERROR(IF(J115="","",SUM(J115:J118)),0)</f>
        <v/>
      </c>
      <c r="K119" s="1"/>
      <c r="L119" s="430" t="str">
        <f ca="1">IFERROR((M115*L115)+(M116*L116)+(M117*L117)+(M118*L118),"")</f>
        <v/>
      </c>
      <c r="M119" s="427"/>
      <c r="N119" s="426"/>
      <c r="O119" s="427"/>
      <c r="P119" s="431"/>
      <c r="Q119" s="432"/>
      <c r="R119" s="429" t="str">
        <f>IFERROR(IF(R115="","",SUM(R115:R118)),0)</f>
        <v/>
      </c>
      <c r="T119" s="430" t="str">
        <f ca="1">IFERROR((U115*T115)+(U116*T116)+(U117*T117)+(U118*T118),"")</f>
        <v/>
      </c>
      <c r="U119" s="427"/>
      <c r="V119" s="426"/>
      <c r="W119" s="427"/>
      <c r="X119" s="431"/>
      <c r="Y119" s="432"/>
      <c r="Z119" s="429" t="str">
        <f>IFERROR(IF(Z115="","",SUM(Z115:Z118)),0)</f>
        <v/>
      </c>
    </row>
    <row r="120" spans="1:26" ht="18.75" customHeight="1">
      <c r="A120" s="140"/>
      <c r="B120" s="140"/>
      <c r="D120" s="177" t="s">
        <v>243</v>
      </c>
      <c r="E120" s="433"/>
      <c r="F120" s="448" t="str">
        <f ca="1">IFERROR(F119*12,"")</f>
        <v/>
      </c>
      <c r="G120" s="435"/>
      <c r="H120" s="436"/>
      <c r="I120" s="432"/>
      <c r="J120" s="437" t="str">
        <f ca="1">IF(J119="","",J119*12)</f>
        <v/>
      </c>
      <c r="K120" s="1"/>
      <c r="L120" s="438" t="str">
        <f ca="1">IFERROR(L119*12,"")</f>
        <v/>
      </c>
      <c r="M120" s="436"/>
      <c r="N120" s="435"/>
      <c r="O120" s="436"/>
      <c r="P120" s="432"/>
      <c r="Q120" s="432"/>
      <c r="R120" s="437" t="str">
        <f>IF(R119="","",R119*12)</f>
        <v/>
      </c>
      <c r="T120" s="438" t="str">
        <f ca="1">IFERROR(T119*12,"")</f>
        <v/>
      </c>
      <c r="U120" s="436"/>
      <c r="V120" s="435"/>
      <c r="W120" s="436"/>
      <c r="X120" s="432"/>
      <c r="Y120" s="432"/>
      <c r="Z120" s="437" t="str">
        <f>IF(Z119="","",Z119*12)</f>
        <v/>
      </c>
    </row>
    <row r="121" spans="1:26" ht="18" customHeight="1">
      <c r="A121" s="140"/>
      <c r="B121" s="140"/>
      <c r="D121" s="177" t="s">
        <v>244</v>
      </c>
      <c r="E121" s="433"/>
      <c r="F121" s="436"/>
      <c r="G121" s="435"/>
      <c r="H121" s="436"/>
      <c r="I121" s="432"/>
      <c r="J121" s="437"/>
      <c r="K121" s="1"/>
      <c r="L121" s="434" t="str">
        <f ca="1">IFERROR(L120-F120,"")</f>
        <v/>
      </c>
      <c r="M121" s="436"/>
      <c r="N121" s="435"/>
      <c r="O121" s="436"/>
      <c r="P121" s="432"/>
      <c r="Q121" s="432"/>
      <c r="R121" s="437" t="str">
        <f ca="1">IFERROR(IF(J120="","",R120-J120),0)</f>
        <v/>
      </c>
      <c r="T121" s="434" t="str">
        <f ca="1">IFERROR(T120-F120,"")</f>
        <v/>
      </c>
      <c r="U121" s="436"/>
      <c r="V121" s="435"/>
      <c r="W121" s="436"/>
      <c r="X121" s="432"/>
      <c r="Y121" s="432"/>
      <c r="Z121" s="437" t="str">
        <f>IFERROR(IF(R120="","",Z120-R120),0)</f>
        <v/>
      </c>
    </row>
    <row r="122" spans="1:26" ht="18" customHeight="1" thickBot="1">
      <c r="A122" s="140"/>
      <c r="B122" s="140"/>
      <c r="D122" s="180" t="s">
        <v>245</v>
      </c>
      <c r="E122" s="439"/>
      <c r="F122" s="440"/>
      <c r="G122" s="441"/>
      <c r="H122" s="440"/>
      <c r="I122" s="442"/>
      <c r="J122" s="443"/>
      <c r="K122" s="1"/>
      <c r="L122" s="444" t="str">
        <f ca="1">IFERROR(L120/F120-1,"")</f>
        <v/>
      </c>
      <c r="M122" s="440"/>
      <c r="N122" s="441"/>
      <c r="O122" s="440"/>
      <c r="P122" s="445"/>
      <c r="Q122" s="445"/>
      <c r="R122" s="446" t="str">
        <f ca="1">IFERROR(IF(J120="","",(R120/J120)-1),0)</f>
        <v/>
      </c>
      <c r="T122" s="444" t="str">
        <f ca="1">IFERROR(T120/F120-1,"")</f>
        <v/>
      </c>
      <c r="U122" s="440"/>
      <c r="V122" s="441"/>
      <c r="W122" s="440"/>
      <c r="X122" s="445"/>
      <c r="Y122" s="445"/>
      <c r="Z122" s="446" t="str">
        <f>IFERROR(IF(R120="","",(Z120/R120)-1),0)</f>
        <v/>
      </c>
    </row>
    <row r="123" spans="1:26" ht="18" customHeight="1">
      <c r="A123" s="140"/>
      <c r="B123" s="140"/>
      <c r="D123" s="181" t="s">
        <v>246</v>
      </c>
      <c r="E123" s="182"/>
      <c r="F123" s="182"/>
      <c r="G123" s="182"/>
      <c r="H123" s="182"/>
      <c r="I123" s="182"/>
      <c r="J123" s="183"/>
      <c r="K123"/>
      <c r="L123" s="184"/>
      <c r="M123" s="182"/>
      <c r="N123" s="182"/>
      <c r="O123" s="182"/>
      <c r="P123" s="182"/>
      <c r="Q123" s="182"/>
      <c r="R123" s="183"/>
      <c r="T123" s="184"/>
      <c r="U123" s="182"/>
      <c r="V123" s="182"/>
      <c r="W123" s="182"/>
      <c r="X123" s="182"/>
      <c r="Y123" s="182"/>
      <c r="Z123" s="183"/>
    </row>
    <row r="124" spans="1:26" ht="18" customHeight="1" hidden="1">
      <c r="A124" s="140"/>
      <c r="B124" s="140"/>
      <c r="D124" s="185" t="s">
        <v>247</v>
      </c>
      <c r="E124" s="186"/>
      <c r="F124" s="186"/>
      <c r="G124" s="186"/>
      <c r="H124" s="186"/>
      <c r="I124" s="186"/>
      <c r="J124" s="187"/>
      <c r="K124"/>
      <c r="L124" s="188"/>
      <c r="M124" s="186"/>
      <c r="N124" s="186"/>
      <c r="O124" s="186"/>
      <c r="P124" s="186"/>
      <c r="Q124" s="186"/>
      <c r="R124" s="187"/>
      <c r="T124" s="188"/>
      <c r="U124" s="186"/>
      <c r="V124" s="186"/>
      <c r="W124" s="186"/>
      <c r="X124" s="186"/>
      <c r="Y124" s="186"/>
      <c r="Z124" s="187"/>
    </row>
    <row r="125" spans="1:26" ht="18" customHeight="1" hidden="1">
      <c r="A125" s="140"/>
      <c r="B125" s="140"/>
      <c r="D125" s="189" t="s">
        <v>248</v>
      </c>
      <c r="E125" s="190" t="str">
        <f>D114&amp;"_"&amp;D12</f>
        <v>_</v>
      </c>
      <c r="F125" s="191"/>
      <c r="G125" s="191"/>
      <c r="H125" s="191"/>
      <c r="I125" s="190"/>
      <c r="J125" s="192"/>
      <c r="K125"/>
      <c r="L125" s="193" t="str">
        <f ca="1">L114&amp;"_"&amp;D12</f>
        <v>SELECT PLAN_</v>
      </c>
      <c r="M125" s="191"/>
      <c r="N125" s="191"/>
      <c r="O125" s="191"/>
      <c r="P125" s="190"/>
      <c r="Q125" s="191"/>
      <c r="R125" s="192"/>
      <c r="T125" s="193" t="str">
        <f>T114&amp;"_"&amp;D12</f>
        <v>SELECT PLAN_</v>
      </c>
      <c r="U125" s="191"/>
      <c r="V125" s="191"/>
      <c r="W125" s="191"/>
      <c r="X125" s="190"/>
      <c r="Y125" s="191"/>
      <c r="Z125" s="192"/>
    </row>
    <row r="126" spans="1:26" ht="18" customHeight="1" hidden="1">
      <c r="A126" s="140"/>
      <c r="B126" s="140"/>
      <c r="D126" s="189" t="s">
        <v>249</v>
      </c>
      <c r="E126" s="191"/>
      <c r="F126" s="191"/>
      <c r="G126" s="191"/>
      <c r="H126" s="191"/>
      <c r="I126" s="191"/>
      <c r="J126" s="192"/>
      <c r="K126"/>
      <c r="L126" s="189"/>
      <c r="M126" s="191"/>
      <c r="N126" s="191"/>
      <c r="O126" s="191"/>
      <c r="P126" s="191"/>
      <c r="Q126" s="191"/>
      <c r="R126" s="192"/>
      <c r="T126" s="189"/>
      <c r="U126" s="191"/>
      <c r="V126" s="191"/>
      <c r="W126" s="191"/>
      <c r="X126" s="191"/>
      <c r="Y126" s="191"/>
      <c r="Z126" s="192"/>
    </row>
    <row r="127" spans="1:26" ht="18" customHeight="1" hidden="1">
      <c r="A127" s="140"/>
      <c r="B127" s="140"/>
      <c r="D127" s="194" t="s">
        <v>250</v>
      </c>
      <c r="E127" s="195"/>
      <c r="F127" s="195"/>
      <c r="G127" s="195"/>
      <c r="H127" s="195"/>
      <c r="I127" s="195"/>
      <c r="J127" s="196"/>
      <c r="K127"/>
      <c r="L127" s="197"/>
      <c r="M127" s="195"/>
      <c r="N127" s="195"/>
      <c r="O127" s="195"/>
      <c r="P127" s="195"/>
      <c r="Q127" s="195"/>
      <c r="R127" s="196"/>
      <c r="T127" s="197"/>
      <c r="U127" s="195"/>
      <c r="V127" s="195"/>
      <c r="W127" s="195"/>
      <c r="X127" s="195"/>
      <c r="Y127" s="195"/>
      <c r="Z127" s="196"/>
    </row>
    <row r="128" spans="1:26" ht="18" customHeight="1" hidden="1">
      <c r="A128" s="140"/>
      <c r="B128" s="140"/>
      <c r="D128" s="198" t="s">
        <v>251</v>
      </c>
      <c r="E128" s="199" t="str">
        <f>_xlfn.XLOOKUP(E125,CurrentPlans!B:B,CurrentPlans!X:X,"NA",0,1)</f>
        <v>NA</v>
      </c>
      <c r="F128" s="200"/>
      <c r="G128" s="200"/>
      <c r="H128" s="200"/>
      <c r="I128" s="199"/>
      <c r="J128" s="201"/>
      <c r="K128"/>
      <c r="L128" s="202" t="str">
        <f ca="1">_xlfn.XLOOKUP(L125,RenewalPlans!B:B,RenewalPlans!AA:AA,"NA",0,1)</f>
        <v>NA</v>
      </c>
      <c r="M128" s="200"/>
      <c r="N128" s="200"/>
      <c r="O128" s="200"/>
      <c r="P128" s="199"/>
      <c r="Q128" s="200"/>
      <c r="R128" s="201"/>
      <c r="T128" s="202" t="str">
        <f>_xlfn.XLOOKUP(T125,RenewalPlans!B:B,RenewalPlans!AA:AA,"NA",0,1)</f>
        <v>NA</v>
      </c>
      <c r="U128" s="200"/>
      <c r="V128" s="200"/>
      <c r="W128" s="200"/>
      <c r="X128" s="199"/>
      <c r="Y128" s="200"/>
      <c r="Z128" s="201"/>
    </row>
    <row r="129" spans="1:26" ht="18" customHeight="1" hidden="1">
      <c r="A129" s="140"/>
      <c r="B129" s="140"/>
      <c r="D129" s="198" t="s">
        <v>252</v>
      </c>
      <c r="E129" s="199" t="str">
        <f>_xlfn.XLOOKUP(E125,CurrentPlans!B:B,CurrentPlans!Y:Y,"NA",0,1)</f>
        <v>NA</v>
      </c>
      <c r="F129" s="200"/>
      <c r="G129" s="200"/>
      <c r="H129" s="200"/>
      <c r="I129" s="199"/>
      <c r="J129" s="201"/>
      <c r="K129"/>
      <c r="L129" s="202" t="str">
        <f ca="1">_xlfn.XLOOKUP(L125,RenewalPlans!B:B,RenewalPlans!AB:AB,"NA",0,1)</f>
        <v>NA</v>
      </c>
      <c r="M129" s="200"/>
      <c r="N129" s="200"/>
      <c r="O129" s="200"/>
      <c r="P129" s="199"/>
      <c r="Q129" s="200"/>
      <c r="R129" s="201"/>
      <c r="T129" s="202" t="str">
        <f>_xlfn.XLOOKUP(T125,RenewalPlans!B:B,RenewalPlans!AB:AB,"NA",0,1)</f>
        <v>NA</v>
      </c>
      <c r="U129" s="200"/>
      <c r="V129" s="200"/>
      <c r="W129" s="200"/>
      <c r="X129" s="199"/>
      <c r="Y129" s="200"/>
      <c r="Z129" s="201"/>
    </row>
    <row r="130" spans="1:26" ht="18" customHeight="1" hidden="1">
      <c r="A130" s="140"/>
      <c r="B130" s="140"/>
      <c r="D130" s="120" t="s">
        <v>253</v>
      </c>
      <c r="E130" s="121" t="str">
        <f>_xlfn.XLOOKUP(E125,CurrentPlans!B:B,CurrentPlans!W:W,"NA",0,1)</f>
        <v>NA</v>
      </c>
      <c r="F130" s="122"/>
      <c r="G130" s="122"/>
      <c r="H130" s="122"/>
      <c r="I130" s="121"/>
      <c r="J130" s="123"/>
      <c r="K130"/>
      <c r="L130" s="124" t="str">
        <f ca="1">_xlfn.XLOOKUP(L125,RenewalPlans!B:B,RenewalPlans!Z:Z,"NA",0,1)</f>
        <v>NA</v>
      </c>
      <c r="M130" s="122"/>
      <c r="N130" s="122"/>
      <c r="O130" s="122"/>
      <c r="P130" s="121"/>
      <c r="Q130" s="122"/>
      <c r="R130" s="123"/>
      <c r="T130" s="124" t="str">
        <f>_xlfn.XLOOKUP(T125,RenewalPlans!B:B,RenewalPlans!Z:Z,"NA",0,1)</f>
        <v>NA</v>
      </c>
      <c r="U130" s="122"/>
      <c r="V130" s="122"/>
      <c r="W130" s="122"/>
      <c r="X130" s="121"/>
      <c r="Y130" s="122"/>
      <c r="Z130" s="123"/>
    </row>
    <row r="131" spans="1:26" ht="18" customHeight="1" hidden="1">
      <c r="A131" s="140"/>
      <c r="B131" s="140"/>
      <c r="D131" s="203" t="s">
        <v>254</v>
      </c>
      <c r="E131" s="204"/>
      <c r="F131" s="205"/>
      <c r="G131" s="205"/>
      <c r="H131" s="205"/>
      <c r="I131" s="204"/>
      <c r="J131" s="206"/>
      <c r="K131"/>
      <c r="L131" s="207"/>
      <c r="M131" s="205"/>
      <c r="N131" s="205"/>
      <c r="O131" s="205"/>
      <c r="P131" s="204"/>
      <c r="Q131" s="205"/>
      <c r="R131" s="206"/>
      <c r="T131" s="207"/>
      <c r="U131" s="205"/>
      <c r="V131" s="205"/>
      <c r="W131" s="205"/>
      <c r="X131" s="204"/>
      <c r="Y131" s="205"/>
      <c r="Z131" s="206"/>
    </row>
    <row r="132" spans="1:26" ht="18" customHeight="1" hidden="1">
      <c r="A132" s="140"/>
      <c r="B132" s="140"/>
      <c r="D132" s="125" t="s">
        <v>255</v>
      </c>
      <c r="E132" s="126" t="str">
        <f>_xlfn.XLOOKUP(E125,CurrentPlans!B:B,CurrentPlans!Z:Z,"NA",0,1)</f>
        <v>NA</v>
      </c>
      <c r="F132" s="127"/>
      <c r="G132" s="127"/>
      <c r="H132" s="127"/>
      <c r="I132" s="126"/>
      <c r="J132" s="128"/>
      <c r="K132"/>
      <c r="L132" s="129" t="str">
        <f ca="1">_xlfn.XLOOKUP(L125,RenewalPlans!B:B,RenewalPlans!AC:AC,"NA",0,1)</f>
        <v>NA</v>
      </c>
      <c r="M132" s="127"/>
      <c r="N132" s="127"/>
      <c r="O132" s="127"/>
      <c r="P132" s="126"/>
      <c r="Q132" s="127"/>
      <c r="R132" s="128"/>
      <c r="T132" s="129" t="str">
        <f>_xlfn.XLOOKUP(T125,RenewalPlans!B:B,RenewalPlans!AC:AC,"NA",0,1)</f>
        <v>NA</v>
      </c>
      <c r="U132" s="127"/>
      <c r="V132" s="127"/>
      <c r="W132" s="127"/>
      <c r="X132" s="126"/>
      <c r="Y132" s="127"/>
      <c r="Z132" s="128"/>
    </row>
    <row r="133" spans="1:26" ht="18" customHeight="1" hidden="1">
      <c r="A133" s="140"/>
      <c r="B133" s="140"/>
      <c r="D133" s="198" t="s">
        <v>256</v>
      </c>
      <c r="E133" s="208" t="str">
        <f>_xlfn.XLOOKUP(E125,CurrentPlans!B:B,CurrentPlans!AA:AA,"NA",0,1)</f>
        <v>NA</v>
      </c>
      <c r="F133" s="200"/>
      <c r="G133" s="200"/>
      <c r="H133" s="200"/>
      <c r="I133" s="208"/>
      <c r="J133" s="201"/>
      <c r="K133"/>
      <c r="L133" s="209" t="str">
        <f ca="1">_xlfn.XLOOKUP(L125,RenewalPlans!B:B,RenewalPlans!AD:AD,"NA",0,1)</f>
        <v>NA</v>
      </c>
      <c r="M133" s="200"/>
      <c r="N133" s="200"/>
      <c r="O133" s="200"/>
      <c r="P133" s="208"/>
      <c r="Q133" s="200"/>
      <c r="R133" s="201"/>
      <c r="T133" s="209" t="str">
        <f>_xlfn.XLOOKUP(T125,RenewalPlans!B:B,RenewalPlans!AD:AD,"NA",0,1)</f>
        <v>NA</v>
      </c>
      <c r="U133" s="200"/>
      <c r="V133" s="200"/>
      <c r="W133" s="200"/>
      <c r="X133" s="208"/>
      <c r="Y133" s="200"/>
      <c r="Z133" s="201"/>
    </row>
    <row r="134" spans="1:26" ht="18" customHeight="1" hidden="1">
      <c r="A134" s="140"/>
      <c r="B134" s="140"/>
      <c r="D134" s="203" t="s">
        <v>257</v>
      </c>
      <c r="E134" s="204"/>
      <c r="F134" s="205"/>
      <c r="G134" s="205"/>
      <c r="H134" s="205"/>
      <c r="I134" s="204"/>
      <c r="J134" s="206"/>
      <c r="K134"/>
      <c r="L134" s="207"/>
      <c r="M134" s="205"/>
      <c r="N134" s="205"/>
      <c r="O134" s="205"/>
      <c r="P134" s="204"/>
      <c r="Q134" s="205"/>
      <c r="R134" s="206"/>
      <c r="T134" s="207"/>
      <c r="U134" s="205"/>
      <c r="V134" s="205"/>
      <c r="W134" s="205"/>
      <c r="X134" s="204"/>
      <c r="Y134" s="205"/>
      <c r="Z134" s="206"/>
    </row>
    <row r="135" spans="1:26" ht="18" customHeight="1" hidden="1">
      <c r="A135" s="140"/>
      <c r="B135" s="140"/>
      <c r="D135" s="198" t="s">
        <v>258</v>
      </c>
      <c r="E135" s="208" t="str">
        <f>_xlfn.XLOOKUP(E125,CurrentPlans!B:B,CurrentPlans!AB:AB,"NA",0,1)</f>
        <v>NA</v>
      </c>
      <c r="F135" s="200"/>
      <c r="G135" s="200"/>
      <c r="H135" s="200"/>
      <c r="I135" s="208"/>
      <c r="J135" s="201"/>
      <c r="K135"/>
      <c r="L135" s="209" t="str">
        <f ca="1">_xlfn.XLOOKUP(L125,RenewalPlans!B:B,RenewalPlans!AE:AE,"NA",0,1)</f>
        <v>NA</v>
      </c>
      <c r="M135" s="200"/>
      <c r="N135" s="200"/>
      <c r="O135" s="200"/>
      <c r="P135" s="208"/>
      <c r="Q135" s="200"/>
      <c r="R135" s="201"/>
      <c r="T135" s="209" t="str">
        <f>_xlfn.XLOOKUP(T125,RenewalPlans!B:B,RenewalPlans!AE:AE,"NA",0,1)</f>
        <v>NA</v>
      </c>
      <c r="U135" s="200"/>
      <c r="V135" s="200"/>
      <c r="W135" s="200"/>
      <c r="X135" s="208"/>
      <c r="Y135" s="200"/>
      <c r="Z135" s="201"/>
    </row>
    <row r="136" spans="1:26" ht="18" customHeight="1" hidden="1">
      <c r="A136" s="140"/>
      <c r="B136" s="140"/>
      <c r="D136" s="198" t="s">
        <v>259</v>
      </c>
      <c r="E136" s="208" t="str">
        <f>_xlfn.XLOOKUP(E125,CurrentPlans!B:B,CurrentPlans!AC:AC,"NA",0,1)</f>
        <v>NA</v>
      </c>
      <c r="F136" s="200"/>
      <c r="G136" s="200"/>
      <c r="H136" s="200"/>
      <c r="I136" s="208"/>
      <c r="J136" s="201"/>
      <c r="K136"/>
      <c r="L136" s="209" t="str">
        <f ca="1">_xlfn.XLOOKUP(L125,RenewalPlans!B:B,RenewalPlans!AF:AF,"NA",0,1)</f>
        <v>NA</v>
      </c>
      <c r="M136" s="200"/>
      <c r="N136" s="200"/>
      <c r="O136" s="200"/>
      <c r="P136" s="208"/>
      <c r="Q136" s="200"/>
      <c r="R136" s="201"/>
      <c r="T136" s="209" t="str">
        <f>_xlfn.XLOOKUP(T125,RenewalPlans!B:B,RenewalPlans!AF:AF,"NA",0,1)</f>
        <v>NA</v>
      </c>
      <c r="U136" s="200"/>
      <c r="V136" s="200"/>
      <c r="W136" s="200"/>
      <c r="X136" s="208"/>
      <c r="Y136" s="200"/>
      <c r="Z136" s="201"/>
    </row>
    <row r="137" spans="1:26" ht="18" customHeight="1" hidden="1">
      <c r="A137" s="140"/>
      <c r="B137" s="140"/>
      <c r="D137" s="210"/>
      <c r="E137" s="211"/>
      <c r="F137" s="211"/>
      <c r="G137" s="211"/>
      <c r="H137" s="211"/>
      <c r="I137" s="211"/>
      <c r="J137" s="212"/>
      <c r="K137"/>
      <c r="L137" s="210"/>
      <c r="M137" s="211"/>
      <c r="N137" s="211"/>
      <c r="O137" s="211"/>
      <c r="P137" s="211"/>
      <c r="Q137" s="211"/>
      <c r="R137" s="212"/>
      <c r="T137" s="210"/>
      <c r="U137" s="211"/>
      <c r="V137" s="211"/>
      <c r="W137" s="211"/>
      <c r="X137" s="211"/>
      <c r="Y137" s="211"/>
      <c r="Z137" s="212"/>
    </row>
    <row r="138" spans="1:26" ht="18" customHeight="1" hidden="1">
      <c r="A138" s="140"/>
      <c r="B138" s="140"/>
      <c r="D138" s="185" t="s">
        <v>260</v>
      </c>
      <c r="E138" s="186"/>
      <c r="F138" s="186"/>
      <c r="G138" s="186"/>
      <c r="H138" s="186"/>
      <c r="I138" s="186"/>
      <c r="J138" s="187"/>
      <c r="K138"/>
      <c r="L138" s="188"/>
      <c r="M138" s="186"/>
      <c r="N138" s="186"/>
      <c r="O138" s="186"/>
      <c r="P138" s="186"/>
      <c r="Q138" s="186"/>
      <c r="R138" s="187"/>
      <c r="T138" s="188"/>
      <c r="U138" s="186"/>
      <c r="V138" s="186"/>
      <c r="W138" s="186"/>
      <c r="X138" s="186"/>
      <c r="Y138" s="186"/>
      <c r="Z138" s="187"/>
    </row>
    <row r="139" spans="1:26" ht="18" customHeight="1" hidden="1">
      <c r="A139" s="140"/>
      <c r="B139" s="140"/>
      <c r="D139" s="213" t="s">
        <v>261</v>
      </c>
      <c r="E139" s="130" t="str">
        <f>_xlfn.XLOOKUP(E125,CurrentPlans!B:B,CurrentPlans!AJ:AJ,"NA",0,1)</f>
        <v>NA</v>
      </c>
      <c r="F139" s="214"/>
      <c r="G139" s="214"/>
      <c r="H139" s="214"/>
      <c r="I139" s="130"/>
      <c r="J139" s="215"/>
      <c r="K139"/>
      <c r="L139" s="131" t="str">
        <f ca="1">_xlfn.XLOOKUP(L125,RenewalPlans!B:B,RenewalPlans!AM:AM,"NA",0,1)</f>
        <v>NA</v>
      </c>
      <c r="M139" s="214"/>
      <c r="N139" s="214"/>
      <c r="O139" s="214"/>
      <c r="P139" s="130"/>
      <c r="Q139" s="214"/>
      <c r="R139" s="215"/>
      <c r="T139" s="131" t="str">
        <f>_xlfn.XLOOKUP(T125,RenewalPlans!B:B,RenewalPlans!AM:AM,"NA",0,1)</f>
        <v>NA</v>
      </c>
      <c r="U139" s="214"/>
      <c r="V139" s="214"/>
      <c r="W139" s="214"/>
      <c r="X139" s="130"/>
      <c r="Y139" s="214"/>
      <c r="Z139" s="215"/>
    </row>
    <row r="140" spans="1:26" ht="18" customHeight="1" hidden="1">
      <c r="A140" s="140"/>
      <c r="B140" s="140"/>
      <c r="D140" s="198" t="s">
        <v>262</v>
      </c>
      <c r="E140" s="130" t="str">
        <f>_xlfn.XLOOKUP(E125,CurrentPlans!B:B,CurrentPlans!AM:AM,"NA",0,1)</f>
        <v>NA</v>
      </c>
      <c r="F140" s="200"/>
      <c r="G140" s="200"/>
      <c r="H140" s="200"/>
      <c r="I140" s="130"/>
      <c r="J140" s="201"/>
      <c r="K140"/>
      <c r="L140" s="131" t="str">
        <f ca="1">_xlfn.XLOOKUP(L125,RenewalPlans!B:B,RenewalPlans!AP:AP,"NA",0,1)</f>
        <v>NA</v>
      </c>
      <c r="M140" s="200"/>
      <c r="N140" s="200"/>
      <c r="O140" s="200"/>
      <c r="P140" s="130"/>
      <c r="Q140" s="200"/>
      <c r="R140" s="201"/>
      <c r="T140" s="131" t="str">
        <f>_xlfn.XLOOKUP(T125,RenewalPlans!B:B,RenewalPlans!AP:AP,"NA",0,1)</f>
        <v>NA</v>
      </c>
      <c r="U140" s="200"/>
      <c r="V140" s="200"/>
      <c r="W140" s="200"/>
      <c r="X140" s="130"/>
      <c r="Y140" s="200"/>
      <c r="Z140" s="201"/>
    </row>
    <row r="141" spans="1:26" ht="18" customHeight="1" hidden="1">
      <c r="A141" s="140"/>
      <c r="B141" s="140"/>
      <c r="D141" s="198" t="s">
        <v>263</v>
      </c>
      <c r="E141" s="130" t="str">
        <f>_xlfn.XLOOKUP(E125,CurrentPlans!B:B,CurrentPlans!AI:AI,"NA",0,1)</f>
        <v>NA</v>
      </c>
      <c r="F141" s="200"/>
      <c r="G141" s="200"/>
      <c r="H141" s="200"/>
      <c r="I141" s="130"/>
      <c r="J141" s="201"/>
      <c r="K141"/>
      <c r="L141" s="131" t="str">
        <f ca="1">_xlfn.XLOOKUP(L125,RenewalPlans!B:B,RenewalPlans!AL:AL,"NA",0,1)</f>
        <v>NA</v>
      </c>
      <c r="M141" s="200"/>
      <c r="N141" s="200"/>
      <c r="O141" s="200"/>
      <c r="P141" s="130"/>
      <c r="Q141" s="200"/>
      <c r="R141" s="201"/>
      <c r="T141" s="131" t="str">
        <f>_xlfn.XLOOKUP(T125,RenewalPlans!B:B,RenewalPlans!AL:AL,"NA",0,1)</f>
        <v>NA</v>
      </c>
      <c r="U141" s="200"/>
      <c r="V141" s="200"/>
      <c r="W141" s="200"/>
      <c r="X141" s="130"/>
      <c r="Y141" s="200"/>
      <c r="Z141" s="201"/>
    </row>
    <row r="142" spans="1:26" ht="18" customHeight="1" hidden="1">
      <c r="A142" s="140"/>
      <c r="B142" s="140"/>
      <c r="D142" s="198" t="s">
        <v>264</v>
      </c>
      <c r="E142" s="208" t="str">
        <f>_xlfn.XLOOKUP(E125,CurrentPlans!B:B,CurrentPlans!AN:AN,"NA",0,1)</f>
        <v>NA</v>
      </c>
      <c r="F142" s="200"/>
      <c r="G142" s="200"/>
      <c r="H142" s="200"/>
      <c r="I142" s="208"/>
      <c r="J142" s="201"/>
      <c r="K142"/>
      <c r="L142" s="209" t="str">
        <f ca="1">_xlfn.XLOOKUP(L125,RenewalPlans!B:B,RenewalPlans!AQ:AQ,"NA",0,1)</f>
        <v>NA</v>
      </c>
      <c r="M142" s="200"/>
      <c r="N142" s="200"/>
      <c r="O142" s="200"/>
      <c r="P142" s="208"/>
      <c r="Q142" s="200"/>
      <c r="R142" s="201"/>
      <c r="T142" s="209" t="str">
        <f>_xlfn.XLOOKUP(T125,RenewalPlans!B:B,RenewalPlans!AQ:AQ,"NA",0,1)</f>
        <v>NA</v>
      </c>
      <c r="U142" s="200"/>
      <c r="V142" s="200"/>
      <c r="W142" s="200"/>
      <c r="X142" s="208"/>
      <c r="Y142" s="200"/>
      <c r="Z142" s="201"/>
    </row>
    <row r="143" spans="1:26" ht="18" customHeight="1" hidden="1">
      <c r="A143" s="140"/>
      <c r="B143" s="140"/>
      <c r="D143" s="210"/>
      <c r="E143" s="211"/>
      <c r="F143" s="211"/>
      <c r="G143" s="211"/>
      <c r="H143" s="211"/>
      <c r="I143" s="211"/>
      <c r="J143" s="212"/>
      <c r="K143"/>
      <c r="L143" s="210"/>
      <c r="M143" s="211"/>
      <c r="N143" s="211"/>
      <c r="O143" s="211"/>
      <c r="P143" s="211"/>
      <c r="Q143" s="211"/>
      <c r="R143" s="212"/>
      <c r="T143" s="210"/>
      <c r="U143" s="211"/>
      <c r="V143" s="211"/>
      <c r="W143" s="211"/>
      <c r="X143" s="211"/>
      <c r="Y143" s="211"/>
      <c r="Z143" s="212"/>
    </row>
    <row r="144" spans="1:26" ht="18" customHeight="1" hidden="1">
      <c r="A144" s="140"/>
      <c r="B144" s="140"/>
      <c r="D144" s="185" t="s">
        <v>265</v>
      </c>
      <c r="E144" s="186"/>
      <c r="F144" s="186"/>
      <c r="G144" s="186"/>
      <c r="H144" s="186"/>
      <c r="I144" s="186"/>
      <c r="J144" s="187"/>
      <c r="K144"/>
      <c r="L144" s="188"/>
      <c r="M144" s="186"/>
      <c r="N144" s="186"/>
      <c r="O144" s="186"/>
      <c r="P144" s="186"/>
      <c r="Q144" s="186"/>
      <c r="R144" s="187"/>
      <c r="T144" s="188"/>
      <c r="U144" s="186"/>
      <c r="V144" s="186"/>
      <c r="W144" s="186"/>
      <c r="X144" s="186"/>
      <c r="Y144" s="186"/>
      <c r="Z144" s="187"/>
    </row>
    <row r="145" spans="1:26" ht="18" customHeight="1" hidden="1">
      <c r="A145" s="140"/>
      <c r="B145" s="140"/>
      <c r="D145" s="132" t="s">
        <v>266</v>
      </c>
      <c r="E145" s="133" t="str">
        <f>_xlfn.XLOOKUP(E125,CurrentPlans!B:B,CurrentPlans!AE:AE,"NA",0,1)</f>
        <v>NA</v>
      </c>
      <c r="F145" s="134"/>
      <c r="G145" s="134"/>
      <c r="H145" s="134"/>
      <c r="I145" s="133"/>
      <c r="J145" s="135"/>
      <c r="K145"/>
      <c r="L145" s="136" t="str">
        <f ca="1">_xlfn.XLOOKUP(L125,RenewalPlans!B:B,RenewalPlans!AH:AH,"NA",0,1)</f>
        <v>NA</v>
      </c>
      <c r="M145" s="134"/>
      <c r="N145" s="134"/>
      <c r="O145" s="134"/>
      <c r="P145" s="133"/>
      <c r="Q145" s="134"/>
      <c r="R145" s="135"/>
      <c r="T145" s="136" t="str">
        <f>_xlfn.XLOOKUP(T125,RenewalPlans!B:B,RenewalPlans!AH:AH,"NA",0,1)</f>
        <v>NA</v>
      </c>
      <c r="U145" s="134"/>
      <c r="V145" s="134"/>
      <c r="W145" s="134"/>
      <c r="X145" s="133"/>
      <c r="Y145" s="134"/>
      <c r="Z145" s="135"/>
    </row>
    <row r="146" spans="1:26" ht="18" customHeight="1" hidden="1">
      <c r="A146" s="140"/>
      <c r="B146" s="140"/>
      <c r="D146" s="120" t="s">
        <v>267</v>
      </c>
      <c r="E146" s="130" t="str">
        <f>_xlfn.XLOOKUP(E125,CurrentPlans!B:B,CurrentPlans!AF:AF,"NA",0,1)</f>
        <v>NA</v>
      </c>
      <c r="F146" s="122"/>
      <c r="G146" s="122"/>
      <c r="H146" s="122"/>
      <c r="I146" s="130"/>
      <c r="J146" s="123"/>
      <c r="K146"/>
      <c r="L146" s="131" t="str">
        <f ca="1">_xlfn.XLOOKUP(L125,RenewalPlans!B:B,RenewalPlans!AI:AI,"NA",0,1)</f>
        <v>NA</v>
      </c>
      <c r="M146" s="122"/>
      <c r="N146" s="122"/>
      <c r="O146" s="122"/>
      <c r="P146" s="130"/>
      <c r="Q146" s="122"/>
      <c r="R146" s="123"/>
      <c r="T146" s="131" t="str">
        <f>_xlfn.XLOOKUP(T125,RenewalPlans!B:B,RenewalPlans!AI:AI,"NA",0,1)</f>
        <v>NA</v>
      </c>
      <c r="U146" s="122"/>
      <c r="V146" s="122"/>
      <c r="W146" s="122"/>
      <c r="X146" s="130"/>
      <c r="Y146" s="122"/>
      <c r="Z146" s="123"/>
    </row>
    <row r="147" spans="1:26" ht="18" customHeight="1" hidden="1">
      <c r="A147" s="140"/>
      <c r="B147" s="140"/>
      <c r="D147" s="198" t="s">
        <v>268</v>
      </c>
      <c r="E147" s="130" t="str">
        <f>_xlfn.XLOOKUP(E125,CurrentPlans!B:B,CurrentPlans!AH:AH,"NA",0,1)</f>
        <v>NA</v>
      </c>
      <c r="F147" s="200"/>
      <c r="G147" s="200"/>
      <c r="H147" s="200"/>
      <c r="I147" s="130"/>
      <c r="J147" s="201"/>
      <c r="K147"/>
      <c r="L147" s="131" t="str">
        <f ca="1">_xlfn.XLOOKUP(L125,RenewalPlans!B:B,RenewalPlans!AK:AK,"NA",0,1)</f>
        <v>NA</v>
      </c>
      <c r="M147" s="200"/>
      <c r="N147" s="200"/>
      <c r="O147" s="200"/>
      <c r="P147" s="130"/>
      <c r="Q147" s="200"/>
      <c r="R147" s="201"/>
      <c r="T147" s="131" t="str">
        <f>_xlfn.XLOOKUP(T125,RenewalPlans!B:B,RenewalPlans!AK:AK,"NA",0,1)</f>
        <v>NA</v>
      </c>
      <c r="U147" s="200"/>
      <c r="V147" s="200"/>
      <c r="W147" s="200"/>
      <c r="X147" s="130"/>
      <c r="Y147" s="200"/>
      <c r="Z147" s="201"/>
    </row>
    <row r="148" spans="1:26" ht="18" customHeight="1" hidden="1">
      <c r="A148" s="140"/>
      <c r="B148" s="140"/>
      <c r="D148" s="198" t="s">
        <v>269</v>
      </c>
      <c r="E148" s="130" t="str">
        <f>_xlfn.XLOOKUP(E125,CurrentPlans!B:B,CurrentPlans!AG:AG,"NA",0,1)</f>
        <v>NA</v>
      </c>
      <c r="F148" s="200"/>
      <c r="G148" s="200"/>
      <c r="H148" s="200"/>
      <c r="I148" s="130"/>
      <c r="J148" s="201"/>
      <c r="K148"/>
      <c r="L148" s="131" t="str">
        <f ca="1">_xlfn.XLOOKUP(L125,RenewalPlans!B:B,RenewalPlans!AJ:AJ,"NA",0,1)</f>
        <v>NA</v>
      </c>
      <c r="M148" s="200"/>
      <c r="N148" s="200"/>
      <c r="O148" s="200"/>
      <c r="P148" s="130"/>
      <c r="Q148" s="200"/>
      <c r="R148" s="201"/>
      <c r="T148" s="131" t="str">
        <f>_xlfn.XLOOKUP(T125,RenewalPlans!B:B,RenewalPlans!AJ:AJ,"NA",0,1)</f>
        <v>NA</v>
      </c>
      <c r="U148" s="200"/>
      <c r="V148" s="200"/>
      <c r="W148" s="200"/>
      <c r="X148" s="130"/>
      <c r="Y148" s="200"/>
      <c r="Z148" s="201"/>
    </row>
    <row r="149" spans="1:26" ht="18" customHeight="1" hidden="1">
      <c r="A149" s="140"/>
      <c r="B149" s="140"/>
      <c r="D149" s="213" t="s">
        <v>270</v>
      </c>
      <c r="E149" s="216" t="str">
        <f>_xlfn.XLOOKUP(E125,CurrentPlans!B:B,CurrentPlans!AU:AU,"NA",0,1)</f>
        <v>NA</v>
      </c>
      <c r="F149" s="214"/>
      <c r="G149" s="214"/>
      <c r="H149" s="214"/>
      <c r="I149" s="217"/>
      <c r="J149" s="215"/>
      <c r="K149"/>
      <c r="L149" s="218" t="str">
        <f ca="1">_xlfn.XLOOKUP(L125,RenewalPlans!B:B,RenewalPlans!AX:AX,"NA",0,1)</f>
        <v>NA</v>
      </c>
      <c r="M149" s="214"/>
      <c r="N149" s="214"/>
      <c r="O149" s="214"/>
      <c r="P149" s="217"/>
      <c r="Q149" s="214"/>
      <c r="R149" s="215"/>
      <c r="T149" s="218" t="str">
        <f>_xlfn.XLOOKUP(T125,RenewalPlans!B:B,RenewalPlans!AX:AX,"NA",0,1)</f>
        <v>NA</v>
      </c>
      <c r="U149" s="214"/>
      <c r="V149" s="214"/>
      <c r="W149" s="214"/>
      <c r="X149" s="217"/>
      <c r="Y149" s="214"/>
      <c r="Z149" s="215"/>
    </row>
    <row r="150" spans="1:26" ht="18" customHeight="1" hidden="1">
      <c r="A150" s="140"/>
      <c r="B150" s="140"/>
      <c r="D150" s="213" t="s">
        <v>271</v>
      </c>
      <c r="E150" s="216" t="str">
        <f>_xlfn.XLOOKUP(E125,CurrentPlans!B:B,CurrentPlans!AT:AT,"NA",0,1)</f>
        <v>NA</v>
      </c>
      <c r="F150" s="214"/>
      <c r="G150" s="214"/>
      <c r="H150" s="214"/>
      <c r="I150" s="217"/>
      <c r="J150" s="215"/>
      <c r="K150"/>
      <c r="L150" s="218" t="str">
        <f ca="1">_xlfn.XLOOKUP(L125,RenewalPlans!B:B,RenewalPlans!AW:AW,"NA",0,1)</f>
        <v>NA</v>
      </c>
      <c r="M150" s="214"/>
      <c r="N150" s="214"/>
      <c r="O150" s="214"/>
      <c r="P150" s="217"/>
      <c r="Q150" s="214"/>
      <c r="R150" s="215"/>
      <c r="T150" s="218" t="str">
        <f>_xlfn.XLOOKUP(T125,RenewalPlans!B:B,RenewalPlans!AW:AW,"NA",0,1)</f>
        <v>NA</v>
      </c>
      <c r="U150" s="214"/>
      <c r="V150" s="214"/>
      <c r="W150" s="214"/>
      <c r="X150" s="217"/>
      <c r="Y150" s="214"/>
      <c r="Z150" s="215"/>
    </row>
    <row r="151" spans="1:26" ht="18" customHeight="1" hidden="1">
      <c r="A151" s="140"/>
      <c r="B151" s="140"/>
      <c r="D151" s="198" t="s">
        <v>272</v>
      </c>
      <c r="E151" s="130" t="str">
        <f>_xlfn.XLOOKUP(E125,CurrentPlans!B:B,CurrentPlans!AD:AD,"NA",0,1)</f>
        <v>NA</v>
      </c>
      <c r="F151" s="200"/>
      <c r="G151" s="200"/>
      <c r="H151" s="200"/>
      <c r="I151" s="130"/>
      <c r="J151" s="201"/>
      <c r="K151"/>
      <c r="L151" s="131" t="str">
        <f ca="1">_xlfn.XLOOKUP(L125,RenewalPlans!B:B,RenewalPlans!AG:AG,"NA",0,1)</f>
        <v>NA</v>
      </c>
      <c r="M151" s="200"/>
      <c r="N151" s="200"/>
      <c r="O151" s="200"/>
      <c r="P151" s="130"/>
      <c r="Q151" s="200"/>
      <c r="R151" s="201"/>
      <c r="T151" s="131" t="str">
        <f>_xlfn.XLOOKUP(T125,RenewalPlans!B:B,RenewalPlans!AG:AG,"NA",0,1)</f>
        <v>NA</v>
      </c>
      <c r="U151" s="200"/>
      <c r="V151" s="200"/>
      <c r="W151" s="200"/>
      <c r="X151" s="130"/>
      <c r="Y151" s="200"/>
      <c r="Z151" s="201"/>
    </row>
    <row r="152" spans="1:26" ht="18" customHeight="1" hidden="1">
      <c r="A152" s="140"/>
      <c r="B152" s="140"/>
      <c r="D152" s="198" t="s">
        <v>273</v>
      </c>
      <c r="E152" s="200"/>
      <c r="F152" s="200"/>
      <c r="G152" s="200"/>
      <c r="H152" s="200"/>
      <c r="I152" s="200"/>
      <c r="J152" s="201"/>
      <c r="K152"/>
      <c r="L152" s="198"/>
      <c r="M152" s="200"/>
      <c r="N152" s="200"/>
      <c r="O152" s="200"/>
      <c r="P152" s="200"/>
      <c r="Q152" s="200"/>
      <c r="R152" s="201"/>
      <c r="T152" s="198"/>
      <c r="U152" s="200"/>
      <c r="V152" s="200"/>
      <c r="W152" s="200"/>
      <c r="X152" s="200"/>
      <c r="Y152" s="200"/>
      <c r="Z152" s="201"/>
    </row>
    <row r="153" spans="1:26" ht="18" customHeight="1" hidden="1">
      <c r="A153" s="140"/>
      <c r="B153" s="140"/>
      <c r="D153" s="210"/>
      <c r="E153" s="211"/>
      <c r="F153" s="211"/>
      <c r="G153" s="211"/>
      <c r="H153" s="211"/>
      <c r="I153" s="211"/>
      <c r="J153" s="212"/>
      <c r="K153"/>
      <c r="L153" s="210"/>
      <c r="M153" s="211"/>
      <c r="N153" s="211"/>
      <c r="O153" s="211"/>
      <c r="P153" s="211"/>
      <c r="Q153" s="211"/>
      <c r="R153" s="212"/>
      <c r="T153" s="210"/>
      <c r="U153" s="211"/>
      <c r="V153" s="211"/>
      <c r="W153" s="211"/>
      <c r="X153" s="211"/>
      <c r="Y153" s="211"/>
      <c r="Z153" s="212"/>
    </row>
    <row r="154" spans="1:26" ht="18" customHeight="1" hidden="1">
      <c r="A154" s="140"/>
      <c r="B154" s="140"/>
      <c r="D154" s="219" t="s">
        <v>274</v>
      </c>
      <c r="E154" s="220"/>
      <c r="F154" s="220"/>
      <c r="G154" s="220"/>
      <c r="H154" s="220"/>
      <c r="I154" s="220"/>
      <c r="J154" s="221"/>
      <c r="K154"/>
      <c r="L154" s="222"/>
      <c r="M154" s="220"/>
      <c r="N154" s="220"/>
      <c r="O154" s="220"/>
      <c r="P154" s="220"/>
      <c r="Q154" s="220"/>
      <c r="R154" s="221"/>
      <c r="T154" s="222"/>
      <c r="U154" s="220"/>
      <c r="V154" s="220"/>
      <c r="W154" s="220"/>
      <c r="X154" s="220"/>
      <c r="Y154" s="220"/>
      <c r="Z154" s="221"/>
    </row>
    <row r="155" spans="1:26" ht="18" customHeight="1" hidden="1">
      <c r="A155" s="140"/>
      <c r="B155" s="140"/>
      <c r="D155" s="223" t="s">
        <v>250</v>
      </c>
      <c r="E155" s="205"/>
      <c r="F155" s="205"/>
      <c r="G155" s="205"/>
      <c r="H155" s="205"/>
      <c r="I155" s="205"/>
      <c r="J155" s="206"/>
      <c r="K155"/>
      <c r="L155" s="203"/>
      <c r="M155" s="205"/>
      <c r="N155" s="205"/>
      <c r="O155" s="205"/>
      <c r="P155" s="205"/>
      <c r="Q155" s="205"/>
      <c r="R155" s="206"/>
      <c r="T155" s="203"/>
      <c r="U155" s="205"/>
      <c r="V155" s="205"/>
      <c r="W155" s="205"/>
      <c r="X155" s="205"/>
      <c r="Y155" s="205"/>
      <c r="Z155" s="206"/>
    </row>
    <row r="156" spans="1:26" ht="18" customHeight="1" hidden="1">
      <c r="A156" s="140"/>
      <c r="B156" s="140"/>
      <c r="D156" s="198" t="s">
        <v>251</v>
      </c>
      <c r="E156" s="130" t="str">
        <f>_xlfn.XLOOKUP(E125,CurrentPlans!B:B,CurrentPlans!AP:AP,"NA",0,1)</f>
        <v>NA</v>
      </c>
      <c r="F156" s="200"/>
      <c r="G156" s="200"/>
      <c r="H156" s="200"/>
      <c r="I156" s="130"/>
      <c r="J156" s="201"/>
      <c r="K156"/>
      <c r="L156" s="131" t="str">
        <f ca="1">_xlfn.XLOOKUP(L125,RenewalPlans!B:B,RenewalPlans!AS:AS,"NA",0,1)</f>
        <v>NA</v>
      </c>
      <c r="M156" s="200"/>
      <c r="N156" s="200"/>
      <c r="O156" s="200"/>
      <c r="P156" s="130"/>
      <c r="Q156" s="200"/>
      <c r="R156" s="201"/>
      <c r="T156" s="131" t="str">
        <f>_xlfn.XLOOKUP(T125,RenewalPlans!B:B,RenewalPlans!AS:AS,"NA",0,1)</f>
        <v>NA</v>
      </c>
      <c r="U156" s="200"/>
      <c r="V156" s="200"/>
      <c r="W156" s="200"/>
      <c r="X156" s="130"/>
      <c r="Y156" s="200"/>
      <c r="Z156" s="201"/>
    </row>
    <row r="157" spans="1:26" ht="18" customHeight="1" hidden="1">
      <c r="A157" s="140"/>
      <c r="B157" s="140"/>
      <c r="D157" s="198" t="s">
        <v>252</v>
      </c>
      <c r="E157" s="130" t="str">
        <f>_xlfn.XLOOKUP(E125,CurrentPlans!B:B,CurrentPlans!AQ:AQ,"NA",0,1)</f>
        <v>NA</v>
      </c>
      <c r="F157" s="200"/>
      <c r="G157" s="200"/>
      <c r="H157" s="200"/>
      <c r="I157" s="130"/>
      <c r="J157" s="201"/>
      <c r="K157"/>
      <c r="L157" s="131" t="str">
        <f ca="1">_xlfn.XLOOKUP(L125,RenewalPlans!B:B,RenewalPlans!AT:AT,"NA",0,1)</f>
        <v>NA</v>
      </c>
      <c r="M157" s="200"/>
      <c r="N157" s="200"/>
      <c r="O157" s="200"/>
      <c r="P157" s="130"/>
      <c r="Q157" s="200"/>
      <c r="R157" s="201"/>
      <c r="T157" s="131" t="str">
        <f>_xlfn.XLOOKUP(T125,RenewalPlans!B:B,RenewalPlans!AT:AT,"NA",0,1)</f>
        <v>NA</v>
      </c>
      <c r="U157" s="200"/>
      <c r="V157" s="200"/>
      <c r="W157" s="200"/>
      <c r="X157" s="130"/>
      <c r="Y157" s="200"/>
      <c r="Z157" s="201"/>
    </row>
    <row r="158" spans="1:26" ht="18" customHeight="1" hidden="1">
      <c r="A158" s="140"/>
      <c r="B158" s="140"/>
      <c r="D158" s="120" t="s">
        <v>253</v>
      </c>
      <c r="E158" s="133" t="str">
        <f>_xlfn.XLOOKUP(E125,CurrentPlans!B:B,CurrentPlans!AO:AO,"NA",0,1)</f>
        <v>NA</v>
      </c>
      <c r="F158" s="122"/>
      <c r="G158" s="122"/>
      <c r="H158" s="122"/>
      <c r="I158" s="133"/>
      <c r="J158" s="123"/>
      <c r="K158"/>
      <c r="L158" s="136" t="str">
        <f ca="1">_xlfn.XLOOKUP(L125,RenewalPlans!B:B,RenewalPlans!AR:AR,"NA",0,1)</f>
        <v>NA</v>
      </c>
      <c r="M158" s="122"/>
      <c r="N158" s="122"/>
      <c r="O158" s="122"/>
      <c r="P158" s="133"/>
      <c r="Q158" s="122"/>
      <c r="R158" s="123"/>
      <c r="T158" s="136" t="str">
        <f>_xlfn.XLOOKUP(T125,RenewalPlans!B:B,RenewalPlans!AR:AR,"NA",0,1)</f>
        <v>NA</v>
      </c>
      <c r="U158" s="122"/>
      <c r="V158" s="122"/>
      <c r="W158" s="122"/>
      <c r="X158" s="133"/>
      <c r="Y158" s="122"/>
      <c r="Z158" s="123"/>
    </row>
    <row r="159" spans="1:26" ht="18" customHeight="1" hidden="1">
      <c r="A159" s="140"/>
      <c r="B159" s="140"/>
      <c r="D159" s="223" t="s">
        <v>254</v>
      </c>
      <c r="E159" s="205"/>
      <c r="F159" s="205"/>
      <c r="G159" s="205"/>
      <c r="H159" s="205"/>
      <c r="I159" s="205"/>
      <c r="J159" s="206"/>
      <c r="K159"/>
      <c r="L159" s="203"/>
      <c r="M159" s="205"/>
      <c r="N159" s="205"/>
      <c r="O159" s="205"/>
      <c r="P159" s="205"/>
      <c r="Q159" s="205"/>
      <c r="R159" s="206"/>
      <c r="T159" s="203"/>
      <c r="U159" s="205"/>
      <c r="V159" s="205"/>
      <c r="W159" s="205"/>
      <c r="X159" s="205"/>
      <c r="Y159" s="205"/>
      <c r="Z159" s="206"/>
    </row>
    <row r="160" spans="1:26" ht="18" customHeight="1" hidden="1">
      <c r="A160" s="140"/>
      <c r="B160" s="140"/>
      <c r="D160" s="198" t="s">
        <v>255</v>
      </c>
      <c r="E160" s="130" t="str">
        <f>_xlfn.XLOOKUP(E125,CurrentPlans!B:B,CurrentPlans!AR:AR,"NA",0,1)</f>
        <v>NA</v>
      </c>
      <c r="F160" s="200"/>
      <c r="G160" s="200"/>
      <c r="H160" s="200"/>
      <c r="I160" s="130"/>
      <c r="J160" s="201"/>
      <c r="K160"/>
      <c r="L160" s="131" t="str">
        <f ca="1">_xlfn.XLOOKUP(L125,RenewalPlans!B:B,RenewalPlans!AU:AU,"NA",0,1)</f>
        <v>NA</v>
      </c>
      <c r="M160" s="200"/>
      <c r="N160" s="200"/>
      <c r="O160" s="200"/>
      <c r="P160" s="130"/>
      <c r="Q160" s="200"/>
      <c r="R160" s="201"/>
      <c r="T160" s="131" t="str">
        <f>_xlfn.XLOOKUP(T125,RenewalPlans!B:B,RenewalPlans!AU:AU,"NA",0,1)</f>
        <v>NA</v>
      </c>
      <c r="U160" s="200"/>
      <c r="V160" s="200"/>
      <c r="W160" s="200"/>
      <c r="X160" s="130"/>
      <c r="Y160" s="200"/>
      <c r="Z160" s="201"/>
    </row>
    <row r="161" spans="1:26" ht="18" customHeight="1" hidden="1" thickBot="1">
      <c r="A161" s="140"/>
      <c r="B161" s="140"/>
      <c r="D161" s="224" t="s">
        <v>256</v>
      </c>
      <c r="E161" s="137" t="str">
        <f>_xlfn.XLOOKUP(E125,CurrentPlans!B:B,CurrentPlans!AS:AS,"NA",0,1)</f>
        <v>NA</v>
      </c>
      <c r="F161" s="225"/>
      <c r="G161" s="225"/>
      <c r="H161" s="225"/>
      <c r="I161" s="137"/>
      <c r="J161" s="226"/>
      <c r="K161"/>
      <c r="L161" s="138" t="str">
        <f ca="1">_xlfn.XLOOKUP(L125,RenewalPlans!B:B,RenewalPlans!AV:AV,"NA",0,1)</f>
        <v>NA</v>
      </c>
      <c r="M161" s="225"/>
      <c r="N161" s="225"/>
      <c r="O161" s="225"/>
      <c r="P161" s="137"/>
      <c r="Q161" s="225"/>
      <c r="R161" s="226"/>
      <c r="T161" s="138" t="str">
        <f>_xlfn.XLOOKUP(T125,RenewalPlans!B:B,RenewalPlans!AV:AV,"NA",0,1)</f>
        <v>NA</v>
      </c>
      <c r="U161" s="225"/>
      <c r="V161" s="225"/>
      <c r="W161" s="225"/>
      <c r="X161" s="137"/>
      <c r="Y161" s="225"/>
      <c r="Z161" s="226"/>
    </row>
    <row r="162" spans="1:26" ht="18" customHeight="1">
      <c r="A162" s="140"/>
      <c r="B162" s="140"/>
      <c r="D162" s="227"/>
      <c r="E162" s="176"/>
      <c r="F162" s="178"/>
      <c r="G162" s="179"/>
      <c r="H162" s="178"/>
      <c r="I162" s="176"/>
      <c r="J162" s="228"/>
      <c r="K162"/>
      <c r="L162" s="178"/>
      <c r="M162" s="176"/>
      <c r="N162" s="139"/>
      <c r="O162" s="178"/>
      <c r="P162" s="178"/>
      <c r="Q162" s="178"/>
      <c r="R162" s="228"/>
      <c r="T162" s="178"/>
      <c r="U162" s="176"/>
      <c r="V162" s="139"/>
      <c r="W162" s="178"/>
      <c r="X162" s="178"/>
      <c r="Y162" s="178"/>
      <c r="Z162" s="228"/>
    </row>
    <row r="163" spans="1:26" ht="5.25" customHeight="1" thickBot="1">
      <c r="A163" s="140"/>
      <c r="B163" s="140"/>
      <c r="D163" s="229"/>
      <c r="E163" s="229"/>
      <c r="F163" s="230"/>
      <c r="G163" s="231"/>
      <c r="H163" s="232"/>
      <c r="I163" s="233"/>
      <c r="J163" s="233"/>
      <c r="K163"/>
      <c r="L163" s="233"/>
      <c r="M163" s="233"/>
      <c r="N163" s="233"/>
      <c r="O163" s="233"/>
      <c r="P163" s="233"/>
      <c r="Q163" s="233"/>
      <c r="R163" s="233"/>
      <c r="T163" s="233"/>
      <c r="U163" s="233"/>
      <c r="V163" s="233"/>
      <c r="W163" s="233"/>
      <c r="X163" s="233"/>
      <c r="Y163" s="233"/>
      <c r="Z163" s="233"/>
    </row>
    <row r="164" spans="1:26" ht="50.15" customHeight="1">
      <c r="A164" s="140">
        <v>4</v>
      </c>
      <c r="B164" s="140" t="str">
        <f>IF(A164&gt;Class5_CurrentHealthCount,"DELETE",Class5_CurrentHealthStart+A164)</f>
        <v>DELETE</v>
      </c>
      <c r="C164" s="164" t="s">
        <v>277</v>
      </c>
      <c r="D164" s="273" t="str">
        <f>IF(B164="Delete","",VLOOKUP(F164,BEGIN_CURRENT_HEALTH:END_CURRENT_HEALTH,3,FALSE))</f>
        <v/>
      </c>
      <c r="E164" s="165"/>
      <c r="F164" s="272" t="str" cm="1">
        <f t="array" ca="1" aca="1" ref="F164">IF(B164="Delete","",INDIRECT("CurrentPlans!A"&amp;B164,TRUE))</f>
        <v/>
      </c>
      <c r="G164" s="166"/>
      <c r="H164" s="167"/>
      <c r="I164" s="168"/>
      <c r="J164" s="169"/>
      <c r="K164"/>
      <c r="L164" s="274" t="str">
        <f ca="1">_xlfn.IFNA(VLOOKUP(F164,BEGIN_RENEWEDFROM_HEALTH:ROW_RenewHealth_PlanID,3,FALSE),"SELECT PLAN")</f>
        <v>SELECT PLAN</v>
      </c>
      <c r="M164" s="170"/>
      <c r="N164" s="274" t="s">
        <v>237</v>
      </c>
      <c r="O164" s="171"/>
      <c r="P164" s="171"/>
      <c r="Q164" s="171"/>
      <c r="R164" s="169"/>
      <c r="T164" s="274" t="s">
        <v>38</v>
      </c>
      <c r="U164" s="170"/>
      <c r="V164" s="274" t="s">
        <v>237</v>
      </c>
      <c r="W164" s="171"/>
      <c r="X164" s="171"/>
      <c r="Y164" s="171"/>
      <c r="Z164" s="169"/>
    </row>
    <row r="165" spans="1:26" ht="18.75" customHeight="1">
      <c r="A165" s="140"/>
      <c r="B165" s="140"/>
      <c r="D165" s="172" t="s">
        <v>238</v>
      </c>
      <c r="E165" s="407" t="str">
        <f ca="1">_xlfn.IFNA(VLOOKUP(F164,BEGIN_CURRENT_HEALTH:END_CURRENT_HEALTH,CURRENT_COL_EO_count,FALSE),"")</f>
        <v/>
      </c>
      <c r="F165" s="408" t="str">
        <f ca="1">_xlfn.IFNA(VLOOKUP(F164,BEGIN_CURRENT_HEALTH:END_CURRENT_HEALTH,CURRENT_COL_EO,FALSE),"")</f>
        <v/>
      </c>
      <c r="G165" s="468" t="str">
        <f ca="1" t="shared" si="15" ref="G165:G168">IF(F165="","",H165/F165)</f>
        <v/>
      </c>
      <c r="H165" s="408" t="str">
        <f ca="1">_xlfn.IFNA(VLOOKUP(F164,BEGIN_CURRENT_HEALTH:END_CURRENT_HEALTH,CURRENT_COL_EOContrib,FALSE),"")</f>
        <v/>
      </c>
      <c r="I165" s="409" t="str">
        <f ca="1">IFERROR(F165-H165,"")</f>
        <v/>
      </c>
      <c r="J165" s="410" t="str">
        <f ca="1">IF(F165="","",H165*E165)</f>
        <v/>
      </c>
      <c r="K165" s="411"/>
      <c r="L165" s="408" t="str" cm="1">
        <f t="array" ca="1" aca="1" ref="L165">_xlfn.IFNA(VLOOKUP(INDIRECT("L"&amp;ROW()-1)&amp;"_"&amp;$D$12,BEGIN_RENEW_HEALTH:END_RENEW_HEALTH,RENEW_COL_EO,FALSE),"")</f>
        <v/>
      </c>
      <c r="M165" s="412" t="str">
        <f ca="1">IF(E165="","",E165)</f>
        <v/>
      </c>
      <c r="N165" s="413"/>
      <c r="O165" s="414"/>
      <c r="P165" s="415" t="str">
        <f>IFERROR(IF($N164="Keep Contribution Same",H165,IF($N164="Enter Percentages",IF(N165="","",N165*L165),IF($N164="Keep Percentage Same",IF(G165="","",G165*L165),IF($N164="Enter Dollar Amount",IF(O165="","",O165),"")))),"")</f>
        <v/>
      </c>
      <c r="Q165" s="408" t="str">
        <f ca="1">IFERROR(L165-P165,"")</f>
        <v/>
      </c>
      <c r="R165" s="410" t="str">
        <f>IFERROR(IF(P165="","",M165*P165),"")</f>
        <v/>
      </c>
      <c r="S165" s="411"/>
      <c r="T165" s="408" t="str" cm="1">
        <f t="array" ca="1" aca="1" ref="T165">_xlfn.IFNA(VLOOKUP(INDIRECT("T"&amp;ROW()-1)&amp;"_"&amp;$D$12,BEGIN_RENEW_HEALTH:END_RENEW_HEALTH,RENEW_COL_EO,FALSE),"")</f>
        <v/>
      </c>
      <c r="U165" s="412" t="str">
        <f ca="1">IF(E165="","",E165)</f>
        <v/>
      </c>
      <c r="V165" s="413"/>
      <c r="W165" s="414"/>
      <c r="X165" s="415" t="str">
        <f>IFERROR(IF($V164="Keep Contribution Same",H165,IF($V164="Enter Percentages",IF(V165="","",V165*T165),IF($V164="Keep Percentage Same",IF(G165="","",G165*T165),IF($V164="Enter Dollar Amount",IF(W165="","",W165),"")))),"")</f>
        <v/>
      </c>
      <c r="Y165" s="408" t="str">
        <f ca="1">IFERROR(T165-X165,"")</f>
        <v/>
      </c>
      <c r="Z165" s="410" t="str">
        <f>IFERROR(IF(X165="","",U165*X165),"")</f>
        <v/>
      </c>
    </row>
    <row r="166" spans="1:26" ht="18.75" customHeight="1">
      <c r="A166" s="140"/>
      <c r="B166" s="140"/>
      <c r="D166" s="172" t="s">
        <v>239</v>
      </c>
      <c r="E166" s="407" t="str">
        <f ca="1">_xlfn.IFNA(VLOOKUP(F164,BEGIN_CURRENT_HEALTH:END_CURRENT_HEALTH,CURRENT_COL_ES_count,FALSE),"")</f>
        <v/>
      </c>
      <c r="F166" s="408" t="str">
        <f ca="1">_xlfn.IFNA(VLOOKUP(F164,BEGIN_CURRENT_HEALTH:END_CURRENT_HEALTH,CURRENT_COL_ES,FALSE),"")</f>
        <v/>
      </c>
      <c r="G166" s="468" t="str">
        <f t="shared" ca="1" si="15"/>
        <v/>
      </c>
      <c r="H166" s="408" t="str">
        <f ca="1">_xlfn.IFNA(VLOOKUP(F164,BEGIN_CURRENT_HEALTH:END_CURRENT_HEALTH,CURRENT_COL_ESContrib,FALSE),"")</f>
        <v/>
      </c>
      <c r="I166" s="409" t="str">
        <f ca="1" t="shared" si="16" ref="I166:I168">IFERROR(F166-H166,"")</f>
        <v/>
      </c>
      <c r="J166" s="410" t="str">
        <f ca="1">IF(F166="","",H166*E166)</f>
        <v/>
      </c>
      <c r="K166" s="411"/>
      <c r="L166" s="408" t="str" cm="1">
        <f t="array" ca="1" aca="1" ref="L166">_xlfn.IFNA(VLOOKUP(INDIRECT("L"&amp;ROW()-2)&amp;"_"&amp;$D$12,BEGIN_RENEW_HEALTH:END_RENEW_HEALTH,RENEW_COL_ES,FALSE),"")</f>
        <v/>
      </c>
      <c r="M166" s="412" t="str">
        <f ca="1">IF(E166="","",E166)</f>
        <v/>
      </c>
      <c r="N166" s="413"/>
      <c r="O166" s="414"/>
      <c r="P166" s="415" t="str">
        <f>IFERROR(IF($N164="Keep Contribution Same",H166,IF($N164="Enter Percentages",IF(N166="","",N166*L166),IF($N164="Keep Percentage Same",IF(G166="","",G166*L166),IF($N164="Enter Dollar Amount",IF(O166="","",O166),"")))),"")</f>
        <v/>
      </c>
      <c r="Q166" s="408" t="str">
        <f ca="1">IFERROR(L166-P166,"")</f>
        <v/>
      </c>
      <c r="R166" s="410" t="str">
        <f>IFERROR(IF(P166="","",M166*P166),"")</f>
        <v/>
      </c>
      <c r="S166" s="411"/>
      <c r="T166" s="408" t="str" cm="1">
        <f t="array" ca="1" aca="1" ref="T166">_xlfn.IFNA(VLOOKUP(INDIRECT("T"&amp;ROW()-2)&amp;"_"&amp;$D$12,BEGIN_RENEW_HEALTH:END_RENEW_HEALTH,RENEW_COL_ES,FALSE),"")</f>
        <v/>
      </c>
      <c r="U166" s="412" t="str">
        <f ca="1" t="shared" si="17" ref="U166:U168">IF(E166="","",E166)</f>
        <v/>
      </c>
      <c r="V166" s="413"/>
      <c r="W166" s="414"/>
      <c r="X166" s="415" t="str">
        <f>IFERROR(IF($V164="Keep Contribution Same",H166,IF($V164="Enter Percentages",IF(V166="","",V166*T166),IF($V164="Keep Percentage Same",IF(G166="","",G166*T166),IF($V164="Enter Dollar Amount",IF(W166="","",W166),"")))),"")</f>
        <v/>
      </c>
      <c r="Y166" s="408" t="str">
        <f ca="1" t="shared" si="18" ref="Y166:Y168">IFERROR(T166-X166,"")</f>
        <v/>
      </c>
      <c r="Z166" s="410" t="str">
        <f t="shared" si="19" ref="Z166:Z168">IFERROR(IF(X166="","",U166*X166),"")</f>
        <v/>
      </c>
    </row>
    <row r="167" spans="1:26" ht="18.75" customHeight="1">
      <c r="A167" s="140"/>
      <c r="B167" s="140"/>
      <c r="D167" s="172" t="s">
        <v>240</v>
      </c>
      <c r="E167" s="407" t="str">
        <f ca="1">_xlfn.IFNA(VLOOKUP(F164,BEGIN_CURRENT_HEALTH:END_CURRENT_HEALTH,CURRENT_COL_EC_count,FALSE),"")</f>
        <v/>
      </c>
      <c r="F167" s="408" t="str">
        <f ca="1">_xlfn.IFNA(VLOOKUP(F164,BEGIN_CURRENT_HEALTH:END_CURRENT_HEALTH,CURRENT_COL_EC,FALSE),"")</f>
        <v/>
      </c>
      <c r="G167" s="468" t="str">
        <f t="shared" ca="1" si="15"/>
        <v/>
      </c>
      <c r="H167" s="408" t="str">
        <f ca="1">_xlfn.IFNA(VLOOKUP(F164,BEGIN_CURRENT_HEALTH:END_CURRENT_HEALTH,CURRENT_COL_ECContrib,FALSE),"")</f>
        <v/>
      </c>
      <c r="I167" s="409" t="str">
        <f t="shared" ca="1" si="16"/>
        <v/>
      </c>
      <c r="J167" s="410" t="str">
        <f ca="1">IF(F167="","",H167*E167)</f>
        <v/>
      </c>
      <c r="K167" s="411"/>
      <c r="L167" s="408" t="str" cm="1">
        <f t="array" ca="1" aca="1" ref="L167">_xlfn.IFNA(VLOOKUP(INDIRECT("L"&amp;ROW()-3)&amp;"_"&amp;$D$12,BEGIN_RENEW_HEALTH:END_RENEW_HEALTH,RENEW_COL_EC,FALSE),"")</f>
        <v/>
      </c>
      <c r="M167" s="412" t="str">
        <f ca="1">IF(E167="","",E167)</f>
        <v/>
      </c>
      <c r="N167" s="413"/>
      <c r="O167" s="414"/>
      <c r="P167" s="415" t="str">
        <f>IFERROR(IF($N164="Keep Contribution Same",H167,IF($N164="Enter Percentages",IF(N167="","",N167*L167),IF($N164="Keep Percentage Same",IF(G167="","",G167*L167),IF($N164="Enter Dollar Amount",IF(O167="","",O167),"")))),"")</f>
        <v/>
      </c>
      <c r="Q167" s="408" t="str">
        <f ca="1">IFERROR(L167-P167,"")</f>
        <v/>
      </c>
      <c r="R167" s="410" t="str">
        <f>IFERROR(IF(P167="","",M167*P167),"")</f>
        <v/>
      </c>
      <c r="S167" s="411"/>
      <c r="T167" s="408" t="str" cm="1">
        <f t="array" ca="1" aca="1" ref="T167">_xlfn.IFNA(VLOOKUP(INDIRECT("T"&amp;ROW()-3)&amp;"_"&amp;$D$12,BEGIN_RENEW_HEALTH:END_RENEW_HEALTH,RENEW_COL_EC,FALSE),"")</f>
        <v/>
      </c>
      <c r="U167" s="412" t="str">
        <f t="shared" ca="1" si="17"/>
        <v/>
      </c>
      <c r="V167" s="413"/>
      <c r="W167" s="414"/>
      <c r="X167" s="415" t="str">
        <f>IFERROR(IF($V164="Keep Contribution Same",H167,IF($V164="Enter Percentages",IF(V167="","",V167*T167),IF($V164="Keep Percentage Same",IF(G167="","",G167*T167),IF($V164="Enter Dollar Amount",IF(W167="","",W167),"")))),"")</f>
        <v/>
      </c>
      <c r="Y167" s="408" t="str">
        <f t="shared" ca="1" si="18"/>
        <v/>
      </c>
      <c r="Z167" s="410" t="str">
        <f t="shared" si="19"/>
        <v/>
      </c>
    </row>
    <row r="168" spans="1:26" ht="18.75" customHeight="1" thickBot="1">
      <c r="A168" s="140"/>
      <c r="B168" s="140"/>
      <c r="D168" s="174" t="s">
        <v>241</v>
      </c>
      <c r="E168" s="416" t="str">
        <f ca="1">_xlfn.IFNA(VLOOKUP(F164,BEGIN_CURRENT_HEALTH:END_CURRENT_HEALTH,CURRENT_COL_FAM_count,FALSE),"")</f>
        <v/>
      </c>
      <c r="F168" s="417" t="str">
        <f ca="1">_xlfn.IFNA(VLOOKUP(F164,BEGIN_CURRENT_HEALTH:END_CURRENT_HEALTH,CURRENT_COL_FAM,FALSE),"")</f>
        <v/>
      </c>
      <c r="G168" s="469" t="str">
        <f t="shared" ca="1" si="15"/>
        <v/>
      </c>
      <c r="H168" s="417" t="str">
        <f ca="1">_xlfn.IFNA(VLOOKUP(F164,BEGIN_CURRENT_HEALTH:END_CURRENT_HEALTH,CURRENT_COL_FAMContrib,FALSE),"")</f>
        <v/>
      </c>
      <c r="I168" s="418" t="str">
        <f t="shared" ca="1" si="16"/>
        <v/>
      </c>
      <c r="J168" s="419" t="str">
        <f ca="1">IF(F168="","",H168*E168)</f>
        <v/>
      </c>
      <c r="K168" s="411"/>
      <c r="L168" s="417" t="str" cm="1">
        <f t="array" ca="1" aca="1" ref="L168">_xlfn.IFNA(VLOOKUP(INDIRECT("L"&amp;ROW()-4)&amp;"_"&amp;$D$12,BEGIN_RENEW_HEALTH:END_RENEW_HEALTH,RENEW_COL_FAM,FALSE),"")</f>
        <v/>
      </c>
      <c r="M168" s="423" t="str">
        <f ca="1">IF(E168="","",E168)</f>
        <v/>
      </c>
      <c r="N168" s="420"/>
      <c r="O168" s="421"/>
      <c r="P168" s="422" t="str">
        <f>IFERROR(IF($N164="Keep Contribution Same",H168,IF($N164="Enter Percentages",IF(N168="","",N168*L168),IF($N164="Keep Percentage Same",IF(G168="","",G168*L168),IF($N164="Enter Dollar Amount",IF(O168="","",O168),"")))),"")</f>
        <v/>
      </c>
      <c r="Q168" s="417" t="str">
        <f ca="1">IFERROR(L168-P168,"")</f>
        <v/>
      </c>
      <c r="R168" s="419" t="str">
        <f>IFERROR(IF(P168="","",M168*P168),"")</f>
        <v/>
      </c>
      <c r="S168" s="411"/>
      <c r="T168" s="417" t="str" cm="1">
        <f t="array" ca="1" aca="1" ref="T168">_xlfn.IFNA(VLOOKUP(INDIRECT("T"&amp;ROW()-4)&amp;"_"&amp;$D$12,BEGIN_RENEW_HEALTH:END_RENEW_HEALTH,RENEW_COL_FAM,FALSE),"")</f>
        <v/>
      </c>
      <c r="U168" s="423" t="str">
        <f t="shared" ca="1" si="17"/>
        <v/>
      </c>
      <c r="V168" s="420"/>
      <c r="W168" s="421"/>
      <c r="X168" s="422" t="str">
        <f>IFERROR(IF($V164="Keep Contribution Same",H168,IF($V164="Enter Percentages",IF(V168="","",V168*T168),IF($V164="Keep Percentage Same",IF(G168="","",G168*T168),IF($V164="Enter Dollar Amount",IF(W168="","",W168),"")))),"")</f>
        <v/>
      </c>
      <c r="Y168" s="417" t="str">
        <f t="shared" ca="1" si="18"/>
        <v/>
      </c>
      <c r="Z168" s="419" t="str">
        <f t="shared" si="19"/>
        <v/>
      </c>
    </row>
    <row r="169" spans="1:26" ht="18.75" customHeight="1" thickTop="1">
      <c r="A169" s="140"/>
      <c r="B169" s="140"/>
      <c r="D169" s="175" t="s">
        <v>242</v>
      </c>
      <c r="E169" s="424"/>
      <c r="F169" s="447" t="str">
        <f ca="1">IFERROR((F165*E165)+(F166*E166)+(F167*E167)+(F168*E168),"")</f>
        <v/>
      </c>
      <c r="G169" s="426"/>
      <c r="H169" s="427"/>
      <c r="I169" s="428"/>
      <c r="J169" s="429" t="str">
        <f ca="1">IFERROR(IF(J165="","",SUM(J165:J168)),0)</f>
        <v/>
      </c>
      <c r="K169" s="1"/>
      <c r="L169" s="430" t="str">
        <f ca="1">IFERROR((M165*L165)+(M166*L166)+(M167*L167)+(M168*L168),"")</f>
        <v/>
      </c>
      <c r="M169" s="427"/>
      <c r="N169" s="426"/>
      <c r="O169" s="427"/>
      <c r="P169" s="431"/>
      <c r="Q169" s="432"/>
      <c r="R169" s="429" t="str">
        <f>IFERROR(IF(R165="","",SUM(R165:R168)),0)</f>
        <v/>
      </c>
      <c r="T169" s="430" t="str">
        <f ca="1">IFERROR((U165*T165)+(U166*T166)+(U167*T167)+(U168*T168),"")</f>
        <v/>
      </c>
      <c r="U169" s="427"/>
      <c r="V169" s="426"/>
      <c r="W169" s="427"/>
      <c r="X169" s="431"/>
      <c r="Y169" s="432"/>
      <c r="Z169" s="429" t="str">
        <f>IFERROR(IF(Z165="","",SUM(Z165:Z168)),0)</f>
        <v/>
      </c>
    </row>
    <row r="170" spans="1:26" ht="18.75" customHeight="1">
      <c r="A170" s="140"/>
      <c r="B170" s="140"/>
      <c r="D170" s="177" t="s">
        <v>243</v>
      </c>
      <c r="E170" s="433"/>
      <c r="F170" s="448" t="str">
        <f ca="1">IFERROR(F169*12,"")</f>
        <v/>
      </c>
      <c r="G170" s="435"/>
      <c r="H170" s="436"/>
      <c r="I170" s="432"/>
      <c r="J170" s="437" t="str">
        <f ca="1">IF(J169="","",J169*12)</f>
        <v/>
      </c>
      <c r="K170" s="1"/>
      <c r="L170" s="438" t="str">
        <f ca="1">IFERROR(L169*12,"")</f>
        <v/>
      </c>
      <c r="M170" s="436"/>
      <c r="N170" s="435"/>
      <c r="O170" s="436"/>
      <c r="P170" s="432"/>
      <c r="Q170" s="432"/>
      <c r="R170" s="437" t="str">
        <f>IF(R169="","",R169*12)</f>
        <v/>
      </c>
      <c r="T170" s="438" t="str">
        <f ca="1">IFERROR(T169*12,"")</f>
        <v/>
      </c>
      <c r="U170" s="436"/>
      <c r="V170" s="435"/>
      <c r="W170" s="436"/>
      <c r="X170" s="432"/>
      <c r="Y170" s="432"/>
      <c r="Z170" s="437" t="str">
        <f>IF(Z169="","",Z169*12)</f>
        <v/>
      </c>
    </row>
    <row r="171" spans="1:26" ht="18" customHeight="1">
      <c r="A171" s="140"/>
      <c r="B171" s="140"/>
      <c r="D171" s="177" t="s">
        <v>244</v>
      </c>
      <c r="E171" s="433"/>
      <c r="F171" s="436"/>
      <c r="G171" s="435"/>
      <c r="H171" s="436"/>
      <c r="I171" s="432"/>
      <c r="J171" s="437"/>
      <c r="K171" s="1"/>
      <c r="L171" s="434" t="str">
        <f ca="1">IFERROR(L170-F170,"")</f>
        <v/>
      </c>
      <c r="M171" s="436"/>
      <c r="N171" s="435"/>
      <c r="O171" s="436"/>
      <c r="P171" s="432"/>
      <c r="Q171" s="432"/>
      <c r="R171" s="437" t="str">
        <f ca="1">IFERROR(IF(J170="","",R170-J170),0)</f>
        <v/>
      </c>
      <c r="T171" s="434" t="str">
        <f ca="1">IFERROR(T170-F170,"")</f>
        <v/>
      </c>
      <c r="U171" s="436"/>
      <c r="V171" s="435"/>
      <c r="W171" s="436"/>
      <c r="X171" s="432"/>
      <c r="Y171" s="432"/>
      <c r="Z171" s="437" t="str">
        <f>IFERROR(IF(R170="","",Z170-R170),0)</f>
        <v/>
      </c>
    </row>
    <row r="172" spans="1:26" ht="18" customHeight="1" thickBot="1">
      <c r="A172" s="140"/>
      <c r="B172" s="140"/>
      <c r="D172" s="180" t="s">
        <v>245</v>
      </c>
      <c r="E172" s="439"/>
      <c r="F172" s="440"/>
      <c r="G172" s="441"/>
      <c r="H172" s="440"/>
      <c r="I172" s="442"/>
      <c r="J172" s="443"/>
      <c r="K172" s="1"/>
      <c r="L172" s="444" t="str">
        <f ca="1">IFERROR(L170/F170-1,"")</f>
        <v/>
      </c>
      <c r="M172" s="440"/>
      <c r="N172" s="441"/>
      <c r="O172" s="440"/>
      <c r="P172" s="445"/>
      <c r="Q172" s="445"/>
      <c r="R172" s="446" t="str">
        <f ca="1">IFERROR(IF(J170="","",(R170/J170)-1),0)</f>
        <v/>
      </c>
      <c r="T172" s="444" t="str">
        <f ca="1">IFERROR(T170/F170-1,"")</f>
        <v/>
      </c>
      <c r="U172" s="440"/>
      <c r="V172" s="441"/>
      <c r="W172" s="440"/>
      <c r="X172" s="445"/>
      <c r="Y172" s="445"/>
      <c r="Z172" s="446" t="str">
        <f>IFERROR(IF(R170="","",(Z170/R170)-1),0)</f>
        <v/>
      </c>
    </row>
    <row r="173" spans="4:26" ht="18" customHeight="1">
      <c r="D173" s="181" t="s">
        <v>246</v>
      </c>
      <c r="E173" s="182"/>
      <c r="F173" s="182"/>
      <c r="G173" s="182"/>
      <c r="H173" s="182"/>
      <c r="I173" s="182"/>
      <c r="J173" s="183"/>
      <c r="K173"/>
      <c r="L173" s="184"/>
      <c r="M173" s="182"/>
      <c r="N173" s="182"/>
      <c r="O173" s="182"/>
      <c r="P173" s="182"/>
      <c r="Q173" s="182"/>
      <c r="R173" s="183"/>
      <c r="T173" s="184"/>
      <c r="U173" s="182"/>
      <c r="V173" s="182"/>
      <c r="W173" s="182"/>
      <c r="X173" s="182"/>
      <c r="Y173" s="182"/>
      <c r="Z173" s="183"/>
    </row>
    <row r="174" spans="4:26" ht="18" customHeight="1" hidden="1">
      <c r="D174" s="185" t="s">
        <v>247</v>
      </c>
      <c r="E174" s="186"/>
      <c r="F174" s="186"/>
      <c r="G174" s="186"/>
      <c r="H174" s="186"/>
      <c r="I174" s="186"/>
      <c r="J174" s="187"/>
      <c r="K174"/>
      <c r="L174" s="188"/>
      <c r="M174" s="186"/>
      <c r="N174" s="186"/>
      <c r="O174" s="186"/>
      <c r="P174" s="186"/>
      <c r="Q174" s="186"/>
      <c r="R174" s="187"/>
      <c r="T174" s="188"/>
      <c r="U174" s="186"/>
      <c r="V174" s="186"/>
      <c r="W174" s="186"/>
      <c r="X174" s="186"/>
      <c r="Y174" s="186"/>
      <c r="Z174" s="187"/>
    </row>
    <row r="175" spans="4:26" ht="18" customHeight="1" hidden="1">
      <c r="D175" s="189" t="s">
        <v>248</v>
      </c>
      <c r="E175" s="190" t="str">
        <f>D164&amp;"_"&amp;D12</f>
        <v>_</v>
      </c>
      <c r="F175" s="191"/>
      <c r="G175" s="191"/>
      <c r="H175" s="191"/>
      <c r="I175" s="190"/>
      <c r="J175" s="192"/>
      <c r="K175"/>
      <c r="L175" s="193" t="str">
        <f ca="1">L164&amp;"_"&amp;D12</f>
        <v>SELECT PLAN_</v>
      </c>
      <c r="M175" s="191"/>
      <c r="N175" s="191"/>
      <c r="O175" s="191"/>
      <c r="P175" s="190"/>
      <c r="Q175" s="191"/>
      <c r="R175" s="192"/>
      <c r="T175" s="193" t="str">
        <f>T164&amp;"_"&amp;D12</f>
        <v>SELECT PLAN_</v>
      </c>
      <c r="U175" s="191"/>
      <c r="V175" s="191"/>
      <c r="W175" s="191"/>
      <c r="X175" s="190"/>
      <c r="Y175" s="191"/>
      <c r="Z175" s="192"/>
    </row>
    <row r="176" spans="4:26" ht="18" customHeight="1" hidden="1">
      <c r="D176" s="189" t="s">
        <v>249</v>
      </c>
      <c r="E176" s="191"/>
      <c r="F176" s="191"/>
      <c r="G176" s="191"/>
      <c r="H176" s="191"/>
      <c r="I176" s="191"/>
      <c r="J176" s="192"/>
      <c r="K176"/>
      <c r="L176" s="189"/>
      <c r="M176" s="191"/>
      <c r="N176" s="191"/>
      <c r="O176" s="191"/>
      <c r="P176" s="191"/>
      <c r="Q176" s="191"/>
      <c r="R176" s="192"/>
      <c r="T176" s="189"/>
      <c r="U176" s="191"/>
      <c r="V176" s="191"/>
      <c r="W176" s="191"/>
      <c r="X176" s="191"/>
      <c r="Y176" s="191"/>
      <c r="Z176" s="192"/>
    </row>
    <row r="177" spans="4:26" ht="18" customHeight="1" hidden="1">
      <c r="D177" s="194" t="s">
        <v>250</v>
      </c>
      <c r="E177" s="195"/>
      <c r="F177" s="195"/>
      <c r="G177" s="195"/>
      <c r="H177" s="195"/>
      <c r="I177" s="195"/>
      <c r="J177" s="196"/>
      <c r="K177"/>
      <c r="L177" s="197"/>
      <c r="M177" s="195"/>
      <c r="N177" s="195"/>
      <c r="O177" s="195"/>
      <c r="P177" s="195"/>
      <c r="Q177" s="195"/>
      <c r="R177" s="196"/>
      <c r="T177" s="197"/>
      <c r="U177" s="195"/>
      <c r="V177" s="195"/>
      <c r="W177" s="195"/>
      <c r="X177" s="195"/>
      <c r="Y177" s="195"/>
      <c r="Z177" s="196"/>
    </row>
    <row r="178" spans="4:26" ht="18" customHeight="1" hidden="1">
      <c r="D178" s="198" t="s">
        <v>251</v>
      </c>
      <c r="E178" s="199" t="str">
        <f>_xlfn.XLOOKUP(E175,CurrentPlans!B:B,CurrentPlans!X:X,"NA",0,1)</f>
        <v>NA</v>
      </c>
      <c r="F178" s="200"/>
      <c r="G178" s="200"/>
      <c r="H178" s="200"/>
      <c r="I178" s="199"/>
      <c r="J178" s="201"/>
      <c r="K178"/>
      <c r="L178" s="202" t="str">
        <f ca="1">_xlfn.XLOOKUP(L175,RenewalPlans!B:B,RenewalPlans!AA:AA,"NA",0,1)</f>
        <v>NA</v>
      </c>
      <c r="M178" s="200"/>
      <c r="N178" s="200"/>
      <c r="O178" s="200"/>
      <c r="P178" s="199"/>
      <c r="Q178" s="200"/>
      <c r="R178" s="201"/>
      <c r="T178" s="202" t="str">
        <f>_xlfn.XLOOKUP(T175,RenewalPlans!B:B,RenewalPlans!AA:AA,"NA",0,1)</f>
        <v>NA</v>
      </c>
      <c r="U178" s="200"/>
      <c r="V178" s="200"/>
      <c r="W178" s="200"/>
      <c r="X178" s="199"/>
      <c r="Y178" s="200"/>
      <c r="Z178" s="201"/>
    </row>
    <row r="179" spans="4:26" ht="18" customHeight="1" hidden="1">
      <c r="D179" s="198" t="s">
        <v>252</v>
      </c>
      <c r="E179" s="199" t="str">
        <f>_xlfn.XLOOKUP(E175,CurrentPlans!B:B,CurrentPlans!Y:Y,"NA",0,1)</f>
        <v>NA</v>
      </c>
      <c r="F179" s="200"/>
      <c r="G179" s="200"/>
      <c r="H179" s="200"/>
      <c r="I179" s="199"/>
      <c r="J179" s="201"/>
      <c r="K179"/>
      <c r="L179" s="202" t="str">
        <f ca="1">_xlfn.XLOOKUP(L175,RenewalPlans!B:B,RenewalPlans!AB:AB,"NA",0,1)</f>
        <v>NA</v>
      </c>
      <c r="M179" s="200"/>
      <c r="N179" s="200"/>
      <c r="O179" s="200"/>
      <c r="P179" s="199"/>
      <c r="Q179" s="200"/>
      <c r="R179" s="201"/>
      <c r="T179" s="202" t="str">
        <f>_xlfn.XLOOKUP(T175,RenewalPlans!B:B,RenewalPlans!AB:AB,"NA",0,1)</f>
        <v>NA</v>
      </c>
      <c r="U179" s="200"/>
      <c r="V179" s="200"/>
      <c r="W179" s="200"/>
      <c r="X179" s="199"/>
      <c r="Y179" s="200"/>
      <c r="Z179" s="201"/>
    </row>
    <row r="180" spans="4:26" ht="18" customHeight="1" hidden="1">
      <c r="D180" s="120" t="s">
        <v>253</v>
      </c>
      <c r="E180" s="121" t="str">
        <f>_xlfn.XLOOKUP(E175,CurrentPlans!B:B,CurrentPlans!W:W,"NA",0,1)</f>
        <v>NA</v>
      </c>
      <c r="F180" s="122"/>
      <c r="G180" s="122"/>
      <c r="H180" s="122"/>
      <c r="I180" s="121"/>
      <c r="J180" s="123"/>
      <c r="K180"/>
      <c r="L180" s="124" t="str">
        <f ca="1">_xlfn.XLOOKUP(L175,RenewalPlans!B:B,RenewalPlans!Z:Z,"NA",0,1)</f>
        <v>NA</v>
      </c>
      <c r="M180" s="122"/>
      <c r="N180" s="122"/>
      <c r="O180" s="122"/>
      <c r="P180" s="121"/>
      <c r="Q180" s="122"/>
      <c r="R180" s="123"/>
      <c r="T180" s="124" t="str">
        <f>_xlfn.XLOOKUP(T175,RenewalPlans!B:B,RenewalPlans!Z:Z,"NA",0,1)</f>
        <v>NA</v>
      </c>
      <c r="U180" s="122"/>
      <c r="V180" s="122"/>
      <c r="W180" s="122"/>
      <c r="X180" s="121"/>
      <c r="Y180" s="122"/>
      <c r="Z180" s="123"/>
    </row>
    <row r="181" spans="4:26" ht="18" customHeight="1" hidden="1">
      <c r="D181" s="203" t="s">
        <v>254</v>
      </c>
      <c r="E181" s="204"/>
      <c r="F181" s="205"/>
      <c r="G181" s="205"/>
      <c r="H181" s="205"/>
      <c r="I181" s="204"/>
      <c r="J181" s="206"/>
      <c r="K181"/>
      <c r="L181" s="207"/>
      <c r="M181" s="205"/>
      <c r="N181" s="205"/>
      <c r="O181" s="205"/>
      <c r="P181" s="204"/>
      <c r="Q181" s="205"/>
      <c r="R181" s="206"/>
      <c r="T181" s="207"/>
      <c r="U181" s="205"/>
      <c r="V181" s="205"/>
      <c r="W181" s="205"/>
      <c r="X181" s="204"/>
      <c r="Y181" s="205"/>
      <c r="Z181" s="206"/>
    </row>
    <row r="182" spans="4:26" ht="18" customHeight="1" hidden="1">
      <c r="D182" s="125" t="s">
        <v>255</v>
      </c>
      <c r="E182" s="126" t="str">
        <f>_xlfn.XLOOKUP(E175,CurrentPlans!B:B,CurrentPlans!Z:Z,"NA",0,1)</f>
        <v>NA</v>
      </c>
      <c r="F182" s="127"/>
      <c r="G182" s="127"/>
      <c r="H182" s="127"/>
      <c r="I182" s="126"/>
      <c r="J182" s="128"/>
      <c r="K182"/>
      <c r="L182" s="129" t="str">
        <f ca="1">_xlfn.XLOOKUP(L175,RenewalPlans!B:B,RenewalPlans!AC:AC,"NA",0,1)</f>
        <v>NA</v>
      </c>
      <c r="M182" s="127"/>
      <c r="N182" s="127"/>
      <c r="O182" s="127"/>
      <c r="P182" s="126"/>
      <c r="Q182" s="127"/>
      <c r="R182" s="128"/>
      <c r="T182" s="129" t="str">
        <f>_xlfn.XLOOKUP(T175,RenewalPlans!B:B,RenewalPlans!AC:AC,"NA",0,1)</f>
        <v>NA</v>
      </c>
      <c r="U182" s="127"/>
      <c r="V182" s="127"/>
      <c r="W182" s="127"/>
      <c r="X182" s="126"/>
      <c r="Y182" s="127"/>
      <c r="Z182" s="128"/>
    </row>
    <row r="183" spans="4:26" ht="18" customHeight="1" hidden="1">
      <c r="D183" s="198" t="s">
        <v>256</v>
      </c>
      <c r="E183" s="208" t="str">
        <f>_xlfn.XLOOKUP(E175,CurrentPlans!B:B,CurrentPlans!AA:AA,"NA",0,1)</f>
        <v>NA</v>
      </c>
      <c r="F183" s="200"/>
      <c r="G183" s="200"/>
      <c r="H183" s="200"/>
      <c r="I183" s="208"/>
      <c r="J183" s="201"/>
      <c r="K183"/>
      <c r="L183" s="209" t="str">
        <f ca="1">_xlfn.XLOOKUP(L175,RenewalPlans!B:B,RenewalPlans!AD:AD,"NA",0,1)</f>
        <v>NA</v>
      </c>
      <c r="M183" s="200"/>
      <c r="N183" s="200"/>
      <c r="O183" s="200"/>
      <c r="P183" s="208"/>
      <c r="Q183" s="200"/>
      <c r="R183" s="201"/>
      <c r="T183" s="209" t="str">
        <f>_xlfn.XLOOKUP(T175,RenewalPlans!B:B,RenewalPlans!AD:AD,"NA",0,1)</f>
        <v>NA</v>
      </c>
      <c r="U183" s="200"/>
      <c r="V183" s="200"/>
      <c r="W183" s="200"/>
      <c r="X183" s="208"/>
      <c r="Y183" s="200"/>
      <c r="Z183" s="201"/>
    </row>
    <row r="184" spans="4:26" ht="18" customHeight="1" hidden="1">
      <c r="D184" s="203" t="s">
        <v>257</v>
      </c>
      <c r="E184" s="204"/>
      <c r="F184" s="205"/>
      <c r="G184" s="205"/>
      <c r="H184" s="205"/>
      <c r="I184" s="204"/>
      <c r="J184" s="206"/>
      <c r="K184"/>
      <c r="L184" s="207"/>
      <c r="M184" s="205"/>
      <c r="N184" s="205"/>
      <c r="O184" s="205"/>
      <c r="P184" s="204"/>
      <c r="Q184" s="205"/>
      <c r="R184" s="206"/>
      <c r="T184" s="207"/>
      <c r="U184" s="205"/>
      <c r="V184" s="205"/>
      <c r="W184" s="205"/>
      <c r="X184" s="204"/>
      <c r="Y184" s="205"/>
      <c r="Z184" s="206"/>
    </row>
    <row r="185" spans="4:26" ht="18" customHeight="1" hidden="1">
      <c r="D185" s="198" t="s">
        <v>258</v>
      </c>
      <c r="E185" s="208" t="str">
        <f>_xlfn.XLOOKUP(E175,CurrentPlans!B:B,CurrentPlans!AB:AB,"NA",0,1)</f>
        <v>NA</v>
      </c>
      <c r="F185" s="200"/>
      <c r="G185" s="200"/>
      <c r="H185" s="200"/>
      <c r="I185" s="208"/>
      <c r="J185" s="201"/>
      <c r="K185"/>
      <c r="L185" s="209" t="str">
        <f ca="1">_xlfn.XLOOKUP(L175,RenewalPlans!B:B,RenewalPlans!AE:AE,"NA",0,1)</f>
        <v>NA</v>
      </c>
      <c r="M185" s="200"/>
      <c r="N185" s="200"/>
      <c r="O185" s="200"/>
      <c r="P185" s="208"/>
      <c r="Q185" s="200"/>
      <c r="R185" s="201"/>
      <c r="T185" s="209" t="str">
        <f>_xlfn.XLOOKUP(T175,RenewalPlans!B:B,RenewalPlans!AE:AE,"NA",0,1)</f>
        <v>NA</v>
      </c>
      <c r="U185" s="200"/>
      <c r="V185" s="200"/>
      <c r="W185" s="200"/>
      <c r="X185" s="208"/>
      <c r="Y185" s="200"/>
      <c r="Z185" s="201"/>
    </row>
    <row r="186" spans="4:26" ht="18" customHeight="1" hidden="1">
      <c r="D186" s="198" t="s">
        <v>259</v>
      </c>
      <c r="E186" s="208" t="str">
        <f>_xlfn.XLOOKUP(E175,CurrentPlans!B:B,CurrentPlans!AC:AC,"NA",0,1)</f>
        <v>NA</v>
      </c>
      <c r="F186" s="200"/>
      <c r="G186" s="200"/>
      <c r="H186" s="200"/>
      <c r="I186" s="208"/>
      <c r="J186" s="201"/>
      <c r="K186"/>
      <c r="L186" s="209" t="str">
        <f ca="1">_xlfn.XLOOKUP(L175,RenewalPlans!B:B,RenewalPlans!AF:AF,"NA",0,1)</f>
        <v>NA</v>
      </c>
      <c r="M186" s="200"/>
      <c r="N186" s="200"/>
      <c r="O186" s="200"/>
      <c r="P186" s="208"/>
      <c r="Q186" s="200"/>
      <c r="R186" s="201"/>
      <c r="T186" s="209" t="str">
        <f>_xlfn.XLOOKUP(T175,RenewalPlans!B:B,RenewalPlans!AF:AF,"NA",0,1)</f>
        <v>NA</v>
      </c>
      <c r="U186" s="200"/>
      <c r="V186" s="200"/>
      <c r="W186" s="200"/>
      <c r="X186" s="208"/>
      <c r="Y186" s="200"/>
      <c r="Z186" s="201"/>
    </row>
    <row r="187" spans="4:26" ht="18" customHeight="1" hidden="1">
      <c r="D187" s="210"/>
      <c r="E187" s="211"/>
      <c r="F187" s="211"/>
      <c r="G187" s="211"/>
      <c r="H187" s="211"/>
      <c r="I187" s="211"/>
      <c r="J187" s="212"/>
      <c r="K187"/>
      <c r="L187" s="210"/>
      <c r="M187" s="211"/>
      <c r="N187" s="211"/>
      <c r="O187" s="211"/>
      <c r="P187" s="211"/>
      <c r="Q187" s="211"/>
      <c r="R187" s="212"/>
      <c r="T187" s="210"/>
      <c r="U187" s="211"/>
      <c r="V187" s="211"/>
      <c r="W187" s="211"/>
      <c r="X187" s="211"/>
      <c r="Y187" s="211"/>
      <c r="Z187" s="212"/>
    </row>
    <row r="188" spans="4:26" ht="18" customHeight="1" hidden="1">
      <c r="D188" s="185" t="s">
        <v>260</v>
      </c>
      <c r="E188" s="186"/>
      <c r="F188" s="186"/>
      <c r="G188" s="186"/>
      <c r="H188" s="186"/>
      <c r="I188" s="186"/>
      <c r="J188" s="187"/>
      <c r="K188"/>
      <c r="L188" s="188"/>
      <c r="M188" s="186"/>
      <c r="N188" s="186"/>
      <c r="O188" s="186"/>
      <c r="P188" s="186"/>
      <c r="Q188" s="186"/>
      <c r="R188" s="187"/>
      <c r="T188" s="188"/>
      <c r="U188" s="186"/>
      <c r="V188" s="186"/>
      <c r="W188" s="186"/>
      <c r="X188" s="186"/>
      <c r="Y188" s="186"/>
      <c r="Z188" s="187"/>
    </row>
    <row r="189" spans="4:26" ht="18" customHeight="1" hidden="1">
      <c r="D189" s="213" t="s">
        <v>261</v>
      </c>
      <c r="E189" s="130" t="str">
        <f>_xlfn.XLOOKUP(E175,CurrentPlans!B:B,CurrentPlans!AJ:AJ,"NA",0,1)</f>
        <v>NA</v>
      </c>
      <c r="F189" s="214"/>
      <c r="G189" s="214"/>
      <c r="H189" s="214"/>
      <c r="I189" s="130"/>
      <c r="J189" s="215"/>
      <c r="K189"/>
      <c r="L189" s="131" t="str">
        <f ca="1">_xlfn.XLOOKUP(L175,RenewalPlans!B:B,RenewalPlans!AM:AM,"NA",0,1)</f>
        <v>NA</v>
      </c>
      <c r="M189" s="214"/>
      <c r="N189" s="214"/>
      <c r="O189" s="214"/>
      <c r="P189" s="130"/>
      <c r="Q189" s="214"/>
      <c r="R189" s="215"/>
      <c r="T189" s="131" t="str">
        <f>_xlfn.XLOOKUP(T175,RenewalPlans!B:B,RenewalPlans!AM:AM,"NA",0,1)</f>
        <v>NA</v>
      </c>
      <c r="U189" s="214"/>
      <c r="V189" s="214"/>
      <c r="W189" s="214"/>
      <c r="X189" s="130"/>
      <c r="Y189" s="214"/>
      <c r="Z189" s="215"/>
    </row>
    <row r="190" spans="4:26" ht="18" customHeight="1" hidden="1">
      <c r="D190" s="198" t="s">
        <v>262</v>
      </c>
      <c r="E190" s="130" t="str">
        <f>_xlfn.XLOOKUP(E175,CurrentPlans!B:B,CurrentPlans!AM:AM,"NA",0,1)</f>
        <v>NA</v>
      </c>
      <c r="F190" s="200"/>
      <c r="G190" s="200"/>
      <c r="H190" s="200"/>
      <c r="I190" s="130"/>
      <c r="J190" s="201"/>
      <c r="K190"/>
      <c r="L190" s="131" t="str">
        <f ca="1">_xlfn.XLOOKUP(L175,RenewalPlans!B:B,RenewalPlans!AP:AP,"NA",0,1)</f>
        <v>NA</v>
      </c>
      <c r="M190" s="200"/>
      <c r="N190" s="200"/>
      <c r="O190" s="200"/>
      <c r="P190" s="130"/>
      <c r="Q190" s="200"/>
      <c r="R190" s="201"/>
      <c r="T190" s="131" t="str">
        <f>_xlfn.XLOOKUP(T175,RenewalPlans!B:B,RenewalPlans!AP:AP,"NA",0,1)</f>
        <v>NA</v>
      </c>
      <c r="U190" s="200"/>
      <c r="V190" s="200"/>
      <c r="W190" s="200"/>
      <c r="X190" s="130"/>
      <c r="Y190" s="200"/>
      <c r="Z190" s="201"/>
    </row>
    <row r="191" spans="4:26" ht="18" customHeight="1" hidden="1">
      <c r="D191" s="198" t="s">
        <v>263</v>
      </c>
      <c r="E191" s="130" t="str">
        <f>_xlfn.XLOOKUP(E175,CurrentPlans!B:B,CurrentPlans!AI:AI,"NA",0,1)</f>
        <v>NA</v>
      </c>
      <c r="F191" s="200"/>
      <c r="G191" s="200"/>
      <c r="H191" s="200"/>
      <c r="I191" s="130"/>
      <c r="J191" s="201"/>
      <c r="K191"/>
      <c r="L191" s="131" t="str">
        <f ca="1">_xlfn.XLOOKUP(L175,RenewalPlans!B:B,RenewalPlans!AL:AL,"NA",0,1)</f>
        <v>NA</v>
      </c>
      <c r="M191" s="200"/>
      <c r="N191" s="200"/>
      <c r="O191" s="200"/>
      <c r="P191" s="130"/>
      <c r="Q191" s="200"/>
      <c r="R191" s="201"/>
      <c r="T191" s="131" t="str">
        <f>_xlfn.XLOOKUP(T175,RenewalPlans!B:B,RenewalPlans!AL:AL,"NA",0,1)</f>
        <v>NA</v>
      </c>
      <c r="U191" s="200"/>
      <c r="V191" s="200"/>
      <c r="W191" s="200"/>
      <c r="X191" s="130"/>
      <c r="Y191" s="200"/>
      <c r="Z191" s="201"/>
    </row>
    <row r="192" spans="4:26" ht="18" customHeight="1" hidden="1">
      <c r="D192" s="198" t="s">
        <v>264</v>
      </c>
      <c r="E192" s="208" t="str">
        <f>_xlfn.XLOOKUP(E175,CurrentPlans!B:B,CurrentPlans!AN:AN,"NA",0,1)</f>
        <v>NA</v>
      </c>
      <c r="F192" s="200"/>
      <c r="G192" s="200"/>
      <c r="H192" s="200"/>
      <c r="I192" s="208"/>
      <c r="J192" s="201"/>
      <c r="K192"/>
      <c r="L192" s="209" t="str">
        <f ca="1">_xlfn.XLOOKUP(L175,RenewalPlans!B:B,RenewalPlans!AQ:AQ,"NA",0,1)</f>
        <v>NA</v>
      </c>
      <c r="M192" s="200"/>
      <c r="N192" s="200"/>
      <c r="O192" s="200"/>
      <c r="P192" s="208"/>
      <c r="Q192" s="200"/>
      <c r="R192" s="201"/>
      <c r="T192" s="209" t="str">
        <f>_xlfn.XLOOKUP(T175,RenewalPlans!B:B,RenewalPlans!AQ:AQ,"NA",0,1)</f>
        <v>NA</v>
      </c>
      <c r="U192" s="200"/>
      <c r="V192" s="200"/>
      <c r="W192" s="200"/>
      <c r="X192" s="208"/>
      <c r="Y192" s="200"/>
      <c r="Z192" s="201"/>
    </row>
    <row r="193" spans="4:26" ht="18" customHeight="1" hidden="1">
      <c r="D193" s="210"/>
      <c r="E193" s="211"/>
      <c r="F193" s="211"/>
      <c r="G193" s="211"/>
      <c r="H193" s="211"/>
      <c r="I193" s="211"/>
      <c r="J193" s="212"/>
      <c r="K193"/>
      <c r="L193" s="210"/>
      <c r="M193" s="211"/>
      <c r="N193" s="211"/>
      <c r="O193" s="211"/>
      <c r="P193" s="211"/>
      <c r="Q193" s="211"/>
      <c r="R193" s="212"/>
      <c r="T193" s="210"/>
      <c r="U193" s="211"/>
      <c r="V193" s="211"/>
      <c r="W193" s="211"/>
      <c r="X193" s="211"/>
      <c r="Y193" s="211"/>
      <c r="Z193" s="212"/>
    </row>
    <row r="194" spans="4:26" ht="18" customHeight="1" hidden="1">
      <c r="D194" s="185" t="s">
        <v>265</v>
      </c>
      <c r="E194" s="186"/>
      <c r="F194" s="186"/>
      <c r="G194" s="186"/>
      <c r="H194" s="186"/>
      <c r="I194" s="186"/>
      <c r="J194" s="187"/>
      <c r="K194"/>
      <c r="L194" s="188"/>
      <c r="M194" s="186"/>
      <c r="N194" s="186"/>
      <c r="O194" s="186"/>
      <c r="P194" s="186"/>
      <c r="Q194" s="186"/>
      <c r="R194" s="187"/>
      <c r="T194" s="188"/>
      <c r="U194" s="186"/>
      <c r="V194" s="186"/>
      <c r="W194" s="186"/>
      <c r="X194" s="186"/>
      <c r="Y194" s="186"/>
      <c r="Z194" s="187"/>
    </row>
    <row r="195" spans="4:26" ht="18" customHeight="1" hidden="1">
      <c r="D195" s="132" t="s">
        <v>266</v>
      </c>
      <c r="E195" s="133" t="str">
        <f>_xlfn.XLOOKUP(E175,CurrentPlans!B:B,CurrentPlans!AE:AE,"NA",0,1)</f>
        <v>NA</v>
      </c>
      <c r="F195" s="134"/>
      <c r="G195" s="134"/>
      <c r="H195" s="134"/>
      <c r="I195" s="133"/>
      <c r="J195" s="135"/>
      <c r="K195"/>
      <c r="L195" s="136" t="str">
        <f ca="1">_xlfn.XLOOKUP(L175,RenewalPlans!B:B,RenewalPlans!AH:AH,"NA",0,1)</f>
        <v>NA</v>
      </c>
      <c r="M195" s="134"/>
      <c r="N195" s="134"/>
      <c r="O195" s="134"/>
      <c r="P195" s="133"/>
      <c r="Q195" s="134"/>
      <c r="R195" s="135"/>
      <c r="T195" s="136" t="str">
        <f>_xlfn.XLOOKUP(T175,RenewalPlans!B:B,RenewalPlans!AH:AH,"NA",0,1)</f>
        <v>NA</v>
      </c>
      <c r="U195" s="134"/>
      <c r="V195" s="134"/>
      <c r="W195" s="134"/>
      <c r="X195" s="133"/>
      <c r="Y195" s="134"/>
      <c r="Z195" s="135"/>
    </row>
    <row r="196" spans="4:26" ht="18" customHeight="1" hidden="1">
      <c r="D196" s="120" t="s">
        <v>267</v>
      </c>
      <c r="E196" s="130" t="str">
        <f>_xlfn.XLOOKUP(E175,CurrentPlans!B:B,CurrentPlans!AF:AF,"NA",0,1)</f>
        <v>NA</v>
      </c>
      <c r="F196" s="122"/>
      <c r="G196" s="122"/>
      <c r="H196" s="122"/>
      <c r="I196" s="130"/>
      <c r="J196" s="123"/>
      <c r="K196"/>
      <c r="L196" s="131" t="str">
        <f ca="1">_xlfn.XLOOKUP(L175,RenewalPlans!B:B,RenewalPlans!AI:AI,"NA",0,1)</f>
        <v>NA</v>
      </c>
      <c r="M196" s="122"/>
      <c r="N196" s="122"/>
      <c r="O196" s="122"/>
      <c r="P196" s="130"/>
      <c r="Q196" s="122"/>
      <c r="R196" s="123"/>
      <c r="T196" s="131" t="str">
        <f>_xlfn.XLOOKUP(T175,RenewalPlans!B:B,RenewalPlans!AI:AI,"NA",0,1)</f>
        <v>NA</v>
      </c>
      <c r="U196" s="122"/>
      <c r="V196" s="122"/>
      <c r="W196" s="122"/>
      <c r="X196" s="130"/>
      <c r="Y196" s="122"/>
      <c r="Z196" s="123"/>
    </row>
    <row r="197" spans="4:26" ht="18" customHeight="1" hidden="1">
      <c r="D197" s="198" t="s">
        <v>268</v>
      </c>
      <c r="E197" s="130" t="str">
        <f>_xlfn.XLOOKUP(E175,CurrentPlans!B:B,CurrentPlans!AH:AH,"NA",0,1)</f>
        <v>NA</v>
      </c>
      <c r="F197" s="200"/>
      <c r="G197" s="200"/>
      <c r="H197" s="200"/>
      <c r="I197" s="130"/>
      <c r="J197" s="201"/>
      <c r="K197"/>
      <c r="L197" s="131" t="str">
        <f ca="1">_xlfn.XLOOKUP(L175,RenewalPlans!B:B,RenewalPlans!AK:AK,"NA",0,1)</f>
        <v>NA</v>
      </c>
      <c r="M197" s="200"/>
      <c r="N197" s="200"/>
      <c r="O197" s="200"/>
      <c r="P197" s="130"/>
      <c r="Q197" s="200"/>
      <c r="R197" s="201"/>
      <c r="T197" s="131" t="str">
        <f>_xlfn.XLOOKUP(T175,RenewalPlans!B:B,RenewalPlans!AK:AK,"NA",0,1)</f>
        <v>NA</v>
      </c>
      <c r="U197" s="200"/>
      <c r="V197" s="200"/>
      <c r="W197" s="200"/>
      <c r="X197" s="130"/>
      <c r="Y197" s="200"/>
      <c r="Z197" s="201"/>
    </row>
    <row r="198" spans="4:26" ht="18" customHeight="1" hidden="1">
      <c r="D198" s="198" t="s">
        <v>269</v>
      </c>
      <c r="E198" s="130" t="str">
        <f>_xlfn.XLOOKUP(E175,CurrentPlans!B:B,CurrentPlans!AG:AG,"NA",0,1)</f>
        <v>NA</v>
      </c>
      <c r="F198" s="200"/>
      <c r="G198" s="200"/>
      <c r="H198" s="200"/>
      <c r="I198" s="130"/>
      <c r="J198" s="201"/>
      <c r="K198"/>
      <c r="L198" s="131" t="str">
        <f ca="1">_xlfn.XLOOKUP(L175,RenewalPlans!B:B,RenewalPlans!AJ:AJ,"NA",0,1)</f>
        <v>NA</v>
      </c>
      <c r="M198" s="200"/>
      <c r="N198" s="200"/>
      <c r="O198" s="200"/>
      <c r="P198" s="130"/>
      <c r="Q198" s="200"/>
      <c r="R198" s="201"/>
      <c r="T198" s="131" t="str">
        <f>_xlfn.XLOOKUP(T175,RenewalPlans!B:B,RenewalPlans!AJ:AJ,"NA",0,1)</f>
        <v>NA</v>
      </c>
      <c r="U198" s="200"/>
      <c r="V198" s="200"/>
      <c r="W198" s="200"/>
      <c r="X198" s="130"/>
      <c r="Y198" s="200"/>
      <c r="Z198" s="201"/>
    </row>
    <row r="199" spans="4:26" ht="18" customHeight="1" hidden="1">
      <c r="D199" s="213" t="s">
        <v>270</v>
      </c>
      <c r="E199" s="216" t="str">
        <f>_xlfn.XLOOKUP(E175,CurrentPlans!B:B,CurrentPlans!AU:AU,"NA",0,1)</f>
        <v>NA</v>
      </c>
      <c r="F199" s="214"/>
      <c r="G199" s="214"/>
      <c r="H199" s="214"/>
      <c r="I199" s="217"/>
      <c r="J199" s="215"/>
      <c r="K199"/>
      <c r="L199" s="218" t="str">
        <f ca="1">_xlfn.XLOOKUP(L175,RenewalPlans!B:B,RenewalPlans!AX:AX,"NA",0,1)</f>
        <v>NA</v>
      </c>
      <c r="M199" s="214"/>
      <c r="N199" s="214"/>
      <c r="O199" s="214"/>
      <c r="P199" s="217"/>
      <c r="Q199" s="214"/>
      <c r="R199" s="215"/>
      <c r="T199" s="218" t="str">
        <f>_xlfn.XLOOKUP(T175,RenewalPlans!B:B,RenewalPlans!AX:AX,"NA",0,1)</f>
        <v>NA</v>
      </c>
      <c r="U199" s="214"/>
      <c r="V199" s="214"/>
      <c r="W199" s="214"/>
      <c r="X199" s="217"/>
      <c r="Y199" s="214"/>
      <c r="Z199" s="215"/>
    </row>
    <row r="200" spans="4:26" ht="18" customHeight="1" hidden="1">
      <c r="D200" s="213" t="s">
        <v>271</v>
      </c>
      <c r="E200" s="216" t="str">
        <f>_xlfn.XLOOKUP(E175,CurrentPlans!B:B,CurrentPlans!AT:AT,"NA",0,1)</f>
        <v>NA</v>
      </c>
      <c r="F200" s="214"/>
      <c r="G200" s="214"/>
      <c r="H200" s="214"/>
      <c r="I200" s="217"/>
      <c r="J200" s="215"/>
      <c r="K200"/>
      <c r="L200" s="218" t="str">
        <f ca="1">_xlfn.XLOOKUP(L175,RenewalPlans!B:B,RenewalPlans!AW:AW,"NA",0,1)</f>
        <v>NA</v>
      </c>
      <c r="M200" s="214"/>
      <c r="N200" s="214"/>
      <c r="O200" s="214"/>
      <c r="P200" s="217"/>
      <c r="Q200" s="214"/>
      <c r="R200" s="215"/>
      <c r="T200" s="218" t="str">
        <f>_xlfn.XLOOKUP(T175,RenewalPlans!B:B,RenewalPlans!AW:AW,"NA",0,1)</f>
        <v>NA</v>
      </c>
      <c r="U200" s="214"/>
      <c r="V200" s="214"/>
      <c r="W200" s="214"/>
      <c r="X200" s="217"/>
      <c r="Y200" s="214"/>
      <c r="Z200" s="215"/>
    </row>
    <row r="201" spans="4:26" ht="18" customHeight="1" hidden="1">
      <c r="D201" s="198" t="s">
        <v>272</v>
      </c>
      <c r="E201" s="130" t="str">
        <f>_xlfn.XLOOKUP(E175,CurrentPlans!B:B,CurrentPlans!AD:AD,"NA",0,1)</f>
        <v>NA</v>
      </c>
      <c r="F201" s="200"/>
      <c r="G201" s="200"/>
      <c r="H201" s="200"/>
      <c r="I201" s="130"/>
      <c r="J201" s="201"/>
      <c r="K201"/>
      <c r="L201" s="131" t="str">
        <f ca="1">_xlfn.XLOOKUP(L175,RenewalPlans!B:B,RenewalPlans!AG:AG,"NA",0,1)</f>
        <v>NA</v>
      </c>
      <c r="M201" s="200"/>
      <c r="N201" s="200"/>
      <c r="O201" s="200"/>
      <c r="P201" s="130"/>
      <c r="Q201" s="200"/>
      <c r="R201" s="201"/>
      <c r="T201" s="131" t="str">
        <f>_xlfn.XLOOKUP(T175,RenewalPlans!B:B,RenewalPlans!AG:AG,"NA",0,1)</f>
        <v>NA</v>
      </c>
      <c r="U201" s="200"/>
      <c r="V201" s="200"/>
      <c r="W201" s="200"/>
      <c r="X201" s="130"/>
      <c r="Y201" s="200"/>
      <c r="Z201" s="201"/>
    </row>
    <row r="202" spans="4:26" ht="18" customHeight="1" hidden="1">
      <c r="D202" s="198" t="s">
        <v>273</v>
      </c>
      <c r="E202" s="200"/>
      <c r="F202" s="200"/>
      <c r="G202" s="200"/>
      <c r="H202" s="200"/>
      <c r="I202" s="200"/>
      <c r="J202" s="201"/>
      <c r="K202"/>
      <c r="L202" s="198"/>
      <c r="M202" s="200"/>
      <c r="N202" s="200"/>
      <c r="O202" s="200"/>
      <c r="P202" s="200"/>
      <c r="Q202" s="200"/>
      <c r="R202" s="201"/>
      <c r="T202" s="198"/>
      <c r="U202" s="200"/>
      <c r="V202" s="200"/>
      <c r="W202" s="200"/>
      <c r="X202" s="200"/>
      <c r="Y202" s="200"/>
      <c r="Z202" s="201"/>
    </row>
    <row r="203" spans="4:26" ht="18" customHeight="1" hidden="1">
      <c r="D203" s="210"/>
      <c r="E203" s="211"/>
      <c r="F203" s="211"/>
      <c r="G203" s="211"/>
      <c r="H203" s="211"/>
      <c r="I203" s="211"/>
      <c r="J203" s="212"/>
      <c r="K203"/>
      <c r="L203" s="210"/>
      <c r="M203" s="211"/>
      <c r="N203" s="211"/>
      <c r="O203" s="211"/>
      <c r="P203" s="211"/>
      <c r="Q203" s="211"/>
      <c r="R203" s="212"/>
      <c r="T203" s="210"/>
      <c r="U203" s="211"/>
      <c r="V203" s="211"/>
      <c r="W203" s="211"/>
      <c r="X203" s="211"/>
      <c r="Y203" s="211"/>
      <c r="Z203" s="212"/>
    </row>
    <row r="204" spans="4:26" ht="18" customHeight="1" hidden="1">
      <c r="D204" s="219" t="s">
        <v>274</v>
      </c>
      <c r="E204" s="220"/>
      <c r="F204" s="220"/>
      <c r="G204" s="220"/>
      <c r="H204" s="220"/>
      <c r="I204" s="220"/>
      <c r="J204" s="221"/>
      <c r="K204"/>
      <c r="L204" s="222"/>
      <c r="M204" s="220"/>
      <c r="N204" s="220"/>
      <c r="O204" s="220"/>
      <c r="P204" s="220"/>
      <c r="Q204" s="220"/>
      <c r="R204" s="221"/>
      <c r="T204" s="222"/>
      <c r="U204" s="220"/>
      <c r="V204" s="220"/>
      <c r="W204" s="220"/>
      <c r="X204" s="220"/>
      <c r="Y204" s="220"/>
      <c r="Z204" s="221"/>
    </row>
    <row r="205" spans="4:26" ht="18" customHeight="1" hidden="1">
      <c r="D205" s="223" t="s">
        <v>250</v>
      </c>
      <c r="E205" s="205"/>
      <c r="F205" s="205"/>
      <c r="G205" s="205"/>
      <c r="H205" s="205"/>
      <c r="I205" s="205"/>
      <c r="J205" s="206"/>
      <c r="K205"/>
      <c r="L205" s="203"/>
      <c r="M205" s="205"/>
      <c r="N205" s="205"/>
      <c r="O205" s="205"/>
      <c r="P205" s="205"/>
      <c r="Q205" s="205"/>
      <c r="R205" s="206"/>
      <c r="T205" s="203"/>
      <c r="U205" s="205"/>
      <c r="V205" s="205"/>
      <c r="W205" s="205"/>
      <c r="X205" s="205"/>
      <c r="Y205" s="205"/>
      <c r="Z205" s="206"/>
    </row>
    <row r="206" spans="4:26" ht="18" customHeight="1" hidden="1">
      <c r="D206" s="198" t="s">
        <v>251</v>
      </c>
      <c r="E206" s="130" t="str">
        <f>_xlfn.XLOOKUP(E175,CurrentPlans!B:B,CurrentPlans!AP:AP,"NA",0,1)</f>
        <v>NA</v>
      </c>
      <c r="F206" s="200"/>
      <c r="G206" s="200"/>
      <c r="H206" s="200"/>
      <c r="I206" s="130"/>
      <c r="J206" s="201"/>
      <c r="K206"/>
      <c r="L206" s="131" t="str">
        <f ca="1">_xlfn.XLOOKUP(L175,RenewalPlans!B:B,RenewalPlans!AS:AS,"NA",0,1)</f>
        <v>NA</v>
      </c>
      <c r="M206" s="200"/>
      <c r="N206" s="200"/>
      <c r="O206" s="200"/>
      <c r="P206" s="130"/>
      <c r="Q206" s="200"/>
      <c r="R206" s="201"/>
      <c r="T206" s="131" t="str">
        <f>_xlfn.XLOOKUP(T175,RenewalPlans!B:B,RenewalPlans!AS:AS,"NA",0,1)</f>
        <v>NA</v>
      </c>
      <c r="U206" s="200"/>
      <c r="V206" s="200"/>
      <c r="W206" s="200"/>
      <c r="X206" s="130"/>
      <c r="Y206" s="200"/>
      <c r="Z206" s="201"/>
    </row>
    <row r="207" spans="4:26" ht="18" customHeight="1" hidden="1">
      <c r="D207" s="198" t="s">
        <v>252</v>
      </c>
      <c r="E207" s="130" t="str">
        <f>_xlfn.XLOOKUP(E175,CurrentPlans!B:B,CurrentPlans!AQ:AQ,"NA",0,1)</f>
        <v>NA</v>
      </c>
      <c r="F207" s="200"/>
      <c r="G207" s="200"/>
      <c r="H207" s="200"/>
      <c r="I207" s="130"/>
      <c r="J207" s="201"/>
      <c r="K207"/>
      <c r="L207" s="131" t="str">
        <f ca="1">_xlfn.XLOOKUP(L175,RenewalPlans!B:B,RenewalPlans!AT:AT,"NA",0,1)</f>
        <v>NA</v>
      </c>
      <c r="M207" s="200"/>
      <c r="N207" s="200"/>
      <c r="O207" s="200"/>
      <c r="P207" s="130"/>
      <c r="Q207" s="200"/>
      <c r="R207" s="201"/>
      <c r="T207" s="131" t="str">
        <f>_xlfn.XLOOKUP(T175,RenewalPlans!B:B,RenewalPlans!AT:AT,"NA",0,1)</f>
        <v>NA</v>
      </c>
      <c r="U207" s="200"/>
      <c r="V207" s="200"/>
      <c r="W207" s="200"/>
      <c r="X207" s="130"/>
      <c r="Y207" s="200"/>
      <c r="Z207" s="201"/>
    </row>
    <row r="208" spans="4:26" ht="18" customHeight="1" hidden="1">
      <c r="D208" s="120" t="s">
        <v>253</v>
      </c>
      <c r="E208" s="133" t="str">
        <f>_xlfn.XLOOKUP(E175,CurrentPlans!B:B,CurrentPlans!AO:AO,"NA",0,1)</f>
        <v>NA</v>
      </c>
      <c r="F208" s="122"/>
      <c r="G208" s="122"/>
      <c r="H208" s="122"/>
      <c r="I208" s="133"/>
      <c r="J208" s="123"/>
      <c r="K208"/>
      <c r="L208" s="136" t="str">
        <f ca="1">_xlfn.XLOOKUP(L175,RenewalPlans!B:B,RenewalPlans!AR:AR,"NA",0,1)</f>
        <v>NA</v>
      </c>
      <c r="M208" s="122"/>
      <c r="N208" s="122"/>
      <c r="O208" s="122"/>
      <c r="P208" s="133"/>
      <c r="Q208" s="122"/>
      <c r="R208" s="123"/>
      <c r="T208" s="136" t="str">
        <f>_xlfn.XLOOKUP(T175,RenewalPlans!B:B,RenewalPlans!AR:AR,"NA",0,1)</f>
        <v>NA</v>
      </c>
      <c r="U208" s="122"/>
      <c r="V208" s="122"/>
      <c r="W208" s="122"/>
      <c r="X208" s="133"/>
      <c r="Y208" s="122"/>
      <c r="Z208" s="123"/>
    </row>
    <row r="209" spans="4:26" ht="18" customHeight="1" hidden="1">
      <c r="D209" s="223" t="s">
        <v>254</v>
      </c>
      <c r="E209" s="205"/>
      <c r="F209" s="205"/>
      <c r="G209" s="205"/>
      <c r="H209" s="205"/>
      <c r="I209" s="205"/>
      <c r="J209" s="206"/>
      <c r="K209"/>
      <c r="L209" s="203"/>
      <c r="M209" s="205"/>
      <c r="N209" s="205"/>
      <c r="O209" s="205"/>
      <c r="P209" s="205"/>
      <c r="Q209" s="205"/>
      <c r="R209" s="206"/>
      <c r="T209" s="203"/>
      <c r="U209" s="205"/>
      <c r="V209" s="205"/>
      <c r="W209" s="205"/>
      <c r="X209" s="205"/>
      <c r="Y209" s="205"/>
      <c r="Z209" s="206"/>
    </row>
    <row r="210" spans="4:26" ht="18" customHeight="1" hidden="1">
      <c r="D210" s="198" t="s">
        <v>255</v>
      </c>
      <c r="E210" s="130" t="str">
        <f>_xlfn.XLOOKUP(E175,CurrentPlans!B:B,CurrentPlans!AR:AR,"NA",0,1)</f>
        <v>NA</v>
      </c>
      <c r="F210" s="200"/>
      <c r="G210" s="200"/>
      <c r="H210" s="200"/>
      <c r="I210" s="130"/>
      <c r="J210" s="201"/>
      <c r="K210"/>
      <c r="L210" s="131" t="str">
        <f ca="1">_xlfn.XLOOKUP(L175,RenewalPlans!B:B,RenewalPlans!AU:AU,"NA",0,1)</f>
        <v>NA</v>
      </c>
      <c r="M210" s="200"/>
      <c r="N210" s="200"/>
      <c r="O210" s="200"/>
      <c r="P210" s="130"/>
      <c r="Q210" s="200"/>
      <c r="R210" s="201"/>
      <c r="T210" s="131" t="str">
        <f>_xlfn.XLOOKUP(T175,RenewalPlans!B:B,RenewalPlans!AU:AU,"NA",0,1)</f>
        <v>NA</v>
      </c>
      <c r="U210" s="200"/>
      <c r="V210" s="200"/>
      <c r="W210" s="200"/>
      <c r="X210" s="130"/>
      <c r="Y210" s="200"/>
      <c r="Z210" s="201"/>
    </row>
    <row r="211" spans="4:26" ht="18" customHeight="1" hidden="1" thickBot="1">
      <c r="D211" s="224" t="s">
        <v>256</v>
      </c>
      <c r="E211" s="137" t="str">
        <f>_xlfn.XLOOKUP(E175,CurrentPlans!B:B,CurrentPlans!AS:AS,"NA",0,1)</f>
        <v>NA</v>
      </c>
      <c r="F211" s="225"/>
      <c r="G211" s="225"/>
      <c r="H211" s="225"/>
      <c r="I211" s="137"/>
      <c r="J211" s="226"/>
      <c r="K211"/>
      <c r="L211" s="138" t="str">
        <f ca="1">_xlfn.XLOOKUP(L175,RenewalPlans!B:B,RenewalPlans!AV:AV,"NA",0,1)</f>
        <v>NA</v>
      </c>
      <c r="M211" s="225"/>
      <c r="N211" s="225"/>
      <c r="O211" s="225"/>
      <c r="P211" s="137"/>
      <c r="Q211" s="225"/>
      <c r="R211" s="226"/>
      <c r="T211" s="138" t="str">
        <f>_xlfn.XLOOKUP(T175,RenewalPlans!B:B,RenewalPlans!AV:AV,"NA",0,1)</f>
        <v>NA</v>
      </c>
      <c r="U211" s="225"/>
      <c r="V211" s="225"/>
      <c r="W211" s="225"/>
      <c r="X211" s="137"/>
      <c r="Y211" s="225"/>
      <c r="Z211" s="226"/>
    </row>
    <row r="212" spans="1:26" ht="18" customHeight="1">
      <c r="A212" s="140"/>
      <c r="B212" s="140"/>
      <c r="D212" s="227"/>
      <c r="E212" s="176"/>
      <c r="F212" s="178"/>
      <c r="G212" s="179"/>
      <c r="H212" s="178"/>
      <c r="I212" s="176"/>
      <c r="J212" s="228"/>
      <c r="K212"/>
      <c r="L212" s="178"/>
      <c r="M212" s="176"/>
      <c r="N212" s="139"/>
      <c r="O212" s="178"/>
      <c r="P212" s="178"/>
      <c r="Q212" s="178"/>
      <c r="R212" s="228"/>
      <c r="T212" s="178"/>
      <c r="U212" s="176"/>
      <c r="V212" s="139"/>
      <c r="W212" s="178"/>
      <c r="X212" s="178"/>
      <c r="Y212" s="178"/>
      <c r="Z212" s="228"/>
    </row>
    <row r="213" spans="1:26" ht="5.25" customHeight="1" thickBot="1">
      <c r="A213" s="140"/>
      <c r="B213" s="140"/>
      <c r="D213" s="229"/>
      <c r="E213" s="229"/>
      <c r="F213" s="230"/>
      <c r="G213" s="231"/>
      <c r="H213" s="232"/>
      <c r="I213" s="233"/>
      <c r="J213" s="233"/>
      <c r="K213"/>
      <c r="L213" s="233"/>
      <c r="M213" s="233"/>
      <c r="N213" s="233"/>
      <c r="O213" s="233"/>
      <c r="P213" s="233"/>
      <c r="Q213" s="233"/>
      <c r="R213" s="233"/>
      <c r="T213" s="233"/>
      <c r="U213" s="233"/>
      <c r="V213" s="233"/>
      <c r="W213" s="233"/>
      <c r="X213" s="233"/>
      <c r="Y213" s="233"/>
      <c r="Z213" s="233"/>
    </row>
    <row r="214" spans="1:26" ht="50.15" customHeight="1">
      <c r="A214" s="140">
        <v>5</v>
      </c>
      <c r="B214" s="140" t="str">
        <f>IF(A214&gt;Class5_CurrentHealthCount,"DELETE",Class5_CurrentHealthStart+A214)</f>
        <v>DELETE</v>
      </c>
      <c r="C214" s="164" t="s">
        <v>278</v>
      </c>
      <c r="D214" s="273" t="str">
        <f>IF(B214="Delete","",VLOOKUP(F214,BEGIN_CURRENT_HEALTH:END_CURRENT_HEALTH,3,FALSE))</f>
        <v/>
      </c>
      <c r="E214" s="165"/>
      <c r="F214" s="272" t="str" cm="1">
        <f t="array" ca="1" aca="1" ref="F214">IF(B214="Delete","",INDIRECT("CurrentPlans!A"&amp;B214,TRUE))</f>
        <v/>
      </c>
      <c r="G214" s="166"/>
      <c r="H214" s="167"/>
      <c r="I214" s="168"/>
      <c r="J214" s="169"/>
      <c r="K214"/>
      <c r="L214" s="274" t="str">
        <f ca="1">_xlfn.IFNA(VLOOKUP(F214,BEGIN_RENEWEDFROM_HEALTH:ROW_RenewHealth_PlanID,3,FALSE),"SELECT PLAN")</f>
        <v>SELECT PLAN</v>
      </c>
      <c r="M214" s="170"/>
      <c r="N214" s="274" t="s">
        <v>237</v>
      </c>
      <c r="O214" s="171"/>
      <c r="P214" s="171"/>
      <c r="Q214" s="171"/>
      <c r="R214" s="169"/>
      <c r="T214" s="274" t="s">
        <v>38</v>
      </c>
      <c r="U214" s="170"/>
      <c r="V214" s="274" t="s">
        <v>237</v>
      </c>
      <c r="W214" s="171"/>
      <c r="X214" s="171"/>
      <c r="Y214" s="171"/>
      <c r="Z214" s="169"/>
    </row>
    <row r="215" spans="1:26" ht="18.75" customHeight="1">
      <c r="A215" s="140"/>
      <c r="B215" s="140"/>
      <c r="D215" s="172" t="s">
        <v>238</v>
      </c>
      <c r="E215" s="407" t="str">
        <f ca="1">_xlfn.IFNA(VLOOKUP(F214,BEGIN_CURRENT_HEALTH:END_CURRENT_HEALTH,CURRENT_COL_EO_count,FALSE),"")</f>
        <v/>
      </c>
      <c r="F215" s="408" t="str">
        <f ca="1">_xlfn.IFNA(VLOOKUP(F214,BEGIN_CURRENT_HEALTH:END_CURRENT_HEALTH,CURRENT_COL_EO,FALSE),"")</f>
        <v/>
      </c>
      <c r="G215" s="468" t="str">
        <f ca="1" t="shared" si="20" ref="G215:G218">IF(F215="","",H215/F215)</f>
        <v/>
      </c>
      <c r="H215" s="408" t="str">
        <f ca="1">_xlfn.IFNA(VLOOKUP(F214,BEGIN_CURRENT_HEALTH:END_CURRENT_HEALTH,CURRENT_COL_EOContrib,FALSE),"")</f>
        <v/>
      </c>
      <c r="I215" s="409" t="str">
        <f ca="1">IFERROR(F215-H215,"")</f>
        <v/>
      </c>
      <c r="J215" s="410" t="str">
        <f ca="1">IF(F215="","",H215*E215)</f>
        <v/>
      </c>
      <c r="K215" s="411"/>
      <c r="L215" s="408" t="str" cm="1">
        <f t="array" ca="1" aca="1" ref="L215">_xlfn.IFNA(VLOOKUP(INDIRECT("L"&amp;ROW()-1)&amp;"_"&amp;$D$12,BEGIN_RENEW_HEALTH:END_RENEW_HEALTH,RENEW_COL_EO,FALSE),"")</f>
        <v/>
      </c>
      <c r="M215" s="412" t="str">
        <f ca="1">IF(E215="","",E215)</f>
        <v/>
      </c>
      <c r="N215" s="413"/>
      <c r="O215" s="414"/>
      <c r="P215" s="415" t="str">
        <f>IFERROR(IF($N214="Keep Contribution Same",H215,IF($N214="Enter Percentages",IF(N215="","",N215*L215),IF($N214="Keep Percentage Same",IF(G215="","",G215*L215),IF($N214="Enter Dollar Amount",IF(O215="","",O215),"")))),"")</f>
        <v/>
      </c>
      <c r="Q215" s="408" t="str">
        <f ca="1">IFERROR(L215-P215,"")</f>
        <v/>
      </c>
      <c r="R215" s="410" t="str">
        <f>IFERROR(IF(P215="","",M215*P215),"")</f>
        <v/>
      </c>
      <c r="S215" s="411"/>
      <c r="T215" s="408" t="str" cm="1">
        <f t="array" ca="1" aca="1" ref="T215">_xlfn.IFNA(VLOOKUP(INDIRECT("T"&amp;ROW()-1)&amp;"_"&amp;$D$12,BEGIN_RENEW_HEALTH:END_RENEW_HEALTH,RENEW_COL_EO,FALSE),"")</f>
        <v/>
      </c>
      <c r="U215" s="412" t="str">
        <f ca="1">IF(E215="","",E215)</f>
        <v/>
      </c>
      <c r="V215" s="413"/>
      <c r="W215" s="414"/>
      <c r="X215" s="415" t="str">
        <f>IFERROR(IF($V214="Keep Contribution Same",H215,IF($V214="Enter Percentages",IF(V215="","",V215*T215),IF($V214="Keep Percentage Same",IF(G215="","",G215*T215),IF($V214="Enter Dollar Amount",IF(W215="","",W215),"")))),"")</f>
        <v/>
      </c>
      <c r="Y215" s="408" t="str">
        <f ca="1">IFERROR(T215-X215,"")</f>
        <v/>
      </c>
      <c r="Z215" s="410" t="str">
        <f>IFERROR(IF(X215="","",U215*X215),"")</f>
        <v/>
      </c>
    </row>
    <row r="216" spans="1:26" ht="18.75" customHeight="1">
      <c r="A216" s="140"/>
      <c r="B216" s="140"/>
      <c r="D216" s="172" t="s">
        <v>239</v>
      </c>
      <c r="E216" s="407" t="str">
        <f ca="1">_xlfn.IFNA(VLOOKUP(F214,BEGIN_CURRENT_HEALTH:END_CURRENT_HEALTH,CURRENT_COL_ES_count,FALSE),"")</f>
        <v/>
      </c>
      <c r="F216" s="408" t="str">
        <f ca="1">_xlfn.IFNA(VLOOKUP(F214,BEGIN_CURRENT_HEALTH:END_CURRENT_HEALTH,CURRENT_COL_ES,FALSE),"")</f>
        <v/>
      </c>
      <c r="G216" s="468" t="str">
        <f t="shared" ca="1" si="20"/>
        <v/>
      </c>
      <c r="H216" s="408" t="str">
        <f ca="1">_xlfn.IFNA(VLOOKUP(F214,BEGIN_CURRENT_HEALTH:END_CURRENT_HEALTH,CURRENT_COL_ESContrib,FALSE),"")</f>
        <v/>
      </c>
      <c r="I216" s="409" t="str">
        <f ca="1" t="shared" si="21" ref="I216:I218">IFERROR(F216-H216,"")</f>
        <v/>
      </c>
      <c r="J216" s="410" t="str">
        <f ca="1">IF(F216="","",H216*E216)</f>
        <v/>
      </c>
      <c r="K216" s="411"/>
      <c r="L216" s="408" t="str" cm="1">
        <f t="array" ca="1" aca="1" ref="L216">_xlfn.IFNA(VLOOKUP(INDIRECT("L"&amp;ROW()-2)&amp;"_"&amp;$D$12,BEGIN_RENEW_HEALTH:END_RENEW_HEALTH,RENEW_COL_ES,FALSE),"")</f>
        <v/>
      </c>
      <c r="M216" s="412" t="str">
        <f ca="1">IF(E216="","",E216)</f>
        <v/>
      </c>
      <c r="N216" s="413"/>
      <c r="O216" s="414"/>
      <c r="P216" s="415" t="str">
        <f>IFERROR(IF($N214="Keep Contribution Same",H216,IF($N214="Enter Percentages",IF(N216="","",N216*L216),IF($N214="Keep Percentage Same",IF(G216="","",G216*L216),IF($N214="Enter Dollar Amount",IF(O216="","",O216),"")))),"")</f>
        <v/>
      </c>
      <c r="Q216" s="408" t="str">
        <f ca="1">IFERROR(L216-P216,"")</f>
        <v/>
      </c>
      <c r="R216" s="410" t="str">
        <f>IFERROR(IF(P216="","",M216*P216),"")</f>
        <v/>
      </c>
      <c r="S216" s="411"/>
      <c r="T216" s="408" t="str" cm="1">
        <f t="array" ca="1" aca="1" ref="T216">_xlfn.IFNA(VLOOKUP(INDIRECT("T"&amp;ROW()-2)&amp;"_"&amp;$D$12,BEGIN_RENEW_HEALTH:END_RENEW_HEALTH,RENEW_COL_ES,FALSE),"")</f>
        <v/>
      </c>
      <c r="U216" s="412" t="str">
        <f ca="1" t="shared" si="22" ref="U216:U218">IF(E216="","",E216)</f>
        <v/>
      </c>
      <c r="V216" s="413"/>
      <c r="W216" s="414"/>
      <c r="X216" s="415" t="str">
        <f>IFERROR(IF($V214="Keep Contribution Same",H216,IF($V214="Enter Percentages",IF(V216="","",V216*T216),IF($V214="Keep Percentage Same",IF(G216="","",G216*T216),IF($V214="Enter Dollar Amount",IF(W216="","",W216),"")))),"")</f>
        <v/>
      </c>
      <c r="Y216" s="408" t="str">
        <f ca="1" t="shared" si="23" ref="Y216:Y218">IFERROR(T216-X216,"")</f>
        <v/>
      </c>
      <c r="Z216" s="410" t="str">
        <f t="shared" si="24" ref="Z216:Z218">IFERROR(IF(X216="","",U216*X216),"")</f>
        <v/>
      </c>
    </row>
    <row r="217" spans="1:26" ht="18.75" customHeight="1">
      <c r="A217" s="140"/>
      <c r="B217" s="140"/>
      <c r="D217" s="172" t="s">
        <v>240</v>
      </c>
      <c r="E217" s="407" t="str">
        <f ca="1">_xlfn.IFNA(VLOOKUP(F214,BEGIN_CURRENT_HEALTH:END_CURRENT_HEALTH,CURRENT_COL_EC_count,FALSE),"")</f>
        <v/>
      </c>
      <c r="F217" s="408" t="str">
        <f ca="1">_xlfn.IFNA(VLOOKUP(F214,BEGIN_CURRENT_HEALTH:END_CURRENT_HEALTH,CURRENT_COL_EC,FALSE),"")</f>
        <v/>
      </c>
      <c r="G217" s="468" t="str">
        <f t="shared" ca="1" si="20"/>
        <v/>
      </c>
      <c r="H217" s="408" t="str">
        <f ca="1">_xlfn.IFNA(VLOOKUP(F214,BEGIN_CURRENT_HEALTH:END_CURRENT_HEALTH,CURRENT_COL_ECContrib,FALSE),"")</f>
        <v/>
      </c>
      <c r="I217" s="409" t="str">
        <f t="shared" ca="1" si="21"/>
        <v/>
      </c>
      <c r="J217" s="410" t="str">
        <f ca="1">IF(F217="","",H217*E217)</f>
        <v/>
      </c>
      <c r="K217" s="411"/>
      <c r="L217" s="408" t="str" cm="1">
        <f t="array" ca="1" aca="1" ref="L217">_xlfn.IFNA(VLOOKUP(INDIRECT("L"&amp;ROW()-3)&amp;"_"&amp;$D$12,BEGIN_RENEW_HEALTH:END_RENEW_HEALTH,RENEW_COL_EC,FALSE),"")</f>
        <v/>
      </c>
      <c r="M217" s="412" t="str">
        <f ca="1">IF(E217="","",E217)</f>
        <v/>
      </c>
      <c r="N217" s="413"/>
      <c r="O217" s="414"/>
      <c r="P217" s="415" t="str">
        <f>IFERROR(IF($N214="Keep Contribution Same",H217,IF($N214="Enter Percentages",IF(N217="","",N217*L217),IF($N214="Keep Percentage Same",IF(G217="","",G217*L217),IF($N214="Enter Dollar Amount",IF(O217="","",O217),"")))),"")</f>
        <v/>
      </c>
      <c r="Q217" s="408" t="str">
        <f ca="1">IFERROR(L217-P217,"")</f>
        <v/>
      </c>
      <c r="R217" s="410" t="str">
        <f>IFERROR(IF(P217="","",M217*P217),"")</f>
        <v/>
      </c>
      <c r="S217" s="411"/>
      <c r="T217" s="408" t="str" cm="1">
        <f t="array" ca="1" aca="1" ref="T217">_xlfn.IFNA(VLOOKUP(INDIRECT("T"&amp;ROW()-3)&amp;"_"&amp;$D$12,BEGIN_RENEW_HEALTH:END_RENEW_HEALTH,RENEW_COL_EC,FALSE),"")</f>
        <v/>
      </c>
      <c r="U217" s="412" t="str">
        <f t="shared" ca="1" si="22"/>
        <v/>
      </c>
      <c r="V217" s="413"/>
      <c r="W217" s="414"/>
      <c r="X217" s="415" t="str">
        <f>IFERROR(IF($V214="Keep Contribution Same",H217,IF($V214="Enter Percentages",IF(V217="","",V217*T217),IF($V214="Keep Percentage Same",IF(G217="","",G217*T217),IF($V214="Enter Dollar Amount",IF(W217="","",W217),"")))),"")</f>
        <v/>
      </c>
      <c r="Y217" s="408" t="str">
        <f t="shared" ca="1" si="23"/>
        <v/>
      </c>
      <c r="Z217" s="410" t="str">
        <f t="shared" si="24"/>
        <v/>
      </c>
    </row>
    <row r="218" spans="1:26" ht="18.75" customHeight="1" thickBot="1">
      <c r="A218" s="140"/>
      <c r="B218" s="140"/>
      <c r="D218" s="174" t="s">
        <v>241</v>
      </c>
      <c r="E218" s="416" t="str">
        <f ca="1">_xlfn.IFNA(VLOOKUP(F214,BEGIN_CURRENT_HEALTH:END_CURRENT_HEALTH,CURRENT_COL_FAM_count,FALSE),"")</f>
        <v/>
      </c>
      <c r="F218" s="417" t="str">
        <f ca="1">_xlfn.IFNA(VLOOKUP(F214,BEGIN_CURRENT_HEALTH:END_CURRENT_HEALTH,CURRENT_COL_FAM,FALSE),"")</f>
        <v/>
      </c>
      <c r="G218" s="469" t="str">
        <f t="shared" ca="1" si="20"/>
        <v/>
      </c>
      <c r="H218" s="417" t="str">
        <f ca="1">_xlfn.IFNA(VLOOKUP(F214,BEGIN_CURRENT_HEALTH:END_CURRENT_HEALTH,CURRENT_COL_FAMContrib,FALSE),"")</f>
        <v/>
      </c>
      <c r="I218" s="418" t="str">
        <f t="shared" ca="1" si="21"/>
        <v/>
      </c>
      <c r="J218" s="419" t="str">
        <f ca="1">IF(F218="","",H218*E218)</f>
        <v/>
      </c>
      <c r="K218" s="411"/>
      <c r="L218" s="417" t="str" cm="1">
        <f t="array" ca="1" aca="1" ref="L218">_xlfn.IFNA(VLOOKUP(INDIRECT("L"&amp;ROW()-4)&amp;"_"&amp;$D$12,BEGIN_RENEW_HEALTH:END_RENEW_HEALTH,RENEW_COL_FAM,FALSE),"")</f>
        <v/>
      </c>
      <c r="M218" s="423" t="str">
        <f ca="1">IF(E218="","",E218)</f>
        <v/>
      </c>
      <c r="N218" s="420"/>
      <c r="O218" s="421"/>
      <c r="P218" s="422" t="str">
        <f>IFERROR(IF($N214="Keep Contribution Same",H218,IF($N214="Enter Percentages",IF(N218="","",N218*L218),IF($N214="Keep Percentage Same",IF(G218="","",G218*L218),IF($N214="Enter Dollar Amount",IF(O218="","",O218),"")))),"")</f>
        <v/>
      </c>
      <c r="Q218" s="417" t="str">
        <f ca="1">IFERROR(L218-P218,"")</f>
        <v/>
      </c>
      <c r="R218" s="419" t="str">
        <f>IFERROR(IF(P218="","",M218*P218),"")</f>
        <v/>
      </c>
      <c r="S218" s="411"/>
      <c r="T218" s="417" t="str" cm="1">
        <f t="array" ca="1" aca="1" ref="T218">_xlfn.IFNA(VLOOKUP(INDIRECT("T"&amp;ROW()-4)&amp;"_"&amp;$D$12,BEGIN_RENEW_HEALTH:END_RENEW_HEALTH,RENEW_COL_FAM,FALSE),"")</f>
        <v/>
      </c>
      <c r="U218" s="423" t="str">
        <f t="shared" ca="1" si="22"/>
        <v/>
      </c>
      <c r="V218" s="420"/>
      <c r="W218" s="421"/>
      <c r="X218" s="422" t="str">
        <f>IFERROR(IF($V214="Keep Contribution Same",H218,IF($V214="Enter Percentages",IF(V218="","",V218*T218),IF($V214="Keep Percentage Same",IF(G218="","",G218*T218),IF($V214="Enter Dollar Amount",IF(W218="","",W218),"")))),"")</f>
        <v/>
      </c>
      <c r="Y218" s="417" t="str">
        <f t="shared" ca="1" si="23"/>
        <v/>
      </c>
      <c r="Z218" s="419" t="str">
        <f t="shared" si="24"/>
        <v/>
      </c>
    </row>
    <row r="219" spans="1:26" ht="18.75" customHeight="1" thickTop="1">
      <c r="A219" s="140"/>
      <c r="B219" s="140"/>
      <c r="D219" s="175" t="s">
        <v>242</v>
      </c>
      <c r="E219" s="424"/>
      <c r="F219" s="447" t="str">
        <f ca="1">IFERROR((F215*E215)+(F216*E216)+(F217*E217)+(F218*E218),"")</f>
        <v/>
      </c>
      <c r="G219" s="426"/>
      <c r="H219" s="427"/>
      <c r="I219" s="428"/>
      <c r="J219" s="429" t="str">
        <f ca="1">IFERROR(IF(J215="","",SUM(J215:J218)),0)</f>
        <v/>
      </c>
      <c r="K219" s="1"/>
      <c r="L219" s="430" t="str">
        <f ca="1">IFERROR((M215*L215)+(M216*L216)+(M217*L217)+(M218*L218),"")</f>
        <v/>
      </c>
      <c r="M219" s="427"/>
      <c r="N219" s="426"/>
      <c r="O219" s="427"/>
      <c r="P219" s="431"/>
      <c r="Q219" s="432"/>
      <c r="R219" s="429" t="str">
        <f>IFERROR(IF(R215="","",SUM(R215:R218)),0)</f>
        <v/>
      </c>
      <c r="T219" s="430" t="str">
        <f ca="1">IFERROR((U215*T215)+(U216*T216)+(U217*T217)+(U218*T218),"")</f>
        <v/>
      </c>
      <c r="U219" s="427"/>
      <c r="V219" s="426"/>
      <c r="W219" s="427"/>
      <c r="X219" s="431"/>
      <c r="Y219" s="432"/>
      <c r="Z219" s="429" t="str">
        <f>IFERROR(IF(Z215="","",SUM(Z215:Z218)),0)</f>
        <v/>
      </c>
    </row>
    <row r="220" spans="1:26" ht="18.75" customHeight="1">
      <c r="A220" s="140"/>
      <c r="B220" s="140"/>
      <c r="D220" s="177" t="s">
        <v>243</v>
      </c>
      <c r="E220" s="433"/>
      <c r="F220" s="448" t="str">
        <f ca="1">IFERROR(F219*12,"")</f>
        <v/>
      </c>
      <c r="G220" s="435"/>
      <c r="H220" s="436"/>
      <c r="I220" s="432"/>
      <c r="J220" s="437" t="str">
        <f ca="1">IF(J219="","",J219*12)</f>
        <v/>
      </c>
      <c r="K220" s="1"/>
      <c r="L220" s="438" t="str">
        <f ca="1">IFERROR(L219*12,"")</f>
        <v/>
      </c>
      <c r="M220" s="436"/>
      <c r="N220" s="435"/>
      <c r="O220" s="436"/>
      <c r="P220" s="432"/>
      <c r="Q220" s="432"/>
      <c r="R220" s="437" t="str">
        <f>IF(R219="","",R219*12)</f>
        <v/>
      </c>
      <c r="T220" s="438" t="str">
        <f ca="1">IFERROR(T219*12,"")</f>
        <v/>
      </c>
      <c r="U220" s="436"/>
      <c r="V220" s="435"/>
      <c r="W220" s="436"/>
      <c r="X220" s="432"/>
      <c r="Y220" s="432"/>
      <c r="Z220" s="437" t="str">
        <f>IF(Z219="","",Z219*12)</f>
        <v/>
      </c>
    </row>
    <row r="221" spans="1:26" ht="18" customHeight="1">
      <c r="A221" s="140"/>
      <c r="B221" s="140"/>
      <c r="D221" s="177" t="s">
        <v>244</v>
      </c>
      <c r="E221" s="433"/>
      <c r="F221" s="436"/>
      <c r="G221" s="435"/>
      <c r="H221" s="436"/>
      <c r="I221" s="432"/>
      <c r="J221" s="437"/>
      <c r="K221" s="1"/>
      <c r="L221" s="434" t="str">
        <f ca="1">IFERROR(L220-F220,"")</f>
        <v/>
      </c>
      <c r="M221" s="436"/>
      <c r="N221" s="435"/>
      <c r="O221" s="436"/>
      <c r="P221" s="432"/>
      <c r="Q221" s="432"/>
      <c r="R221" s="437" t="str">
        <f ca="1">IFERROR(IF(J220="","",R220-J220),0)</f>
        <v/>
      </c>
      <c r="T221" s="434" t="str">
        <f ca="1">IFERROR(T220-F220,"")</f>
        <v/>
      </c>
      <c r="U221" s="436"/>
      <c r="V221" s="435"/>
      <c r="W221" s="436"/>
      <c r="X221" s="432"/>
      <c r="Y221" s="432"/>
      <c r="Z221" s="437" t="str">
        <f>IFERROR(IF(R220="","",Z220-R220),0)</f>
        <v/>
      </c>
    </row>
    <row r="222" spans="1:26" ht="18" customHeight="1" thickBot="1">
      <c r="A222" s="140"/>
      <c r="B222" s="140"/>
      <c r="D222" s="180" t="s">
        <v>245</v>
      </c>
      <c r="E222" s="439"/>
      <c r="F222" s="440"/>
      <c r="G222" s="441"/>
      <c r="H222" s="440"/>
      <c r="I222" s="442"/>
      <c r="J222" s="443"/>
      <c r="K222" s="1"/>
      <c r="L222" s="444" t="str">
        <f ca="1">IFERROR(L220/F220-1,"")</f>
        <v/>
      </c>
      <c r="M222" s="440"/>
      <c r="N222" s="441"/>
      <c r="O222" s="440"/>
      <c r="P222" s="445"/>
      <c r="Q222" s="445"/>
      <c r="R222" s="446" t="str">
        <f ca="1">IFERROR(IF(J220="","",(R220/J220)-1),0)</f>
        <v/>
      </c>
      <c r="T222" s="444" t="str">
        <f ca="1">IFERROR(T220/F220-1,"")</f>
        <v/>
      </c>
      <c r="U222" s="440"/>
      <c r="V222" s="441"/>
      <c r="W222" s="440"/>
      <c r="X222" s="445"/>
      <c r="Y222" s="445"/>
      <c r="Z222" s="446" t="str">
        <f>IFERROR(IF(R220="","",(Z220/R220)-1),0)</f>
        <v/>
      </c>
    </row>
    <row r="223" spans="4:26" ht="18" customHeight="1">
      <c r="D223" s="181" t="s">
        <v>246</v>
      </c>
      <c r="E223" s="182"/>
      <c r="F223" s="182"/>
      <c r="G223" s="182"/>
      <c r="H223" s="182"/>
      <c r="I223" s="182"/>
      <c r="J223" s="183"/>
      <c r="K223"/>
      <c r="L223" s="184"/>
      <c r="M223" s="182"/>
      <c r="N223" s="182"/>
      <c r="O223" s="182"/>
      <c r="P223" s="182"/>
      <c r="Q223" s="182"/>
      <c r="R223" s="183"/>
      <c r="T223" s="184"/>
      <c r="U223" s="182"/>
      <c r="V223" s="182"/>
      <c r="W223" s="182"/>
      <c r="X223" s="182"/>
      <c r="Y223" s="182"/>
      <c r="Z223" s="183"/>
    </row>
    <row r="224" spans="4:26" ht="18" customHeight="1" hidden="1">
      <c r="D224" s="185" t="s">
        <v>247</v>
      </c>
      <c r="E224" s="186"/>
      <c r="F224" s="186"/>
      <c r="G224" s="186"/>
      <c r="H224" s="186"/>
      <c r="I224" s="186"/>
      <c r="J224" s="187"/>
      <c r="K224"/>
      <c r="L224" s="188"/>
      <c r="M224" s="186"/>
      <c r="N224" s="186"/>
      <c r="O224" s="186"/>
      <c r="P224" s="186"/>
      <c r="Q224" s="186"/>
      <c r="R224" s="187"/>
      <c r="T224" s="188"/>
      <c r="U224" s="186"/>
      <c r="V224" s="186"/>
      <c r="W224" s="186"/>
      <c r="X224" s="186"/>
      <c r="Y224" s="186"/>
      <c r="Z224" s="187"/>
    </row>
    <row r="225" spans="4:26" ht="18" customHeight="1" hidden="1">
      <c r="D225" s="189" t="s">
        <v>248</v>
      </c>
      <c r="E225" s="190" t="str">
        <f>D214&amp;"_"&amp;D12</f>
        <v>_</v>
      </c>
      <c r="F225" s="191"/>
      <c r="G225" s="191"/>
      <c r="H225" s="191"/>
      <c r="I225" s="190"/>
      <c r="J225" s="192"/>
      <c r="K225"/>
      <c r="L225" s="193" t="str">
        <f ca="1">L214&amp;"_"&amp;D12</f>
        <v>SELECT PLAN_</v>
      </c>
      <c r="M225" s="191"/>
      <c r="N225" s="191"/>
      <c r="O225" s="191"/>
      <c r="P225" s="190"/>
      <c r="Q225" s="191"/>
      <c r="R225" s="192"/>
      <c r="T225" s="193" t="str">
        <f>T214&amp;"_"&amp;D12</f>
        <v>SELECT PLAN_</v>
      </c>
      <c r="U225" s="191"/>
      <c r="V225" s="191"/>
      <c r="W225" s="191"/>
      <c r="X225" s="190"/>
      <c r="Y225" s="191"/>
      <c r="Z225" s="192"/>
    </row>
    <row r="226" spans="4:26" ht="18" customHeight="1" hidden="1">
      <c r="D226" s="189" t="s">
        <v>249</v>
      </c>
      <c r="E226" s="191"/>
      <c r="F226" s="191"/>
      <c r="G226" s="191"/>
      <c r="H226" s="191"/>
      <c r="I226" s="191"/>
      <c r="J226" s="192"/>
      <c r="K226"/>
      <c r="L226" s="189"/>
      <c r="M226" s="191"/>
      <c r="N226" s="191"/>
      <c r="O226" s="191"/>
      <c r="P226" s="191"/>
      <c r="Q226" s="191"/>
      <c r="R226" s="192"/>
      <c r="T226" s="189"/>
      <c r="U226" s="191"/>
      <c r="V226" s="191"/>
      <c r="W226" s="191"/>
      <c r="X226" s="191"/>
      <c r="Y226" s="191"/>
      <c r="Z226" s="192"/>
    </row>
    <row r="227" spans="4:26" ht="18" customHeight="1" hidden="1">
      <c r="D227" s="194" t="s">
        <v>250</v>
      </c>
      <c r="E227" s="195"/>
      <c r="F227" s="195"/>
      <c r="G227" s="195"/>
      <c r="H227" s="195"/>
      <c r="I227" s="195"/>
      <c r="J227" s="196"/>
      <c r="K227"/>
      <c r="L227" s="197"/>
      <c r="M227" s="195"/>
      <c r="N227" s="195"/>
      <c r="O227" s="195"/>
      <c r="P227" s="195"/>
      <c r="Q227" s="195"/>
      <c r="R227" s="196"/>
      <c r="T227" s="197"/>
      <c r="U227" s="195"/>
      <c r="V227" s="195"/>
      <c r="W227" s="195"/>
      <c r="X227" s="195"/>
      <c r="Y227" s="195"/>
      <c r="Z227" s="196"/>
    </row>
    <row r="228" spans="4:26" ht="18" customHeight="1" hidden="1">
      <c r="D228" s="198" t="s">
        <v>251</v>
      </c>
      <c r="E228" s="199" t="str">
        <f>_xlfn.XLOOKUP(E225,CurrentPlans!B:B,CurrentPlans!X:X,"NA",0,1)</f>
        <v>NA</v>
      </c>
      <c r="F228" s="200"/>
      <c r="G228" s="200"/>
      <c r="H228" s="200"/>
      <c r="I228" s="199"/>
      <c r="J228" s="201"/>
      <c r="K228"/>
      <c r="L228" s="202" t="str">
        <f ca="1">_xlfn.XLOOKUP(L225,RenewalPlans!B:B,RenewalPlans!AA:AA,"NA",0,1)</f>
        <v>NA</v>
      </c>
      <c r="M228" s="200"/>
      <c r="N228" s="200"/>
      <c r="O228" s="200"/>
      <c r="P228" s="199"/>
      <c r="Q228" s="200"/>
      <c r="R228" s="201"/>
      <c r="T228" s="202" t="str">
        <f>_xlfn.XLOOKUP(T225,RenewalPlans!B:B,RenewalPlans!AA:AA,"NA",0,1)</f>
        <v>NA</v>
      </c>
      <c r="U228" s="200"/>
      <c r="V228" s="200"/>
      <c r="W228" s="200"/>
      <c r="X228" s="199"/>
      <c r="Y228" s="200"/>
      <c r="Z228" s="201"/>
    </row>
    <row r="229" spans="4:26" ht="18" customHeight="1" hidden="1">
      <c r="D229" s="198" t="s">
        <v>252</v>
      </c>
      <c r="E229" s="199" t="str">
        <f>_xlfn.XLOOKUP(E225,CurrentPlans!B:B,CurrentPlans!Y:Y,"NA",0,1)</f>
        <v>NA</v>
      </c>
      <c r="F229" s="200"/>
      <c r="G229" s="200"/>
      <c r="H229" s="200"/>
      <c r="I229" s="199"/>
      <c r="J229" s="201"/>
      <c r="K229"/>
      <c r="L229" s="202" t="str">
        <f ca="1">_xlfn.XLOOKUP(L225,RenewalPlans!B:B,RenewalPlans!AB:AB,"NA",0,1)</f>
        <v>NA</v>
      </c>
      <c r="M229" s="200"/>
      <c r="N229" s="200"/>
      <c r="O229" s="200"/>
      <c r="P229" s="199"/>
      <c r="Q229" s="200"/>
      <c r="R229" s="201"/>
      <c r="T229" s="202" t="str">
        <f>_xlfn.XLOOKUP(T225,RenewalPlans!B:B,RenewalPlans!AB:AB,"NA",0,1)</f>
        <v>NA</v>
      </c>
      <c r="U229" s="200"/>
      <c r="V229" s="200"/>
      <c r="W229" s="200"/>
      <c r="X229" s="199"/>
      <c r="Y229" s="200"/>
      <c r="Z229" s="201"/>
    </row>
    <row r="230" spans="4:26" ht="18" customHeight="1" hidden="1">
      <c r="D230" s="120" t="s">
        <v>253</v>
      </c>
      <c r="E230" s="121" t="str">
        <f>_xlfn.XLOOKUP(E225,CurrentPlans!B:B,CurrentPlans!W:W,"NA",0,1)</f>
        <v>NA</v>
      </c>
      <c r="F230" s="122"/>
      <c r="G230" s="122"/>
      <c r="H230" s="122"/>
      <c r="I230" s="121"/>
      <c r="J230" s="123"/>
      <c r="K230"/>
      <c r="L230" s="124" t="str">
        <f ca="1">_xlfn.XLOOKUP(L225,RenewalPlans!B:B,RenewalPlans!Z:Z,"NA",0,1)</f>
        <v>NA</v>
      </c>
      <c r="M230" s="122"/>
      <c r="N230" s="122"/>
      <c r="O230" s="122"/>
      <c r="P230" s="121"/>
      <c r="Q230" s="122"/>
      <c r="R230" s="123"/>
      <c r="T230" s="124" t="str">
        <f>_xlfn.XLOOKUP(T225,RenewalPlans!B:B,RenewalPlans!Z:Z,"NA",0,1)</f>
        <v>NA</v>
      </c>
      <c r="U230" s="122"/>
      <c r="V230" s="122"/>
      <c r="W230" s="122"/>
      <c r="X230" s="121"/>
      <c r="Y230" s="122"/>
      <c r="Z230" s="123"/>
    </row>
    <row r="231" spans="4:26" ht="18" customHeight="1" hidden="1">
      <c r="D231" s="203" t="s">
        <v>254</v>
      </c>
      <c r="E231" s="204"/>
      <c r="F231" s="205"/>
      <c r="G231" s="205"/>
      <c r="H231" s="205"/>
      <c r="I231" s="204"/>
      <c r="J231" s="206"/>
      <c r="K231"/>
      <c r="L231" s="207"/>
      <c r="M231" s="205"/>
      <c r="N231" s="205"/>
      <c r="O231" s="205"/>
      <c r="P231" s="204"/>
      <c r="Q231" s="205"/>
      <c r="R231" s="206"/>
      <c r="T231" s="207"/>
      <c r="U231" s="205"/>
      <c r="V231" s="205"/>
      <c r="W231" s="205"/>
      <c r="X231" s="204"/>
      <c r="Y231" s="205"/>
      <c r="Z231" s="206"/>
    </row>
    <row r="232" spans="4:26" ht="18" customHeight="1" hidden="1">
      <c r="D232" s="125" t="s">
        <v>255</v>
      </c>
      <c r="E232" s="126" t="str">
        <f>_xlfn.XLOOKUP(E225,CurrentPlans!B:B,CurrentPlans!Z:Z,"NA",0,1)</f>
        <v>NA</v>
      </c>
      <c r="F232" s="127"/>
      <c r="G232" s="127"/>
      <c r="H232" s="127"/>
      <c r="I232" s="126"/>
      <c r="J232" s="128"/>
      <c r="K232"/>
      <c r="L232" s="129" t="str">
        <f ca="1">_xlfn.XLOOKUP(L225,RenewalPlans!B:B,RenewalPlans!AC:AC,"NA",0,1)</f>
        <v>NA</v>
      </c>
      <c r="M232" s="127"/>
      <c r="N232" s="127"/>
      <c r="O232" s="127"/>
      <c r="P232" s="126"/>
      <c r="Q232" s="127"/>
      <c r="R232" s="128"/>
      <c r="T232" s="129" t="str">
        <f>_xlfn.XLOOKUP(T225,RenewalPlans!B:B,RenewalPlans!AC:AC,"NA",0,1)</f>
        <v>NA</v>
      </c>
      <c r="U232" s="127"/>
      <c r="V232" s="127"/>
      <c r="W232" s="127"/>
      <c r="X232" s="126"/>
      <c r="Y232" s="127"/>
      <c r="Z232" s="128"/>
    </row>
    <row r="233" spans="4:26" ht="18" customHeight="1" hidden="1">
      <c r="D233" s="198" t="s">
        <v>256</v>
      </c>
      <c r="E233" s="208" t="str">
        <f>_xlfn.XLOOKUP(E225,CurrentPlans!B:B,CurrentPlans!AA:AA,"NA",0,1)</f>
        <v>NA</v>
      </c>
      <c r="F233" s="200"/>
      <c r="G233" s="200"/>
      <c r="H233" s="200"/>
      <c r="I233" s="208"/>
      <c r="J233" s="201"/>
      <c r="K233"/>
      <c r="L233" s="209" t="str">
        <f ca="1">_xlfn.XLOOKUP(L225,RenewalPlans!B:B,RenewalPlans!AD:AD,"NA",0,1)</f>
        <v>NA</v>
      </c>
      <c r="M233" s="200"/>
      <c r="N233" s="200"/>
      <c r="O233" s="200"/>
      <c r="P233" s="208"/>
      <c r="Q233" s="200"/>
      <c r="R233" s="201"/>
      <c r="T233" s="209" t="str">
        <f>_xlfn.XLOOKUP(T225,RenewalPlans!B:B,RenewalPlans!AD:AD,"NA",0,1)</f>
        <v>NA</v>
      </c>
      <c r="U233" s="200"/>
      <c r="V233" s="200"/>
      <c r="W233" s="200"/>
      <c r="X233" s="208"/>
      <c r="Y233" s="200"/>
      <c r="Z233" s="201"/>
    </row>
    <row r="234" spans="4:26" ht="18" customHeight="1" hidden="1">
      <c r="D234" s="203" t="s">
        <v>257</v>
      </c>
      <c r="E234" s="204"/>
      <c r="F234" s="205"/>
      <c r="G234" s="205"/>
      <c r="H234" s="205"/>
      <c r="I234" s="204"/>
      <c r="J234" s="206"/>
      <c r="K234"/>
      <c r="L234" s="207"/>
      <c r="M234" s="205"/>
      <c r="N234" s="205"/>
      <c r="O234" s="205"/>
      <c r="P234" s="204"/>
      <c r="Q234" s="205"/>
      <c r="R234" s="206"/>
      <c r="T234" s="207"/>
      <c r="U234" s="205"/>
      <c r="V234" s="205"/>
      <c r="W234" s="205"/>
      <c r="X234" s="204"/>
      <c r="Y234" s="205"/>
      <c r="Z234" s="206"/>
    </row>
    <row r="235" spans="4:26" ht="18" customHeight="1" hidden="1">
      <c r="D235" s="198" t="s">
        <v>258</v>
      </c>
      <c r="E235" s="208" t="str">
        <f>_xlfn.XLOOKUP(E225,CurrentPlans!B:B,CurrentPlans!AB:AB,"NA",0,1)</f>
        <v>NA</v>
      </c>
      <c r="F235" s="200"/>
      <c r="G235" s="200"/>
      <c r="H235" s="200"/>
      <c r="I235" s="208"/>
      <c r="J235" s="201"/>
      <c r="K235"/>
      <c r="L235" s="209" t="str">
        <f ca="1">_xlfn.XLOOKUP(L225,RenewalPlans!B:B,RenewalPlans!AE:AE,"NA",0,1)</f>
        <v>NA</v>
      </c>
      <c r="M235" s="200"/>
      <c r="N235" s="200"/>
      <c r="O235" s="200"/>
      <c r="P235" s="208"/>
      <c r="Q235" s="200"/>
      <c r="R235" s="201"/>
      <c r="T235" s="209" t="str">
        <f>_xlfn.XLOOKUP(T225,RenewalPlans!B:B,RenewalPlans!AE:AE,"NA",0,1)</f>
        <v>NA</v>
      </c>
      <c r="U235" s="200"/>
      <c r="V235" s="200"/>
      <c r="W235" s="200"/>
      <c r="X235" s="208"/>
      <c r="Y235" s="200"/>
      <c r="Z235" s="201"/>
    </row>
    <row r="236" spans="4:26" ht="18" customHeight="1" hidden="1">
      <c r="D236" s="198" t="s">
        <v>259</v>
      </c>
      <c r="E236" s="208" t="str">
        <f>_xlfn.XLOOKUP(E225,CurrentPlans!B:B,CurrentPlans!AC:AC,"NA",0,1)</f>
        <v>NA</v>
      </c>
      <c r="F236" s="200"/>
      <c r="G236" s="200"/>
      <c r="H236" s="200"/>
      <c r="I236" s="208"/>
      <c r="J236" s="201"/>
      <c r="K236"/>
      <c r="L236" s="209" t="str">
        <f ca="1">_xlfn.XLOOKUP(L225,RenewalPlans!B:B,RenewalPlans!AF:AF,"NA",0,1)</f>
        <v>NA</v>
      </c>
      <c r="M236" s="200"/>
      <c r="N236" s="200"/>
      <c r="O236" s="200"/>
      <c r="P236" s="208"/>
      <c r="Q236" s="200"/>
      <c r="R236" s="201"/>
      <c r="T236" s="209" t="str">
        <f>_xlfn.XLOOKUP(T225,RenewalPlans!B:B,RenewalPlans!AF:AF,"NA",0,1)</f>
        <v>NA</v>
      </c>
      <c r="U236" s="200"/>
      <c r="V236" s="200"/>
      <c r="W236" s="200"/>
      <c r="X236" s="208"/>
      <c r="Y236" s="200"/>
      <c r="Z236" s="201"/>
    </row>
    <row r="237" spans="4:26" ht="18" customHeight="1" hidden="1">
      <c r="D237" s="210"/>
      <c r="E237" s="211"/>
      <c r="F237" s="211"/>
      <c r="G237" s="211"/>
      <c r="H237" s="211"/>
      <c r="I237" s="211"/>
      <c r="J237" s="212"/>
      <c r="K237"/>
      <c r="L237" s="210"/>
      <c r="M237" s="211"/>
      <c r="N237" s="211"/>
      <c r="O237" s="211"/>
      <c r="P237" s="211"/>
      <c r="Q237" s="211"/>
      <c r="R237" s="212"/>
      <c r="T237" s="210"/>
      <c r="U237" s="211"/>
      <c r="V237" s="211"/>
      <c r="W237" s="211"/>
      <c r="X237" s="211"/>
      <c r="Y237" s="211"/>
      <c r="Z237" s="212"/>
    </row>
    <row r="238" spans="4:26" ht="18" customHeight="1" hidden="1">
      <c r="D238" s="185" t="s">
        <v>260</v>
      </c>
      <c r="E238" s="186"/>
      <c r="F238" s="186"/>
      <c r="G238" s="186"/>
      <c r="H238" s="186"/>
      <c r="I238" s="186"/>
      <c r="J238" s="187"/>
      <c r="K238"/>
      <c r="L238" s="188"/>
      <c r="M238" s="186"/>
      <c r="N238" s="186"/>
      <c r="O238" s="186"/>
      <c r="P238" s="186"/>
      <c r="Q238" s="186"/>
      <c r="R238" s="187"/>
      <c r="T238" s="188"/>
      <c r="U238" s="186"/>
      <c r="V238" s="186"/>
      <c r="W238" s="186"/>
      <c r="X238" s="186"/>
      <c r="Y238" s="186"/>
      <c r="Z238" s="187"/>
    </row>
    <row r="239" spans="4:26" ht="18" customHeight="1" hidden="1">
      <c r="D239" s="213" t="s">
        <v>261</v>
      </c>
      <c r="E239" s="130" t="str">
        <f>_xlfn.XLOOKUP(E225,CurrentPlans!B:B,CurrentPlans!AJ:AJ,"NA",0,1)</f>
        <v>NA</v>
      </c>
      <c r="F239" s="214"/>
      <c r="G239" s="214"/>
      <c r="H239" s="214"/>
      <c r="I239" s="130"/>
      <c r="J239" s="215"/>
      <c r="K239"/>
      <c r="L239" s="131" t="str">
        <f ca="1">_xlfn.XLOOKUP(L225,RenewalPlans!B:B,RenewalPlans!AM:AM,"NA",0,1)</f>
        <v>NA</v>
      </c>
      <c r="M239" s="214"/>
      <c r="N239" s="214"/>
      <c r="O239" s="214"/>
      <c r="P239" s="130"/>
      <c r="Q239" s="214"/>
      <c r="R239" s="215"/>
      <c r="T239" s="131" t="str">
        <f>_xlfn.XLOOKUP(T225,RenewalPlans!B:B,RenewalPlans!AM:AM,"NA",0,1)</f>
        <v>NA</v>
      </c>
      <c r="U239" s="214"/>
      <c r="V239" s="214"/>
      <c r="W239" s="214"/>
      <c r="X239" s="130"/>
      <c r="Y239" s="214"/>
      <c r="Z239" s="215"/>
    </row>
    <row r="240" spans="4:26" ht="18" customHeight="1" hidden="1">
      <c r="D240" s="198" t="s">
        <v>262</v>
      </c>
      <c r="E240" s="130" t="str">
        <f>_xlfn.XLOOKUP(E225,CurrentPlans!B:B,CurrentPlans!AM:AM,"NA",0,1)</f>
        <v>NA</v>
      </c>
      <c r="F240" s="200"/>
      <c r="G240" s="200"/>
      <c r="H240" s="200"/>
      <c r="I240" s="130"/>
      <c r="J240" s="201"/>
      <c r="K240"/>
      <c r="L240" s="131" t="str">
        <f ca="1">_xlfn.XLOOKUP(L225,RenewalPlans!B:B,RenewalPlans!AP:AP,"NA",0,1)</f>
        <v>NA</v>
      </c>
      <c r="M240" s="200"/>
      <c r="N240" s="200"/>
      <c r="O240" s="200"/>
      <c r="P240" s="130"/>
      <c r="Q240" s="200"/>
      <c r="R240" s="201"/>
      <c r="T240" s="131" t="str">
        <f>_xlfn.XLOOKUP(T225,RenewalPlans!B:B,RenewalPlans!AP:AP,"NA",0,1)</f>
        <v>NA</v>
      </c>
      <c r="U240" s="200"/>
      <c r="V240" s="200"/>
      <c r="W240" s="200"/>
      <c r="X240" s="130"/>
      <c r="Y240" s="200"/>
      <c r="Z240" s="201"/>
    </row>
    <row r="241" spans="4:26" ht="18" customHeight="1" hidden="1">
      <c r="D241" s="198" t="s">
        <v>263</v>
      </c>
      <c r="E241" s="130" t="str">
        <f>_xlfn.XLOOKUP(E225,CurrentPlans!B:B,CurrentPlans!AI:AI,"NA",0,1)</f>
        <v>NA</v>
      </c>
      <c r="F241" s="200"/>
      <c r="G241" s="200"/>
      <c r="H241" s="200"/>
      <c r="I241" s="130"/>
      <c r="J241" s="201"/>
      <c r="K241"/>
      <c r="L241" s="131" t="str">
        <f ca="1">_xlfn.XLOOKUP(L225,RenewalPlans!B:B,RenewalPlans!AL:AL,"NA",0,1)</f>
        <v>NA</v>
      </c>
      <c r="M241" s="200"/>
      <c r="N241" s="200"/>
      <c r="O241" s="200"/>
      <c r="P241" s="130"/>
      <c r="Q241" s="200"/>
      <c r="R241" s="201"/>
      <c r="T241" s="131" t="str">
        <f>_xlfn.XLOOKUP(T225,RenewalPlans!B:B,RenewalPlans!AL:AL,"NA",0,1)</f>
        <v>NA</v>
      </c>
      <c r="U241" s="200"/>
      <c r="V241" s="200"/>
      <c r="W241" s="200"/>
      <c r="X241" s="130"/>
      <c r="Y241" s="200"/>
      <c r="Z241" s="201"/>
    </row>
    <row r="242" spans="4:26" ht="18" customHeight="1" hidden="1">
      <c r="D242" s="198" t="s">
        <v>264</v>
      </c>
      <c r="E242" s="208" t="str">
        <f>_xlfn.XLOOKUP(E225,CurrentPlans!B:B,CurrentPlans!AN:AN,"NA",0,1)</f>
        <v>NA</v>
      </c>
      <c r="F242" s="200"/>
      <c r="G242" s="200"/>
      <c r="H242" s="200"/>
      <c r="I242" s="208"/>
      <c r="J242" s="201"/>
      <c r="K242"/>
      <c r="L242" s="209" t="str">
        <f ca="1">_xlfn.XLOOKUP(L225,RenewalPlans!B:B,RenewalPlans!AQ:AQ,"NA",0,1)</f>
        <v>NA</v>
      </c>
      <c r="M242" s="200"/>
      <c r="N242" s="200"/>
      <c r="O242" s="200"/>
      <c r="P242" s="208"/>
      <c r="Q242" s="200"/>
      <c r="R242" s="201"/>
      <c r="T242" s="209" t="str">
        <f>_xlfn.XLOOKUP(T225,RenewalPlans!B:B,RenewalPlans!AQ:AQ,"NA",0,1)</f>
        <v>NA</v>
      </c>
      <c r="U242" s="200"/>
      <c r="V242" s="200"/>
      <c r="W242" s="200"/>
      <c r="X242" s="208"/>
      <c r="Y242" s="200"/>
      <c r="Z242" s="201"/>
    </row>
    <row r="243" spans="4:26" ht="18" customHeight="1" hidden="1">
      <c r="D243" s="210"/>
      <c r="E243" s="211"/>
      <c r="F243" s="211"/>
      <c r="G243" s="211"/>
      <c r="H243" s="211"/>
      <c r="I243" s="211"/>
      <c r="J243" s="212"/>
      <c r="K243"/>
      <c r="L243" s="210"/>
      <c r="M243" s="211"/>
      <c r="N243" s="211"/>
      <c r="O243" s="211"/>
      <c r="P243" s="211"/>
      <c r="Q243" s="211"/>
      <c r="R243" s="212"/>
      <c r="T243" s="210"/>
      <c r="U243" s="211"/>
      <c r="V243" s="211"/>
      <c r="W243" s="211"/>
      <c r="X243" s="211"/>
      <c r="Y243" s="211"/>
      <c r="Z243" s="212"/>
    </row>
    <row r="244" spans="4:26" ht="18" customHeight="1" hidden="1">
      <c r="D244" s="185" t="s">
        <v>265</v>
      </c>
      <c r="E244" s="186"/>
      <c r="F244" s="186"/>
      <c r="G244" s="186"/>
      <c r="H244" s="186"/>
      <c r="I244" s="186"/>
      <c r="J244" s="187"/>
      <c r="K244"/>
      <c r="L244" s="188"/>
      <c r="M244" s="186"/>
      <c r="N244" s="186"/>
      <c r="O244" s="186"/>
      <c r="P244" s="186"/>
      <c r="Q244" s="186"/>
      <c r="R244" s="187"/>
      <c r="T244" s="188"/>
      <c r="U244" s="186"/>
      <c r="V244" s="186"/>
      <c r="W244" s="186"/>
      <c r="X244" s="186"/>
      <c r="Y244" s="186"/>
      <c r="Z244" s="187"/>
    </row>
    <row r="245" spans="4:26" ht="18" customHeight="1" hidden="1">
      <c r="D245" s="132" t="s">
        <v>266</v>
      </c>
      <c r="E245" s="133" t="str">
        <f>_xlfn.XLOOKUP(E225,CurrentPlans!B:B,CurrentPlans!AE:AE,"NA",0,1)</f>
        <v>NA</v>
      </c>
      <c r="F245" s="134"/>
      <c r="G245" s="134"/>
      <c r="H245" s="134"/>
      <c r="I245" s="133"/>
      <c r="J245" s="135"/>
      <c r="K245"/>
      <c r="L245" s="136" t="str">
        <f ca="1">_xlfn.XLOOKUP(L225,RenewalPlans!B:B,RenewalPlans!AH:AH,"NA",0,1)</f>
        <v>NA</v>
      </c>
      <c r="M245" s="134"/>
      <c r="N245" s="134"/>
      <c r="O245" s="134"/>
      <c r="P245" s="133"/>
      <c r="Q245" s="134"/>
      <c r="R245" s="135"/>
      <c r="T245" s="136" t="str">
        <f>_xlfn.XLOOKUP(T225,RenewalPlans!B:B,RenewalPlans!AH:AH,"NA",0,1)</f>
        <v>NA</v>
      </c>
      <c r="U245" s="134"/>
      <c r="V245" s="134"/>
      <c r="W245" s="134"/>
      <c r="X245" s="133"/>
      <c r="Y245" s="134"/>
      <c r="Z245" s="135"/>
    </row>
    <row r="246" spans="4:26" ht="18" customHeight="1" hidden="1">
      <c r="D246" s="120" t="s">
        <v>267</v>
      </c>
      <c r="E246" s="130" t="str">
        <f>_xlfn.XLOOKUP(E225,CurrentPlans!B:B,CurrentPlans!AF:AF,"NA",0,1)</f>
        <v>NA</v>
      </c>
      <c r="F246" s="122"/>
      <c r="G246" s="122"/>
      <c r="H246" s="122"/>
      <c r="I246" s="130"/>
      <c r="J246" s="123"/>
      <c r="K246"/>
      <c r="L246" s="131" t="str">
        <f ca="1">_xlfn.XLOOKUP(L225,RenewalPlans!B:B,RenewalPlans!AI:AI,"NA",0,1)</f>
        <v>NA</v>
      </c>
      <c r="M246" s="122"/>
      <c r="N246" s="122"/>
      <c r="O246" s="122"/>
      <c r="P246" s="130"/>
      <c r="Q246" s="122"/>
      <c r="R246" s="123"/>
      <c r="T246" s="131" t="str">
        <f>_xlfn.XLOOKUP(T225,RenewalPlans!B:B,RenewalPlans!AI:AI,"NA",0,1)</f>
        <v>NA</v>
      </c>
      <c r="U246" s="122"/>
      <c r="V246" s="122"/>
      <c r="W246" s="122"/>
      <c r="X246" s="130"/>
      <c r="Y246" s="122"/>
      <c r="Z246" s="123"/>
    </row>
    <row r="247" spans="4:26" ht="18" customHeight="1" hidden="1">
      <c r="D247" s="198" t="s">
        <v>268</v>
      </c>
      <c r="E247" s="130" t="str">
        <f>_xlfn.XLOOKUP(E225,CurrentPlans!B:B,CurrentPlans!AH:AH,"NA",0,1)</f>
        <v>NA</v>
      </c>
      <c r="F247" s="200"/>
      <c r="G247" s="200"/>
      <c r="H247" s="200"/>
      <c r="I247" s="130"/>
      <c r="J247" s="201"/>
      <c r="K247"/>
      <c r="L247" s="131" t="str">
        <f ca="1">_xlfn.XLOOKUP(L225,RenewalPlans!B:B,RenewalPlans!AK:AK,"NA",0,1)</f>
        <v>NA</v>
      </c>
      <c r="M247" s="200"/>
      <c r="N247" s="200"/>
      <c r="O247" s="200"/>
      <c r="P247" s="130"/>
      <c r="Q247" s="200"/>
      <c r="R247" s="201"/>
      <c r="T247" s="131" t="str">
        <f>_xlfn.XLOOKUP(T225,RenewalPlans!B:B,RenewalPlans!AK:AK,"NA",0,1)</f>
        <v>NA</v>
      </c>
      <c r="U247" s="200"/>
      <c r="V247" s="200"/>
      <c r="W247" s="200"/>
      <c r="X247" s="130"/>
      <c r="Y247" s="200"/>
      <c r="Z247" s="201"/>
    </row>
    <row r="248" spans="4:26" ht="18" customHeight="1" hidden="1">
      <c r="D248" s="198" t="s">
        <v>269</v>
      </c>
      <c r="E248" s="130" t="str">
        <f>_xlfn.XLOOKUP(E225,CurrentPlans!B:B,CurrentPlans!AG:AG,"NA",0,1)</f>
        <v>NA</v>
      </c>
      <c r="F248" s="200"/>
      <c r="G248" s="200"/>
      <c r="H248" s="200"/>
      <c r="I248" s="130"/>
      <c r="J248" s="201"/>
      <c r="K248"/>
      <c r="L248" s="131" t="str">
        <f ca="1">_xlfn.XLOOKUP(L225,RenewalPlans!B:B,RenewalPlans!AJ:AJ,"NA",0,1)</f>
        <v>NA</v>
      </c>
      <c r="M248" s="200"/>
      <c r="N248" s="200"/>
      <c r="O248" s="200"/>
      <c r="P248" s="130"/>
      <c r="Q248" s="200"/>
      <c r="R248" s="201"/>
      <c r="T248" s="131" t="str">
        <f>_xlfn.XLOOKUP(T225,RenewalPlans!B:B,RenewalPlans!AJ:AJ,"NA",0,1)</f>
        <v>NA</v>
      </c>
      <c r="U248" s="200"/>
      <c r="V248" s="200"/>
      <c r="W248" s="200"/>
      <c r="X248" s="130"/>
      <c r="Y248" s="200"/>
      <c r="Z248" s="201"/>
    </row>
    <row r="249" spans="4:26" ht="18" customHeight="1" hidden="1">
      <c r="D249" s="213" t="s">
        <v>270</v>
      </c>
      <c r="E249" s="216" t="str">
        <f>_xlfn.XLOOKUP(E225,CurrentPlans!B:B,CurrentPlans!AU:AU,"NA",0,1)</f>
        <v>NA</v>
      </c>
      <c r="F249" s="214"/>
      <c r="G249" s="214"/>
      <c r="H249" s="214"/>
      <c r="I249" s="217"/>
      <c r="J249" s="215"/>
      <c r="K249"/>
      <c r="L249" s="218" t="str">
        <f ca="1">_xlfn.XLOOKUP(L225,RenewalPlans!B:B,RenewalPlans!AX:AX,"NA",0,1)</f>
        <v>NA</v>
      </c>
      <c r="M249" s="214"/>
      <c r="N249" s="214"/>
      <c r="O249" s="214"/>
      <c r="P249" s="217"/>
      <c r="Q249" s="214"/>
      <c r="R249" s="215"/>
      <c r="T249" s="218" t="str">
        <f>_xlfn.XLOOKUP(T225,RenewalPlans!B:B,RenewalPlans!AX:AX,"NA",0,1)</f>
        <v>NA</v>
      </c>
      <c r="U249" s="214"/>
      <c r="V249" s="214"/>
      <c r="W249" s="214"/>
      <c r="X249" s="217"/>
      <c r="Y249" s="214"/>
      <c r="Z249" s="215"/>
    </row>
    <row r="250" spans="4:26" ht="18" customHeight="1" hidden="1">
      <c r="D250" s="213" t="s">
        <v>271</v>
      </c>
      <c r="E250" s="216" t="str">
        <f>_xlfn.XLOOKUP(E225,CurrentPlans!B:B,CurrentPlans!AT:AT,"NA",0,1)</f>
        <v>NA</v>
      </c>
      <c r="F250" s="214"/>
      <c r="G250" s="214"/>
      <c r="H250" s="214"/>
      <c r="I250" s="217"/>
      <c r="J250" s="215"/>
      <c r="K250"/>
      <c r="L250" s="218" t="str">
        <f ca="1">_xlfn.XLOOKUP(L225,RenewalPlans!B:B,RenewalPlans!AW:AW,"NA",0,1)</f>
        <v>NA</v>
      </c>
      <c r="M250" s="214"/>
      <c r="N250" s="214"/>
      <c r="O250" s="214"/>
      <c r="P250" s="217"/>
      <c r="Q250" s="214"/>
      <c r="R250" s="215"/>
      <c r="T250" s="218" t="str">
        <f>_xlfn.XLOOKUP(T225,RenewalPlans!B:B,RenewalPlans!AW:AW,"NA",0,1)</f>
        <v>NA</v>
      </c>
      <c r="U250" s="214"/>
      <c r="V250" s="214"/>
      <c r="W250" s="214"/>
      <c r="X250" s="217"/>
      <c r="Y250" s="214"/>
      <c r="Z250" s="215"/>
    </row>
    <row r="251" spans="4:26" ht="18" customHeight="1" hidden="1">
      <c r="D251" s="198" t="s">
        <v>272</v>
      </c>
      <c r="E251" s="130" t="str">
        <f>_xlfn.XLOOKUP(E225,CurrentPlans!B:B,CurrentPlans!AD:AD,"NA",0,1)</f>
        <v>NA</v>
      </c>
      <c r="F251" s="200"/>
      <c r="G251" s="200"/>
      <c r="H251" s="200"/>
      <c r="I251" s="130"/>
      <c r="J251" s="201"/>
      <c r="K251"/>
      <c r="L251" s="131" t="str">
        <f ca="1">_xlfn.XLOOKUP(L225,RenewalPlans!B:B,RenewalPlans!AG:AG,"NA",0,1)</f>
        <v>NA</v>
      </c>
      <c r="M251" s="200"/>
      <c r="N251" s="200"/>
      <c r="O251" s="200"/>
      <c r="P251" s="130"/>
      <c r="Q251" s="200"/>
      <c r="R251" s="201"/>
      <c r="T251" s="131" t="str">
        <f>_xlfn.XLOOKUP(T225,RenewalPlans!B:B,RenewalPlans!AG:AG,"NA",0,1)</f>
        <v>NA</v>
      </c>
      <c r="U251" s="200"/>
      <c r="V251" s="200"/>
      <c r="W251" s="200"/>
      <c r="X251" s="130"/>
      <c r="Y251" s="200"/>
      <c r="Z251" s="201"/>
    </row>
    <row r="252" spans="4:26" ht="18" customHeight="1" hidden="1">
      <c r="D252" s="198" t="s">
        <v>273</v>
      </c>
      <c r="E252" s="200"/>
      <c r="F252" s="200"/>
      <c r="G252" s="200"/>
      <c r="H252" s="200"/>
      <c r="I252" s="200"/>
      <c r="J252" s="201"/>
      <c r="K252"/>
      <c r="L252" s="198"/>
      <c r="M252" s="200"/>
      <c r="N252" s="200"/>
      <c r="O252" s="200"/>
      <c r="P252" s="200"/>
      <c r="Q252" s="200"/>
      <c r="R252" s="201"/>
      <c r="T252" s="198"/>
      <c r="U252" s="200"/>
      <c r="V252" s="200"/>
      <c r="W252" s="200"/>
      <c r="X252" s="200"/>
      <c r="Y252" s="200"/>
      <c r="Z252" s="201"/>
    </row>
    <row r="253" spans="4:26" ht="18" customHeight="1" hidden="1">
      <c r="D253" s="210"/>
      <c r="E253" s="211"/>
      <c r="F253" s="211"/>
      <c r="G253" s="211"/>
      <c r="H253" s="211"/>
      <c r="I253" s="211"/>
      <c r="J253" s="212"/>
      <c r="K253"/>
      <c r="L253" s="210"/>
      <c r="M253" s="211"/>
      <c r="N253" s="211"/>
      <c r="O253" s="211"/>
      <c r="P253" s="211"/>
      <c r="Q253" s="211"/>
      <c r="R253" s="212"/>
      <c r="T253" s="210"/>
      <c r="U253" s="211"/>
      <c r="V253" s="211"/>
      <c r="W253" s="211"/>
      <c r="X253" s="211"/>
      <c r="Y253" s="211"/>
      <c r="Z253" s="212"/>
    </row>
    <row r="254" spans="4:26" ht="18" customHeight="1" hidden="1">
      <c r="D254" s="219" t="s">
        <v>274</v>
      </c>
      <c r="E254" s="220"/>
      <c r="F254" s="220"/>
      <c r="G254" s="220"/>
      <c r="H254" s="220"/>
      <c r="I254" s="220"/>
      <c r="J254" s="221"/>
      <c r="K254"/>
      <c r="L254" s="222"/>
      <c r="M254" s="220"/>
      <c r="N254" s="220"/>
      <c r="O254" s="220"/>
      <c r="P254" s="220"/>
      <c r="Q254" s="220"/>
      <c r="R254" s="221"/>
      <c r="T254" s="222"/>
      <c r="U254" s="220"/>
      <c r="V254" s="220"/>
      <c r="W254" s="220"/>
      <c r="X254" s="220"/>
      <c r="Y254" s="220"/>
      <c r="Z254" s="221"/>
    </row>
    <row r="255" spans="4:26" ht="18" customHeight="1" hidden="1">
      <c r="D255" s="223" t="s">
        <v>250</v>
      </c>
      <c r="E255" s="205"/>
      <c r="F255" s="205"/>
      <c r="G255" s="205"/>
      <c r="H255" s="205"/>
      <c r="I255" s="205"/>
      <c r="J255" s="206"/>
      <c r="K255"/>
      <c r="L255" s="203"/>
      <c r="M255" s="205"/>
      <c r="N255" s="205"/>
      <c r="O255" s="205"/>
      <c r="P255" s="205"/>
      <c r="Q255" s="205"/>
      <c r="R255" s="206"/>
      <c r="T255" s="203"/>
      <c r="U255" s="205"/>
      <c r="V255" s="205"/>
      <c r="W255" s="205"/>
      <c r="X255" s="205"/>
      <c r="Y255" s="205"/>
      <c r="Z255" s="206"/>
    </row>
    <row r="256" spans="4:26" ht="18" customHeight="1" hidden="1">
      <c r="D256" s="198" t="s">
        <v>251</v>
      </c>
      <c r="E256" s="130" t="str">
        <f>_xlfn.XLOOKUP(E225,CurrentPlans!B:B,CurrentPlans!AP:AP,"NA",0,1)</f>
        <v>NA</v>
      </c>
      <c r="F256" s="200"/>
      <c r="G256" s="200"/>
      <c r="H256" s="200"/>
      <c r="I256" s="130"/>
      <c r="J256" s="201"/>
      <c r="K256"/>
      <c r="L256" s="131" t="str">
        <f ca="1">_xlfn.XLOOKUP(L225,RenewalPlans!B:B,RenewalPlans!AS:AS,"NA",0,1)</f>
        <v>NA</v>
      </c>
      <c r="M256" s="200"/>
      <c r="N256" s="200"/>
      <c r="O256" s="200"/>
      <c r="P256" s="130"/>
      <c r="Q256" s="200"/>
      <c r="R256" s="201"/>
      <c r="T256" s="131" t="str">
        <f>_xlfn.XLOOKUP(T225,RenewalPlans!B:B,RenewalPlans!AS:AS,"NA",0,1)</f>
        <v>NA</v>
      </c>
      <c r="U256" s="200"/>
      <c r="V256" s="200"/>
      <c r="W256" s="200"/>
      <c r="X256" s="130"/>
      <c r="Y256" s="200"/>
      <c r="Z256" s="201"/>
    </row>
    <row r="257" spans="4:26" ht="18" customHeight="1" hidden="1">
      <c r="D257" s="198" t="s">
        <v>252</v>
      </c>
      <c r="E257" s="130" t="str">
        <f>_xlfn.XLOOKUP(E225,CurrentPlans!B:B,CurrentPlans!AQ:AQ,"NA",0,1)</f>
        <v>NA</v>
      </c>
      <c r="F257" s="200"/>
      <c r="G257" s="200"/>
      <c r="H257" s="200"/>
      <c r="I257" s="130"/>
      <c r="J257" s="201"/>
      <c r="K257"/>
      <c r="L257" s="131" t="str">
        <f ca="1">_xlfn.XLOOKUP(L225,RenewalPlans!B:B,RenewalPlans!AT:AT,"NA",0,1)</f>
        <v>NA</v>
      </c>
      <c r="M257" s="200"/>
      <c r="N257" s="200"/>
      <c r="O257" s="200"/>
      <c r="P257" s="130"/>
      <c r="Q257" s="200"/>
      <c r="R257" s="201"/>
      <c r="T257" s="131" t="str">
        <f>_xlfn.XLOOKUP(T225,RenewalPlans!B:B,RenewalPlans!AT:AT,"NA",0,1)</f>
        <v>NA</v>
      </c>
      <c r="U257" s="200"/>
      <c r="V257" s="200"/>
      <c r="W257" s="200"/>
      <c r="X257" s="130"/>
      <c r="Y257" s="200"/>
      <c r="Z257" s="201"/>
    </row>
    <row r="258" spans="4:26" ht="18" customHeight="1" hidden="1">
      <c r="D258" s="120" t="s">
        <v>253</v>
      </c>
      <c r="E258" s="133" t="str">
        <f>_xlfn.XLOOKUP(E225,CurrentPlans!B:B,CurrentPlans!AO:AO,"NA",0,1)</f>
        <v>NA</v>
      </c>
      <c r="F258" s="122"/>
      <c r="G258" s="122"/>
      <c r="H258" s="122"/>
      <c r="I258" s="133"/>
      <c r="J258" s="123"/>
      <c r="K258"/>
      <c r="L258" s="136" t="str">
        <f ca="1">_xlfn.XLOOKUP(L225,RenewalPlans!B:B,RenewalPlans!AR:AR,"NA",0,1)</f>
        <v>NA</v>
      </c>
      <c r="M258" s="122"/>
      <c r="N258" s="122"/>
      <c r="O258" s="122"/>
      <c r="P258" s="133"/>
      <c r="Q258" s="122"/>
      <c r="R258" s="123"/>
      <c r="T258" s="136" t="str">
        <f>_xlfn.XLOOKUP(T225,RenewalPlans!B:B,RenewalPlans!AR:AR,"NA",0,1)</f>
        <v>NA</v>
      </c>
      <c r="U258" s="122"/>
      <c r="V258" s="122"/>
      <c r="W258" s="122"/>
      <c r="X258" s="133"/>
      <c r="Y258" s="122"/>
      <c r="Z258" s="123"/>
    </row>
    <row r="259" spans="4:26" ht="18" customHeight="1" hidden="1">
      <c r="D259" s="223" t="s">
        <v>254</v>
      </c>
      <c r="E259" s="205"/>
      <c r="F259" s="205"/>
      <c r="G259" s="205"/>
      <c r="H259" s="205"/>
      <c r="I259" s="205"/>
      <c r="J259" s="206"/>
      <c r="K259"/>
      <c r="L259" s="203"/>
      <c r="M259" s="205"/>
      <c r="N259" s="205"/>
      <c r="O259" s="205"/>
      <c r="P259" s="205"/>
      <c r="Q259" s="205"/>
      <c r="R259" s="206"/>
      <c r="T259" s="203"/>
      <c r="U259" s="205"/>
      <c r="V259" s="205"/>
      <c r="W259" s="205"/>
      <c r="X259" s="205"/>
      <c r="Y259" s="205"/>
      <c r="Z259" s="206"/>
    </row>
    <row r="260" spans="4:26" ht="18" customHeight="1" hidden="1">
      <c r="D260" s="198" t="s">
        <v>255</v>
      </c>
      <c r="E260" s="130" t="str">
        <f>_xlfn.XLOOKUP(E225,CurrentPlans!B:B,CurrentPlans!AR:AR,"NA",0,1)</f>
        <v>NA</v>
      </c>
      <c r="F260" s="200"/>
      <c r="G260" s="200"/>
      <c r="H260" s="200"/>
      <c r="I260" s="130"/>
      <c r="J260" s="201"/>
      <c r="K260"/>
      <c r="L260" s="131" t="str">
        <f ca="1">_xlfn.XLOOKUP(L225,RenewalPlans!B:B,RenewalPlans!AU:AU,"NA",0,1)</f>
        <v>NA</v>
      </c>
      <c r="M260" s="200"/>
      <c r="N260" s="200"/>
      <c r="O260" s="200"/>
      <c r="P260" s="130"/>
      <c r="Q260" s="200"/>
      <c r="R260" s="201"/>
      <c r="T260" s="131" t="str">
        <f>_xlfn.XLOOKUP(T225,RenewalPlans!B:B,RenewalPlans!AU:AU,"NA",0,1)</f>
        <v>NA</v>
      </c>
      <c r="U260" s="200"/>
      <c r="V260" s="200"/>
      <c r="W260" s="200"/>
      <c r="X260" s="130"/>
      <c r="Y260" s="200"/>
      <c r="Z260" s="201"/>
    </row>
    <row r="261" spans="4:26" ht="18" customHeight="1" hidden="1" thickBot="1">
      <c r="D261" s="224" t="s">
        <v>256</v>
      </c>
      <c r="E261" s="137" t="str">
        <f>_xlfn.XLOOKUP(E225,CurrentPlans!B:B,CurrentPlans!AS:AS,"NA",0,1)</f>
        <v>NA</v>
      </c>
      <c r="F261" s="225"/>
      <c r="G261" s="225"/>
      <c r="H261" s="225"/>
      <c r="I261" s="137"/>
      <c r="J261" s="226"/>
      <c r="K261"/>
      <c r="L261" s="138" t="str">
        <f ca="1">_xlfn.XLOOKUP(L225,RenewalPlans!B:B,RenewalPlans!AV:AV,"NA",0,1)</f>
        <v>NA</v>
      </c>
      <c r="M261" s="225"/>
      <c r="N261" s="225"/>
      <c r="O261" s="225"/>
      <c r="P261" s="137"/>
      <c r="Q261" s="225"/>
      <c r="R261" s="226"/>
      <c r="T261" s="138" t="str">
        <f>_xlfn.XLOOKUP(T225,RenewalPlans!B:B,RenewalPlans!AV:AV,"NA",0,1)</f>
        <v>NA</v>
      </c>
      <c r="U261" s="225"/>
      <c r="V261" s="225"/>
      <c r="W261" s="225"/>
      <c r="X261" s="137"/>
      <c r="Y261" s="225"/>
      <c r="Z261" s="226"/>
    </row>
    <row r="262" spans="4:26" ht="18" customHeight="1">
      <c r="D262" s="227"/>
      <c r="E262" s="176"/>
      <c r="F262" s="178"/>
      <c r="G262" s="179"/>
      <c r="H262" s="178"/>
      <c r="I262" s="176"/>
      <c r="J262" s="228"/>
      <c r="K262"/>
      <c r="L262" s="178"/>
      <c r="M262" s="176"/>
      <c r="N262" s="139"/>
      <c r="O262" s="178"/>
      <c r="P262" s="178"/>
      <c r="Q262" s="178"/>
      <c r="R262" s="228"/>
      <c r="T262" s="178"/>
      <c r="U262" s="176"/>
      <c r="V262" s="139"/>
      <c r="W262" s="178"/>
      <c r="X262" s="178"/>
      <c r="Y262" s="178"/>
      <c r="Z262" s="228"/>
    </row>
    <row r="263" spans="1:26" ht="5.25" customHeight="1" thickBot="1">
      <c r="A263" s="140"/>
      <c r="B263" s="140"/>
      <c r="D263" s="229"/>
      <c r="E263" s="229"/>
      <c r="F263" s="230"/>
      <c r="G263" s="231"/>
      <c r="H263" s="232"/>
      <c r="I263" s="233"/>
      <c r="J263" s="233"/>
      <c r="K263"/>
      <c r="L263" s="233"/>
      <c r="M263" s="233"/>
      <c r="N263" s="233"/>
      <c r="O263" s="233"/>
      <c r="P263" s="233"/>
      <c r="Q263" s="233"/>
      <c r="R263" s="233"/>
      <c r="T263" s="233"/>
      <c r="U263" s="233"/>
      <c r="V263" s="233"/>
      <c r="W263" s="233"/>
      <c r="X263" s="233"/>
      <c r="Y263" s="233"/>
      <c r="Z263" s="233"/>
    </row>
    <row r="264" spans="1:26" ht="50.15" customHeight="1">
      <c r="A264" s="140">
        <v>6</v>
      </c>
      <c r="B264" s="140" t="str">
        <f>IF(A264&gt;Class5_CurrentHealthCount,"DELETE",Class5_CurrentHealthStart+A264)</f>
        <v>DELETE</v>
      </c>
      <c r="C264" s="164" t="s">
        <v>279</v>
      </c>
      <c r="D264" s="273" t="str">
        <f>IF(B264="Delete","",VLOOKUP(F264,BEGIN_CURRENT_HEALTH:END_CURRENT_HEALTH,3,FALSE))</f>
        <v/>
      </c>
      <c r="E264" s="165"/>
      <c r="F264" s="272" t="str" cm="1">
        <f t="array" ca="1" aca="1" ref="F264">IF(B264="Delete","",INDIRECT("CurrentPlans!A"&amp;B264,TRUE))</f>
        <v/>
      </c>
      <c r="G264" s="166"/>
      <c r="H264" s="167"/>
      <c r="I264" s="168"/>
      <c r="J264" s="169"/>
      <c r="K264"/>
      <c r="L264" s="274" t="str">
        <f ca="1">_xlfn.IFNA(VLOOKUP(F264,BEGIN_RENEWEDFROM_HEALTH:ROW_RenewHealth_PlanID,3,FALSE),"SELECT PLAN")</f>
        <v>SELECT PLAN</v>
      </c>
      <c r="M264" s="170"/>
      <c r="N264" s="274" t="s">
        <v>237</v>
      </c>
      <c r="O264" s="171"/>
      <c r="P264" s="171"/>
      <c r="Q264" s="171"/>
      <c r="R264" s="169"/>
      <c r="T264" s="274" t="s">
        <v>38</v>
      </c>
      <c r="U264" s="170"/>
      <c r="V264" s="274" t="s">
        <v>237</v>
      </c>
      <c r="W264" s="171"/>
      <c r="X264" s="171"/>
      <c r="Y264" s="171"/>
      <c r="Z264" s="169"/>
    </row>
    <row r="265" spans="1:26" ht="18.75" customHeight="1">
      <c r="A265" s="140"/>
      <c r="B265" s="140"/>
      <c r="D265" s="172" t="s">
        <v>238</v>
      </c>
      <c r="E265" s="407" t="str">
        <f ca="1">_xlfn.IFNA(VLOOKUP(F264,BEGIN_CURRENT_HEALTH:END_CURRENT_HEALTH,CURRENT_COL_EO_count,FALSE),"")</f>
        <v/>
      </c>
      <c r="F265" s="408" t="str">
        <f ca="1">_xlfn.IFNA(VLOOKUP(F264,BEGIN_CURRENT_HEALTH:END_CURRENT_HEALTH,CURRENT_COL_EO,FALSE),"")</f>
        <v/>
      </c>
      <c r="G265" s="468" t="str">
        <f ca="1" t="shared" si="25" ref="G265:G268">IF(F265="","",H265/F265)</f>
        <v/>
      </c>
      <c r="H265" s="408" t="str">
        <f ca="1">_xlfn.IFNA(VLOOKUP(F264,BEGIN_CURRENT_HEALTH:END_CURRENT_HEALTH,CURRENT_COL_EOContrib,FALSE),"")</f>
        <v/>
      </c>
      <c r="I265" s="409" t="str">
        <f ca="1">IFERROR(F265-H265,"")</f>
        <v/>
      </c>
      <c r="J265" s="410" t="str">
        <f ca="1">IF(F265="","",H265*E265)</f>
        <v/>
      </c>
      <c r="K265" s="411"/>
      <c r="L265" s="408" t="str" cm="1">
        <f t="array" ca="1" aca="1" ref="L265">_xlfn.IFNA(VLOOKUP(INDIRECT("L"&amp;ROW()-1)&amp;"_"&amp;$D$12,BEGIN_RENEW_HEALTH:END_RENEW_HEALTH,RENEW_COL_EO,FALSE),"")</f>
        <v/>
      </c>
      <c r="M265" s="412" t="str">
        <f ca="1">IF(E265="","",E265)</f>
        <v/>
      </c>
      <c r="N265" s="413"/>
      <c r="O265" s="414"/>
      <c r="P265" s="415" t="str">
        <f>IFERROR(IF($N264="Keep Contribution Same",H265,IF($N264="Enter Percentages",IF(N265="","",N265*L265),IF($N264="Keep Percentage Same",IF(G265="","",G265*L265),IF($N264="Enter Dollar Amount",IF(O265="","",O265),"")))),"")</f>
        <v/>
      </c>
      <c r="Q265" s="408" t="str">
        <f ca="1">IFERROR(L265-P265,"")</f>
        <v/>
      </c>
      <c r="R265" s="410" t="str">
        <f>IFERROR(IF(P265="","",M265*P265),"")</f>
        <v/>
      </c>
      <c r="S265" s="411"/>
      <c r="T265" s="408" t="str" cm="1">
        <f t="array" ca="1" aca="1" ref="T265">_xlfn.IFNA(VLOOKUP(INDIRECT("T"&amp;ROW()-1)&amp;"_"&amp;$D$12,BEGIN_RENEW_HEALTH:END_RENEW_HEALTH,RENEW_COL_EO,FALSE),"")</f>
        <v/>
      </c>
      <c r="U265" s="412" t="str">
        <f ca="1">IF(E265="","",E265)</f>
        <v/>
      </c>
      <c r="V265" s="413"/>
      <c r="W265" s="414"/>
      <c r="X265" s="415" t="str">
        <f>IFERROR(IF($V264="Keep Contribution Same",H265,IF($V264="Enter Percentages",IF(V265="","",V265*T265),IF($V264="Keep Percentage Same",IF(G265="","",G265*T265),IF($V264="Enter Dollar Amount",IF(W265="","",W265),"")))),"")</f>
        <v/>
      </c>
      <c r="Y265" s="408" t="str">
        <f ca="1">IFERROR(T265-X265,"")</f>
        <v/>
      </c>
      <c r="Z265" s="410" t="str">
        <f>IFERROR(IF(X265="","",U265*X265),"")</f>
        <v/>
      </c>
    </row>
    <row r="266" spans="1:26" ht="18.75" customHeight="1">
      <c r="A266" s="140"/>
      <c r="B266" s="140"/>
      <c r="D266" s="172" t="s">
        <v>239</v>
      </c>
      <c r="E266" s="407" t="str">
        <f ca="1">_xlfn.IFNA(VLOOKUP(F264,BEGIN_CURRENT_HEALTH:END_CURRENT_HEALTH,CURRENT_COL_ES_count,FALSE),"")</f>
        <v/>
      </c>
      <c r="F266" s="408" t="str">
        <f ca="1">_xlfn.IFNA(VLOOKUP(F264,BEGIN_CURRENT_HEALTH:END_CURRENT_HEALTH,CURRENT_COL_ES,FALSE),"")</f>
        <v/>
      </c>
      <c r="G266" s="468" t="str">
        <f t="shared" ca="1" si="25"/>
        <v/>
      </c>
      <c r="H266" s="408" t="str">
        <f ca="1">_xlfn.IFNA(VLOOKUP(F264,BEGIN_CURRENT_HEALTH:END_CURRENT_HEALTH,CURRENT_COL_ESContrib,FALSE),"")</f>
        <v/>
      </c>
      <c r="I266" s="409" t="str">
        <f ca="1" t="shared" si="26" ref="I266:I268">IFERROR(F266-H266,"")</f>
        <v/>
      </c>
      <c r="J266" s="410" t="str">
        <f ca="1">IF(F266="","",H266*E266)</f>
        <v/>
      </c>
      <c r="K266" s="411"/>
      <c r="L266" s="408" t="str" cm="1">
        <f t="array" ca="1" aca="1" ref="L266">_xlfn.IFNA(VLOOKUP(INDIRECT("L"&amp;ROW()-2)&amp;"_"&amp;$D$12,BEGIN_RENEW_HEALTH:END_RENEW_HEALTH,RENEW_COL_ES,FALSE),"")</f>
        <v/>
      </c>
      <c r="M266" s="412" t="str">
        <f ca="1">IF(E266="","",E266)</f>
        <v/>
      </c>
      <c r="N266" s="413"/>
      <c r="O266" s="414"/>
      <c r="P266" s="415" t="str">
        <f>IFERROR(IF($N264="Keep Contribution Same",H266,IF($N264="Enter Percentages",IF(N266="","",N266*L266),IF($N264="Keep Percentage Same",IF(G266="","",G266*L266),IF($N264="Enter Dollar Amount",IF(O266="","",O266),"")))),"")</f>
        <v/>
      </c>
      <c r="Q266" s="408" t="str">
        <f ca="1">IFERROR(L266-P266,"")</f>
        <v/>
      </c>
      <c r="R266" s="410" t="str">
        <f>IFERROR(IF(P266="","",M266*P266),"")</f>
        <v/>
      </c>
      <c r="S266" s="411"/>
      <c r="T266" s="408" t="str" cm="1">
        <f t="array" ca="1" aca="1" ref="T266">_xlfn.IFNA(VLOOKUP(INDIRECT("T"&amp;ROW()-2)&amp;"_"&amp;$D$12,BEGIN_RENEW_HEALTH:END_RENEW_HEALTH,RENEW_COL_ES,FALSE),"")</f>
        <v/>
      </c>
      <c r="U266" s="412" t="str">
        <f ca="1" t="shared" si="27" ref="U266:U268">IF(E266="","",E266)</f>
        <v/>
      </c>
      <c r="V266" s="413"/>
      <c r="W266" s="414"/>
      <c r="X266" s="415" t="str">
        <f>IFERROR(IF($V264="Keep Contribution Same",H266,IF($V264="Enter Percentages",IF(V266="","",V266*T266),IF($V264="Keep Percentage Same",IF(G266="","",G266*T266),IF($V264="Enter Dollar Amount",IF(W266="","",W266),"")))),"")</f>
        <v/>
      </c>
      <c r="Y266" s="408" t="str">
        <f ca="1" t="shared" si="28" ref="Y266:Y268">IFERROR(T266-X266,"")</f>
        <v/>
      </c>
      <c r="Z266" s="410" t="str">
        <f t="shared" si="29" ref="Z266:Z268">IFERROR(IF(X266="","",U266*X266),"")</f>
        <v/>
      </c>
    </row>
    <row r="267" spans="1:26" ht="18.75" customHeight="1">
      <c r="A267" s="140"/>
      <c r="B267" s="140"/>
      <c r="D267" s="172" t="s">
        <v>240</v>
      </c>
      <c r="E267" s="407" t="str">
        <f ca="1">_xlfn.IFNA(VLOOKUP(F264,BEGIN_CURRENT_HEALTH:END_CURRENT_HEALTH,CURRENT_COL_EC_count,FALSE),"")</f>
        <v/>
      </c>
      <c r="F267" s="408" t="str">
        <f ca="1">_xlfn.IFNA(VLOOKUP(F264,BEGIN_CURRENT_HEALTH:END_CURRENT_HEALTH,CURRENT_COL_EC,FALSE),"")</f>
        <v/>
      </c>
      <c r="G267" s="468" t="str">
        <f t="shared" ca="1" si="25"/>
        <v/>
      </c>
      <c r="H267" s="408" t="str">
        <f ca="1">_xlfn.IFNA(VLOOKUP(F264,BEGIN_CURRENT_HEALTH:END_CURRENT_HEALTH,CURRENT_COL_ECContrib,FALSE),"")</f>
        <v/>
      </c>
      <c r="I267" s="409" t="str">
        <f t="shared" ca="1" si="26"/>
        <v/>
      </c>
      <c r="J267" s="410" t="str">
        <f ca="1">IF(F267="","",H267*E267)</f>
        <v/>
      </c>
      <c r="K267" s="411"/>
      <c r="L267" s="408" t="str" cm="1">
        <f t="array" ca="1" aca="1" ref="L267">_xlfn.IFNA(VLOOKUP(INDIRECT("L"&amp;ROW()-3)&amp;"_"&amp;$D$12,BEGIN_RENEW_HEALTH:END_RENEW_HEALTH,RENEW_COL_EC,FALSE),"")</f>
        <v/>
      </c>
      <c r="M267" s="412" t="str">
        <f ca="1">IF(E267="","",E267)</f>
        <v/>
      </c>
      <c r="N267" s="413"/>
      <c r="O267" s="414"/>
      <c r="P267" s="415" t="str">
        <f>IFERROR(IF($N264="Keep Contribution Same",H267,IF($N264="Enter Percentages",IF(N267="","",N267*L267),IF($N264="Keep Percentage Same",IF(G267="","",G267*L267),IF($N264="Enter Dollar Amount",IF(O267="","",O267),"")))),"")</f>
        <v/>
      </c>
      <c r="Q267" s="408" t="str">
        <f ca="1">IFERROR(L267-P267,"")</f>
        <v/>
      </c>
      <c r="R267" s="410" t="str">
        <f>IFERROR(IF(P267="","",M267*P267),"")</f>
        <v/>
      </c>
      <c r="S267" s="411"/>
      <c r="T267" s="408" t="str" cm="1">
        <f t="array" ca="1" aca="1" ref="T267">_xlfn.IFNA(VLOOKUP(INDIRECT("T"&amp;ROW()-3)&amp;"_"&amp;$D$12,BEGIN_RENEW_HEALTH:END_RENEW_HEALTH,RENEW_COL_EC,FALSE),"")</f>
        <v/>
      </c>
      <c r="U267" s="412" t="str">
        <f t="shared" ca="1" si="27"/>
        <v/>
      </c>
      <c r="V267" s="413"/>
      <c r="W267" s="414"/>
      <c r="X267" s="415" t="str">
        <f>IFERROR(IF($V264="Keep Contribution Same",H267,IF($V264="Enter Percentages",IF(V267="","",V267*T267),IF($V264="Keep Percentage Same",IF(G267="","",G267*T267),IF($V264="Enter Dollar Amount",IF(W267="","",W267),"")))),"")</f>
        <v/>
      </c>
      <c r="Y267" s="408" t="str">
        <f t="shared" ca="1" si="28"/>
        <v/>
      </c>
      <c r="Z267" s="410" t="str">
        <f t="shared" si="29"/>
        <v/>
      </c>
    </row>
    <row r="268" spans="1:26" ht="18.75" customHeight="1" thickBot="1">
      <c r="A268" s="140"/>
      <c r="B268" s="140"/>
      <c r="D268" s="174" t="s">
        <v>241</v>
      </c>
      <c r="E268" s="416" t="str">
        <f ca="1">_xlfn.IFNA(VLOOKUP(F264,BEGIN_CURRENT_HEALTH:END_CURRENT_HEALTH,CURRENT_COL_FAM_count,FALSE),"")</f>
        <v/>
      </c>
      <c r="F268" s="417" t="str">
        <f ca="1">_xlfn.IFNA(VLOOKUP(F264,BEGIN_CURRENT_HEALTH:END_CURRENT_HEALTH,CURRENT_COL_FAM,FALSE),"")</f>
        <v/>
      </c>
      <c r="G268" s="469" t="str">
        <f t="shared" ca="1" si="25"/>
        <v/>
      </c>
      <c r="H268" s="417" t="str">
        <f ca="1">_xlfn.IFNA(VLOOKUP(F264,BEGIN_CURRENT_HEALTH:END_CURRENT_HEALTH,CURRENT_COL_FAMContrib,FALSE),"")</f>
        <v/>
      </c>
      <c r="I268" s="418" t="str">
        <f t="shared" ca="1" si="26"/>
        <v/>
      </c>
      <c r="J268" s="419" t="str">
        <f ca="1">IF(F268="","",H268*E268)</f>
        <v/>
      </c>
      <c r="K268" s="411"/>
      <c r="L268" s="417" t="str" cm="1">
        <f t="array" ca="1" aca="1" ref="L268">_xlfn.IFNA(VLOOKUP(INDIRECT("L"&amp;ROW()-4)&amp;"_"&amp;$D$12,BEGIN_RENEW_HEALTH:END_RENEW_HEALTH,RENEW_COL_FAM,FALSE),"")</f>
        <v/>
      </c>
      <c r="M268" s="423" t="str">
        <f ca="1">IF(E268="","",E268)</f>
        <v/>
      </c>
      <c r="N268" s="420"/>
      <c r="O268" s="421"/>
      <c r="P268" s="422" t="str">
        <f>IFERROR(IF($N264="Keep Contribution Same",H268,IF($N264="Enter Percentages",IF(N268="","",N268*L268),IF($N264="Keep Percentage Same",IF(G268="","",G268*L268),IF($N264="Enter Dollar Amount",IF(O268="","",O268),"")))),"")</f>
        <v/>
      </c>
      <c r="Q268" s="417" t="str">
        <f ca="1">IFERROR(L268-P268,"")</f>
        <v/>
      </c>
      <c r="R268" s="419" t="str">
        <f>IFERROR(IF(P268="","",M268*P268),"")</f>
        <v/>
      </c>
      <c r="S268" s="411"/>
      <c r="T268" s="417" t="str" cm="1">
        <f t="array" ca="1" aca="1" ref="T268">_xlfn.IFNA(VLOOKUP(INDIRECT("T"&amp;ROW()-4)&amp;"_"&amp;$D$12,BEGIN_RENEW_HEALTH:END_RENEW_HEALTH,RENEW_COL_FAM,FALSE),"")</f>
        <v/>
      </c>
      <c r="U268" s="423" t="str">
        <f t="shared" ca="1" si="27"/>
        <v/>
      </c>
      <c r="V268" s="420"/>
      <c r="W268" s="421"/>
      <c r="X268" s="422" t="str">
        <f>IFERROR(IF($V264="Keep Contribution Same",H268,IF($V264="Enter Percentages",IF(V268="","",V268*T268),IF($V264="Keep Percentage Same",IF(G268="","",G268*T268),IF($V264="Enter Dollar Amount",IF(W268="","",W268),"")))),"")</f>
        <v/>
      </c>
      <c r="Y268" s="417" t="str">
        <f t="shared" ca="1" si="28"/>
        <v/>
      </c>
      <c r="Z268" s="419" t="str">
        <f t="shared" si="29"/>
        <v/>
      </c>
    </row>
    <row r="269" spans="1:26" ht="18.75" customHeight="1" thickTop="1">
      <c r="A269" s="140"/>
      <c r="B269" s="140"/>
      <c r="D269" s="175" t="s">
        <v>242</v>
      </c>
      <c r="E269" s="424"/>
      <c r="F269" s="447" t="str">
        <f ca="1">IFERROR((F265*E265)+(F266*E266)+(F267*E267)+(F268*E268),"")</f>
        <v/>
      </c>
      <c r="G269" s="426"/>
      <c r="H269" s="427"/>
      <c r="I269" s="428"/>
      <c r="J269" s="429" t="str">
        <f ca="1">IFERROR(IF(J265="","",SUM(J265:J268)),0)</f>
        <v/>
      </c>
      <c r="K269" s="1"/>
      <c r="L269" s="430" t="str">
        <f ca="1">IFERROR((M265*L265)+(M266*L266)+(M267*L267)+(M268*L268),"")</f>
        <v/>
      </c>
      <c r="M269" s="427"/>
      <c r="N269" s="426"/>
      <c r="O269" s="427"/>
      <c r="P269" s="431"/>
      <c r="Q269" s="432"/>
      <c r="R269" s="429" t="str">
        <f>IFERROR(IF(R265="","",SUM(R265:R268)),0)</f>
        <v/>
      </c>
      <c r="T269" s="430" t="str">
        <f ca="1">IFERROR((U265*T265)+(U266*T266)+(U267*T267)+(U268*T268),"")</f>
        <v/>
      </c>
      <c r="U269" s="427"/>
      <c r="V269" s="426"/>
      <c r="W269" s="427"/>
      <c r="X269" s="431"/>
      <c r="Y269" s="432"/>
      <c r="Z269" s="429" t="str">
        <f>IFERROR(IF(Z265="","",SUM(Z265:Z268)),0)</f>
        <v/>
      </c>
    </row>
    <row r="270" spans="1:26" ht="18.75" customHeight="1">
      <c r="A270" s="140"/>
      <c r="B270" s="140"/>
      <c r="D270" s="177" t="s">
        <v>243</v>
      </c>
      <c r="E270" s="433"/>
      <c r="F270" s="448" t="str">
        <f ca="1">IFERROR(F269*12,"")</f>
        <v/>
      </c>
      <c r="G270" s="435"/>
      <c r="H270" s="436"/>
      <c r="I270" s="432"/>
      <c r="J270" s="437" t="str">
        <f ca="1">IF(J269="","",J269*12)</f>
        <v/>
      </c>
      <c r="K270" s="1"/>
      <c r="L270" s="438" t="str">
        <f ca="1">IFERROR(L269*12,"")</f>
        <v/>
      </c>
      <c r="M270" s="436"/>
      <c r="N270" s="435"/>
      <c r="O270" s="436"/>
      <c r="P270" s="432"/>
      <c r="Q270" s="432"/>
      <c r="R270" s="437" t="str">
        <f>IF(R269="","",R269*12)</f>
        <v/>
      </c>
      <c r="T270" s="438" t="str">
        <f ca="1">IFERROR(T269*12,"")</f>
        <v/>
      </c>
      <c r="U270" s="436"/>
      <c r="V270" s="435"/>
      <c r="W270" s="436"/>
      <c r="X270" s="432"/>
      <c r="Y270" s="432"/>
      <c r="Z270" s="437" t="str">
        <f>IF(Z269="","",Z269*12)</f>
        <v/>
      </c>
    </row>
    <row r="271" spans="1:26" ht="18" customHeight="1">
      <c r="A271" s="140"/>
      <c r="B271" s="140"/>
      <c r="D271" s="177" t="s">
        <v>244</v>
      </c>
      <c r="E271" s="433"/>
      <c r="F271" s="436"/>
      <c r="G271" s="435"/>
      <c r="H271" s="436"/>
      <c r="I271" s="432"/>
      <c r="J271" s="437"/>
      <c r="K271" s="1"/>
      <c r="L271" s="434" t="str">
        <f ca="1">IFERROR(L270-F270,"")</f>
        <v/>
      </c>
      <c r="M271" s="436"/>
      <c r="N271" s="435"/>
      <c r="O271" s="436"/>
      <c r="P271" s="432"/>
      <c r="Q271" s="432"/>
      <c r="R271" s="437" t="str">
        <f ca="1">IFERROR(IF(J270="","",R270-J270),0)</f>
        <v/>
      </c>
      <c r="T271" s="434" t="str">
        <f ca="1">IFERROR(T270-F270,"")</f>
        <v/>
      </c>
      <c r="U271" s="436"/>
      <c r="V271" s="435"/>
      <c r="W271" s="436"/>
      <c r="X271" s="432"/>
      <c r="Y271" s="432"/>
      <c r="Z271" s="437" t="str">
        <f>IFERROR(IF(R270="","",Z270-R270),0)</f>
        <v/>
      </c>
    </row>
    <row r="272" spans="1:26" ht="18" customHeight="1" thickBot="1">
      <c r="A272" s="140"/>
      <c r="B272" s="140"/>
      <c r="D272" s="180" t="s">
        <v>245</v>
      </c>
      <c r="E272" s="439"/>
      <c r="F272" s="440"/>
      <c r="G272" s="441"/>
      <c r="H272" s="440"/>
      <c r="I272" s="442"/>
      <c r="J272" s="443"/>
      <c r="K272" s="1"/>
      <c r="L272" s="444" t="str">
        <f ca="1">IFERROR(L270/F270-1,"")</f>
        <v/>
      </c>
      <c r="M272" s="440"/>
      <c r="N272" s="441"/>
      <c r="O272" s="440"/>
      <c r="P272" s="445"/>
      <c r="Q272" s="445"/>
      <c r="R272" s="446" t="str">
        <f ca="1">IFERROR(IF(J270="","",(R270/J270)-1),0)</f>
        <v/>
      </c>
      <c r="T272" s="444" t="str">
        <f ca="1">IFERROR(T270/F270-1,"")</f>
        <v/>
      </c>
      <c r="U272" s="440"/>
      <c r="V272" s="441"/>
      <c r="W272" s="440"/>
      <c r="X272" s="445"/>
      <c r="Y272" s="445"/>
      <c r="Z272" s="446" t="str">
        <f>IFERROR(IF(R270="","",(Z270/R270)-1),0)</f>
        <v/>
      </c>
    </row>
    <row r="273" spans="1:26" ht="18" customHeight="1">
      <c r="A273" s="140"/>
      <c r="B273" s="140"/>
      <c r="D273" s="181" t="s">
        <v>246</v>
      </c>
      <c r="E273" s="182"/>
      <c r="F273" s="182"/>
      <c r="G273" s="182"/>
      <c r="H273" s="182"/>
      <c r="I273" s="182"/>
      <c r="J273" s="183"/>
      <c r="K273"/>
      <c r="L273" s="184"/>
      <c r="M273" s="182"/>
      <c r="N273" s="182"/>
      <c r="O273" s="182"/>
      <c r="P273" s="182"/>
      <c r="Q273" s="182"/>
      <c r="R273" s="183"/>
      <c r="T273" s="184"/>
      <c r="U273" s="182"/>
      <c r="V273" s="182"/>
      <c r="W273" s="182"/>
      <c r="X273" s="182"/>
      <c r="Y273" s="182"/>
      <c r="Z273" s="183"/>
    </row>
    <row r="274" spans="1:26" ht="18" customHeight="1" hidden="1">
      <c r="A274" s="140"/>
      <c r="B274" s="140"/>
      <c r="D274" s="185" t="s">
        <v>247</v>
      </c>
      <c r="E274" s="186"/>
      <c r="F274" s="186"/>
      <c r="G274" s="186"/>
      <c r="H274" s="186"/>
      <c r="I274" s="186"/>
      <c r="J274" s="187"/>
      <c r="K274"/>
      <c r="L274" s="188"/>
      <c r="M274" s="186"/>
      <c r="N274" s="186"/>
      <c r="O274" s="186"/>
      <c r="P274" s="186"/>
      <c r="Q274" s="186"/>
      <c r="R274" s="187"/>
      <c r="T274" s="188"/>
      <c r="U274" s="186"/>
      <c r="V274" s="186"/>
      <c r="W274" s="186"/>
      <c r="X274" s="186"/>
      <c r="Y274" s="186"/>
      <c r="Z274" s="187"/>
    </row>
    <row r="275" spans="1:26" ht="18" customHeight="1" hidden="1">
      <c r="A275" s="140"/>
      <c r="B275" s="140"/>
      <c r="D275" s="189" t="s">
        <v>248</v>
      </c>
      <c r="E275" s="190" t="str">
        <f>D264&amp;"_"&amp;D12</f>
        <v>_</v>
      </c>
      <c r="F275" s="191"/>
      <c r="G275" s="191"/>
      <c r="H275" s="191"/>
      <c r="I275" s="190"/>
      <c r="J275" s="192"/>
      <c r="K275"/>
      <c r="L275" s="193" t="str">
        <f ca="1">L264&amp;"_"&amp;D12</f>
        <v>SELECT PLAN_</v>
      </c>
      <c r="M275" s="191"/>
      <c r="N275" s="191"/>
      <c r="O275" s="191"/>
      <c r="P275" s="190"/>
      <c r="Q275" s="191"/>
      <c r="R275" s="192"/>
      <c r="T275" s="193" t="str">
        <f>T264&amp;"_"&amp;D12</f>
        <v>SELECT PLAN_</v>
      </c>
      <c r="U275" s="191"/>
      <c r="V275" s="191"/>
      <c r="W275" s="191"/>
      <c r="X275" s="190"/>
      <c r="Y275" s="191"/>
      <c r="Z275" s="192"/>
    </row>
    <row r="276" spans="1:26" ht="18" customHeight="1" hidden="1">
      <c r="A276" s="140"/>
      <c r="B276" s="140"/>
      <c r="D276" s="189" t="s">
        <v>249</v>
      </c>
      <c r="E276" s="191"/>
      <c r="F276" s="191"/>
      <c r="G276" s="191"/>
      <c r="H276" s="191"/>
      <c r="I276" s="191"/>
      <c r="J276" s="192"/>
      <c r="K276"/>
      <c r="L276" s="189"/>
      <c r="M276" s="191"/>
      <c r="N276" s="191"/>
      <c r="O276" s="191"/>
      <c r="P276" s="191"/>
      <c r="Q276" s="191"/>
      <c r="R276" s="192"/>
      <c r="T276" s="189"/>
      <c r="U276" s="191"/>
      <c r="V276" s="191"/>
      <c r="W276" s="191"/>
      <c r="X276" s="191"/>
      <c r="Y276" s="191"/>
      <c r="Z276" s="192"/>
    </row>
    <row r="277" spans="1:26" ht="18" customHeight="1" hidden="1">
      <c r="A277" s="140"/>
      <c r="B277" s="140"/>
      <c r="D277" s="194" t="s">
        <v>250</v>
      </c>
      <c r="E277" s="195"/>
      <c r="F277" s="195"/>
      <c r="G277" s="195"/>
      <c r="H277" s="195"/>
      <c r="I277" s="195"/>
      <c r="J277" s="196"/>
      <c r="K277"/>
      <c r="L277" s="197"/>
      <c r="M277" s="195"/>
      <c r="N277" s="195"/>
      <c r="O277" s="195"/>
      <c r="P277" s="195"/>
      <c r="Q277" s="195"/>
      <c r="R277" s="196"/>
      <c r="T277" s="197"/>
      <c r="U277" s="195"/>
      <c r="V277" s="195"/>
      <c r="W277" s="195"/>
      <c r="X277" s="195"/>
      <c r="Y277" s="195"/>
      <c r="Z277" s="196"/>
    </row>
    <row r="278" spans="1:26" ht="18" customHeight="1" hidden="1">
      <c r="A278" s="140"/>
      <c r="B278" s="140"/>
      <c r="D278" s="198" t="s">
        <v>251</v>
      </c>
      <c r="E278" s="199" t="str">
        <f>_xlfn.XLOOKUP(E275,CurrentPlans!B:B,CurrentPlans!X:X,"NA",0,1)</f>
        <v>NA</v>
      </c>
      <c r="F278" s="200"/>
      <c r="G278" s="200"/>
      <c r="H278" s="200"/>
      <c r="I278" s="199"/>
      <c r="J278" s="201"/>
      <c r="K278"/>
      <c r="L278" s="202" t="str">
        <f ca="1">_xlfn.XLOOKUP(L275,RenewalPlans!B:B,RenewalPlans!AA:AA,"NA",0,1)</f>
        <v>NA</v>
      </c>
      <c r="M278" s="200"/>
      <c r="N278" s="200"/>
      <c r="O278" s="200"/>
      <c r="P278" s="199"/>
      <c r="Q278" s="200"/>
      <c r="R278" s="201"/>
      <c r="T278" s="202" t="str">
        <f>_xlfn.XLOOKUP(T275,RenewalPlans!B:B,RenewalPlans!AA:AA,"NA",0,1)</f>
        <v>NA</v>
      </c>
      <c r="U278" s="200"/>
      <c r="V278" s="200"/>
      <c r="W278" s="200"/>
      <c r="X278" s="199"/>
      <c r="Y278" s="200"/>
      <c r="Z278" s="201"/>
    </row>
    <row r="279" spans="1:26" ht="18" customHeight="1" hidden="1">
      <c r="A279" s="140"/>
      <c r="B279" s="140"/>
      <c r="D279" s="198" t="s">
        <v>252</v>
      </c>
      <c r="E279" s="199" t="str">
        <f>_xlfn.XLOOKUP(E275,CurrentPlans!B:B,CurrentPlans!Y:Y,"NA",0,1)</f>
        <v>NA</v>
      </c>
      <c r="F279" s="200"/>
      <c r="G279" s="200"/>
      <c r="H279" s="200"/>
      <c r="I279" s="199"/>
      <c r="J279" s="201"/>
      <c r="K279"/>
      <c r="L279" s="202" t="str">
        <f ca="1">_xlfn.XLOOKUP(L275,RenewalPlans!B:B,RenewalPlans!AB:AB,"NA",0,1)</f>
        <v>NA</v>
      </c>
      <c r="M279" s="200"/>
      <c r="N279" s="200"/>
      <c r="O279" s="200"/>
      <c r="P279" s="199"/>
      <c r="Q279" s="200"/>
      <c r="R279" s="201"/>
      <c r="T279" s="202" t="str">
        <f>_xlfn.XLOOKUP(T275,RenewalPlans!B:B,RenewalPlans!AB:AB,"NA",0,1)</f>
        <v>NA</v>
      </c>
      <c r="U279" s="200"/>
      <c r="V279" s="200"/>
      <c r="W279" s="200"/>
      <c r="X279" s="199"/>
      <c r="Y279" s="200"/>
      <c r="Z279" s="201"/>
    </row>
    <row r="280" spans="1:26" ht="18" customHeight="1" hidden="1">
      <c r="A280" s="140"/>
      <c r="B280" s="140"/>
      <c r="D280" s="120" t="s">
        <v>253</v>
      </c>
      <c r="E280" s="121" t="str">
        <f>_xlfn.XLOOKUP(E275,CurrentPlans!B:B,CurrentPlans!W:W,"NA",0,1)</f>
        <v>NA</v>
      </c>
      <c r="F280" s="122"/>
      <c r="G280" s="122"/>
      <c r="H280" s="122"/>
      <c r="I280" s="121"/>
      <c r="J280" s="123"/>
      <c r="K280"/>
      <c r="L280" s="124" t="str">
        <f ca="1">_xlfn.XLOOKUP(L275,RenewalPlans!B:B,RenewalPlans!Z:Z,"NA",0,1)</f>
        <v>NA</v>
      </c>
      <c r="M280" s="122"/>
      <c r="N280" s="122"/>
      <c r="O280" s="122"/>
      <c r="P280" s="121"/>
      <c r="Q280" s="122"/>
      <c r="R280" s="123"/>
      <c r="T280" s="124" t="str">
        <f>_xlfn.XLOOKUP(T275,RenewalPlans!B:B,RenewalPlans!Z:Z,"NA",0,1)</f>
        <v>NA</v>
      </c>
      <c r="U280" s="122"/>
      <c r="V280" s="122"/>
      <c r="W280" s="122"/>
      <c r="X280" s="121"/>
      <c r="Y280" s="122"/>
      <c r="Z280" s="123"/>
    </row>
    <row r="281" spans="1:26" ht="18" customHeight="1" hidden="1">
      <c r="A281" s="140"/>
      <c r="B281" s="140"/>
      <c r="D281" s="203" t="s">
        <v>254</v>
      </c>
      <c r="E281" s="204"/>
      <c r="F281" s="205"/>
      <c r="G281" s="205"/>
      <c r="H281" s="205"/>
      <c r="I281" s="204"/>
      <c r="J281" s="206"/>
      <c r="K281"/>
      <c r="L281" s="207"/>
      <c r="M281" s="205"/>
      <c r="N281" s="205"/>
      <c r="O281" s="205"/>
      <c r="P281" s="204"/>
      <c r="Q281" s="205"/>
      <c r="R281" s="206"/>
      <c r="T281" s="207"/>
      <c r="U281" s="205"/>
      <c r="V281" s="205"/>
      <c r="W281" s="205"/>
      <c r="X281" s="204"/>
      <c r="Y281" s="205"/>
      <c r="Z281" s="206"/>
    </row>
    <row r="282" spans="1:26" ht="18" customHeight="1" hidden="1">
      <c r="A282" s="140"/>
      <c r="B282" s="140"/>
      <c r="D282" s="125" t="s">
        <v>255</v>
      </c>
      <c r="E282" s="126" t="str">
        <f>_xlfn.XLOOKUP(E275,CurrentPlans!B:B,CurrentPlans!Z:Z,"NA",0,1)</f>
        <v>NA</v>
      </c>
      <c r="F282" s="127"/>
      <c r="G282" s="127"/>
      <c r="H282" s="127"/>
      <c r="I282" s="126"/>
      <c r="J282" s="128"/>
      <c r="K282"/>
      <c r="L282" s="129" t="str">
        <f ca="1">_xlfn.XLOOKUP(L275,RenewalPlans!B:B,RenewalPlans!AC:AC,"NA",0,1)</f>
        <v>NA</v>
      </c>
      <c r="M282" s="127"/>
      <c r="N282" s="127"/>
      <c r="O282" s="127"/>
      <c r="P282" s="126"/>
      <c r="Q282" s="127"/>
      <c r="R282" s="128"/>
      <c r="T282" s="129" t="str">
        <f>_xlfn.XLOOKUP(T275,RenewalPlans!B:B,RenewalPlans!AC:AC,"NA",0,1)</f>
        <v>NA</v>
      </c>
      <c r="U282" s="127"/>
      <c r="V282" s="127"/>
      <c r="W282" s="127"/>
      <c r="X282" s="126"/>
      <c r="Y282" s="127"/>
      <c r="Z282" s="128"/>
    </row>
    <row r="283" spans="1:26" ht="18" customHeight="1" hidden="1">
      <c r="A283" s="140"/>
      <c r="B283" s="140"/>
      <c r="D283" s="198" t="s">
        <v>256</v>
      </c>
      <c r="E283" s="208" t="str">
        <f>_xlfn.XLOOKUP(E275,CurrentPlans!B:B,CurrentPlans!AA:AA,"NA",0,1)</f>
        <v>NA</v>
      </c>
      <c r="F283" s="200"/>
      <c r="G283" s="200"/>
      <c r="H283" s="200"/>
      <c r="I283" s="208"/>
      <c r="J283" s="201"/>
      <c r="K283"/>
      <c r="L283" s="209" t="str">
        <f ca="1">_xlfn.XLOOKUP(L275,RenewalPlans!B:B,RenewalPlans!AD:AD,"NA",0,1)</f>
        <v>NA</v>
      </c>
      <c r="M283" s="200"/>
      <c r="N283" s="200"/>
      <c r="O283" s="200"/>
      <c r="P283" s="208"/>
      <c r="Q283" s="200"/>
      <c r="R283" s="201"/>
      <c r="T283" s="209" t="str">
        <f>_xlfn.XLOOKUP(T275,RenewalPlans!B:B,RenewalPlans!AD:AD,"NA",0,1)</f>
        <v>NA</v>
      </c>
      <c r="U283" s="200"/>
      <c r="V283" s="200"/>
      <c r="W283" s="200"/>
      <c r="X283" s="208"/>
      <c r="Y283" s="200"/>
      <c r="Z283" s="201"/>
    </row>
    <row r="284" spans="1:26" ht="18" customHeight="1" hidden="1">
      <c r="A284" s="140"/>
      <c r="B284" s="140"/>
      <c r="D284" s="203" t="s">
        <v>257</v>
      </c>
      <c r="E284" s="204"/>
      <c r="F284" s="205"/>
      <c r="G284" s="205"/>
      <c r="H284" s="205"/>
      <c r="I284" s="204"/>
      <c r="J284" s="206"/>
      <c r="K284"/>
      <c r="L284" s="207"/>
      <c r="M284" s="205"/>
      <c r="N284" s="205"/>
      <c r="O284" s="205"/>
      <c r="P284" s="204"/>
      <c r="Q284" s="205"/>
      <c r="R284" s="206"/>
      <c r="T284" s="207"/>
      <c r="U284" s="205"/>
      <c r="V284" s="205"/>
      <c r="W284" s="205"/>
      <c r="X284" s="204"/>
      <c r="Y284" s="205"/>
      <c r="Z284" s="206"/>
    </row>
    <row r="285" spans="1:26" ht="18" customHeight="1" hidden="1">
      <c r="A285" s="140"/>
      <c r="B285" s="140"/>
      <c r="D285" s="198" t="s">
        <v>258</v>
      </c>
      <c r="E285" s="208" t="str">
        <f>_xlfn.XLOOKUP(E275,CurrentPlans!B:B,CurrentPlans!AB:AB,"NA",0,1)</f>
        <v>NA</v>
      </c>
      <c r="F285" s="200"/>
      <c r="G285" s="200"/>
      <c r="H285" s="200"/>
      <c r="I285" s="208"/>
      <c r="J285" s="201"/>
      <c r="K285"/>
      <c r="L285" s="209" t="str">
        <f ca="1">_xlfn.XLOOKUP(L275,RenewalPlans!B:B,RenewalPlans!AE:AE,"NA",0,1)</f>
        <v>NA</v>
      </c>
      <c r="M285" s="200"/>
      <c r="N285" s="200"/>
      <c r="O285" s="200"/>
      <c r="P285" s="208"/>
      <c r="Q285" s="200"/>
      <c r="R285" s="201"/>
      <c r="T285" s="209" t="str">
        <f>_xlfn.XLOOKUP(T275,RenewalPlans!B:B,RenewalPlans!AE:AE,"NA",0,1)</f>
        <v>NA</v>
      </c>
      <c r="U285" s="200"/>
      <c r="V285" s="200"/>
      <c r="W285" s="200"/>
      <c r="X285" s="208"/>
      <c r="Y285" s="200"/>
      <c r="Z285" s="201"/>
    </row>
    <row r="286" spans="1:26" ht="18" customHeight="1" hidden="1">
      <c r="A286" s="140"/>
      <c r="B286" s="140"/>
      <c r="D286" s="198" t="s">
        <v>259</v>
      </c>
      <c r="E286" s="208" t="str">
        <f>_xlfn.XLOOKUP(E275,CurrentPlans!B:B,CurrentPlans!AC:AC,"NA",0,1)</f>
        <v>NA</v>
      </c>
      <c r="F286" s="200"/>
      <c r="G286" s="200"/>
      <c r="H286" s="200"/>
      <c r="I286" s="208"/>
      <c r="J286" s="201"/>
      <c r="K286"/>
      <c r="L286" s="209" t="str">
        <f ca="1">_xlfn.XLOOKUP(L275,RenewalPlans!B:B,RenewalPlans!AF:AF,"NA",0,1)</f>
        <v>NA</v>
      </c>
      <c r="M286" s="200"/>
      <c r="N286" s="200"/>
      <c r="O286" s="200"/>
      <c r="P286" s="208"/>
      <c r="Q286" s="200"/>
      <c r="R286" s="201"/>
      <c r="T286" s="209" t="str">
        <f>_xlfn.XLOOKUP(T275,RenewalPlans!B:B,RenewalPlans!AF:AF,"NA",0,1)</f>
        <v>NA</v>
      </c>
      <c r="U286" s="200"/>
      <c r="V286" s="200"/>
      <c r="W286" s="200"/>
      <c r="X286" s="208"/>
      <c r="Y286" s="200"/>
      <c r="Z286" s="201"/>
    </row>
    <row r="287" spans="1:26" ht="18" customHeight="1" hidden="1">
      <c r="A287" s="140"/>
      <c r="B287" s="140"/>
      <c r="D287" s="210"/>
      <c r="E287" s="211"/>
      <c r="F287" s="211"/>
      <c r="G287" s="211"/>
      <c r="H287" s="211"/>
      <c r="I287" s="211"/>
      <c r="J287" s="212"/>
      <c r="K287"/>
      <c r="L287" s="210"/>
      <c r="M287" s="211"/>
      <c r="N287" s="211"/>
      <c r="O287" s="211"/>
      <c r="P287" s="211"/>
      <c r="Q287" s="211"/>
      <c r="R287" s="212"/>
      <c r="T287" s="210"/>
      <c r="U287" s="211"/>
      <c r="V287" s="211"/>
      <c r="W287" s="211"/>
      <c r="X287" s="211"/>
      <c r="Y287" s="211"/>
      <c r="Z287" s="212"/>
    </row>
    <row r="288" spans="1:26" ht="18" customHeight="1" hidden="1">
      <c r="A288" s="140"/>
      <c r="B288" s="140"/>
      <c r="D288" s="185" t="s">
        <v>260</v>
      </c>
      <c r="E288" s="186"/>
      <c r="F288" s="186"/>
      <c r="G288" s="186"/>
      <c r="H288" s="186"/>
      <c r="I288" s="186"/>
      <c r="J288" s="187"/>
      <c r="K288"/>
      <c r="L288" s="188"/>
      <c r="M288" s="186"/>
      <c r="N288" s="186"/>
      <c r="O288" s="186"/>
      <c r="P288" s="186"/>
      <c r="Q288" s="186"/>
      <c r="R288" s="187"/>
      <c r="T288" s="188"/>
      <c r="U288" s="186"/>
      <c r="V288" s="186"/>
      <c r="W288" s="186"/>
      <c r="X288" s="186"/>
      <c r="Y288" s="186"/>
      <c r="Z288" s="187"/>
    </row>
    <row r="289" spans="1:26" ht="18" customHeight="1" hidden="1">
      <c r="A289" s="140"/>
      <c r="B289" s="140"/>
      <c r="D289" s="213" t="s">
        <v>261</v>
      </c>
      <c r="E289" s="130" t="str">
        <f>_xlfn.XLOOKUP(E275,CurrentPlans!B:B,CurrentPlans!AJ:AJ,"NA",0,1)</f>
        <v>NA</v>
      </c>
      <c r="F289" s="214"/>
      <c r="G289" s="214"/>
      <c r="H289" s="214"/>
      <c r="I289" s="130"/>
      <c r="J289" s="215"/>
      <c r="K289"/>
      <c r="L289" s="131" t="str">
        <f ca="1">_xlfn.XLOOKUP(L275,RenewalPlans!B:B,RenewalPlans!AM:AM,"NA",0,1)</f>
        <v>NA</v>
      </c>
      <c r="M289" s="214"/>
      <c r="N289" s="214"/>
      <c r="O289" s="214"/>
      <c r="P289" s="130"/>
      <c r="Q289" s="214"/>
      <c r="R289" s="215"/>
      <c r="T289" s="131" t="str">
        <f>_xlfn.XLOOKUP(T275,RenewalPlans!B:B,RenewalPlans!AM:AM,"NA",0,1)</f>
        <v>NA</v>
      </c>
      <c r="U289" s="214"/>
      <c r="V289" s="214"/>
      <c r="W289" s="214"/>
      <c r="X289" s="130"/>
      <c r="Y289" s="214"/>
      <c r="Z289" s="215"/>
    </row>
    <row r="290" spans="1:26" ht="18" customHeight="1" hidden="1">
      <c r="A290" s="140"/>
      <c r="B290" s="140"/>
      <c r="D290" s="198" t="s">
        <v>262</v>
      </c>
      <c r="E290" s="130" t="str">
        <f>_xlfn.XLOOKUP(E275,CurrentPlans!B:B,CurrentPlans!AM:AM,"NA",0,1)</f>
        <v>NA</v>
      </c>
      <c r="F290" s="200"/>
      <c r="G290" s="200"/>
      <c r="H290" s="200"/>
      <c r="I290" s="130"/>
      <c r="J290" s="201"/>
      <c r="K290"/>
      <c r="L290" s="131" t="str">
        <f ca="1">_xlfn.XLOOKUP(L275,RenewalPlans!B:B,RenewalPlans!AP:AP,"NA",0,1)</f>
        <v>NA</v>
      </c>
      <c r="M290" s="200"/>
      <c r="N290" s="200"/>
      <c r="O290" s="200"/>
      <c r="P290" s="130"/>
      <c r="Q290" s="200"/>
      <c r="R290" s="201"/>
      <c r="T290" s="131" t="str">
        <f>_xlfn.XLOOKUP(T275,RenewalPlans!B:B,RenewalPlans!AP:AP,"NA",0,1)</f>
        <v>NA</v>
      </c>
      <c r="U290" s="200"/>
      <c r="V290" s="200"/>
      <c r="W290" s="200"/>
      <c r="X290" s="130"/>
      <c r="Y290" s="200"/>
      <c r="Z290" s="201"/>
    </row>
    <row r="291" spans="1:26" ht="18" customHeight="1" hidden="1">
      <c r="A291" s="140"/>
      <c r="B291" s="140"/>
      <c r="D291" s="198" t="s">
        <v>263</v>
      </c>
      <c r="E291" s="130" t="str">
        <f>_xlfn.XLOOKUP(E275,CurrentPlans!B:B,CurrentPlans!AI:AI,"NA",0,1)</f>
        <v>NA</v>
      </c>
      <c r="F291" s="200"/>
      <c r="G291" s="200"/>
      <c r="H291" s="200"/>
      <c r="I291" s="130"/>
      <c r="J291" s="201"/>
      <c r="K291"/>
      <c r="L291" s="131" t="str">
        <f ca="1">_xlfn.XLOOKUP(L275,RenewalPlans!B:B,RenewalPlans!AL:AL,"NA",0,1)</f>
        <v>NA</v>
      </c>
      <c r="M291" s="200"/>
      <c r="N291" s="200"/>
      <c r="O291" s="200"/>
      <c r="P291" s="130"/>
      <c r="Q291" s="200"/>
      <c r="R291" s="201"/>
      <c r="T291" s="131" t="str">
        <f>_xlfn.XLOOKUP(T275,RenewalPlans!B:B,RenewalPlans!AL:AL,"NA",0,1)</f>
        <v>NA</v>
      </c>
      <c r="U291" s="200"/>
      <c r="V291" s="200"/>
      <c r="W291" s="200"/>
      <c r="X291" s="130"/>
      <c r="Y291" s="200"/>
      <c r="Z291" s="201"/>
    </row>
    <row r="292" spans="1:26" ht="18" customHeight="1" hidden="1">
      <c r="A292" s="140"/>
      <c r="B292" s="140"/>
      <c r="D292" s="198" t="s">
        <v>264</v>
      </c>
      <c r="E292" s="208" t="str">
        <f>_xlfn.XLOOKUP(E275,CurrentPlans!B:B,CurrentPlans!AN:AN,"NA",0,1)</f>
        <v>NA</v>
      </c>
      <c r="F292" s="200"/>
      <c r="G292" s="200"/>
      <c r="H292" s="200"/>
      <c r="I292" s="208"/>
      <c r="J292" s="201"/>
      <c r="K292"/>
      <c r="L292" s="209" t="str">
        <f ca="1">_xlfn.XLOOKUP(L275,RenewalPlans!B:B,RenewalPlans!AQ:AQ,"NA",0,1)</f>
        <v>NA</v>
      </c>
      <c r="M292" s="200"/>
      <c r="N292" s="200"/>
      <c r="O292" s="200"/>
      <c r="P292" s="208"/>
      <c r="Q292" s="200"/>
      <c r="R292" s="201"/>
      <c r="T292" s="209" t="str">
        <f>_xlfn.XLOOKUP(T275,RenewalPlans!B:B,RenewalPlans!AQ:AQ,"NA",0,1)</f>
        <v>NA</v>
      </c>
      <c r="U292" s="200"/>
      <c r="V292" s="200"/>
      <c r="W292" s="200"/>
      <c r="X292" s="208"/>
      <c r="Y292" s="200"/>
      <c r="Z292" s="201"/>
    </row>
    <row r="293" spans="1:26" ht="18" customHeight="1" hidden="1">
      <c r="A293" s="140"/>
      <c r="B293" s="140"/>
      <c r="D293" s="210"/>
      <c r="E293" s="211"/>
      <c r="F293" s="211"/>
      <c r="G293" s="211"/>
      <c r="H293" s="211"/>
      <c r="I293" s="211"/>
      <c r="J293" s="212"/>
      <c r="K293"/>
      <c r="L293" s="210"/>
      <c r="M293" s="211"/>
      <c r="N293" s="211"/>
      <c r="O293" s="211"/>
      <c r="P293" s="211"/>
      <c r="Q293" s="211"/>
      <c r="R293" s="212"/>
      <c r="T293" s="210"/>
      <c r="U293" s="211"/>
      <c r="V293" s="211"/>
      <c r="W293" s="211"/>
      <c r="X293" s="211"/>
      <c r="Y293" s="211"/>
      <c r="Z293" s="212"/>
    </row>
    <row r="294" spans="1:26" ht="18" customHeight="1" hidden="1">
      <c r="A294" s="140"/>
      <c r="B294" s="140"/>
      <c r="D294" s="185" t="s">
        <v>265</v>
      </c>
      <c r="E294" s="186"/>
      <c r="F294" s="186"/>
      <c r="G294" s="186"/>
      <c r="H294" s="186"/>
      <c r="I294" s="186"/>
      <c r="J294" s="187"/>
      <c r="K294"/>
      <c r="L294" s="188"/>
      <c r="M294" s="186"/>
      <c r="N294" s="186"/>
      <c r="O294" s="186"/>
      <c r="P294" s="186"/>
      <c r="Q294" s="186"/>
      <c r="R294" s="187"/>
      <c r="T294" s="188"/>
      <c r="U294" s="186"/>
      <c r="V294" s="186"/>
      <c r="W294" s="186"/>
      <c r="X294" s="186"/>
      <c r="Y294" s="186"/>
      <c r="Z294" s="187"/>
    </row>
    <row r="295" spans="1:26" ht="18" customHeight="1" hidden="1">
      <c r="A295" s="140"/>
      <c r="B295" s="140"/>
      <c r="D295" s="132" t="s">
        <v>266</v>
      </c>
      <c r="E295" s="133" t="str">
        <f>_xlfn.XLOOKUP(E275,CurrentPlans!B:B,CurrentPlans!AE:AE,"NA",0,1)</f>
        <v>NA</v>
      </c>
      <c r="F295" s="134"/>
      <c r="G295" s="134"/>
      <c r="H295" s="134"/>
      <c r="I295" s="133"/>
      <c r="J295" s="135"/>
      <c r="K295"/>
      <c r="L295" s="136" t="str">
        <f ca="1">_xlfn.XLOOKUP(L275,RenewalPlans!B:B,RenewalPlans!AH:AH,"NA",0,1)</f>
        <v>NA</v>
      </c>
      <c r="M295" s="134"/>
      <c r="N295" s="134"/>
      <c r="O295" s="134"/>
      <c r="P295" s="133"/>
      <c r="Q295" s="134"/>
      <c r="R295" s="135"/>
      <c r="T295" s="136" t="str">
        <f>_xlfn.XLOOKUP(T275,RenewalPlans!B:B,RenewalPlans!AH:AH,"NA",0,1)</f>
        <v>NA</v>
      </c>
      <c r="U295" s="134"/>
      <c r="V295" s="134"/>
      <c r="W295" s="134"/>
      <c r="X295" s="133"/>
      <c r="Y295" s="134"/>
      <c r="Z295" s="135"/>
    </row>
    <row r="296" spans="1:26" ht="18" customHeight="1" hidden="1">
      <c r="A296" s="140"/>
      <c r="B296" s="140"/>
      <c r="D296" s="120" t="s">
        <v>267</v>
      </c>
      <c r="E296" s="130" t="str">
        <f>_xlfn.XLOOKUP(E275,CurrentPlans!B:B,CurrentPlans!AF:AF,"NA",0,1)</f>
        <v>NA</v>
      </c>
      <c r="F296" s="122"/>
      <c r="G296" s="122"/>
      <c r="H296" s="122"/>
      <c r="I296" s="130"/>
      <c r="J296" s="123"/>
      <c r="K296"/>
      <c r="L296" s="131" t="str">
        <f ca="1">_xlfn.XLOOKUP(L275,RenewalPlans!B:B,RenewalPlans!AI:AI,"NA",0,1)</f>
        <v>NA</v>
      </c>
      <c r="M296" s="122"/>
      <c r="N296" s="122"/>
      <c r="O296" s="122"/>
      <c r="P296" s="130"/>
      <c r="Q296" s="122"/>
      <c r="R296" s="123"/>
      <c r="T296" s="131" t="str">
        <f>_xlfn.XLOOKUP(T275,RenewalPlans!B:B,RenewalPlans!AI:AI,"NA",0,1)</f>
        <v>NA</v>
      </c>
      <c r="U296" s="122"/>
      <c r="V296" s="122"/>
      <c r="W296" s="122"/>
      <c r="X296" s="130"/>
      <c r="Y296" s="122"/>
      <c r="Z296" s="123"/>
    </row>
    <row r="297" spans="1:26" ht="18" customHeight="1" hidden="1">
      <c r="A297" s="140"/>
      <c r="B297" s="140"/>
      <c r="D297" s="198" t="s">
        <v>268</v>
      </c>
      <c r="E297" s="130" t="str">
        <f>_xlfn.XLOOKUP(E275,CurrentPlans!B:B,CurrentPlans!AH:AH,"NA",0,1)</f>
        <v>NA</v>
      </c>
      <c r="F297" s="200"/>
      <c r="G297" s="200"/>
      <c r="H297" s="200"/>
      <c r="I297" s="130"/>
      <c r="J297" s="201"/>
      <c r="K297"/>
      <c r="L297" s="131" t="str">
        <f ca="1">_xlfn.XLOOKUP(L275,RenewalPlans!B:B,RenewalPlans!AK:AK,"NA",0,1)</f>
        <v>NA</v>
      </c>
      <c r="M297" s="200"/>
      <c r="N297" s="200"/>
      <c r="O297" s="200"/>
      <c r="P297" s="130"/>
      <c r="Q297" s="200"/>
      <c r="R297" s="201"/>
      <c r="T297" s="131" t="str">
        <f>_xlfn.XLOOKUP(T275,RenewalPlans!B:B,RenewalPlans!AK:AK,"NA",0,1)</f>
        <v>NA</v>
      </c>
      <c r="U297" s="200"/>
      <c r="V297" s="200"/>
      <c r="W297" s="200"/>
      <c r="X297" s="130"/>
      <c r="Y297" s="200"/>
      <c r="Z297" s="201"/>
    </row>
    <row r="298" spans="1:26" ht="18" customHeight="1" hidden="1">
      <c r="A298" s="140"/>
      <c r="B298" s="140"/>
      <c r="D298" s="198" t="s">
        <v>269</v>
      </c>
      <c r="E298" s="130" t="str">
        <f>_xlfn.XLOOKUP(E275,CurrentPlans!B:B,CurrentPlans!AG:AG,"NA",0,1)</f>
        <v>NA</v>
      </c>
      <c r="F298" s="200"/>
      <c r="G298" s="200"/>
      <c r="H298" s="200"/>
      <c r="I298" s="130"/>
      <c r="J298" s="201"/>
      <c r="K298"/>
      <c r="L298" s="131" t="str">
        <f ca="1">_xlfn.XLOOKUP(L275,RenewalPlans!B:B,RenewalPlans!AJ:AJ,"NA",0,1)</f>
        <v>NA</v>
      </c>
      <c r="M298" s="200"/>
      <c r="N298" s="200"/>
      <c r="O298" s="200"/>
      <c r="P298" s="130"/>
      <c r="Q298" s="200"/>
      <c r="R298" s="201"/>
      <c r="T298" s="131" t="str">
        <f>_xlfn.XLOOKUP(T275,RenewalPlans!B:B,RenewalPlans!AJ:AJ,"NA",0,1)</f>
        <v>NA</v>
      </c>
      <c r="U298" s="200"/>
      <c r="V298" s="200"/>
      <c r="W298" s="200"/>
      <c r="X298" s="130"/>
      <c r="Y298" s="200"/>
      <c r="Z298" s="201"/>
    </row>
    <row r="299" spans="1:26" ht="18" customHeight="1" hidden="1">
      <c r="A299" s="140"/>
      <c r="B299" s="140"/>
      <c r="D299" s="213" t="s">
        <v>270</v>
      </c>
      <c r="E299" s="216" t="str">
        <f>_xlfn.XLOOKUP(E275,CurrentPlans!B:B,CurrentPlans!AU:AU,"NA",0,1)</f>
        <v>NA</v>
      </c>
      <c r="F299" s="214"/>
      <c r="G299" s="214"/>
      <c r="H299" s="214"/>
      <c r="I299" s="217"/>
      <c r="J299" s="215"/>
      <c r="K299"/>
      <c r="L299" s="218" t="str">
        <f ca="1">_xlfn.XLOOKUP(L275,RenewalPlans!B:B,RenewalPlans!AX:AX,"NA",0,1)</f>
        <v>NA</v>
      </c>
      <c r="M299" s="214"/>
      <c r="N299" s="214"/>
      <c r="O299" s="214"/>
      <c r="P299" s="217"/>
      <c r="Q299" s="214"/>
      <c r="R299" s="215"/>
      <c r="T299" s="218" t="str">
        <f>_xlfn.XLOOKUP(T275,RenewalPlans!B:B,RenewalPlans!AX:AX,"NA",0,1)</f>
        <v>NA</v>
      </c>
      <c r="U299" s="214"/>
      <c r="V299" s="214"/>
      <c r="W299" s="214"/>
      <c r="X299" s="217"/>
      <c r="Y299" s="214"/>
      <c r="Z299" s="215"/>
    </row>
    <row r="300" spans="1:26" ht="18" customHeight="1" hidden="1">
      <c r="A300" s="140"/>
      <c r="B300" s="140"/>
      <c r="D300" s="213" t="s">
        <v>271</v>
      </c>
      <c r="E300" s="216" t="str">
        <f>_xlfn.XLOOKUP(E275,CurrentPlans!B:B,CurrentPlans!AT:AT,"NA",0,1)</f>
        <v>NA</v>
      </c>
      <c r="F300" s="214"/>
      <c r="G300" s="214"/>
      <c r="H300" s="214"/>
      <c r="I300" s="217"/>
      <c r="J300" s="215"/>
      <c r="K300"/>
      <c r="L300" s="218" t="str">
        <f ca="1">_xlfn.XLOOKUP(L275,RenewalPlans!B:B,RenewalPlans!AW:AW,"NA",0,1)</f>
        <v>NA</v>
      </c>
      <c r="M300" s="214"/>
      <c r="N300" s="214"/>
      <c r="O300" s="214"/>
      <c r="P300" s="217"/>
      <c r="Q300" s="214"/>
      <c r="R300" s="215"/>
      <c r="T300" s="218" t="str">
        <f>_xlfn.XLOOKUP(T275,RenewalPlans!B:B,RenewalPlans!AW:AW,"NA",0,1)</f>
        <v>NA</v>
      </c>
      <c r="U300" s="214"/>
      <c r="V300" s="214"/>
      <c r="W300" s="214"/>
      <c r="X300" s="217"/>
      <c r="Y300" s="214"/>
      <c r="Z300" s="215"/>
    </row>
    <row r="301" spans="1:26" ht="18" customHeight="1" hidden="1">
      <c r="A301" s="140"/>
      <c r="B301" s="140"/>
      <c r="D301" s="198" t="s">
        <v>272</v>
      </c>
      <c r="E301" s="130" t="str">
        <f>_xlfn.XLOOKUP(E275,CurrentPlans!B:B,CurrentPlans!AD:AD,"NA",0,1)</f>
        <v>NA</v>
      </c>
      <c r="F301" s="200"/>
      <c r="G301" s="200"/>
      <c r="H301" s="200"/>
      <c r="I301" s="130"/>
      <c r="J301" s="201"/>
      <c r="K301"/>
      <c r="L301" s="131" t="str">
        <f ca="1">_xlfn.XLOOKUP(L275,RenewalPlans!B:B,RenewalPlans!AG:AG,"NA",0,1)</f>
        <v>NA</v>
      </c>
      <c r="M301" s="200"/>
      <c r="N301" s="200"/>
      <c r="O301" s="200"/>
      <c r="P301" s="130"/>
      <c r="Q301" s="200"/>
      <c r="R301" s="201"/>
      <c r="T301" s="131" t="str">
        <f>_xlfn.XLOOKUP(T275,RenewalPlans!B:B,RenewalPlans!AG:AG,"NA",0,1)</f>
        <v>NA</v>
      </c>
      <c r="U301" s="200"/>
      <c r="V301" s="200"/>
      <c r="W301" s="200"/>
      <c r="X301" s="130"/>
      <c r="Y301" s="200"/>
      <c r="Z301" s="201"/>
    </row>
    <row r="302" spans="1:26" ht="18" customHeight="1" hidden="1">
      <c r="A302" s="140"/>
      <c r="B302" s="140"/>
      <c r="D302" s="198" t="s">
        <v>273</v>
      </c>
      <c r="E302" s="200"/>
      <c r="F302" s="200"/>
      <c r="G302" s="200"/>
      <c r="H302" s="200"/>
      <c r="I302" s="200"/>
      <c r="J302" s="201"/>
      <c r="K302"/>
      <c r="L302" s="198"/>
      <c r="M302" s="200"/>
      <c r="N302" s="200"/>
      <c r="O302" s="200"/>
      <c r="P302" s="200"/>
      <c r="Q302" s="200"/>
      <c r="R302" s="201"/>
      <c r="T302" s="198"/>
      <c r="U302" s="200"/>
      <c r="V302" s="200"/>
      <c r="W302" s="200"/>
      <c r="X302" s="200"/>
      <c r="Y302" s="200"/>
      <c r="Z302" s="201"/>
    </row>
    <row r="303" spans="1:26" ht="18" customHeight="1" hidden="1">
      <c r="A303" s="140"/>
      <c r="B303" s="140"/>
      <c r="D303" s="210"/>
      <c r="E303" s="211"/>
      <c r="F303" s="211"/>
      <c r="G303" s="211"/>
      <c r="H303" s="211"/>
      <c r="I303" s="211"/>
      <c r="J303" s="212"/>
      <c r="K303"/>
      <c r="L303" s="210"/>
      <c r="M303" s="211"/>
      <c r="N303" s="211"/>
      <c r="O303" s="211"/>
      <c r="P303" s="211"/>
      <c r="Q303" s="211"/>
      <c r="R303" s="212"/>
      <c r="T303" s="210"/>
      <c r="U303" s="211"/>
      <c r="V303" s="211"/>
      <c r="W303" s="211"/>
      <c r="X303" s="211"/>
      <c r="Y303" s="211"/>
      <c r="Z303" s="212"/>
    </row>
    <row r="304" spans="1:26" ht="18" customHeight="1" hidden="1">
      <c r="A304" s="140"/>
      <c r="B304" s="140"/>
      <c r="D304" s="219" t="s">
        <v>274</v>
      </c>
      <c r="E304" s="220"/>
      <c r="F304" s="220"/>
      <c r="G304" s="220"/>
      <c r="H304" s="220"/>
      <c r="I304" s="220"/>
      <c r="J304" s="221"/>
      <c r="K304"/>
      <c r="L304" s="222"/>
      <c r="M304" s="220"/>
      <c r="N304" s="220"/>
      <c r="O304" s="220"/>
      <c r="P304" s="220"/>
      <c r="Q304" s="220"/>
      <c r="R304" s="221"/>
      <c r="T304" s="222"/>
      <c r="U304" s="220"/>
      <c r="V304" s="220"/>
      <c r="W304" s="220"/>
      <c r="X304" s="220"/>
      <c r="Y304" s="220"/>
      <c r="Z304" s="221"/>
    </row>
    <row r="305" spans="1:26" ht="18" customHeight="1" hidden="1">
      <c r="A305" s="140"/>
      <c r="B305" s="140"/>
      <c r="D305" s="223" t="s">
        <v>250</v>
      </c>
      <c r="E305" s="205"/>
      <c r="F305" s="205"/>
      <c r="G305" s="205"/>
      <c r="H305" s="205"/>
      <c r="I305" s="205"/>
      <c r="J305" s="206"/>
      <c r="K305"/>
      <c r="L305" s="203"/>
      <c r="M305" s="205"/>
      <c r="N305" s="205"/>
      <c r="O305" s="205"/>
      <c r="P305" s="205"/>
      <c r="Q305" s="205"/>
      <c r="R305" s="206"/>
      <c r="T305" s="203"/>
      <c r="U305" s="205"/>
      <c r="V305" s="205"/>
      <c r="W305" s="205"/>
      <c r="X305" s="205"/>
      <c r="Y305" s="205"/>
      <c r="Z305" s="206"/>
    </row>
    <row r="306" spans="1:26" ht="18" customHeight="1" hidden="1">
      <c r="A306" s="140"/>
      <c r="B306" s="140"/>
      <c r="D306" s="198" t="s">
        <v>251</v>
      </c>
      <c r="E306" s="130" t="str">
        <f>_xlfn.XLOOKUP(E275,CurrentPlans!B:B,CurrentPlans!AP:AP,"NA",0,1)</f>
        <v>NA</v>
      </c>
      <c r="F306" s="200"/>
      <c r="G306" s="200"/>
      <c r="H306" s="200"/>
      <c r="I306" s="130"/>
      <c r="J306" s="201"/>
      <c r="K306"/>
      <c r="L306" s="131" t="str">
        <f ca="1">_xlfn.XLOOKUP(L275,RenewalPlans!B:B,RenewalPlans!AS:AS,"NA",0,1)</f>
        <v>NA</v>
      </c>
      <c r="M306" s="200"/>
      <c r="N306" s="200"/>
      <c r="O306" s="200"/>
      <c r="P306" s="130"/>
      <c r="Q306" s="200"/>
      <c r="R306" s="201"/>
      <c r="T306" s="131" t="str">
        <f>_xlfn.XLOOKUP(T275,RenewalPlans!B:B,RenewalPlans!AS:AS,"NA",0,1)</f>
        <v>NA</v>
      </c>
      <c r="U306" s="200"/>
      <c r="V306" s="200"/>
      <c r="W306" s="200"/>
      <c r="X306" s="130"/>
      <c r="Y306" s="200"/>
      <c r="Z306" s="201"/>
    </row>
    <row r="307" spans="1:26" ht="18" customHeight="1" hidden="1">
      <c r="A307" s="140"/>
      <c r="B307" s="140"/>
      <c r="D307" s="198" t="s">
        <v>252</v>
      </c>
      <c r="E307" s="130" t="str">
        <f>_xlfn.XLOOKUP(E275,CurrentPlans!B:B,CurrentPlans!AQ:AQ,"NA",0,1)</f>
        <v>NA</v>
      </c>
      <c r="F307" s="200"/>
      <c r="G307" s="200"/>
      <c r="H307" s="200"/>
      <c r="I307" s="130"/>
      <c r="J307" s="201"/>
      <c r="K307"/>
      <c r="L307" s="131" t="str">
        <f ca="1">_xlfn.XLOOKUP(L275,RenewalPlans!B:B,RenewalPlans!AT:AT,"NA",0,1)</f>
        <v>NA</v>
      </c>
      <c r="M307" s="200"/>
      <c r="N307" s="200"/>
      <c r="O307" s="200"/>
      <c r="P307" s="130"/>
      <c r="Q307" s="200"/>
      <c r="R307" s="201"/>
      <c r="T307" s="131" t="str">
        <f>_xlfn.XLOOKUP(T275,RenewalPlans!B:B,RenewalPlans!AT:AT,"NA",0,1)</f>
        <v>NA</v>
      </c>
      <c r="U307" s="200"/>
      <c r="V307" s="200"/>
      <c r="W307" s="200"/>
      <c r="X307" s="130"/>
      <c r="Y307" s="200"/>
      <c r="Z307" s="201"/>
    </row>
    <row r="308" spans="1:26" ht="18" customHeight="1" hidden="1">
      <c r="A308" s="140"/>
      <c r="B308" s="140"/>
      <c r="D308" s="120" t="s">
        <v>253</v>
      </c>
      <c r="E308" s="133" t="str">
        <f>_xlfn.XLOOKUP(E275,CurrentPlans!B:B,CurrentPlans!AO:AO,"NA",0,1)</f>
        <v>NA</v>
      </c>
      <c r="F308" s="122"/>
      <c r="G308" s="122"/>
      <c r="H308" s="122"/>
      <c r="I308" s="133"/>
      <c r="J308" s="123"/>
      <c r="K308"/>
      <c r="L308" s="136" t="str">
        <f ca="1">_xlfn.XLOOKUP(L275,RenewalPlans!B:B,RenewalPlans!AR:AR,"NA",0,1)</f>
        <v>NA</v>
      </c>
      <c r="M308" s="122"/>
      <c r="N308" s="122"/>
      <c r="O308" s="122"/>
      <c r="P308" s="133"/>
      <c r="Q308" s="122"/>
      <c r="R308" s="123"/>
      <c r="T308" s="136" t="str">
        <f>_xlfn.XLOOKUP(T275,RenewalPlans!B:B,RenewalPlans!AR:AR,"NA",0,1)</f>
        <v>NA</v>
      </c>
      <c r="U308" s="122"/>
      <c r="V308" s="122"/>
      <c r="W308" s="122"/>
      <c r="X308" s="133"/>
      <c r="Y308" s="122"/>
      <c r="Z308" s="123"/>
    </row>
    <row r="309" spans="1:26" ht="18" customHeight="1" hidden="1">
      <c r="A309" s="140"/>
      <c r="B309" s="140"/>
      <c r="D309" s="223" t="s">
        <v>254</v>
      </c>
      <c r="E309" s="205"/>
      <c r="F309" s="205"/>
      <c r="G309" s="205"/>
      <c r="H309" s="205"/>
      <c r="I309" s="205"/>
      <c r="J309" s="206"/>
      <c r="K309"/>
      <c r="L309" s="203"/>
      <c r="M309" s="205"/>
      <c r="N309" s="205"/>
      <c r="O309" s="205"/>
      <c r="P309" s="205"/>
      <c r="Q309" s="205"/>
      <c r="R309" s="206"/>
      <c r="T309" s="203"/>
      <c r="U309" s="205"/>
      <c r="V309" s="205"/>
      <c r="W309" s="205"/>
      <c r="X309" s="205"/>
      <c r="Y309" s="205"/>
      <c r="Z309" s="206"/>
    </row>
    <row r="310" spans="1:26" ht="18" customHeight="1" hidden="1">
      <c r="A310" s="140"/>
      <c r="B310" s="140"/>
      <c r="D310" s="198" t="s">
        <v>255</v>
      </c>
      <c r="E310" s="130" t="str">
        <f>_xlfn.XLOOKUP(E275,CurrentPlans!B:B,CurrentPlans!AR:AR,"NA",0,1)</f>
        <v>NA</v>
      </c>
      <c r="F310" s="200"/>
      <c r="G310" s="200"/>
      <c r="H310" s="200"/>
      <c r="I310" s="130"/>
      <c r="J310" s="201"/>
      <c r="K310"/>
      <c r="L310" s="131" t="str">
        <f ca="1">_xlfn.XLOOKUP(L275,RenewalPlans!B:B,RenewalPlans!AU:AU,"NA",0,1)</f>
        <v>NA</v>
      </c>
      <c r="M310" s="200"/>
      <c r="N310" s="200"/>
      <c r="O310" s="200"/>
      <c r="P310" s="130"/>
      <c r="Q310" s="200"/>
      <c r="R310" s="201"/>
      <c r="T310" s="131" t="str">
        <f>_xlfn.XLOOKUP(T275,RenewalPlans!B:B,RenewalPlans!AU:AU,"NA",0,1)</f>
        <v>NA</v>
      </c>
      <c r="U310" s="200"/>
      <c r="V310" s="200"/>
      <c r="W310" s="200"/>
      <c r="X310" s="130"/>
      <c r="Y310" s="200"/>
      <c r="Z310" s="201"/>
    </row>
    <row r="311" spans="1:26" ht="18" customHeight="1" hidden="1" thickBot="1">
      <c r="A311" s="140"/>
      <c r="B311" s="140"/>
      <c r="D311" s="224" t="s">
        <v>256</v>
      </c>
      <c r="E311" s="137" t="str">
        <f>_xlfn.XLOOKUP(E275,CurrentPlans!B:B,CurrentPlans!AS:AS,"NA",0,1)</f>
        <v>NA</v>
      </c>
      <c r="F311" s="225"/>
      <c r="G311" s="225"/>
      <c r="H311" s="225"/>
      <c r="I311" s="137"/>
      <c r="J311" s="226"/>
      <c r="K311"/>
      <c r="L311" s="138" t="str">
        <f ca="1">_xlfn.XLOOKUP(L275,RenewalPlans!B:B,RenewalPlans!AV:AV,"NA",0,1)</f>
        <v>NA</v>
      </c>
      <c r="M311" s="225"/>
      <c r="N311" s="225"/>
      <c r="O311" s="225"/>
      <c r="P311" s="137"/>
      <c r="Q311" s="225"/>
      <c r="R311" s="226"/>
      <c r="T311" s="138" t="str">
        <f>_xlfn.XLOOKUP(T275,RenewalPlans!B:B,RenewalPlans!AV:AV,"NA",0,1)</f>
        <v>NA</v>
      </c>
      <c r="U311" s="225"/>
      <c r="V311" s="225"/>
      <c r="W311" s="225"/>
      <c r="X311" s="137"/>
      <c r="Y311" s="225"/>
      <c r="Z311" s="226"/>
    </row>
    <row r="312" spans="1:26" ht="18" customHeight="1">
      <c r="A312" s="140"/>
      <c r="B312" s="140"/>
      <c r="D312" s="227"/>
      <c r="E312" s="176"/>
      <c r="F312" s="178"/>
      <c r="G312" s="179"/>
      <c r="H312" s="178"/>
      <c r="I312" s="176"/>
      <c r="J312" s="228"/>
      <c r="K312"/>
      <c r="L312" s="178"/>
      <c r="M312" s="176"/>
      <c r="N312" s="139"/>
      <c r="O312" s="178"/>
      <c r="P312" s="178"/>
      <c r="Q312" s="178"/>
      <c r="R312" s="228"/>
      <c r="T312" s="178"/>
      <c r="U312" s="176"/>
      <c r="V312" s="139"/>
      <c r="W312" s="178"/>
      <c r="X312" s="178"/>
      <c r="Y312" s="178"/>
      <c r="Z312" s="228"/>
    </row>
    <row r="313" spans="1:26" ht="5.25" customHeight="1" thickBot="1">
      <c r="A313" s="140"/>
      <c r="B313" s="140"/>
      <c r="D313" s="229"/>
      <c r="E313" s="229"/>
      <c r="F313" s="230"/>
      <c r="G313" s="231"/>
      <c r="H313" s="232"/>
      <c r="I313" s="233"/>
      <c r="J313" s="233"/>
      <c r="K313"/>
      <c r="L313" s="233"/>
      <c r="M313" s="233"/>
      <c r="N313" s="233"/>
      <c r="O313" s="233"/>
      <c r="P313" s="233"/>
      <c r="Q313" s="233"/>
      <c r="R313" s="233"/>
      <c r="T313" s="233"/>
      <c r="U313" s="233"/>
      <c r="V313" s="233"/>
      <c r="W313" s="233"/>
      <c r="X313" s="233"/>
      <c r="Y313" s="233"/>
      <c r="Z313" s="233"/>
    </row>
    <row r="314" spans="1:26" ht="50.15" customHeight="1">
      <c r="A314" s="140">
        <v>7</v>
      </c>
      <c r="B314" s="140" t="str">
        <f>IF(A314&gt;Class5_CurrentHealthCount,"DELETE",Class5_CurrentHealthStart+A314)</f>
        <v>DELETE</v>
      </c>
      <c r="C314" s="164" t="s">
        <v>280</v>
      </c>
      <c r="D314" s="273" t="str">
        <f>IF(B314="Delete","",VLOOKUP(F314,BEGIN_CURRENT_HEALTH:END_CURRENT_HEALTH,3,FALSE))</f>
        <v/>
      </c>
      <c r="E314" s="165"/>
      <c r="F314" s="272" t="str" cm="1">
        <f t="array" ca="1" aca="1" ref="F314">IF(B314="Delete","",INDIRECT("CurrentPlans!A"&amp;B314,TRUE))</f>
        <v/>
      </c>
      <c r="G314" s="166"/>
      <c r="H314" s="167"/>
      <c r="I314" s="168"/>
      <c r="J314" s="169"/>
      <c r="K314"/>
      <c r="L314" s="274" t="str">
        <f ca="1">_xlfn.IFNA(VLOOKUP(F314,BEGIN_RENEWEDFROM_HEALTH:ROW_RenewHealth_PlanID,3,FALSE),"SELECT PLAN")</f>
        <v>SELECT PLAN</v>
      </c>
      <c r="M314" s="170"/>
      <c r="N314" s="274" t="s">
        <v>237</v>
      </c>
      <c r="O314" s="171"/>
      <c r="P314" s="171"/>
      <c r="Q314" s="171"/>
      <c r="R314" s="169"/>
      <c r="T314" s="274" t="s">
        <v>38</v>
      </c>
      <c r="U314" s="170"/>
      <c r="V314" s="274" t="s">
        <v>237</v>
      </c>
      <c r="W314" s="171"/>
      <c r="X314" s="171"/>
      <c r="Y314" s="171"/>
      <c r="Z314" s="169"/>
    </row>
    <row r="315" spans="1:26" ht="18.75" customHeight="1">
      <c r="A315" s="140"/>
      <c r="B315" s="140"/>
      <c r="D315" s="172" t="s">
        <v>238</v>
      </c>
      <c r="E315" s="407" t="str">
        <f ca="1">_xlfn.IFNA(VLOOKUP(F314,BEGIN_CURRENT_HEALTH:END_CURRENT_HEALTH,CURRENT_COL_EO_count,FALSE),"")</f>
        <v/>
      </c>
      <c r="F315" s="408" t="str">
        <f ca="1">_xlfn.IFNA(VLOOKUP(F314,BEGIN_CURRENT_HEALTH:END_CURRENT_HEALTH,CURRENT_COL_EO,FALSE),"")</f>
        <v/>
      </c>
      <c r="G315" s="468" t="str">
        <f ca="1" t="shared" si="30" ref="G315:G318">IF(F315="","",H315/F315)</f>
        <v/>
      </c>
      <c r="H315" s="408" t="str">
        <f ca="1">_xlfn.IFNA(VLOOKUP(F314,BEGIN_CURRENT_HEALTH:END_CURRENT_HEALTH,CURRENT_COL_EOContrib,FALSE),"")</f>
        <v/>
      </c>
      <c r="I315" s="409" t="str">
        <f ca="1">IFERROR(F315-H315,"")</f>
        <v/>
      </c>
      <c r="J315" s="410" t="str">
        <f ca="1">IF(F315="","",H315*E315)</f>
        <v/>
      </c>
      <c r="K315" s="411"/>
      <c r="L315" s="408" t="str" cm="1">
        <f t="array" ca="1" aca="1" ref="L315">_xlfn.IFNA(VLOOKUP(INDIRECT("L"&amp;ROW()-1)&amp;"_"&amp;$D$12,BEGIN_RENEW_HEALTH:END_RENEW_HEALTH,RENEW_COL_EO,FALSE),"")</f>
        <v/>
      </c>
      <c r="M315" s="412" t="str">
        <f ca="1">IF(E315="","",E315)</f>
        <v/>
      </c>
      <c r="N315" s="413"/>
      <c r="O315" s="414"/>
      <c r="P315" s="415" t="str">
        <f>IFERROR(IF($N314="Keep Contribution Same",H315,IF($N314="Enter Percentages",IF(N315="","",N315*L315),IF($N314="Keep Percentage Same",IF(G315="","",G315*L315),IF($N314="Enter Dollar Amount",IF(O315="","",O315),"")))),"")</f>
        <v/>
      </c>
      <c r="Q315" s="408" t="str">
        <f ca="1">IFERROR(L315-P315,"")</f>
        <v/>
      </c>
      <c r="R315" s="410" t="str">
        <f>IFERROR(IF(P315="","",M315*P315),"")</f>
        <v/>
      </c>
      <c r="S315" s="411"/>
      <c r="T315" s="408" t="str" cm="1">
        <f t="array" ca="1" aca="1" ref="T315">_xlfn.IFNA(VLOOKUP(INDIRECT("T"&amp;ROW()-1)&amp;"_"&amp;$D$12,BEGIN_RENEW_HEALTH:END_RENEW_HEALTH,RENEW_COL_EO,FALSE),"")</f>
        <v/>
      </c>
      <c r="U315" s="412" t="str">
        <f ca="1">IF(E315="","",E315)</f>
        <v/>
      </c>
      <c r="V315" s="413"/>
      <c r="W315" s="414"/>
      <c r="X315" s="415" t="str">
        <f>IFERROR(IF($V314="Keep Contribution Same",H315,IF($V314="Enter Percentages",IF(V315="","",V315*T315),IF($V314="Keep Percentage Same",IF(G315="","",G315*T315),IF($V314="Enter Dollar Amount",IF(W315="","",W315),"")))),"")</f>
        <v/>
      </c>
      <c r="Y315" s="408" t="str">
        <f ca="1">IFERROR(T315-X315,"")</f>
        <v/>
      </c>
      <c r="Z315" s="410" t="str">
        <f>IFERROR(IF(X315="","",U315*X315),"")</f>
        <v/>
      </c>
    </row>
    <row r="316" spans="1:26" ht="18.75" customHeight="1">
      <c r="A316" s="140"/>
      <c r="B316" s="140"/>
      <c r="D316" s="172" t="s">
        <v>239</v>
      </c>
      <c r="E316" s="407" t="str">
        <f ca="1">_xlfn.IFNA(VLOOKUP(F314,BEGIN_CURRENT_HEALTH:END_CURRENT_HEALTH,CURRENT_COL_ES_count,FALSE),"")</f>
        <v/>
      </c>
      <c r="F316" s="408" t="str">
        <f ca="1">_xlfn.IFNA(VLOOKUP(F314,BEGIN_CURRENT_HEALTH:END_CURRENT_HEALTH,CURRENT_COL_ES,FALSE),"")</f>
        <v/>
      </c>
      <c r="G316" s="468" t="str">
        <f t="shared" ca="1" si="30"/>
        <v/>
      </c>
      <c r="H316" s="408" t="str">
        <f ca="1">_xlfn.IFNA(VLOOKUP(F314,BEGIN_CURRENT_HEALTH:END_CURRENT_HEALTH,CURRENT_COL_ESContrib,FALSE),"")</f>
        <v/>
      </c>
      <c r="I316" s="409" t="str">
        <f ca="1" t="shared" si="31" ref="I316:I318">IFERROR(F316-H316,"")</f>
        <v/>
      </c>
      <c r="J316" s="410" t="str">
        <f ca="1">IF(F316="","",H316*E316)</f>
        <v/>
      </c>
      <c r="K316" s="411"/>
      <c r="L316" s="408" t="str" cm="1">
        <f t="array" ca="1" aca="1" ref="L316">_xlfn.IFNA(VLOOKUP(INDIRECT("L"&amp;ROW()-2)&amp;"_"&amp;$D$12,BEGIN_RENEW_HEALTH:END_RENEW_HEALTH,RENEW_COL_ES,FALSE),"")</f>
        <v/>
      </c>
      <c r="M316" s="412" t="str">
        <f ca="1">IF(E316="","",E316)</f>
        <v/>
      </c>
      <c r="N316" s="413"/>
      <c r="O316" s="414"/>
      <c r="P316" s="415" t="str">
        <f>IFERROR(IF($N314="Keep Contribution Same",H316,IF($N314="Enter Percentages",IF(N316="","",N316*L316),IF($N314="Keep Percentage Same",IF(G316="","",G316*L316),IF($N314="Enter Dollar Amount",IF(O316="","",O316),"")))),"")</f>
        <v/>
      </c>
      <c r="Q316" s="408" t="str">
        <f ca="1">IFERROR(L316-P316,"")</f>
        <v/>
      </c>
      <c r="R316" s="410" t="str">
        <f>IFERROR(IF(P316="","",M316*P316),"")</f>
        <v/>
      </c>
      <c r="S316" s="411"/>
      <c r="T316" s="408" t="str" cm="1">
        <f t="array" ca="1" aca="1" ref="T316">_xlfn.IFNA(VLOOKUP(INDIRECT("T"&amp;ROW()-2)&amp;"_"&amp;$D$12,BEGIN_RENEW_HEALTH:END_RENEW_HEALTH,RENEW_COL_ES,FALSE),"")</f>
        <v/>
      </c>
      <c r="U316" s="412" t="str">
        <f ca="1" t="shared" si="32" ref="U316:U318">IF(E316="","",E316)</f>
        <v/>
      </c>
      <c r="V316" s="413"/>
      <c r="W316" s="414"/>
      <c r="X316" s="415" t="str">
        <f>IFERROR(IF($V314="Keep Contribution Same",H316,IF($V314="Enter Percentages",IF(V316="","",V316*T316),IF($V314="Keep Percentage Same",IF(G316="","",G316*T316),IF($V314="Enter Dollar Amount",IF(W316="","",W316),"")))),"")</f>
        <v/>
      </c>
      <c r="Y316" s="408" t="str">
        <f ca="1" t="shared" si="33" ref="Y316:Y318">IFERROR(T316-X316,"")</f>
        <v/>
      </c>
      <c r="Z316" s="410" t="str">
        <f t="shared" si="34" ref="Z316:Z318">IFERROR(IF(X316="","",U316*X316),"")</f>
        <v/>
      </c>
    </row>
    <row r="317" spans="1:26" ht="18.75" customHeight="1">
      <c r="A317" s="140"/>
      <c r="B317" s="140"/>
      <c r="D317" s="172" t="s">
        <v>240</v>
      </c>
      <c r="E317" s="407" t="str">
        <f ca="1">_xlfn.IFNA(VLOOKUP(F314,BEGIN_CURRENT_HEALTH:END_CURRENT_HEALTH,CURRENT_COL_EC_count,FALSE),"")</f>
        <v/>
      </c>
      <c r="F317" s="408" t="str">
        <f ca="1">_xlfn.IFNA(VLOOKUP(F314,BEGIN_CURRENT_HEALTH:END_CURRENT_HEALTH,CURRENT_COL_EC,FALSE),"")</f>
        <v/>
      </c>
      <c r="G317" s="468" t="str">
        <f t="shared" ca="1" si="30"/>
        <v/>
      </c>
      <c r="H317" s="408" t="str">
        <f ca="1">_xlfn.IFNA(VLOOKUP(F314,BEGIN_CURRENT_HEALTH:END_CURRENT_HEALTH,CURRENT_COL_ECContrib,FALSE),"")</f>
        <v/>
      </c>
      <c r="I317" s="409" t="str">
        <f t="shared" ca="1" si="31"/>
        <v/>
      </c>
      <c r="J317" s="410" t="str">
        <f ca="1">IF(F317="","",H317*E317)</f>
        <v/>
      </c>
      <c r="K317" s="411"/>
      <c r="L317" s="408" t="str" cm="1">
        <f t="array" ca="1" aca="1" ref="L317">_xlfn.IFNA(VLOOKUP(INDIRECT("L"&amp;ROW()-3)&amp;"_"&amp;$D$12,BEGIN_RENEW_HEALTH:END_RENEW_HEALTH,RENEW_COL_EC,FALSE),"")</f>
        <v/>
      </c>
      <c r="M317" s="412" t="str">
        <f ca="1">IF(E317="","",E317)</f>
        <v/>
      </c>
      <c r="N317" s="413"/>
      <c r="O317" s="414"/>
      <c r="P317" s="415" t="str">
        <f>IFERROR(IF($N314="Keep Contribution Same",H317,IF($N314="Enter Percentages",IF(N317="","",N317*L317),IF($N314="Keep Percentage Same",IF(G317="","",G317*L317),IF($N314="Enter Dollar Amount",IF(O317="","",O317),"")))),"")</f>
        <v/>
      </c>
      <c r="Q317" s="408" t="str">
        <f ca="1">IFERROR(L317-P317,"")</f>
        <v/>
      </c>
      <c r="R317" s="410" t="str">
        <f>IFERROR(IF(P317="","",M317*P317),"")</f>
        <v/>
      </c>
      <c r="S317" s="411"/>
      <c r="T317" s="408" t="str" cm="1">
        <f t="array" ca="1" aca="1" ref="T317">_xlfn.IFNA(VLOOKUP(INDIRECT("T"&amp;ROW()-3)&amp;"_"&amp;$D$12,BEGIN_RENEW_HEALTH:END_RENEW_HEALTH,RENEW_COL_EC,FALSE),"")</f>
        <v/>
      </c>
      <c r="U317" s="412" t="str">
        <f t="shared" ca="1" si="32"/>
        <v/>
      </c>
      <c r="V317" s="413"/>
      <c r="W317" s="414"/>
      <c r="X317" s="415" t="str">
        <f>IFERROR(IF($V314="Keep Contribution Same",H317,IF($V314="Enter Percentages",IF(V317="","",V317*T317),IF($V314="Keep Percentage Same",IF(G317="","",G317*T317),IF($V314="Enter Dollar Amount",IF(W317="","",W317),"")))),"")</f>
        <v/>
      </c>
      <c r="Y317" s="408" t="str">
        <f t="shared" ca="1" si="33"/>
        <v/>
      </c>
      <c r="Z317" s="410" t="str">
        <f t="shared" si="34"/>
        <v/>
      </c>
    </row>
    <row r="318" spans="1:26" ht="18.75" customHeight="1" thickBot="1">
      <c r="A318" s="140"/>
      <c r="B318" s="140"/>
      <c r="D318" s="174" t="s">
        <v>241</v>
      </c>
      <c r="E318" s="416" t="str">
        <f ca="1">_xlfn.IFNA(VLOOKUP(F314,BEGIN_CURRENT_HEALTH:END_CURRENT_HEALTH,CURRENT_COL_FAM_count,FALSE),"")</f>
        <v/>
      </c>
      <c r="F318" s="417" t="str">
        <f ca="1">_xlfn.IFNA(VLOOKUP(F314,BEGIN_CURRENT_HEALTH:END_CURRENT_HEALTH,CURRENT_COL_FAM,FALSE),"")</f>
        <v/>
      </c>
      <c r="G318" s="469" t="str">
        <f t="shared" ca="1" si="30"/>
        <v/>
      </c>
      <c r="H318" s="417" t="str">
        <f ca="1">_xlfn.IFNA(VLOOKUP(F314,BEGIN_CURRENT_HEALTH:END_CURRENT_HEALTH,CURRENT_COL_FAMContrib,FALSE),"")</f>
        <v/>
      </c>
      <c r="I318" s="418" t="str">
        <f t="shared" ca="1" si="31"/>
        <v/>
      </c>
      <c r="J318" s="419" t="str">
        <f ca="1">IF(F318="","",H318*E318)</f>
        <v/>
      </c>
      <c r="K318" s="411"/>
      <c r="L318" s="417" t="str" cm="1">
        <f t="array" ca="1" aca="1" ref="L318">_xlfn.IFNA(VLOOKUP(INDIRECT("L"&amp;ROW()-4)&amp;"_"&amp;$D$12,BEGIN_RENEW_HEALTH:END_RENEW_HEALTH,RENEW_COL_FAM,FALSE),"")</f>
        <v/>
      </c>
      <c r="M318" s="423" t="str">
        <f ca="1">IF(E318="","",E318)</f>
        <v/>
      </c>
      <c r="N318" s="420"/>
      <c r="O318" s="421"/>
      <c r="P318" s="422" t="str">
        <f>IFERROR(IF($N314="Keep Contribution Same",H318,IF($N314="Enter Percentages",IF(N318="","",N318*L318),IF($N314="Keep Percentage Same",IF(G318="","",G318*L318),IF($N314="Enter Dollar Amount",IF(O318="","",O318),"")))),"")</f>
        <v/>
      </c>
      <c r="Q318" s="417" t="str">
        <f ca="1">IFERROR(L318-P318,"")</f>
        <v/>
      </c>
      <c r="R318" s="419" t="str">
        <f>IFERROR(IF(P318="","",M318*P318),"")</f>
        <v/>
      </c>
      <c r="S318" s="411"/>
      <c r="T318" s="417" t="str" cm="1">
        <f t="array" ca="1" aca="1" ref="T318">_xlfn.IFNA(VLOOKUP(INDIRECT("T"&amp;ROW()-4)&amp;"_"&amp;$D$12,BEGIN_RENEW_HEALTH:END_RENEW_HEALTH,RENEW_COL_FAM,FALSE),"")</f>
        <v/>
      </c>
      <c r="U318" s="423" t="str">
        <f t="shared" ca="1" si="32"/>
        <v/>
      </c>
      <c r="V318" s="420"/>
      <c r="W318" s="421"/>
      <c r="X318" s="422" t="str">
        <f>IFERROR(IF($V314="Keep Contribution Same",H318,IF($V314="Enter Percentages",IF(V318="","",V318*T318),IF($V314="Keep Percentage Same",IF(G318="","",G318*T318),IF($V314="Enter Dollar Amount",IF(W318="","",W318),"")))),"")</f>
        <v/>
      </c>
      <c r="Y318" s="417" t="str">
        <f t="shared" ca="1" si="33"/>
        <v/>
      </c>
      <c r="Z318" s="419" t="str">
        <f t="shared" si="34"/>
        <v/>
      </c>
    </row>
    <row r="319" spans="1:26" ht="18.75" customHeight="1" thickTop="1">
      <c r="A319" s="140"/>
      <c r="B319" s="140"/>
      <c r="D319" s="175" t="s">
        <v>242</v>
      </c>
      <c r="E319" s="424"/>
      <c r="F319" s="447" t="str">
        <f ca="1">IFERROR((F315*E315)+(F316*E316)+(F317*E317)+(F318*E318),"")</f>
        <v/>
      </c>
      <c r="G319" s="426"/>
      <c r="H319" s="427"/>
      <c r="I319" s="428"/>
      <c r="J319" s="429" t="str">
        <f ca="1">IFERROR(IF(J315="","",SUM(J315:J318)),0)</f>
        <v/>
      </c>
      <c r="K319" s="1"/>
      <c r="L319" s="430" t="str">
        <f ca="1">IFERROR((M315*L315)+(M316*L316)+(M317*L317)+(M318*L318),"")</f>
        <v/>
      </c>
      <c r="M319" s="427"/>
      <c r="N319" s="426"/>
      <c r="O319" s="427"/>
      <c r="P319" s="431"/>
      <c r="Q319" s="432"/>
      <c r="R319" s="429" t="str">
        <f>IFERROR(IF(R315="","",SUM(R315:R318)),0)</f>
        <v/>
      </c>
      <c r="T319" s="430" t="str">
        <f ca="1">IFERROR((U315*T315)+(U316*T316)+(U317*T317)+(U318*T318),"")</f>
        <v/>
      </c>
      <c r="U319" s="427"/>
      <c r="V319" s="426"/>
      <c r="W319" s="427"/>
      <c r="X319" s="431"/>
      <c r="Y319" s="432"/>
      <c r="Z319" s="429" t="str">
        <f>IFERROR(IF(Z315="","",SUM(Z315:Z318)),0)</f>
        <v/>
      </c>
    </row>
    <row r="320" spans="1:26" ht="18.75" customHeight="1">
      <c r="A320" s="140"/>
      <c r="B320" s="140"/>
      <c r="D320" s="177" t="s">
        <v>243</v>
      </c>
      <c r="E320" s="433"/>
      <c r="F320" s="448" t="str">
        <f ca="1">IFERROR(F319*12,"")</f>
        <v/>
      </c>
      <c r="G320" s="435"/>
      <c r="H320" s="436"/>
      <c r="I320" s="432"/>
      <c r="J320" s="437" t="str">
        <f ca="1">IF(J319="","",J319*12)</f>
        <v/>
      </c>
      <c r="K320" s="1"/>
      <c r="L320" s="438" t="str">
        <f ca="1">IFERROR(L319*12,"")</f>
        <v/>
      </c>
      <c r="M320" s="436"/>
      <c r="N320" s="435"/>
      <c r="O320" s="436"/>
      <c r="P320" s="432"/>
      <c r="Q320" s="432"/>
      <c r="R320" s="437" t="str">
        <f>IF(R319="","",R319*12)</f>
        <v/>
      </c>
      <c r="T320" s="438" t="str">
        <f ca="1">IFERROR(T319*12,"")</f>
        <v/>
      </c>
      <c r="U320" s="436"/>
      <c r="V320" s="435"/>
      <c r="W320" s="436"/>
      <c r="X320" s="432"/>
      <c r="Y320" s="432"/>
      <c r="Z320" s="437" t="str">
        <f>IF(Z319="","",Z319*12)</f>
        <v/>
      </c>
    </row>
    <row r="321" spans="1:26" ht="18" customHeight="1">
      <c r="A321" s="140"/>
      <c r="B321" s="140"/>
      <c r="D321" s="177" t="s">
        <v>244</v>
      </c>
      <c r="E321" s="433"/>
      <c r="F321" s="436"/>
      <c r="G321" s="435"/>
      <c r="H321" s="436"/>
      <c r="I321" s="432"/>
      <c r="J321" s="437"/>
      <c r="K321" s="1"/>
      <c r="L321" s="434" t="str">
        <f ca="1">IFERROR(L320-F320,"")</f>
        <v/>
      </c>
      <c r="M321" s="436"/>
      <c r="N321" s="435"/>
      <c r="O321" s="436"/>
      <c r="P321" s="432"/>
      <c r="Q321" s="432"/>
      <c r="R321" s="437" t="str">
        <f ca="1">IFERROR(IF(J320="","",R320-J320),0)</f>
        <v/>
      </c>
      <c r="T321" s="434" t="str">
        <f ca="1">IFERROR(T320-F320,"")</f>
        <v/>
      </c>
      <c r="U321" s="436"/>
      <c r="V321" s="435"/>
      <c r="W321" s="436"/>
      <c r="X321" s="432"/>
      <c r="Y321" s="432"/>
      <c r="Z321" s="437" t="str">
        <f>IFERROR(IF(R320="","",Z320-R320),0)</f>
        <v/>
      </c>
    </row>
    <row r="322" spans="1:26" ht="18" customHeight="1" thickBot="1">
      <c r="A322" s="140"/>
      <c r="B322" s="140"/>
      <c r="D322" s="180" t="s">
        <v>245</v>
      </c>
      <c r="E322" s="439"/>
      <c r="F322" s="440"/>
      <c r="G322" s="441"/>
      <c r="H322" s="440"/>
      <c r="I322" s="442"/>
      <c r="J322" s="443"/>
      <c r="K322" s="1"/>
      <c r="L322" s="444" t="str">
        <f ca="1">IFERROR(L320/F320-1,"")</f>
        <v/>
      </c>
      <c r="M322" s="440"/>
      <c r="N322" s="441"/>
      <c r="O322" s="440"/>
      <c r="P322" s="445"/>
      <c r="Q322" s="445"/>
      <c r="R322" s="446" t="str">
        <f ca="1">IFERROR(IF(J320="","",(R320/J320)-1),0)</f>
        <v/>
      </c>
      <c r="T322" s="444" t="str">
        <f ca="1">IFERROR(T320/F320-1,"")</f>
        <v/>
      </c>
      <c r="U322" s="440"/>
      <c r="V322" s="441"/>
      <c r="W322" s="440"/>
      <c r="X322" s="445"/>
      <c r="Y322" s="445"/>
      <c r="Z322" s="446" t="str">
        <f>IFERROR(IF(R320="","",(Z320/R320)-1),0)</f>
        <v/>
      </c>
    </row>
    <row r="323" spans="1:26" ht="18" customHeight="1">
      <c r="A323" s="140"/>
      <c r="B323" s="140"/>
      <c r="D323" s="181" t="s">
        <v>246</v>
      </c>
      <c r="E323" s="182"/>
      <c r="F323" s="182"/>
      <c r="G323" s="182"/>
      <c r="H323" s="182"/>
      <c r="I323" s="182"/>
      <c r="J323" s="183"/>
      <c r="K323"/>
      <c r="L323" s="184"/>
      <c r="M323" s="182"/>
      <c r="N323" s="182"/>
      <c r="O323" s="182"/>
      <c r="P323" s="182"/>
      <c r="Q323" s="182"/>
      <c r="R323" s="183"/>
      <c r="T323" s="184"/>
      <c r="U323" s="182"/>
      <c r="V323" s="182"/>
      <c r="W323" s="182"/>
      <c r="X323" s="182"/>
      <c r="Y323" s="182"/>
      <c r="Z323" s="183"/>
    </row>
    <row r="324" spans="1:26" ht="18" customHeight="1" hidden="1">
      <c r="A324" s="140"/>
      <c r="B324" s="140"/>
      <c r="D324" s="185" t="s">
        <v>247</v>
      </c>
      <c r="E324" s="186"/>
      <c r="F324" s="186"/>
      <c r="G324" s="186"/>
      <c r="H324" s="186"/>
      <c r="I324" s="186"/>
      <c r="J324" s="187"/>
      <c r="K324"/>
      <c r="L324" s="188"/>
      <c r="M324" s="186"/>
      <c r="N324" s="186"/>
      <c r="O324" s="186"/>
      <c r="P324" s="186"/>
      <c r="Q324" s="186"/>
      <c r="R324" s="187"/>
      <c r="T324" s="188"/>
      <c r="U324" s="186"/>
      <c r="V324" s="186"/>
      <c r="W324" s="186"/>
      <c r="X324" s="186"/>
      <c r="Y324" s="186"/>
      <c r="Z324" s="187"/>
    </row>
    <row r="325" spans="1:26" ht="18" customHeight="1" hidden="1">
      <c r="A325" s="140"/>
      <c r="B325" s="140"/>
      <c r="D325" s="189" t="s">
        <v>248</v>
      </c>
      <c r="E325" s="190" t="str">
        <f>D314&amp;"_"&amp;D12</f>
        <v>_</v>
      </c>
      <c r="F325" s="191"/>
      <c r="G325" s="191"/>
      <c r="H325" s="191"/>
      <c r="I325" s="190"/>
      <c r="J325" s="192"/>
      <c r="K325"/>
      <c r="L325" s="193" t="str">
        <f ca="1">L314&amp;"_"&amp;D12</f>
        <v>SELECT PLAN_</v>
      </c>
      <c r="M325" s="191"/>
      <c r="N325" s="191"/>
      <c r="O325" s="191"/>
      <c r="P325" s="190"/>
      <c r="Q325" s="191"/>
      <c r="R325" s="192"/>
      <c r="T325" s="193" t="str">
        <f>T314&amp;"_"&amp;D12</f>
        <v>SELECT PLAN_</v>
      </c>
      <c r="U325" s="191"/>
      <c r="V325" s="191"/>
      <c r="W325" s="191"/>
      <c r="X325" s="190"/>
      <c r="Y325" s="191"/>
      <c r="Z325" s="192"/>
    </row>
    <row r="326" spans="1:26" ht="18" customHeight="1" hidden="1">
      <c r="A326" s="140"/>
      <c r="B326" s="140"/>
      <c r="D326" s="189" t="s">
        <v>249</v>
      </c>
      <c r="E326" s="191"/>
      <c r="F326" s="191"/>
      <c r="G326" s="191"/>
      <c r="H326" s="191"/>
      <c r="I326" s="191"/>
      <c r="J326" s="192"/>
      <c r="K326"/>
      <c r="L326" s="189"/>
      <c r="M326" s="191"/>
      <c r="N326" s="191"/>
      <c r="O326" s="191"/>
      <c r="P326" s="191"/>
      <c r="Q326" s="191"/>
      <c r="R326" s="192"/>
      <c r="T326" s="189"/>
      <c r="U326" s="191"/>
      <c r="V326" s="191"/>
      <c r="W326" s="191"/>
      <c r="X326" s="191"/>
      <c r="Y326" s="191"/>
      <c r="Z326" s="192"/>
    </row>
    <row r="327" spans="1:26" ht="18" customHeight="1" hidden="1">
      <c r="A327" s="140"/>
      <c r="B327" s="140"/>
      <c r="D327" s="194" t="s">
        <v>250</v>
      </c>
      <c r="E327" s="195"/>
      <c r="F327" s="195"/>
      <c r="G327" s="195"/>
      <c r="H327" s="195"/>
      <c r="I327" s="195"/>
      <c r="J327" s="196"/>
      <c r="K327"/>
      <c r="L327" s="197"/>
      <c r="M327" s="195"/>
      <c r="N327" s="195"/>
      <c r="O327" s="195"/>
      <c r="P327" s="195"/>
      <c r="Q327" s="195"/>
      <c r="R327" s="196"/>
      <c r="T327" s="197"/>
      <c r="U327" s="195"/>
      <c r="V327" s="195"/>
      <c r="W327" s="195"/>
      <c r="X327" s="195"/>
      <c r="Y327" s="195"/>
      <c r="Z327" s="196"/>
    </row>
    <row r="328" spans="1:26" ht="18" customHeight="1" hidden="1">
      <c r="A328" s="140"/>
      <c r="B328" s="140"/>
      <c r="D328" s="198" t="s">
        <v>251</v>
      </c>
      <c r="E328" s="199" t="str">
        <f>_xlfn.XLOOKUP(E325,CurrentPlans!B:B,CurrentPlans!X:X,"NA",0,1)</f>
        <v>NA</v>
      </c>
      <c r="F328" s="200"/>
      <c r="G328" s="200"/>
      <c r="H328" s="200"/>
      <c r="I328" s="199"/>
      <c r="J328" s="201"/>
      <c r="K328"/>
      <c r="L328" s="202" t="str">
        <f ca="1">_xlfn.XLOOKUP(L325,RenewalPlans!B:B,RenewalPlans!AA:AA,"NA",0,1)</f>
        <v>NA</v>
      </c>
      <c r="M328" s="200"/>
      <c r="N328" s="200"/>
      <c r="O328" s="200"/>
      <c r="P328" s="199"/>
      <c r="Q328" s="200"/>
      <c r="R328" s="201"/>
      <c r="T328" s="202" t="str">
        <f>_xlfn.XLOOKUP(T325,RenewalPlans!B:B,RenewalPlans!AA:AA,"NA",0,1)</f>
        <v>NA</v>
      </c>
      <c r="U328" s="200"/>
      <c r="V328" s="200"/>
      <c r="W328" s="200"/>
      <c r="X328" s="199"/>
      <c r="Y328" s="200"/>
      <c r="Z328" s="201"/>
    </row>
    <row r="329" spans="1:26" ht="18" customHeight="1" hidden="1">
      <c r="A329" s="140"/>
      <c r="B329" s="140"/>
      <c r="D329" s="198" t="s">
        <v>252</v>
      </c>
      <c r="E329" s="199" t="str">
        <f>_xlfn.XLOOKUP(E325,CurrentPlans!B:B,CurrentPlans!Y:Y,"NA",0,1)</f>
        <v>NA</v>
      </c>
      <c r="F329" s="200"/>
      <c r="G329" s="200"/>
      <c r="H329" s="200"/>
      <c r="I329" s="199"/>
      <c r="J329" s="201"/>
      <c r="K329"/>
      <c r="L329" s="202" t="str">
        <f ca="1">_xlfn.XLOOKUP(L325,RenewalPlans!B:B,RenewalPlans!AB:AB,"NA",0,1)</f>
        <v>NA</v>
      </c>
      <c r="M329" s="200"/>
      <c r="N329" s="200"/>
      <c r="O329" s="200"/>
      <c r="P329" s="199"/>
      <c r="Q329" s="200"/>
      <c r="R329" s="201"/>
      <c r="T329" s="202" t="str">
        <f>_xlfn.XLOOKUP(T325,RenewalPlans!B:B,RenewalPlans!AB:AB,"NA",0,1)</f>
        <v>NA</v>
      </c>
      <c r="U329" s="200"/>
      <c r="V329" s="200"/>
      <c r="W329" s="200"/>
      <c r="X329" s="199"/>
      <c r="Y329" s="200"/>
      <c r="Z329" s="201"/>
    </row>
    <row r="330" spans="1:26" ht="18" customHeight="1" hidden="1">
      <c r="A330" s="140"/>
      <c r="B330" s="140"/>
      <c r="D330" s="120" t="s">
        <v>253</v>
      </c>
      <c r="E330" s="121" t="str">
        <f>_xlfn.XLOOKUP(E325,CurrentPlans!B:B,CurrentPlans!W:W,"NA",0,1)</f>
        <v>NA</v>
      </c>
      <c r="F330" s="122"/>
      <c r="G330" s="122"/>
      <c r="H330" s="122"/>
      <c r="I330" s="121"/>
      <c r="J330" s="123"/>
      <c r="K330"/>
      <c r="L330" s="124" t="str">
        <f ca="1">_xlfn.XLOOKUP(L325,RenewalPlans!B:B,RenewalPlans!Z:Z,"NA",0,1)</f>
        <v>NA</v>
      </c>
      <c r="M330" s="122"/>
      <c r="N330" s="122"/>
      <c r="O330" s="122"/>
      <c r="P330" s="121"/>
      <c r="Q330" s="122"/>
      <c r="R330" s="123"/>
      <c r="T330" s="124" t="str">
        <f>_xlfn.XLOOKUP(T325,RenewalPlans!B:B,RenewalPlans!Z:Z,"NA",0,1)</f>
        <v>NA</v>
      </c>
      <c r="U330" s="122"/>
      <c r="V330" s="122"/>
      <c r="W330" s="122"/>
      <c r="X330" s="121"/>
      <c r="Y330" s="122"/>
      <c r="Z330" s="123"/>
    </row>
    <row r="331" spans="1:26" ht="18" customHeight="1" hidden="1">
      <c r="A331" s="140"/>
      <c r="B331" s="140"/>
      <c r="D331" s="203" t="s">
        <v>254</v>
      </c>
      <c r="E331" s="204"/>
      <c r="F331" s="205"/>
      <c r="G331" s="205"/>
      <c r="H331" s="205"/>
      <c r="I331" s="204"/>
      <c r="J331" s="206"/>
      <c r="K331"/>
      <c r="L331" s="207"/>
      <c r="M331" s="205"/>
      <c r="N331" s="205"/>
      <c r="O331" s="205"/>
      <c r="P331" s="204"/>
      <c r="Q331" s="205"/>
      <c r="R331" s="206"/>
      <c r="T331" s="207"/>
      <c r="U331" s="205"/>
      <c r="V331" s="205"/>
      <c r="W331" s="205"/>
      <c r="X331" s="204"/>
      <c r="Y331" s="205"/>
      <c r="Z331" s="206"/>
    </row>
    <row r="332" spans="1:26" ht="18" customHeight="1" hidden="1">
      <c r="A332" s="140"/>
      <c r="B332" s="140"/>
      <c r="D332" s="125" t="s">
        <v>255</v>
      </c>
      <c r="E332" s="126" t="str">
        <f>_xlfn.XLOOKUP(E325,CurrentPlans!B:B,CurrentPlans!Z:Z,"NA",0,1)</f>
        <v>NA</v>
      </c>
      <c r="F332" s="127"/>
      <c r="G332" s="127"/>
      <c r="H332" s="127"/>
      <c r="I332" s="126"/>
      <c r="J332" s="128"/>
      <c r="K332"/>
      <c r="L332" s="129" t="str">
        <f ca="1">_xlfn.XLOOKUP(L325,RenewalPlans!B:B,RenewalPlans!AC:AC,"NA",0,1)</f>
        <v>NA</v>
      </c>
      <c r="M332" s="127"/>
      <c r="N332" s="127"/>
      <c r="O332" s="127"/>
      <c r="P332" s="126"/>
      <c r="Q332" s="127"/>
      <c r="R332" s="128"/>
      <c r="T332" s="129" t="str">
        <f>_xlfn.XLOOKUP(T325,RenewalPlans!B:B,RenewalPlans!AC:AC,"NA",0,1)</f>
        <v>NA</v>
      </c>
      <c r="U332" s="127"/>
      <c r="V332" s="127"/>
      <c r="W332" s="127"/>
      <c r="X332" s="126"/>
      <c r="Y332" s="127"/>
      <c r="Z332" s="128"/>
    </row>
    <row r="333" spans="1:26" ht="18" customHeight="1" hidden="1">
      <c r="A333" s="140"/>
      <c r="B333" s="140"/>
      <c r="D333" s="198" t="s">
        <v>256</v>
      </c>
      <c r="E333" s="208" t="str">
        <f>_xlfn.XLOOKUP(E325,CurrentPlans!B:B,CurrentPlans!AA:AA,"NA",0,1)</f>
        <v>NA</v>
      </c>
      <c r="F333" s="200"/>
      <c r="G333" s="200"/>
      <c r="H333" s="200"/>
      <c r="I333" s="208"/>
      <c r="J333" s="201"/>
      <c r="K333"/>
      <c r="L333" s="209" t="str">
        <f ca="1">_xlfn.XLOOKUP(L325,RenewalPlans!B:B,RenewalPlans!AD:AD,"NA",0,1)</f>
        <v>NA</v>
      </c>
      <c r="M333" s="200"/>
      <c r="N333" s="200"/>
      <c r="O333" s="200"/>
      <c r="P333" s="208"/>
      <c r="Q333" s="200"/>
      <c r="R333" s="201"/>
      <c r="T333" s="209" t="str">
        <f>_xlfn.XLOOKUP(T325,RenewalPlans!B:B,RenewalPlans!AD:AD,"NA",0,1)</f>
        <v>NA</v>
      </c>
      <c r="U333" s="200"/>
      <c r="V333" s="200"/>
      <c r="W333" s="200"/>
      <c r="X333" s="208"/>
      <c r="Y333" s="200"/>
      <c r="Z333" s="201"/>
    </row>
    <row r="334" spans="1:26" ht="18" customHeight="1" hidden="1">
      <c r="A334" s="140"/>
      <c r="B334" s="140"/>
      <c r="D334" s="203" t="s">
        <v>257</v>
      </c>
      <c r="E334" s="204"/>
      <c r="F334" s="205"/>
      <c r="G334" s="205"/>
      <c r="H334" s="205"/>
      <c r="I334" s="204"/>
      <c r="J334" s="206"/>
      <c r="K334"/>
      <c r="L334" s="207"/>
      <c r="M334" s="205"/>
      <c r="N334" s="205"/>
      <c r="O334" s="205"/>
      <c r="P334" s="204"/>
      <c r="Q334" s="205"/>
      <c r="R334" s="206"/>
      <c r="T334" s="207"/>
      <c r="U334" s="205"/>
      <c r="V334" s="205"/>
      <c r="W334" s="205"/>
      <c r="X334" s="204"/>
      <c r="Y334" s="205"/>
      <c r="Z334" s="206"/>
    </row>
    <row r="335" spans="1:26" ht="18" customHeight="1" hidden="1">
      <c r="A335" s="140"/>
      <c r="B335" s="140"/>
      <c r="D335" s="198" t="s">
        <v>258</v>
      </c>
      <c r="E335" s="208" t="str">
        <f>_xlfn.XLOOKUP(E325,CurrentPlans!B:B,CurrentPlans!AB:AB,"NA",0,1)</f>
        <v>NA</v>
      </c>
      <c r="F335" s="200"/>
      <c r="G335" s="200"/>
      <c r="H335" s="200"/>
      <c r="I335" s="208"/>
      <c r="J335" s="201"/>
      <c r="K335"/>
      <c r="L335" s="209" t="str">
        <f ca="1">_xlfn.XLOOKUP(L325,RenewalPlans!B:B,RenewalPlans!AE:AE,"NA",0,1)</f>
        <v>NA</v>
      </c>
      <c r="M335" s="200"/>
      <c r="N335" s="200"/>
      <c r="O335" s="200"/>
      <c r="P335" s="208"/>
      <c r="Q335" s="200"/>
      <c r="R335" s="201"/>
      <c r="T335" s="209" t="str">
        <f>_xlfn.XLOOKUP(T325,RenewalPlans!B:B,RenewalPlans!AE:AE,"NA",0,1)</f>
        <v>NA</v>
      </c>
      <c r="U335" s="200"/>
      <c r="V335" s="200"/>
      <c r="W335" s="200"/>
      <c r="X335" s="208"/>
      <c r="Y335" s="200"/>
      <c r="Z335" s="201"/>
    </row>
    <row r="336" spans="1:26" ht="18" customHeight="1" hidden="1">
      <c r="A336" s="140"/>
      <c r="B336" s="140"/>
      <c r="D336" s="198" t="s">
        <v>259</v>
      </c>
      <c r="E336" s="208" t="str">
        <f>_xlfn.XLOOKUP(E325,CurrentPlans!B:B,CurrentPlans!AC:AC,"NA",0,1)</f>
        <v>NA</v>
      </c>
      <c r="F336" s="200"/>
      <c r="G336" s="200"/>
      <c r="H336" s="200"/>
      <c r="I336" s="208"/>
      <c r="J336" s="201"/>
      <c r="K336"/>
      <c r="L336" s="209" t="str">
        <f ca="1">_xlfn.XLOOKUP(L325,RenewalPlans!B:B,RenewalPlans!AF:AF,"NA",0,1)</f>
        <v>NA</v>
      </c>
      <c r="M336" s="200"/>
      <c r="N336" s="200"/>
      <c r="O336" s="200"/>
      <c r="P336" s="208"/>
      <c r="Q336" s="200"/>
      <c r="R336" s="201"/>
      <c r="T336" s="209" t="str">
        <f>_xlfn.XLOOKUP(T325,RenewalPlans!B:B,RenewalPlans!AF:AF,"NA",0,1)</f>
        <v>NA</v>
      </c>
      <c r="U336" s="200"/>
      <c r="V336" s="200"/>
      <c r="W336" s="200"/>
      <c r="X336" s="208"/>
      <c r="Y336" s="200"/>
      <c r="Z336" s="201"/>
    </row>
    <row r="337" spans="1:26" ht="18" customHeight="1" hidden="1">
      <c r="A337" s="140"/>
      <c r="B337" s="140"/>
      <c r="D337" s="210"/>
      <c r="E337" s="211"/>
      <c r="F337" s="211"/>
      <c r="G337" s="211"/>
      <c r="H337" s="211"/>
      <c r="I337" s="211"/>
      <c r="J337" s="212"/>
      <c r="K337"/>
      <c r="L337" s="210"/>
      <c r="M337" s="211"/>
      <c r="N337" s="211"/>
      <c r="O337" s="211"/>
      <c r="P337" s="211"/>
      <c r="Q337" s="211"/>
      <c r="R337" s="212"/>
      <c r="T337" s="210"/>
      <c r="U337" s="211"/>
      <c r="V337" s="211"/>
      <c r="W337" s="211"/>
      <c r="X337" s="211"/>
      <c r="Y337" s="211"/>
      <c r="Z337" s="212"/>
    </row>
    <row r="338" spans="1:26" ht="18" customHeight="1" hidden="1">
      <c r="A338" s="140"/>
      <c r="B338" s="140"/>
      <c r="D338" s="185" t="s">
        <v>260</v>
      </c>
      <c r="E338" s="186"/>
      <c r="F338" s="186"/>
      <c r="G338" s="186"/>
      <c r="H338" s="186"/>
      <c r="I338" s="186"/>
      <c r="J338" s="187"/>
      <c r="K338"/>
      <c r="L338" s="188"/>
      <c r="M338" s="186"/>
      <c r="N338" s="186"/>
      <c r="O338" s="186"/>
      <c r="P338" s="186"/>
      <c r="Q338" s="186"/>
      <c r="R338" s="187"/>
      <c r="T338" s="188"/>
      <c r="U338" s="186"/>
      <c r="V338" s="186"/>
      <c r="W338" s="186"/>
      <c r="X338" s="186"/>
      <c r="Y338" s="186"/>
      <c r="Z338" s="187"/>
    </row>
    <row r="339" spans="1:26" ht="18" customHeight="1" hidden="1">
      <c r="A339" s="140"/>
      <c r="B339" s="140"/>
      <c r="D339" s="213" t="s">
        <v>261</v>
      </c>
      <c r="E339" s="130" t="str">
        <f>_xlfn.XLOOKUP(E325,CurrentPlans!B:B,CurrentPlans!AJ:AJ,"NA",0,1)</f>
        <v>NA</v>
      </c>
      <c r="F339" s="214"/>
      <c r="G339" s="214"/>
      <c r="H339" s="214"/>
      <c r="I339" s="130"/>
      <c r="J339" s="215"/>
      <c r="K339"/>
      <c r="L339" s="131" t="str">
        <f ca="1">_xlfn.XLOOKUP(L325,RenewalPlans!B:B,RenewalPlans!AM:AM,"NA",0,1)</f>
        <v>NA</v>
      </c>
      <c r="M339" s="214"/>
      <c r="N339" s="214"/>
      <c r="O339" s="214"/>
      <c r="P339" s="130"/>
      <c r="Q339" s="214"/>
      <c r="R339" s="215"/>
      <c r="T339" s="131" t="str">
        <f>_xlfn.XLOOKUP(T325,RenewalPlans!B:B,RenewalPlans!AM:AM,"NA",0,1)</f>
        <v>NA</v>
      </c>
      <c r="U339" s="214"/>
      <c r="V339" s="214"/>
      <c r="W339" s="214"/>
      <c r="X339" s="130"/>
      <c r="Y339" s="214"/>
      <c r="Z339" s="215"/>
    </row>
    <row r="340" spans="1:26" ht="18" customHeight="1" hidden="1">
      <c r="A340" s="140"/>
      <c r="B340" s="140"/>
      <c r="D340" s="198" t="s">
        <v>262</v>
      </c>
      <c r="E340" s="130" t="str">
        <f>_xlfn.XLOOKUP(E325,CurrentPlans!B:B,CurrentPlans!AM:AM,"NA",0,1)</f>
        <v>NA</v>
      </c>
      <c r="F340" s="200"/>
      <c r="G340" s="200"/>
      <c r="H340" s="200"/>
      <c r="I340" s="130"/>
      <c r="J340" s="201"/>
      <c r="K340"/>
      <c r="L340" s="131" t="str">
        <f ca="1">_xlfn.XLOOKUP(L325,RenewalPlans!B:B,RenewalPlans!AP:AP,"NA",0,1)</f>
        <v>NA</v>
      </c>
      <c r="M340" s="200"/>
      <c r="N340" s="200"/>
      <c r="O340" s="200"/>
      <c r="P340" s="130"/>
      <c r="Q340" s="200"/>
      <c r="R340" s="201"/>
      <c r="T340" s="131" t="str">
        <f>_xlfn.XLOOKUP(T325,RenewalPlans!B:B,RenewalPlans!AP:AP,"NA",0,1)</f>
        <v>NA</v>
      </c>
      <c r="U340" s="200"/>
      <c r="V340" s="200"/>
      <c r="W340" s="200"/>
      <c r="X340" s="130"/>
      <c r="Y340" s="200"/>
      <c r="Z340" s="201"/>
    </row>
    <row r="341" spans="1:26" ht="18" customHeight="1" hidden="1">
      <c r="A341" s="140"/>
      <c r="B341" s="140"/>
      <c r="D341" s="198" t="s">
        <v>263</v>
      </c>
      <c r="E341" s="130" t="str">
        <f>_xlfn.XLOOKUP(E325,CurrentPlans!B:B,CurrentPlans!AI:AI,"NA",0,1)</f>
        <v>NA</v>
      </c>
      <c r="F341" s="200"/>
      <c r="G341" s="200"/>
      <c r="H341" s="200"/>
      <c r="I341" s="130"/>
      <c r="J341" s="201"/>
      <c r="K341"/>
      <c r="L341" s="131" t="str">
        <f ca="1">_xlfn.XLOOKUP(L325,RenewalPlans!B:B,RenewalPlans!AL:AL,"NA",0,1)</f>
        <v>NA</v>
      </c>
      <c r="M341" s="200"/>
      <c r="N341" s="200"/>
      <c r="O341" s="200"/>
      <c r="P341" s="130"/>
      <c r="Q341" s="200"/>
      <c r="R341" s="201"/>
      <c r="T341" s="131" t="str">
        <f>_xlfn.XLOOKUP(T325,RenewalPlans!B:B,RenewalPlans!AL:AL,"NA",0,1)</f>
        <v>NA</v>
      </c>
      <c r="U341" s="200"/>
      <c r="V341" s="200"/>
      <c r="W341" s="200"/>
      <c r="X341" s="130"/>
      <c r="Y341" s="200"/>
      <c r="Z341" s="201"/>
    </row>
    <row r="342" spans="1:26" ht="18" customHeight="1" hidden="1">
      <c r="A342" s="140"/>
      <c r="B342" s="140"/>
      <c r="D342" s="198" t="s">
        <v>264</v>
      </c>
      <c r="E342" s="208" t="str">
        <f>_xlfn.XLOOKUP(E325,CurrentPlans!B:B,CurrentPlans!AN:AN,"NA",0,1)</f>
        <v>NA</v>
      </c>
      <c r="F342" s="200"/>
      <c r="G342" s="200"/>
      <c r="H342" s="200"/>
      <c r="I342" s="208"/>
      <c r="J342" s="201"/>
      <c r="K342"/>
      <c r="L342" s="209" t="str">
        <f ca="1">_xlfn.XLOOKUP(L325,RenewalPlans!B:B,RenewalPlans!AQ:AQ,"NA",0,1)</f>
        <v>NA</v>
      </c>
      <c r="M342" s="200"/>
      <c r="N342" s="200"/>
      <c r="O342" s="200"/>
      <c r="P342" s="208"/>
      <c r="Q342" s="200"/>
      <c r="R342" s="201"/>
      <c r="T342" s="209" t="str">
        <f>_xlfn.XLOOKUP(T325,RenewalPlans!B:B,RenewalPlans!AQ:AQ,"NA",0,1)</f>
        <v>NA</v>
      </c>
      <c r="U342" s="200"/>
      <c r="V342" s="200"/>
      <c r="W342" s="200"/>
      <c r="X342" s="208"/>
      <c r="Y342" s="200"/>
      <c r="Z342" s="201"/>
    </row>
    <row r="343" spans="1:26" ht="18" customHeight="1" hidden="1">
      <c r="A343" s="140"/>
      <c r="B343" s="140"/>
      <c r="D343" s="210"/>
      <c r="E343" s="211"/>
      <c r="F343" s="211"/>
      <c r="G343" s="211"/>
      <c r="H343" s="211"/>
      <c r="I343" s="211"/>
      <c r="J343" s="212"/>
      <c r="K343"/>
      <c r="L343" s="210"/>
      <c r="M343" s="211"/>
      <c r="N343" s="211"/>
      <c r="O343" s="211"/>
      <c r="P343" s="211"/>
      <c r="Q343" s="211"/>
      <c r="R343" s="212"/>
      <c r="T343" s="210"/>
      <c r="U343" s="211"/>
      <c r="V343" s="211"/>
      <c r="W343" s="211"/>
      <c r="X343" s="211"/>
      <c r="Y343" s="211"/>
      <c r="Z343" s="212"/>
    </row>
    <row r="344" spans="1:26" ht="18" customHeight="1" hidden="1">
      <c r="A344" s="140"/>
      <c r="B344" s="140"/>
      <c r="D344" s="185" t="s">
        <v>265</v>
      </c>
      <c r="E344" s="186"/>
      <c r="F344" s="186"/>
      <c r="G344" s="186"/>
      <c r="H344" s="186"/>
      <c r="I344" s="186"/>
      <c r="J344" s="187"/>
      <c r="K344"/>
      <c r="L344" s="188"/>
      <c r="M344" s="186"/>
      <c r="N344" s="186"/>
      <c r="O344" s="186"/>
      <c r="P344" s="186"/>
      <c r="Q344" s="186"/>
      <c r="R344" s="187"/>
      <c r="T344" s="188"/>
      <c r="U344" s="186"/>
      <c r="V344" s="186"/>
      <c r="W344" s="186"/>
      <c r="X344" s="186"/>
      <c r="Y344" s="186"/>
      <c r="Z344" s="187"/>
    </row>
    <row r="345" spans="1:26" ht="18" customHeight="1" hidden="1">
      <c r="A345" s="140"/>
      <c r="B345" s="140"/>
      <c r="D345" s="132" t="s">
        <v>266</v>
      </c>
      <c r="E345" s="133" t="str">
        <f>_xlfn.XLOOKUP(E325,CurrentPlans!B:B,CurrentPlans!AE:AE,"NA",0,1)</f>
        <v>NA</v>
      </c>
      <c r="F345" s="134"/>
      <c r="G345" s="134"/>
      <c r="H345" s="134"/>
      <c r="I345" s="133"/>
      <c r="J345" s="135"/>
      <c r="K345"/>
      <c r="L345" s="136" t="str">
        <f ca="1">_xlfn.XLOOKUP(L325,RenewalPlans!B:B,RenewalPlans!AH:AH,"NA",0,1)</f>
        <v>NA</v>
      </c>
      <c r="M345" s="134"/>
      <c r="N345" s="134"/>
      <c r="O345" s="134"/>
      <c r="P345" s="133"/>
      <c r="Q345" s="134"/>
      <c r="R345" s="135"/>
      <c r="T345" s="136" t="str">
        <f>_xlfn.XLOOKUP(T325,RenewalPlans!B:B,RenewalPlans!AH:AH,"NA",0,1)</f>
        <v>NA</v>
      </c>
      <c r="U345" s="134"/>
      <c r="V345" s="134"/>
      <c r="W345" s="134"/>
      <c r="X345" s="133"/>
      <c r="Y345" s="134"/>
      <c r="Z345" s="135"/>
    </row>
    <row r="346" spans="1:26" ht="18" customHeight="1" hidden="1">
      <c r="A346" s="140"/>
      <c r="B346" s="140"/>
      <c r="D346" s="120" t="s">
        <v>267</v>
      </c>
      <c r="E346" s="130" t="str">
        <f>_xlfn.XLOOKUP(E325,CurrentPlans!B:B,CurrentPlans!AF:AF,"NA",0,1)</f>
        <v>NA</v>
      </c>
      <c r="F346" s="122"/>
      <c r="G346" s="122"/>
      <c r="H346" s="122"/>
      <c r="I346" s="130"/>
      <c r="J346" s="123"/>
      <c r="K346"/>
      <c r="L346" s="131" t="str">
        <f ca="1">_xlfn.XLOOKUP(L325,RenewalPlans!B:B,RenewalPlans!AI:AI,"NA",0,1)</f>
        <v>NA</v>
      </c>
      <c r="M346" s="122"/>
      <c r="N346" s="122"/>
      <c r="O346" s="122"/>
      <c r="P346" s="130"/>
      <c r="Q346" s="122"/>
      <c r="R346" s="123"/>
      <c r="T346" s="131" t="str">
        <f>_xlfn.XLOOKUP(T325,RenewalPlans!B:B,RenewalPlans!AI:AI,"NA",0,1)</f>
        <v>NA</v>
      </c>
      <c r="U346" s="122"/>
      <c r="V346" s="122"/>
      <c r="W346" s="122"/>
      <c r="X346" s="130"/>
      <c r="Y346" s="122"/>
      <c r="Z346" s="123"/>
    </row>
    <row r="347" spans="1:26" ht="18" customHeight="1" hidden="1">
      <c r="A347" s="140"/>
      <c r="B347" s="140"/>
      <c r="D347" s="198" t="s">
        <v>268</v>
      </c>
      <c r="E347" s="130" t="str">
        <f>_xlfn.XLOOKUP(E325,CurrentPlans!B:B,CurrentPlans!AH:AH,"NA",0,1)</f>
        <v>NA</v>
      </c>
      <c r="F347" s="200"/>
      <c r="G347" s="200"/>
      <c r="H347" s="200"/>
      <c r="I347" s="130"/>
      <c r="J347" s="201"/>
      <c r="K347"/>
      <c r="L347" s="131" t="str">
        <f ca="1">_xlfn.XLOOKUP(L325,RenewalPlans!B:B,RenewalPlans!AK:AK,"NA",0,1)</f>
        <v>NA</v>
      </c>
      <c r="M347" s="200"/>
      <c r="N347" s="200"/>
      <c r="O347" s="200"/>
      <c r="P347" s="130"/>
      <c r="Q347" s="200"/>
      <c r="R347" s="201"/>
      <c r="T347" s="131" t="str">
        <f>_xlfn.XLOOKUP(T325,RenewalPlans!B:B,RenewalPlans!AK:AK,"NA",0,1)</f>
        <v>NA</v>
      </c>
      <c r="U347" s="200"/>
      <c r="V347" s="200"/>
      <c r="W347" s="200"/>
      <c r="X347" s="130"/>
      <c r="Y347" s="200"/>
      <c r="Z347" s="201"/>
    </row>
    <row r="348" spans="1:26" ht="18" customHeight="1" hidden="1">
      <c r="A348" s="140"/>
      <c r="B348" s="140"/>
      <c r="D348" s="198" t="s">
        <v>269</v>
      </c>
      <c r="E348" s="130" t="str">
        <f>_xlfn.XLOOKUP(E325,CurrentPlans!B:B,CurrentPlans!AG:AG,"NA",0,1)</f>
        <v>NA</v>
      </c>
      <c r="F348" s="200"/>
      <c r="G348" s="200"/>
      <c r="H348" s="200"/>
      <c r="I348" s="130"/>
      <c r="J348" s="201"/>
      <c r="K348"/>
      <c r="L348" s="131" t="str">
        <f ca="1">_xlfn.XLOOKUP(L325,RenewalPlans!B:B,RenewalPlans!AJ:AJ,"NA",0,1)</f>
        <v>NA</v>
      </c>
      <c r="M348" s="200"/>
      <c r="N348" s="200"/>
      <c r="O348" s="200"/>
      <c r="P348" s="130"/>
      <c r="Q348" s="200"/>
      <c r="R348" s="201"/>
      <c r="T348" s="131" t="str">
        <f>_xlfn.XLOOKUP(T325,RenewalPlans!B:B,RenewalPlans!AJ:AJ,"NA",0,1)</f>
        <v>NA</v>
      </c>
      <c r="U348" s="200"/>
      <c r="V348" s="200"/>
      <c r="W348" s="200"/>
      <c r="X348" s="130"/>
      <c r="Y348" s="200"/>
      <c r="Z348" s="201"/>
    </row>
    <row r="349" spans="1:26" ht="18" customHeight="1" hidden="1">
      <c r="A349" s="140"/>
      <c r="B349" s="140"/>
      <c r="D349" s="213" t="s">
        <v>270</v>
      </c>
      <c r="E349" s="216" t="str">
        <f>_xlfn.XLOOKUP(E325,CurrentPlans!B:B,CurrentPlans!AU:AU,"NA",0,1)</f>
        <v>NA</v>
      </c>
      <c r="F349" s="214"/>
      <c r="G349" s="214"/>
      <c r="H349" s="214"/>
      <c r="I349" s="217"/>
      <c r="J349" s="215"/>
      <c r="K349"/>
      <c r="L349" s="218" t="str">
        <f ca="1">_xlfn.XLOOKUP(L325,RenewalPlans!B:B,RenewalPlans!AX:AX,"NA",0,1)</f>
        <v>NA</v>
      </c>
      <c r="M349" s="214"/>
      <c r="N349" s="214"/>
      <c r="O349" s="214"/>
      <c r="P349" s="217"/>
      <c r="Q349" s="214"/>
      <c r="R349" s="215"/>
      <c r="T349" s="218" t="str">
        <f>_xlfn.XLOOKUP(T325,RenewalPlans!B:B,RenewalPlans!AX:AX,"NA",0,1)</f>
        <v>NA</v>
      </c>
      <c r="U349" s="214"/>
      <c r="V349" s="214"/>
      <c r="W349" s="214"/>
      <c r="X349" s="217"/>
      <c r="Y349" s="214"/>
      <c r="Z349" s="215"/>
    </row>
    <row r="350" spans="1:26" ht="18" customHeight="1" hidden="1">
      <c r="A350" s="140"/>
      <c r="B350" s="140"/>
      <c r="D350" s="213" t="s">
        <v>271</v>
      </c>
      <c r="E350" s="216" t="str">
        <f>_xlfn.XLOOKUP(E325,CurrentPlans!B:B,CurrentPlans!AT:AT,"NA",0,1)</f>
        <v>NA</v>
      </c>
      <c r="F350" s="214"/>
      <c r="G350" s="214"/>
      <c r="H350" s="214"/>
      <c r="I350" s="217"/>
      <c r="J350" s="215"/>
      <c r="K350"/>
      <c r="L350" s="218" t="str">
        <f ca="1">_xlfn.XLOOKUP(L325,RenewalPlans!B:B,RenewalPlans!AW:AW,"NA",0,1)</f>
        <v>NA</v>
      </c>
      <c r="M350" s="214"/>
      <c r="N350" s="214"/>
      <c r="O350" s="214"/>
      <c r="P350" s="217"/>
      <c r="Q350" s="214"/>
      <c r="R350" s="215"/>
      <c r="T350" s="218" t="str">
        <f>_xlfn.XLOOKUP(T325,RenewalPlans!B:B,RenewalPlans!AW:AW,"NA",0,1)</f>
        <v>NA</v>
      </c>
      <c r="U350" s="214"/>
      <c r="V350" s="214"/>
      <c r="W350" s="214"/>
      <c r="X350" s="217"/>
      <c r="Y350" s="214"/>
      <c r="Z350" s="215"/>
    </row>
    <row r="351" spans="1:26" ht="18" customHeight="1" hidden="1">
      <c r="A351" s="140"/>
      <c r="B351" s="140"/>
      <c r="D351" s="198" t="s">
        <v>272</v>
      </c>
      <c r="E351" s="130" t="str">
        <f>_xlfn.XLOOKUP(E325,CurrentPlans!B:B,CurrentPlans!AD:AD,"NA",0,1)</f>
        <v>NA</v>
      </c>
      <c r="F351" s="200"/>
      <c r="G351" s="200"/>
      <c r="H351" s="200"/>
      <c r="I351" s="130"/>
      <c r="J351" s="201"/>
      <c r="K351"/>
      <c r="L351" s="131" t="str">
        <f ca="1">_xlfn.XLOOKUP(L325,RenewalPlans!B:B,RenewalPlans!AG:AG,"NA",0,1)</f>
        <v>NA</v>
      </c>
      <c r="M351" s="200"/>
      <c r="N351" s="200"/>
      <c r="O351" s="200"/>
      <c r="P351" s="130"/>
      <c r="Q351" s="200"/>
      <c r="R351" s="201"/>
      <c r="T351" s="131" t="str">
        <f>_xlfn.XLOOKUP(T325,RenewalPlans!B:B,RenewalPlans!AG:AG,"NA",0,1)</f>
        <v>NA</v>
      </c>
      <c r="U351" s="200"/>
      <c r="V351" s="200"/>
      <c r="W351" s="200"/>
      <c r="X351" s="130"/>
      <c r="Y351" s="200"/>
      <c r="Z351" s="201"/>
    </row>
    <row r="352" spans="1:26" ht="18" customHeight="1" hidden="1">
      <c r="A352" s="140"/>
      <c r="B352" s="140"/>
      <c r="D352" s="198" t="s">
        <v>273</v>
      </c>
      <c r="E352" s="200"/>
      <c r="F352" s="200"/>
      <c r="G352" s="200"/>
      <c r="H352" s="200"/>
      <c r="I352" s="200"/>
      <c r="J352" s="201"/>
      <c r="K352"/>
      <c r="L352" s="198"/>
      <c r="M352" s="200"/>
      <c r="N352" s="200"/>
      <c r="O352" s="200"/>
      <c r="P352" s="200"/>
      <c r="Q352" s="200"/>
      <c r="R352" s="201"/>
      <c r="T352" s="198"/>
      <c r="U352" s="200"/>
      <c r="V352" s="200"/>
      <c r="W352" s="200"/>
      <c r="X352" s="200"/>
      <c r="Y352" s="200"/>
      <c r="Z352" s="201"/>
    </row>
    <row r="353" spans="1:26" ht="18" customHeight="1" hidden="1">
      <c r="A353" s="140"/>
      <c r="B353" s="140"/>
      <c r="D353" s="210"/>
      <c r="E353" s="211"/>
      <c r="F353" s="211"/>
      <c r="G353" s="211"/>
      <c r="H353" s="211"/>
      <c r="I353" s="211"/>
      <c r="J353" s="212"/>
      <c r="K353"/>
      <c r="L353" s="210"/>
      <c r="M353" s="211"/>
      <c r="N353" s="211"/>
      <c r="O353" s="211"/>
      <c r="P353" s="211"/>
      <c r="Q353" s="211"/>
      <c r="R353" s="212"/>
      <c r="T353" s="210"/>
      <c r="U353" s="211"/>
      <c r="V353" s="211"/>
      <c r="W353" s="211"/>
      <c r="X353" s="211"/>
      <c r="Y353" s="211"/>
      <c r="Z353" s="212"/>
    </row>
    <row r="354" spans="1:26" ht="18" customHeight="1" hidden="1">
      <c r="A354" s="140"/>
      <c r="B354" s="140"/>
      <c r="D354" s="219" t="s">
        <v>274</v>
      </c>
      <c r="E354" s="220"/>
      <c r="F354" s="220"/>
      <c r="G354" s="220"/>
      <c r="H354" s="220"/>
      <c r="I354" s="220"/>
      <c r="J354" s="221"/>
      <c r="K354"/>
      <c r="L354" s="222"/>
      <c r="M354" s="220"/>
      <c r="N354" s="220"/>
      <c r="O354" s="220"/>
      <c r="P354" s="220"/>
      <c r="Q354" s="220"/>
      <c r="R354" s="221"/>
      <c r="T354" s="222"/>
      <c r="U354" s="220"/>
      <c r="V354" s="220"/>
      <c r="W354" s="220"/>
      <c r="X354" s="220"/>
      <c r="Y354" s="220"/>
      <c r="Z354" s="221"/>
    </row>
    <row r="355" spans="1:26" ht="18" customHeight="1" hidden="1">
      <c r="A355" s="140"/>
      <c r="B355" s="140"/>
      <c r="D355" s="223" t="s">
        <v>250</v>
      </c>
      <c r="E355" s="205"/>
      <c r="F355" s="205"/>
      <c r="G355" s="205"/>
      <c r="H355" s="205"/>
      <c r="I355" s="205"/>
      <c r="J355" s="206"/>
      <c r="K355"/>
      <c r="L355" s="203"/>
      <c r="M355" s="205"/>
      <c r="N355" s="205"/>
      <c r="O355" s="205"/>
      <c r="P355" s="205"/>
      <c r="Q355" s="205"/>
      <c r="R355" s="206"/>
      <c r="T355" s="203"/>
      <c r="U355" s="205"/>
      <c r="V355" s="205"/>
      <c r="W355" s="205"/>
      <c r="X355" s="205"/>
      <c r="Y355" s="205"/>
      <c r="Z355" s="206"/>
    </row>
    <row r="356" spans="1:26" ht="18" customHeight="1" hidden="1">
      <c r="A356" s="140"/>
      <c r="B356" s="140"/>
      <c r="D356" s="198" t="s">
        <v>251</v>
      </c>
      <c r="E356" s="130" t="str">
        <f>_xlfn.XLOOKUP(E325,CurrentPlans!B:B,CurrentPlans!AP:AP,"NA",0,1)</f>
        <v>NA</v>
      </c>
      <c r="F356" s="200"/>
      <c r="G356" s="200"/>
      <c r="H356" s="200"/>
      <c r="I356" s="130"/>
      <c r="J356" s="201"/>
      <c r="K356"/>
      <c r="L356" s="131" t="str">
        <f ca="1">_xlfn.XLOOKUP(L325,RenewalPlans!B:B,RenewalPlans!AS:AS,"NA",0,1)</f>
        <v>NA</v>
      </c>
      <c r="M356" s="200"/>
      <c r="N356" s="200"/>
      <c r="O356" s="200"/>
      <c r="P356" s="130"/>
      <c r="Q356" s="200"/>
      <c r="R356" s="201"/>
      <c r="T356" s="131" t="str">
        <f>_xlfn.XLOOKUP(T325,RenewalPlans!B:B,RenewalPlans!AS:AS,"NA",0,1)</f>
        <v>NA</v>
      </c>
      <c r="U356" s="200"/>
      <c r="V356" s="200"/>
      <c r="W356" s="200"/>
      <c r="X356" s="130"/>
      <c r="Y356" s="200"/>
      <c r="Z356" s="201"/>
    </row>
    <row r="357" spans="1:26" ht="18" customHeight="1" hidden="1">
      <c r="A357" s="140"/>
      <c r="B357" s="140"/>
      <c r="D357" s="198" t="s">
        <v>252</v>
      </c>
      <c r="E357" s="130" t="str">
        <f>_xlfn.XLOOKUP(E325,CurrentPlans!B:B,CurrentPlans!AQ:AQ,"NA",0,1)</f>
        <v>NA</v>
      </c>
      <c r="F357" s="200"/>
      <c r="G357" s="200"/>
      <c r="H357" s="200"/>
      <c r="I357" s="130"/>
      <c r="J357" s="201"/>
      <c r="K357"/>
      <c r="L357" s="131" t="str">
        <f ca="1">_xlfn.XLOOKUP(L325,RenewalPlans!B:B,RenewalPlans!AT:AT,"NA",0,1)</f>
        <v>NA</v>
      </c>
      <c r="M357" s="200"/>
      <c r="N357" s="200"/>
      <c r="O357" s="200"/>
      <c r="P357" s="130"/>
      <c r="Q357" s="200"/>
      <c r="R357" s="201"/>
      <c r="T357" s="131" t="str">
        <f>_xlfn.XLOOKUP(T325,RenewalPlans!B:B,RenewalPlans!AT:AT,"NA",0,1)</f>
        <v>NA</v>
      </c>
      <c r="U357" s="200"/>
      <c r="V357" s="200"/>
      <c r="W357" s="200"/>
      <c r="X357" s="130"/>
      <c r="Y357" s="200"/>
      <c r="Z357" s="201"/>
    </row>
    <row r="358" spans="1:26" ht="18" customHeight="1" hidden="1">
      <c r="A358" s="140"/>
      <c r="B358" s="140"/>
      <c r="D358" s="120" t="s">
        <v>253</v>
      </c>
      <c r="E358" s="133" t="str">
        <f>_xlfn.XLOOKUP(E325,CurrentPlans!B:B,CurrentPlans!AO:AO,"NA",0,1)</f>
        <v>NA</v>
      </c>
      <c r="F358" s="122"/>
      <c r="G358" s="122"/>
      <c r="H358" s="122"/>
      <c r="I358" s="133"/>
      <c r="J358" s="123"/>
      <c r="K358"/>
      <c r="L358" s="136" t="str">
        <f ca="1">_xlfn.XLOOKUP(L325,RenewalPlans!B:B,RenewalPlans!AR:AR,"NA",0,1)</f>
        <v>NA</v>
      </c>
      <c r="M358" s="122"/>
      <c r="N358" s="122"/>
      <c r="O358" s="122"/>
      <c r="P358" s="133"/>
      <c r="Q358" s="122"/>
      <c r="R358" s="123"/>
      <c r="T358" s="136" t="str">
        <f>_xlfn.XLOOKUP(T325,RenewalPlans!B:B,RenewalPlans!AR:AR,"NA",0,1)</f>
        <v>NA</v>
      </c>
      <c r="U358" s="122"/>
      <c r="V358" s="122"/>
      <c r="W358" s="122"/>
      <c r="X358" s="133"/>
      <c r="Y358" s="122"/>
      <c r="Z358" s="123"/>
    </row>
    <row r="359" spans="1:26" ht="18" customHeight="1" hidden="1">
      <c r="A359" s="140"/>
      <c r="B359" s="140"/>
      <c r="D359" s="223" t="s">
        <v>254</v>
      </c>
      <c r="E359" s="205"/>
      <c r="F359" s="205"/>
      <c r="G359" s="205"/>
      <c r="H359" s="205"/>
      <c r="I359" s="205"/>
      <c r="J359" s="206"/>
      <c r="K359"/>
      <c r="L359" s="203"/>
      <c r="M359" s="205"/>
      <c r="N359" s="205"/>
      <c r="O359" s="205"/>
      <c r="P359" s="205"/>
      <c r="Q359" s="205"/>
      <c r="R359" s="206"/>
      <c r="T359" s="203"/>
      <c r="U359" s="205"/>
      <c r="V359" s="205"/>
      <c r="W359" s="205"/>
      <c r="X359" s="205"/>
      <c r="Y359" s="205"/>
      <c r="Z359" s="206"/>
    </row>
    <row r="360" spans="1:26" ht="18" customHeight="1" hidden="1">
      <c r="A360" s="140"/>
      <c r="B360" s="140"/>
      <c r="D360" s="198" t="s">
        <v>255</v>
      </c>
      <c r="E360" s="130" t="str">
        <f>_xlfn.XLOOKUP(E325,CurrentPlans!B:B,CurrentPlans!AR:AR,"NA",0,1)</f>
        <v>NA</v>
      </c>
      <c r="F360" s="200"/>
      <c r="G360" s="200"/>
      <c r="H360" s="200"/>
      <c r="I360" s="130"/>
      <c r="J360" s="201"/>
      <c r="K360"/>
      <c r="L360" s="131" t="str">
        <f ca="1">_xlfn.XLOOKUP(L325,RenewalPlans!B:B,RenewalPlans!AU:AU,"NA",0,1)</f>
        <v>NA</v>
      </c>
      <c r="M360" s="200"/>
      <c r="N360" s="200"/>
      <c r="O360" s="200"/>
      <c r="P360" s="130"/>
      <c r="Q360" s="200"/>
      <c r="R360" s="201"/>
      <c r="T360" s="131" t="str">
        <f>_xlfn.XLOOKUP(T325,RenewalPlans!B:B,RenewalPlans!AU:AU,"NA",0,1)</f>
        <v>NA</v>
      </c>
      <c r="U360" s="200"/>
      <c r="V360" s="200"/>
      <c r="W360" s="200"/>
      <c r="X360" s="130"/>
      <c r="Y360" s="200"/>
      <c r="Z360" s="201"/>
    </row>
    <row r="361" spans="1:26" ht="18" customHeight="1" hidden="1" thickBot="1">
      <c r="A361" s="140"/>
      <c r="B361" s="140"/>
      <c r="D361" s="224" t="s">
        <v>256</v>
      </c>
      <c r="E361" s="137" t="str">
        <f>_xlfn.XLOOKUP(E325,CurrentPlans!B:B,CurrentPlans!AS:AS,"NA",0,1)</f>
        <v>NA</v>
      </c>
      <c r="F361" s="225"/>
      <c r="G361" s="225"/>
      <c r="H361" s="225"/>
      <c r="I361" s="137"/>
      <c r="J361" s="226"/>
      <c r="K361"/>
      <c r="L361" s="138" t="str">
        <f ca="1">_xlfn.XLOOKUP(L325,RenewalPlans!B:B,RenewalPlans!AV:AV,"NA",0,1)</f>
        <v>NA</v>
      </c>
      <c r="M361" s="225"/>
      <c r="N361" s="225"/>
      <c r="O361" s="225"/>
      <c r="P361" s="137"/>
      <c r="Q361" s="225"/>
      <c r="R361" s="226"/>
      <c r="T361" s="138" t="str">
        <f>_xlfn.XLOOKUP(T325,RenewalPlans!B:B,RenewalPlans!AV:AV,"NA",0,1)</f>
        <v>NA</v>
      </c>
      <c r="U361" s="225"/>
      <c r="V361" s="225"/>
      <c r="W361" s="225"/>
      <c r="X361" s="137"/>
      <c r="Y361" s="225"/>
      <c r="Z361" s="226"/>
    </row>
    <row r="362" spans="1:26" ht="18" customHeight="1">
      <c r="A362" s="140"/>
      <c r="B362" s="140"/>
      <c r="D362" s="227"/>
      <c r="E362" s="176"/>
      <c r="F362" s="178"/>
      <c r="G362" s="179"/>
      <c r="H362" s="178"/>
      <c r="I362" s="176"/>
      <c r="J362" s="228"/>
      <c r="K362"/>
      <c r="L362" s="178"/>
      <c r="M362" s="176"/>
      <c r="N362" s="139"/>
      <c r="O362" s="178"/>
      <c r="P362" s="178"/>
      <c r="Q362" s="178"/>
      <c r="R362" s="228"/>
      <c r="T362" s="178"/>
      <c r="U362" s="176"/>
      <c r="V362" s="139"/>
      <c r="W362" s="178"/>
      <c r="X362" s="178"/>
      <c r="Y362" s="178"/>
      <c r="Z362" s="228"/>
    </row>
    <row r="363" spans="1:26" ht="5.25" customHeight="1" thickBot="1">
      <c r="A363" s="140"/>
      <c r="B363" s="140"/>
      <c r="D363" s="229"/>
      <c r="E363" s="229"/>
      <c r="F363" s="230"/>
      <c r="G363" s="231"/>
      <c r="H363" s="232"/>
      <c r="I363" s="233"/>
      <c r="J363" s="233"/>
      <c r="K363"/>
      <c r="L363" s="233"/>
      <c r="M363" s="233"/>
      <c r="N363" s="233"/>
      <c r="O363" s="233"/>
      <c r="P363" s="233"/>
      <c r="Q363" s="233"/>
      <c r="R363" s="233"/>
      <c r="T363" s="233"/>
      <c r="U363" s="233"/>
      <c r="V363" s="233"/>
      <c r="W363" s="233"/>
      <c r="X363" s="233"/>
      <c r="Y363" s="233"/>
      <c r="Z363" s="233"/>
    </row>
    <row r="364" spans="1:26" ht="50.15" customHeight="1">
      <c r="A364" s="140">
        <v>8</v>
      </c>
      <c r="B364" s="140" t="str">
        <f>IF(A364&gt;Class5_CurrentHealthCount,"DELETE",Class5_CurrentHealthStart+A364)</f>
        <v>DELETE</v>
      </c>
      <c r="C364" s="164" t="s">
        <v>281</v>
      </c>
      <c r="D364" s="273" t="str">
        <f>IF(B364="Delete","",VLOOKUP(F364,BEGIN_CURRENT_HEALTH:END_CURRENT_HEALTH,3,FALSE))</f>
        <v/>
      </c>
      <c r="E364" s="165"/>
      <c r="F364" s="272" t="str" cm="1">
        <f t="array" ca="1" aca="1" ref="F364">IF(B364="Delete","",INDIRECT("CurrentPlans!A"&amp;B364,TRUE))</f>
        <v/>
      </c>
      <c r="G364" s="166"/>
      <c r="H364" s="167"/>
      <c r="I364" s="168"/>
      <c r="J364" s="169"/>
      <c r="K364"/>
      <c r="L364" s="274" t="str">
        <f ca="1">_xlfn.IFNA(VLOOKUP(F364,BEGIN_RENEWEDFROM_HEALTH:ROW_RenewHealth_PlanID,3,FALSE),"SELECT PLAN")</f>
        <v>SELECT PLAN</v>
      </c>
      <c r="M364" s="170"/>
      <c r="N364" s="274" t="s">
        <v>237</v>
      </c>
      <c r="O364" s="171"/>
      <c r="P364" s="171"/>
      <c r="Q364" s="171"/>
      <c r="R364" s="169"/>
      <c r="T364" s="274" t="s">
        <v>38</v>
      </c>
      <c r="U364" s="170"/>
      <c r="V364" s="274" t="s">
        <v>237</v>
      </c>
      <c r="W364" s="171"/>
      <c r="X364" s="171"/>
      <c r="Y364" s="171"/>
      <c r="Z364" s="169"/>
    </row>
    <row r="365" spans="1:26" ht="18.75" customHeight="1">
      <c r="A365" s="140"/>
      <c r="B365" s="140"/>
      <c r="D365" s="172" t="s">
        <v>238</v>
      </c>
      <c r="E365" s="407" t="str">
        <f ca="1">_xlfn.IFNA(VLOOKUP(F364,BEGIN_CURRENT_HEALTH:END_CURRENT_HEALTH,CURRENT_COL_EO_count,FALSE),"")</f>
        <v/>
      </c>
      <c r="F365" s="408" t="str">
        <f ca="1">_xlfn.IFNA(VLOOKUP(F364,BEGIN_CURRENT_HEALTH:END_CURRENT_HEALTH,CURRENT_COL_EO,FALSE),"")</f>
        <v/>
      </c>
      <c r="G365" s="468" t="str">
        <f ca="1" t="shared" si="35" ref="G365:G368">IF(F365="","",H365/F365)</f>
        <v/>
      </c>
      <c r="H365" s="408" t="str">
        <f ca="1">_xlfn.IFNA(VLOOKUP(F364,BEGIN_CURRENT_HEALTH:END_CURRENT_HEALTH,CURRENT_COL_EOContrib,FALSE),"")</f>
        <v/>
      </c>
      <c r="I365" s="409" t="str">
        <f ca="1">IFERROR(F365-H365,"")</f>
        <v/>
      </c>
      <c r="J365" s="410" t="str">
        <f ca="1">IF(F365="","",H365*E365)</f>
        <v/>
      </c>
      <c r="K365" s="411"/>
      <c r="L365" s="408" t="str" cm="1">
        <f t="array" ca="1" aca="1" ref="L365">_xlfn.IFNA(VLOOKUP(INDIRECT("L"&amp;ROW()-1)&amp;"_"&amp;$D$12,BEGIN_RENEW_HEALTH:END_RENEW_HEALTH,RENEW_COL_EO,FALSE),"")</f>
        <v/>
      </c>
      <c r="M365" s="412" t="str">
        <f ca="1">IF(E365="","",E365)</f>
        <v/>
      </c>
      <c r="N365" s="413"/>
      <c r="O365" s="414"/>
      <c r="P365" s="415" t="str">
        <f>IFERROR(IF($N364="Keep Contribution Same",H365,IF($N364="Enter Percentages",IF(N365="","",N365*L365),IF($N364="Keep Percentage Same",IF(G365="","",G365*L365),IF($N364="Enter Dollar Amount",IF(O365="","",O365),"")))),"")</f>
        <v/>
      </c>
      <c r="Q365" s="408" t="str">
        <f ca="1">IFERROR(L365-P365,"")</f>
        <v/>
      </c>
      <c r="R365" s="410" t="str">
        <f>IFERROR(IF(P365="","",M365*P365),"")</f>
        <v/>
      </c>
      <c r="S365" s="411"/>
      <c r="T365" s="408" t="str" cm="1">
        <f t="array" ca="1" aca="1" ref="T365">_xlfn.IFNA(VLOOKUP(INDIRECT("T"&amp;ROW()-1)&amp;"_"&amp;$D$12,BEGIN_RENEW_HEALTH:END_RENEW_HEALTH,RENEW_COL_EO,FALSE),"")</f>
        <v/>
      </c>
      <c r="U365" s="412" t="str">
        <f ca="1">IF(E365="","",E365)</f>
        <v/>
      </c>
      <c r="V365" s="413"/>
      <c r="W365" s="414"/>
      <c r="X365" s="415" t="str">
        <f>IFERROR(IF($V364="Keep Contribution Same",H365,IF($V364="Enter Percentages",IF(V365="","",V365*T365),IF($V364="Keep Percentage Same",IF(G365="","",G365*T365),IF($V364="Enter Dollar Amount",IF(W365="","",W365),"")))),"")</f>
        <v/>
      </c>
      <c r="Y365" s="408" t="str">
        <f ca="1">IFERROR(T365-X365,"")</f>
        <v/>
      </c>
      <c r="Z365" s="410" t="str">
        <f>IFERROR(IF(X365="","",U365*X365),"")</f>
        <v/>
      </c>
    </row>
    <row r="366" spans="1:26" ht="18.75" customHeight="1">
      <c r="A366" s="140"/>
      <c r="B366" s="140"/>
      <c r="D366" s="172" t="s">
        <v>239</v>
      </c>
      <c r="E366" s="407" t="str">
        <f ca="1">_xlfn.IFNA(VLOOKUP(F364,BEGIN_CURRENT_HEALTH:END_CURRENT_HEALTH,CURRENT_COL_ES_count,FALSE),"")</f>
        <v/>
      </c>
      <c r="F366" s="408" t="str">
        <f ca="1">_xlfn.IFNA(VLOOKUP(F364,BEGIN_CURRENT_HEALTH:END_CURRENT_HEALTH,CURRENT_COL_ES,FALSE),"")</f>
        <v/>
      </c>
      <c r="G366" s="468" t="str">
        <f t="shared" ca="1" si="35"/>
        <v/>
      </c>
      <c r="H366" s="408" t="str">
        <f ca="1">_xlfn.IFNA(VLOOKUP(F364,BEGIN_CURRENT_HEALTH:END_CURRENT_HEALTH,CURRENT_COL_ESContrib,FALSE),"")</f>
        <v/>
      </c>
      <c r="I366" s="409" t="str">
        <f ca="1" t="shared" si="36" ref="I366:I368">IFERROR(F366-H366,"")</f>
        <v/>
      </c>
      <c r="J366" s="410" t="str">
        <f ca="1">IF(F366="","",H366*E366)</f>
        <v/>
      </c>
      <c r="K366" s="411"/>
      <c r="L366" s="408" t="str" cm="1">
        <f t="array" ca="1" aca="1" ref="L366">_xlfn.IFNA(VLOOKUP(INDIRECT("L"&amp;ROW()-2)&amp;"_"&amp;$D$12,BEGIN_RENEW_HEALTH:END_RENEW_HEALTH,RENEW_COL_ES,FALSE),"")</f>
        <v/>
      </c>
      <c r="M366" s="412" t="str">
        <f ca="1">IF(E366="","",E366)</f>
        <v/>
      </c>
      <c r="N366" s="413"/>
      <c r="O366" s="414"/>
      <c r="P366" s="415" t="str">
        <f>IFERROR(IF($N364="Keep Contribution Same",H366,IF($N364="Enter Percentages",IF(N366="","",N366*L366),IF($N364="Keep Percentage Same",IF(G366="","",G366*L366),IF($N364="Enter Dollar Amount",IF(O366="","",O366),"")))),"")</f>
        <v/>
      </c>
      <c r="Q366" s="408" t="str">
        <f ca="1">IFERROR(L366-P366,"")</f>
        <v/>
      </c>
      <c r="R366" s="410" t="str">
        <f>IFERROR(IF(P366="","",M366*P366),"")</f>
        <v/>
      </c>
      <c r="S366" s="411"/>
      <c r="T366" s="408" t="str" cm="1">
        <f t="array" ca="1" aca="1" ref="T366">_xlfn.IFNA(VLOOKUP(INDIRECT("T"&amp;ROW()-2)&amp;"_"&amp;$D$12,BEGIN_RENEW_HEALTH:END_RENEW_HEALTH,RENEW_COL_ES,FALSE),"")</f>
        <v/>
      </c>
      <c r="U366" s="412" t="str">
        <f ca="1" t="shared" si="37" ref="U366:U368">IF(E366="","",E366)</f>
        <v/>
      </c>
      <c r="V366" s="413"/>
      <c r="W366" s="414"/>
      <c r="X366" s="415" t="str">
        <f>IFERROR(IF($V364="Keep Contribution Same",H366,IF($V364="Enter Percentages",IF(V366="","",V366*T366),IF($V364="Keep Percentage Same",IF(G366="","",G366*T366),IF($V364="Enter Dollar Amount",IF(W366="","",W366),"")))),"")</f>
        <v/>
      </c>
      <c r="Y366" s="408" t="str">
        <f ca="1" t="shared" si="38" ref="Y366:Y368">IFERROR(T366-X366,"")</f>
        <v/>
      </c>
      <c r="Z366" s="410" t="str">
        <f t="shared" si="39" ref="Z366:Z368">IFERROR(IF(X366="","",U366*X366),"")</f>
        <v/>
      </c>
    </row>
    <row r="367" spans="1:26" ht="18.75" customHeight="1">
      <c r="A367" s="140"/>
      <c r="B367" s="140"/>
      <c r="D367" s="172" t="s">
        <v>240</v>
      </c>
      <c r="E367" s="407" t="str">
        <f ca="1">_xlfn.IFNA(VLOOKUP(F364,BEGIN_CURRENT_HEALTH:END_CURRENT_HEALTH,CURRENT_COL_EC_count,FALSE),"")</f>
        <v/>
      </c>
      <c r="F367" s="408" t="str">
        <f ca="1">_xlfn.IFNA(VLOOKUP(F364,BEGIN_CURRENT_HEALTH:END_CURRENT_HEALTH,CURRENT_COL_EC,FALSE),"")</f>
        <v/>
      </c>
      <c r="G367" s="468" t="str">
        <f t="shared" ca="1" si="35"/>
        <v/>
      </c>
      <c r="H367" s="408" t="str">
        <f ca="1">_xlfn.IFNA(VLOOKUP(F364,BEGIN_CURRENT_HEALTH:END_CURRENT_HEALTH,CURRENT_COL_ECContrib,FALSE),"")</f>
        <v/>
      </c>
      <c r="I367" s="409" t="str">
        <f t="shared" ca="1" si="36"/>
        <v/>
      </c>
      <c r="J367" s="410" t="str">
        <f ca="1">IF(F367="","",H367*E367)</f>
        <v/>
      </c>
      <c r="K367" s="411"/>
      <c r="L367" s="408" t="str" cm="1">
        <f t="array" ca="1" aca="1" ref="L367">_xlfn.IFNA(VLOOKUP(INDIRECT("L"&amp;ROW()-3)&amp;"_"&amp;$D$12,BEGIN_RENEW_HEALTH:END_RENEW_HEALTH,RENEW_COL_EC,FALSE),"")</f>
        <v/>
      </c>
      <c r="M367" s="412" t="str">
        <f ca="1">IF(E367="","",E367)</f>
        <v/>
      </c>
      <c r="N367" s="413"/>
      <c r="O367" s="414"/>
      <c r="P367" s="415" t="str">
        <f>IFERROR(IF($N364="Keep Contribution Same",H367,IF($N364="Enter Percentages",IF(N367="","",N367*L367),IF($N364="Keep Percentage Same",IF(G367="","",G367*L367),IF($N364="Enter Dollar Amount",IF(O367="","",O367),"")))),"")</f>
        <v/>
      </c>
      <c r="Q367" s="408" t="str">
        <f ca="1">IFERROR(L367-P367,"")</f>
        <v/>
      </c>
      <c r="R367" s="410" t="str">
        <f>IFERROR(IF(P367="","",M367*P367),"")</f>
        <v/>
      </c>
      <c r="S367" s="411"/>
      <c r="T367" s="408" t="str" cm="1">
        <f t="array" ca="1" aca="1" ref="T367">_xlfn.IFNA(VLOOKUP(INDIRECT("T"&amp;ROW()-3)&amp;"_"&amp;$D$12,BEGIN_RENEW_HEALTH:END_RENEW_HEALTH,RENEW_COL_EC,FALSE),"")</f>
        <v/>
      </c>
      <c r="U367" s="412" t="str">
        <f t="shared" ca="1" si="37"/>
        <v/>
      </c>
      <c r="V367" s="413"/>
      <c r="W367" s="414"/>
      <c r="X367" s="415" t="str">
        <f>IFERROR(IF($V364="Keep Contribution Same",H367,IF($V364="Enter Percentages",IF(V367="","",V367*T367),IF($V364="Keep Percentage Same",IF(G367="","",G367*T367),IF($V364="Enter Dollar Amount",IF(W367="","",W367),"")))),"")</f>
        <v/>
      </c>
      <c r="Y367" s="408" t="str">
        <f t="shared" ca="1" si="38"/>
        <v/>
      </c>
      <c r="Z367" s="410" t="str">
        <f t="shared" si="39"/>
        <v/>
      </c>
    </row>
    <row r="368" spans="1:26" ht="18.75" customHeight="1" thickBot="1">
      <c r="A368" s="140"/>
      <c r="B368" s="140"/>
      <c r="D368" s="174" t="s">
        <v>241</v>
      </c>
      <c r="E368" s="416" t="str">
        <f ca="1">_xlfn.IFNA(VLOOKUP(F364,BEGIN_CURRENT_HEALTH:END_CURRENT_HEALTH,CURRENT_COL_FAM_count,FALSE),"")</f>
        <v/>
      </c>
      <c r="F368" s="417" t="str">
        <f ca="1">_xlfn.IFNA(VLOOKUP(F364,BEGIN_CURRENT_HEALTH:END_CURRENT_HEALTH,CURRENT_COL_FAM,FALSE),"")</f>
        <v/>
      </c>
      <c r="G368" s="469" t="str">
        <f t="shared" ca="1" si="35"/>
        <v/>
      </c>
      <c r="H368" s="417" t="str">
        <f ca="1">_xlfn.IFNA(VLOOKUP(F364,BEGIN_CURRENT_HEALTH:END_CURRENT_HEALTH,CURRENT_COL_FAMContrib,FALSE),"")</f>
        <v/>
      </c>
      <c r="I368" s="418" t="str">
        <f t="shared" ca="1" si="36"/>
        <v/>
      </c>
      <c r="J368" s="419" t="str">
        <f ca="1">IF(F368="","",H368*E368)</f>
        <v/>
      </c>
      <c r="K368" s="411"/>
      <c r="L368" s="417" t="str" cm="1">
        <f t="array" ca="1" aca="1" ref="L368">_xlfn.IFNA(VLOOKUP(INDIRECT("L"&amp;ROW()-4)&amp;"_"&amp;$D$12,BEGIN_RENEW_HEALTH:END_RENEW_HEALTH,RENEW_COL_FAM,FALSE),"")</f>
        <v/>
      </c>
      <c r="M368" s="423" t="str">
        <f ca="1">IF(E368="","",E368)</f>
        <v/>
      </c>
      <c r="N368" s="420"/>
      <c r="O368" s="421"/>
      <c r="P368" s="422" t="str">
        <f>IFERROR(IF($N364="Keep Contribution Same",H368,IF($N364="Enter Percentages",IF(N368="","",N368*L368),IF($N364="Keep Percentage Same",IF(G368="","",G368*L368),IF($N364="Enter Dollar Amount",IF(O368="","",O368),"")))),"")</f>
        <v/>
      </c>
      <c r="Q368" s="417" t="str">
        <f ca="1">IFERROR(L368-P368,"")</f>
        <v/>
      </c>
      <c r="R368" s="419" t="str">
        <f>IFERROR(IF(P368="","",M368*P368),"")</f>
        <v/>
      </c>
      <c r="S368" s="411"/>
      <c r="T368" s="417" t="str" cm="1">
        <f t="array" ca="1" aca="1" ref="T368">_xlfn.IFNA(VLOOKUP(INDIRECT("T"&amp;ROW()-4)&amp;"_"&amp;$D$12,BEGIN_RENEW_HEALTH:END_RENEW_HEALTH,RENEW_COL_FAM,FALSE),"")</f>
        <v/>
      </c>
      <c r="U368" s="423" t="str">
        <f t="shared" ca="1" si="37"/>
        <v/>
      </c>
      <c r="V368" s="420"/>
      <c r="W368" s="421"/>
      <c r="X368" s="422" t="str">
        <f>IFERROR(IF($V364="Keep Contribution Same",H368,IF($V364="Enter Percentages",IF(V368="","",V368*T368),IF($V364="Keep Percentage Same",IF(G368="","",G368*T368),IF($V364="Enter Dollar Amount",IF(W368="","",W368),"")))),"")</f>
        <v/>
      </c>
      <c r="Y368" s="417" t="str">
        <f t="shared" ca="1" si="38"/>
        <v/>
      </c>
      <c r="Z368" s="419" t="str">
        <f t="shared" si="39"/>
        <v/>
      </c>
    </row>
    <row r="369" spans="1:26" ht="18.75" customHeight="1" thickTop="1">
      <c r="A369" s="140"/>
      <c r="B369" s="140"/>
      <c r="D369" s="175" t="s">
        <v>242</v>
      </c>
      <c r="E369" s="424"/>
      <c r="F369" s="447" t="str">
        <f ca="1">IFERROR((F365*E365)+(F366*E366)+(F367*E367)+(F368*E368),"")</f>
        <v/>
      </c>
      <c r="G369" s="426"/>
      <c r="H369" s="427"/>
      <c r="I369" s="428"/>
      <c r="J369" s="429" t="str">
        <f ca="1">IFERROR(IF(J365="","",SUM(J365:J368)),0)</f>
        <v/>
      </c>
      <c r="K369" s="1"/>
      <c r="L369" s="430" t="str">
        <f ca="1">IFERROR((M365*L365)+(M366*L366)+(M367*L367)+(M368*L368),"")</f>
        <v/>
      </c>
      <c r="M369" s="427"/>
      <c r="N369" s="426"/>
      <c r="O369" s="427"/>
      <c r="P369" s="431"/>
      <c r="Q369" s="432"/>
      <c r="R369" s="429" t="str">
        <f>IFERROR(IF(R365="","",SUM(R365:R368)),0)</f>
        <v/>
      </c>
      <c r="T369" s="430" t="str">
        <f ca="1">IFERROR((U365*T365)+(U366*T366)+(U367*T367)+(U368*T368),"")</f>
        <v/>
      </c>
      <c r="U369" s="427"/>
      <c r="V369" s="426"/>
      <c r="W369" s="427"/>
      <c r="X369" s="431"/>
      <c r="Y369" s="432"/>
      <c r="Z369" s="429" t="str">
        <f>IFERROR(IF(Z365="","",SUM(Z365:Z368)),0)</f>
        <v/>
      </c>
    </row>
    <row r="370" spans="1:26" ht="18.75" customHeight="1">
      <c r="A370" s="140"/>
      <c r="B370" s="140"/>
      <c r="D370" s="177" t="s">
        <v>243</v>
      </c>
      <c r="E370" s="433"/>
      <c r="F370" s="448" t="str">
        <f ca="1">IFERROR(F369*12,"")</f>
        <v/>
      </c>
      <c r="G370" s="435"/>
      <c r="H370" s="436"/>
      <c r="I370" s="432"/>
      <c r="J370" s="437" t="str">
        <f ca="1">IF(J369="","",J369*12)</f>
        <v/>
      </c>
      <c r="K370" s="1"/>
      <c r="L370" s="438" t="str">
        <f ca="1">IFERROR(L369*12,"")</f>
        <v/>
      </c>
      <c r="M370" s="436"/>
      <c r="N370" s="435"/>
      <c r="O370" s="436"/>
      <c r="P370" s="432"/>
      <c r="Q370" s="432"/>
      <c r="R370" s="437" t="str">
        <f>IF(R369="","",R369*12)</f>
        <v/>
      </c>
      <c r="T370" s="438" t="str">
        <f ca="1">IFERROR(T369*12,"")</f>
        <v/>
      </c>
      <c r="U370" s="436"/>
      <c r="V370" s="435"/>
      <c r="W370" s="436"/>
      <c r="X370" s="432"/>
      <c r="Y370" s="432"/>
      <c r="Z370" s="437" t="str">
        <f>IF(Z369="","",Z369*12)</f>
        <v/>
      </c>
    </row>
    <row r="371" spans="1:26" ht="18" customHeight="1">
      <c r="A371" s="140"/>
      <c r="B371" s="140"/>
      <c r="D371" s="177" t="s">
        <v>244</v>
      </c>
      <c r="E371" s="433"/>
      <c r="F371" s="436"/>
      <c r="G371" s="435"/>
      <c r="H371" s="436"/>
      <c r="I371" s="432"/>
      <c r="J371" s="437"/>
      <c r="K371" s="1"/>
      <c r="L371" s="434" t="str">
        <f ca="1">IFERROR(L370-F370,"")</f>
        <v/>
      </c>
      <c r="M371" s="436"/>
      <c r="N371" s="435"/>
      <c r="O371" s="436"/>
      <c r="P371" s="432"/>
      <c r="Q371" s="432"/>
      <c r="R371" s="437" t="str">
        <f ca="1">IFERROR(IF(J370="","",R370-J370),0)</f>
        <v/>
      </c>
      <c r="T371" s="434" t="str">
        <f ca="1">IFERROR(T370-F370,"")</f>
        <v/>
      </c>
      <c r="U371" s="436"/>
      <c r="V371" s="435"/>
      <c r="W371" s="436"/>
      <c r="X371" s="432"/>
      <c r="Y371" s="432"/>
      <c r="Z371" s="437" t="str">
        <f>IFERROR(IF(R370="","",Z370-R370),0)</f>
        <v/>
      </c>
    </row>
    <row r="372" spans="1:26" ht="18" customHeight="1" thickBot="1">
      <c r="A372" s="140"/>
      <c r="B372" s="140"/>
      <c r="D372" s="180" t="s">
        <v>245</v>
      </c>
      <c r="E372" s="439"/>
      <c r="F372" s="440"/>
      <c r="G372" s="441"/>
      <c r="H372" s="440"/>
      <c r="I372" s="442"/>
      <c r="J372" s="443"/>
      <c r="K372" s="1"/>
      <c r="L372" s="444" t="str">
        <f ca="1">IFERROR(L370/F370-1,"")</f>
        <v/>
      </c>
      <c r="M372" s="440"/>
      <c r="N372" s="441"/>
      <c r="O372" s="440"/>
      <c r="P372" s="445"/>
      <c r="Q372" s="445"/>
      <c r="R372" s="446" t="str">
        <f ca="1">IFERROR(IF(J370="","",(R370/J370)-1),0)</f>
        <v/>
      </c>
      <c r="T372" s="444" t="str">
        <f ca="1">IFERROR(T370/F370-1,"")</f>
        <v/>
      </c>
      <c r="U372" s="440"/>
      <c r="V372" s="441"/>
      <c r="W372" s="440"/>
      <c r="X372" s="445"/>
      <c r="Y372" s="445"/>
      <c r="Z372" s="446" t="str">
        <f>IFERROR(IF(R370="","",(Z370/R370)-1),0)</f>
        <v/>
      </c>
    </row>
    <row r="373" spans="1:26" ht="18" customHeight="1">
      <c r="A373" s="140"/>
      <c r="B373" s="140"/>
      <c r="D373" s="181" t="s">
        <v>246</v>
      </c>
      <c r="E373" s="182"/>
      <c r="F373" s="182"/>
      <c r="G373" s="182"/>
      <c r="H373" s="182"/>
      <c r="I373" s="182"/>
      <c r="J373" s="183"/>
      <c r="K373"/>
      <c r="L373" s="184"/>
      <c r="M373" s="182"/>
      <c r="N373" s="182"/>
      <c r="O373" s="182"/>
      <c r="P373" s="182"/>
      <c r="Q373" s="182"/>
      <c r="R373" s="183"/>
      <c r="T373" s="184"/>
      <c r="U373" s="182"/>
      <c r="V373" s="182"/>
      <c r="W373" s="182"/>
      <c r="X373" s="182"/>
      <c r="Y373" s="182"/>
      <c r="Z373" s="183"/>
    </row>
    <row r="374" spans="1:26" ht="18" customHeight="1" hidden="1">
      <c r="A374" s="140"/>
      <c r="B374" s="140"/>
      <c r="D374" s="185" t="s">
        <v>247</v>
      </c>
      <c r="E374" s="186"/>
      <c r="F374" s="186"/>
      <c r="G374" s="186"/>
      <c r="H374" s="186"/>
      <c r="I374" s="186"/>
      <c r="J374" s="187"/>
      <c r="K374"/>
      <c r="L374" s="188"/>
      <c r="M374" s="186"/>
      <c r="N374" s="186"/>
      <c r="O374" s="186"/>
      <c r="P374" s="186"/>
      <c r="Q374" s="186"/>
      <c r="R374" s="187"/>
      <c r="T374" s="188"/>
      <c r="U374" s="186"/>
      <c r="V374" s="186"/>
      <c r="W374" s="186"/>
      <c r="X374" s="186"/>
      <c r="Y374" s="186"/>
      <c r="Z374" s="187"/>
    </row>
    <row r="375" spans="1:26" ht="18" customHeight="1" hidden="1">
      <c r="A375" s="140"/>
      <c r="B375" s="140"/>
      <c r="D375" s="189" t="s">
        <v>248</v>
      </c>
      <c r="E375" s="190" t="str">
        <f>D364&amp;"_"&amp;D12</f>
        <v>_</v>
      </c>
      <c r="F375" s="191"/>
      <c r="G375" s="191"/>
      <c r="H375" s="191"/>
      <c r="I375" s="190"/>
      <c r="J375" s="192"/>
      <c r="K375"/>
      <c r="L375" s="193" t="str">
        <f ca="1">L364&amp;"_"&amp;D12</f>
        <v>SELECT PLAN_</v>
      </c>
      <c r="M375" s="191"/>
      <c r="N375" s="191"/>
      <c r="O375" s="191"/>
      <c r="P375" s="190"/>
      <c r="Q375" s="191"/>
      <c r="R375" s="192"/>
      <c r="T375" s="193" t="str">
        <f>T364&amp;"_"&amp;D12</f>
        <v>SELECT PLAN_</v>
      </c>
      <c r="U375" s="191"/>
      <c r="V375" s="191"/>
      <c r="W375" s="191"/>
      <c r="X375" s="190"/>
      <c r="Y375" s="191"/>
      <c r="Z375" s="192"/>
    </row>
    <row r="376" spans="1:26" ht="18" customHeight="1" hidden="1">
      <c r="A376" s="140"/>
      <c r="B376" s="140"/>
      <c r="D376" s="189" t="s">
        <v>249</v>
      </c>
      <c r="E376" s="191"/>
      <c r="F376" s="191"/>
      <c r="G376" s="191"/>
      <c r="H376" s="191"/>
      <c r="I376" s="191"/>
      <c r="J376" s="192"/>
      <c r="K376"/>
      <c r="L376" s="189"/>
      <c r="M376" s="191"/>
      <c r="N376" s="191"/>
      <c r="O376" s="191"/>
      <c r="P376" s="191"/>
      <c r="Q376" s="191"/>
      <c r="R376" s="192"/>
      <c r="T376" s="189"/>
      <c r="U376" s="191"/>
      <c r="V376" s="191"/>
      <c r="W376" s="191"/>
      <c r="X376" s="191"/>
      <c r="Y376" s="191"/>
      <c r="Z376" s="192"/>
    </row>
    <row r="377" spans="1:26" ht="18" customHeight="1" hidden="1">
      <c r="A377" s="140"/>
      <c r="B377" s="140"/>
      <c r="D377" s="194" t="s">
        <v>250</v>
      </c>
      <c r="E377" s="195"/>
      <c r="F377" s="195"/>
      <c r="G377" s="195"/>
      <c r="H377" s="195"/>
      <c r="I377" s="195"/>
      <c r="J377" s="196"/>
      <c r="K377"/>
      <c r="L377" s="197"/>
      <c r="M377" s="195"/>
      <c r="N377" s="195"/>
      <c r="O377" s="195"/>
      <c r="P377" s="195"/>
      <c r="Q377" s="195"/>
      <c r="R377" s="196"/>
      <c r="T377" s="197"/>
      <c r="U377" s="195"/>
      <c r="V377" s="195"/>
      <c r="W377" s="195"/>
      <c r="X377" s="195"/>
      <c r="Y377" s="195"/>
      <c r="Z377" s="196"/>
    </row>
    <row r="378" spans="1:26" ht="18" customHeight="1" hidden="1">
      <c r="A378" s="140"/>
      <c r="B378" s="140"/>
      <c r="D378" s="198" t="s">
        <v>251</v>
      </c>
      <c r="E378" s="199" t="str">
        <f>_xlfn.XLOOKUP(E375,CurrentPlans!B:B,CurrentPlans!X:X,"NA",0,1)</f>
        <v>NA</v>
      </c>
      <c r="F378" s="200"/>
      <c r="G378" s="200"/>
      <c r="H378" s="200"/>
      <c r="I378" s="199"/>
      <c r="J378" s="201"/>
      <c r="K378"/>
      <c r="L378" s="202" t="str">
        <f ca="1">_xlfn.XLOOKUP(L375,RenewalPlans!B:B,RenewalPlans!AA:AA,"NA",0,1)</f>
        <v>NA</v>
      </c>
      <c r="M378" s="200"/>
      <c r="N378" s="200"/>
      <c r="O378" s="200"/>
      <c r="P378" s="199"/>
      <c r="Q378" s="200"/>
      <c r="R378" s="201"/>
      <c r="T378" s="202" t="str">
        <f>_xlfn.XLOOKUP(T375,RenewalPlans!B:B,RenewalPlans!AA:AA,"NA",0,1)</f>
        <v>NA</v>
      </c>
      <c r="U378" s="200"/>
      <c r="V378" s="200"/>
      <c r="W378" s="200"/>
      <c r="X378" s="199"/>
      <c r="Y378" s="200"/>
      <c r="Z378" s="201"/>
    </row>
    <row r="379" spans="1:26" ht="18" customHeight="1" hidden="1">
      <c r="A379" s="140"/>
      <c r="B379" s="140"/>
      <c r="D379" s="198" t="s">
        <v>252</v>
      </c>
      <c r="E379" s="199" t="str">
        <f>_xlfn.XLOOKUP(E375,CurrentPlans!B:B,CurrentPlans!Y:Y,"NA",0,1)</f>
        <v>NA</v>
      </c>
      <c r="F379" s="200"/>
      <c r="G379" s="200"/>
      <c r="H379" s="200"/>
      <c r="I379" s="199"/>
      <c r="J379" s="201"/>
      <c r="K379"/>
      <c r="L379" s="202" t="str">
        <f ca="1">_xlfn.XLOOKUP(L375,RenewalPlans!B:B,RenewalPlans!AB:AB,"NA",0,1)</f>
        <v>NA</v>
      </c>
      <c r="M379" s="200"/>
      <c r="N379" s="200"/>
      <c r="O379" s="200"/>
      <c r="P379" s="199"/>
      <c r="Q379" s="200"/>
      <c r="R379" s="201"/>
      <c r="T379" s="202" t="str">
        <f>_xlfn.XLOOKUP(T375,RenewalPlans!B:B,RenewalPlans!AB:AB,"NA",0,1)</f>
        <v>NA</v>
      </c>
      <c r="U379" s="200"/>
      <c r="V379" s="200"/>
      <c r="W379" s="200"/>
      <c r="X379" s="199"/>
      <c r="Y379" s="200"/>
      <c r="Z379" s="201"/>
    </row>
    <row r="380" spans="1:26" ht="18" customHeight="1" hidden="1">
      <c r="A380" s="140"/>
      <c r="B380" s="140"/>
      <c r="D380" s="120" t="s">
        <v>253</v>
      </c>
      <c r="E380" s="121" t="str">
        <f>_xlfn.XLOOKUP(E375,CurrentPlans!B:B,CurrentPlans!W:W,"NA",0,1)</f>
        <v>NA</v>
      </c>
      <c r="F380" s="122"/>
      <c r="G380" s="122"/>
      <c r="H380" s="122"/>
      <c r="I380" s="121"/>
      <c r="J380" s="123"/>
      <c r="K380"/>
      <c r="L380" s="124" t="str">
        <f ca="1">_xlfn.XLOOKUP(L375,RenewalPlans!B:B,RenewalPlans!Z:Z,"NA",0,1)</f>
        <v>NA</v>
      </c>
      <c r="M380" s="122"/>
      <c r="N380" s="122"/>
      <c r="O380" s="122"/>
      <c r="P380" s="121"/>
      <c r="Q380" s="122"/>
      <c r="R380" s="123"/>
      <c r="T380" s="124" t="str">
        <f>_xlfn.XLOOKUP(T375,RenewalPlans!B:B,RenewalPlans!Z:Z,"NA",0,1)</f>
        <v>NA</v>
      </c>
      <c r="U380" s="122"/>
      <c r="V380" s="122"/>
      <c r="W380" s="122"/>
      <c r="X380" s="121"/>
      <c r="Y380" s="122"/>
      <c r="Z380" s="123"/>
    </row>
    <row r="381" spans="1:26" ht="18" customHeight="1" hidden="1">
      <c r="A381" s="140"/>
      <c r="B381" s="140"/>
      <c r="D381" s="203" t="s">
        <v>254</v>
      </c>
      <c r="E381" s="204"/>
      <c r="F381" s="205"/>
      <c r="G381" s="205"/>
      <c r="H381" s="205"/>
      <c r="I381" s="204"/>
      <c r="J381" s="206"/>
      <c r="K381"/>
      <c r="L381" s="207"/>
      <c r="M381" s="205"/>
      <c r="N381" s="205"/>
      <c r="O381" s="205"/>
      <c r="P381" s="204"/>
      <c r="Q381" s="205"/>
      <c r="R381" s="206"/>
      <c r="T381" s="207"/>
      <c r="U381" s="205"/>
      <c r="V381" s="205"/>
      <c r="W381" s="205"/>
      <c r="X381" s="204"/>
      <c r="Y381" s="205"/>
      <c r="Z381" s="206"/>
    </row>
    <row r="382" spans="1:26" ht="18" customHeight="1" hidden="1">
      <c r="A382" s="140"/>
      <c r="B382" s="140"/>
      <c r="D382" s="125" t="s">
        <v>255</v>
      </c>
      <c r="E382" s="126" t="str">
        <f>_xlfn.XLOOKUP(E375,CurrentPlans!B:B,CurrentPlans!Z:Z,"NA",0,1)</f>
        <v>NA</v>
      </c>
      <c r="F382" s="127"/>
      <c r="G382" s="127"/>
      <c r="H382" s="127"/>
      <c r="I382" s="126"/>
      <c r="J382" s="128"/>
      <c r="K382"/>
      <c r="L382" s="129" t="str">
        <f ca="1">_xlfn.XLOOKUP(L375,RenewalPlans!B:B,RenewalPlans!AC:AC,"NA",0,1)</f>
        <v>NA</v>
      </c>
      <c r="M382" s="127"/>
      <c r="N382" s="127"/>
      <c r="O382" s="127"/>
      <c r="P382" s="126"/>
      <c r="Q382" s="127"/>
      <c r="R382" s="128"/>
      <c r="T382" s="129" t="str">
        <f>_xlfn.XLOOKUP(T375,RenewalPlans!B:B,RenewalPlans!AC:AC,"NA",0,1)</f>
        <v>NA</v>
      </c>
      <c r="U382" s="127"/>
      <c r="V382" s="127"/>
      <c r="W382" s="127"/>
      <c r="X382" s="126"/>
      <c r="Y382" s="127"/>
      <c r="Z382" s="128"/>
    </row>
    <row r="383" spans="1:26" ht="18" customHeight="1" hidden="1">
      <c r="A383" s="140"/>
      <c r="B383" s="140"/>
      <c r="D383" s="198" t="s">
        <v>256</v>
      </c>
      <c r="E383" s="208" t="str">
        <f>_xlfn.XLOOKUP(E375,CurrentPlans!B:B,CurrentPlans!AA:AA,"NA",0,1)</f>
        <v>NA</v>
      </c>
      <c r="F383" s="200"/>
      <c r="G383" s="200"/>
      <c r="H383" s="200"/>
      <c r="I383" s="208"/>
      <c r="J383" s="201"/>
      <c r="K383"/>
      <c r="L383" s="209" t="str">
        <f ca="1">_xlfn.XLOOKUP(L375,RenewalPlans!B:B,RenewalPlans!AD:AD,"NA",0,1)</f>
        <v>NA</v>
      </c>
      <c r="M383" s="200"/>
      <c r="N383" s="200"/>
      <c r="O383" s="200"/>
      <c r="P383" s="208"/>
      <c r="Q383" s="200"/>
      <c r="R383" s="201"/>
      <c r="T383" s="209" t="str">
        <f>_xlfn.XLOOKUP(T375,RenewalPlans!B:B,RenewalPlans!AD:AD,"NA",0,1)</f>
        <v>NA</v>
      </c>
      <c r="U383" s="200"/>
      <c r="V383" s="200"/>
      <c r="W383" s="200"/>
      <c r="X383" s="208"/>
      <c r="Y383" s="200"/>
      <c r="Z383" s="201"/>
    </row>
    <row r="384" spans="1:26" ht="18" customHeight="1" hidden="1">
      <c r="A384" s="140"/>
      <c r="B384" s="140"/>
      <c r="D384" s="203" t="s">
        <v>257</v>
      </c>
      <c r="E384" s="204"/>
      <c r="F384" s="205"/>
      <c r="G384" s="205"/>
      <c r="H384" s="205"/>
      <c r="I384" s="204"/>
      <c r="J384" s="206"/>
      <c r="K384"/>
      <c r="L384" s="207"/>
      <c r="M384" s="205"/>
      <c r="N384" s="205"/>
      <c r="O384" s="205"/>
      <c r="P384" s="204"/>
      <c r="Q384" s="205"/>
      <c r="R384" s="206"/>
      <c r="T384" s="207"/>
      <c r="U384" s="205"/>
      <c r="V384" s="205"/>
      <c r="W384" s="205"/>
      <c r="X384" s="204"/>
      <c r="Y384" s="205"/>
      <c r="Z384" s="206"/>
    </row>
    <row r="385" spans="1:26" ht="18" customHeight="1" hidden="1">
      <c r="A385" s="140"/>
      <c r="B385" s="140"/>
      <c r="D385" s="198" t="s">
        <v>258</v>
      </c>
      <c r="E385" s="208" t="str">
        <f>_xlfn.XLOOKUP(E375,CurrentPlans!B:B,CurrentPlans!AB:AB,"NA",0,1)</f>
        <v>NA</v>
      </c>
      <c r="F385" s="200"/>
      <c r="G385" s="200"/>
      <c r="H385" s="200"/>
      <c r="I385" s="208"/>
      <c r="J385" s="201"/>
      <c r="K385"/>
      <c r="L385" s="209" t="str">
        <f ca="1">_xlfn.XLOOKUP(L375,RenewalPlans!B:B,RenewalPlans!AE:AE,"NA",0,1)</f>
        <v>NA</v>
      </c>
      <c r="M385" s="200"/>
      <c r="N385" s="200"/>
      <c r="O385" s="200"/>
      <c r="P385" s="208"/>
      <c r="Q385" s="200"/>
      <c r="R385" s="201"/>
      <c r="T385" s="209" t="str">
        <f>_xlfn.XLOOKUP(T375,RenewalPlans!B:B,RenewalPlans!AE:AE,"NA",0,1)</f>
        <v>NA</v>
      </c>
      <c r="U385" s="200"/>
      <c r="V385" s="200"/>
      <c r="W385" s="200"/>
      <c r="X385" s="208"/>
      <c r="Y385" s="200"/>
      <c r="Z385" s="201"/>
    </row>
    <row r="386" spans="1:26" ht="18" customHeight="1" hidden="1">
      <c r="A386" s="140"/>
      <c r="B386" s="140"/>
      <c r="D386" s="198" t="s">
        <v>259</v>
      </c>
      <c r="E386" s="208" t="str">
        <f>_xlfn.XLOOKUP(E375,CurrentPlans!B:B,CurrentPlans!AC:AC,"NA",0,1)</f>
        <v>NA</v>
      </c>
      <c r="F386" s="200"/>
      <c r="G386" s="200"/>
      <c r="H386" s="200"/>
      <c r="I386" s="208"/>
      <c r="J386" s="201"/>
      <c r="K386"/>
      <c r="L386" s="209" t="str">
        <f ca="1">_xlfn.XLOOKUP(L375,RenewalPlans!B:B,RenewalPlans!AF:AF,"NA",0,1)</f>
        <v>NA</v>
      </c>
      <c r="M386" s="200"/>
      <c r="N386" s="200"/>
      <c r="O386" s="200"/>
      <c r="P386" s="208"/>
      <c r="Q386" s="200"/>
      <c r="R386" s="201"/>
      <c r="T386" s="209" t="str">
        <f>_xlfn.XLOOKUP(T375,RenewalPlans!B:B,RenewalPlans!AF:AF,"NA",0,1)</f>
        <v>NA</v>
      </c>
      <c r="U386" s="200"/>
      <c r="V386" s="200"/>
      <c r="W386" s="200"/>
      <c r="X386" s="208"/>
      <c r="Y386" s="200"/>
      <c r="Z386" s="201"/>
    </row>
    <row r="387" spans="1:26" ht="18" customHeight="1" hidden="1">
      <c r="A387" s="140"/>
      <c r="B387" s="140"/>
      <c r="D387" s="210"/>
      <c r="E387" s="211"/>
      <c r="F387" s="211"/>
      <c r="G387" s="211"/>
      <c r="H387" s="211"/>
      <c r="I387" s="211"/>
      <c r="J387" s="212"/>
      <c r="K387"/>
      <c r="L387" s="210"/>
      <c r="M387" s="211"/>
      <c r="N387" s="211"/>
      <c r="O387" s="211"/>
      <c r="P387" s="211"/>
      <c r="Q387" s="211"/>
      <c r="R387" s="212"/>
      <c r="T387" s="210"/>
      <c r="U387" s="211"/>
      <c r="V387" s="211"/>
      <c r="W387" s="211"/>
      <c r="X387" s="211"/>
      <c r="Y387" s="211"/>
      <c r="Z387" s="212"/>
    </row>
    <row r="388" spans="1:26" ht="18" customHeight="1" hidden="1">
      <c r="A388" s="140"/>
      <c r="B388" s="140"/>
      <c r="D388" s="185" t="s">
        <v>260</v>
      </c>
      <c r="E388" s="186"/>
      <c r="F388" s="186"/>
      <c r="G388" s="186"/>
      <c r="H388" s="186"/>
      <c r="I388" s="186"/>
      <c r="J388" s="187"/>
      <c r="K388"/>
      <c r="L388" s="188"/>
      <c r="M388" s="186"/>
      <c r="N388" s="186"/>
      <c r="O388" s="186"/>
      <c r="P388" s="186"/>
      <c r="Q388" s="186"/>
      <c r="R388" s="187"/>
      <c r="T388" s="188"/>
      <c r="U388" s="186"/>
      <c r="V388" s="186"/>
      <c r="W388" s="186"/>
      <c r="X388" s="186"/>
      <c r="Y388" s="186"/>
      <c r="Z388" s="187"/>
    </row>
    <row r="389" spans="1:26" ht="18" customHeight="1" hidden="1">
      <c r="A389" s="140"/>
      <c r="B389" s="140"/>
      <c r="D389" s="213" t="s">
        <v>261</v>
      </c>
      <c r="E389" s="130" t="str">
        <f>_xlfn.XLOOKUP(E375,CurrentPlans!B:B,CurrentPlans!AJ:AJ,"NA",0,1)</f>
        <v>NA</v>
      </c>
      <c r="F389" s="214"/>
      <c r="G389" s="214"/>
      <c r="H389" s="214"/>
      <c r="I389" s="130"/>
      <c r="J389" s="215"/>
      <c r="K389"/>
      <c r="L389" s="131" t="str">
        <f ca="1">_xlfn.XLOOKUP(L375,RenewalPlans!B:B,RenewalPlans!AM:AM,"NA",0,1)</f>
        <v>NA</v>
      </c>
      <c r="M389" s="214"/>
      <c r="N389" s="214"/>
      <c r="O389" s="214"/>
      <c r="P389" s="130"/>
      <c r="Q389" s="214"/>
      <c r="R389" s="215"/>
      <c r="T389" s="131" t="str">
        <f>_xlfn.XLOOKUP(T375,RenewalPlans!B:B,RenewalPlans!AM:AM,"NA",0,1)</f>
        <v>NA</v>
      </c>
      <c r="U389" s="214"/>
      <c r="V389" s="214"/>
      <c r="W389" s="214"/>
      <c r="X389" s="130"/>
      <c r="Y389" s="214"/>
      <c r="Z389" s="215"/>
    </row>
    <row r="390" spans="1:26" ht="18" customHeight="1" hidden="1">
      <c r="A390" s="140"/>
      <c r="B390" s="140"/>
      <c r="D390" s="198" t="s">
        <v>262</v>
      </c>
      <c r="E390" s="130" t="str">
        <f>_xlfn.XLOOKUP(E375,CurrentPlans!B:B,CurrentPlans!AM:AM,"NA",0,1)</f>
        <v>NA</v>
      </c>
      <c r="F390" s="200"/>
      <c r="G390" s="200"/>
      <c r="H390" s="200"/>
      <c r="I390" s="130"/>
      <c r="J390" s="201"/>
      <c r="K390"/>
      <c r="L390" s="131" t="str">
        <f ca="1">_xlfn.XLOOKUP(L375,RenewalPlans!B:B,RenewalPlans!AP:AP,"NA",0,1)</f>
        <v>NA</v>
      </c>
      <c r="M390" s="200"/>
      <c r="N390" s="200"/>
      <c r="O390" s="200"/>
      <c r="P390" s="130"/>
      <c r="Q390" s="200"/>
      <c r="R390" s="201"/>
      <c r="T390" s="131" t="str">
        <f>_xlfn.XLOOKUP(T375,RenewalPlans!B:B,RenewalPlans!AP:AP,"NA",0,1)</f>
        <v>NA</v>
      </c>
      <c r="U390" s="200"/>
      <c r="V390" s="200"/>
      <c r="W390" s="200"/>
      <c r="X390" s="130"/>
      <c r="Y390" s="200"/>
      <c r="Z390" s="201"/>
    </row>
    <row r="391" spans="1:26" ht="18" customHeight="1" hidden="1">
      <c r="A391" s="140"/>
      <c r="B391" s="140"/>
      <c r="D391" s="198" t="s">
        <v>263</v>
      </c>
      <c r="E391" s="130" t="str">
        <f>_xlfn.XLOOKUP(E375,CurrentPlans!B:B,CurrentPlans!AI:AI,"NA",0,1)</f>
        <v>NA</v>
      </c>
      <c r="F391" s="200"/>
      <c r="G391" s="200"/>
      <c r="H391" s="200"/>
      <c r="I391" s="130"/>
      <c r="J391" s="201"/>
      <c r="K391"/>
      <c r="L391" s="131" t="str">
        <f ca="1">_xlfn.XLOOKUP(L375,RenewalPlans!B:B,RenewalPlans!AL:AL,"NA",0,1)</f>
        <v>NA</v>
      </c>
      <c r="M391" s="200"/>
      <c r="N391" s="200"/>
      <c r="O391" s="200"/>
      <c r="P391" s="130"/>
      <c r="Q391" s="200"/>
      <c r="R391" s="201"/>
      <c r="T391" s="131" t="str">
        <f>_xlfn.XLOOKUP(T375,RenewalPlans!B:B,RenewalPlans!AL:AL,"NA",0,1)</f>
        <v>NA</v>
      </c>
      <c r="U391" s="200"/>
      <c r="V391" s="200"/>
      <c r="W391" s="200"/>
      <c r="X391" s="130"/>
      <c r="Y391" s="200"/>
      <c r="Z391" s="201"/>
    </row>
    <row r="392" spans="1:26" ht="18" customHeight="1" hidden="1">
      <c r="A392" s="140"/>
      <c r="B392" s="140"/>
      <c r="D392" s="198" t="s">
        <v>264</v>
      </c>
      <c r="E392" s="208" t="str">
        <f>_xlfn.XLOOKUP(E375,CurrentPlans!B:B,CurrentPlans!AN:AN,"NA",0,1)</f>
        <v>NA</v>
      </c>
      <c r="F392" s="200"/>
      <c r="G392" s="200"/>
      <c r="H392" s="200"/>
      <c r="I392" s="208"/>
      <c r="J392" s="201"/>
      <c r="K392"/>
      <c r="L392" s="209" t="str">
        <f ca="1">_xlfn.XLOOKUP(L375,RenewalPlans!B:B,RenewalPlans!AQ:AQ,"NA",0,1)</f>
        <v>NA</v>
      </c>
      <c r="M392" s="200"/>
      <c r="N392" s="200"/>
      <c r="O392" s="200"/>
      <c r="P392" s="208"/>
      <c r="Q392" s="200"/>
      <c r="R392" s="201"/>
      <c r="T392" s="209" t="str">
        <f>_xlfn.XLOOKUP(T375,RenewalPlans!B:B,RenewalPlans!AQ:AQ,"NA",0,1)</f>
        <v>NA</v>
      </c>
      <c r="U392" s="200"/>
      <c r="V392" s="200"/>
      <c r="W392" s="200"/>
      <c r="X392" s="208"/>
      <c r="Y392" s="200"/>
      <c r="Z392" s="201"/>
    </row>
    <row r="393" spans="1:26" ht="18" customHeight="1" hidden="1">
      <c r="A393" s="140"/>
      <c r="B393" s="140"/>
      <c r="D393" s="210"/>
      <c r="E393" s="211"/>
      <c r="F393" s="211"/>
      <c r="G393" s="211"/>
      <c r="H393" s="211"/>
      <c r="I393" s="211"/>
      <c r="J393" s="212"/>
      <c r="K393"/>
      <c r="L393" s="210"/>
      <c r="M393" s="211"/>
      <c r="N393" s="211"/>
      <c r="O393" s="211"/>
      <c r="P393" s="211"/>
      <c r="Q393" s="211"/>
      <c r="R393" s="212"/>
      <c r="T393" s="210"/>
      <c r="U393" s="211"/>
      <c r="V393" s="211"/>
      <c r="W393" s="211"/>
      <c r="X393" s="211"/>
      <c r="Y393" s="211"/>
      <c r="Z393" s="212"/>
    </row>
    <row r="394" spans="1:26" ht="18" customHeight="1" hidden="1">
      <c r="A394" s="140"/>
      <c r="B394" s="140"/>
      <c r="D394" s="185" t="s">
        <v>265</v>
      </c>
      <c r="E394" s="186"/>
      <c r="F394" s="186"/>
      <c r="G394" s="186"/>
      <c r="H394" s="186"/>
      <c r="I394" s="186"/>
      <c r="J394" s="187"/>
      <c r="K394"/>
      <c r="L394" s="188"/>
      <c r="M394" s="186"/>
      <c r="N394" s="186"/>
      <c r="O394" s="186"/>
      <c r="P394" s="186"/>
      <c r="Q394" s="186"/>
      <c r="R394" s="187"/>
      <c r="T394" s="188"/>
      <c r="U394" s="186"/>
      <c r="V394" s="186"/>
      <c r="W394" s="186"/>
      <c r="X394" s="186"/>
      <c r="Y394" s="186"/>
      <c r="Z394" s="187"/>
    </row>
    <row r="395" spans="1:26" ht="18" customHeight="1" hidden="1">
      <c r="A395" s="140"/>
      <c r="B395" s="140"/>
      <c r="D395" s="132" t="s">
        <v>266</v>
      </c>
      <c r="E395" s="133" t="str">
        <f>_xlfn.XLOOKUP(E375,CurrentPlans!B:B,CurrentPlans!AE:AE,"NA",0,1)</f>
        <v>NA</v>
      </c>
      <c r="F395" s="134"/>
      <c r="G395" s="134"/>
      <c r="H395" s="134"/>
      <c r="I395" s="133"/>
      <c r="J395" s="135"/>
      <c r="K395"/>
      <c r="L395" s="136" t="str">
        <f ca="1">_xlfn.XLOOKUP(L375,RenewalPlans!B:B,RenewalPlans!AH:AH,"NA",0,1)</f>
        <v>NA</v>
      </c>
      <c r="M395" s="134"/>
      <c r="N395" s="134"/>
      <c r="O395" s="134"/>
      <c r="P395" s="133"/>
      <c r="Q395" s="134"/>
      <c r="R395" s="135"/>
      <c r="T395" s="136" t="str">
        <f>_xlfn.XLOOKUP(T375,RenewalPlans!B:B,RenewalPlans!AH:AH,"NA",0,1)</f>
        <v>NA</v>
      </c>
      <c r="U395" s="134"/>
      <c r="V395" s="134"/>
      <c r="W395" s="134"/>
      <c r="X395" s="133"/>
      <c r="Y395" s="134"/>
      <c r="Z395" s="135"/>
    </row>
    <row r="396" spans="1:26" ht="18" customHeight="1" hidden="1">
      <c r="A396" s="140"/>
      <c r="B396" s="140"/>
      <c r="D396" s="120" t="s">
        <v>267</v>
      </c>
      <c r="E396" s="130" t="str">
        <f>_xlfn.XLOOKUP(E375,CurrentPlans!B:B,CurrentPlans!AF:AF,"NA",0,1)</f>
        <v>NA</v>
      </c>
      <c r="F396" s="122"/>
      <c r="G396" s="122"/>
      <c r="H396" s="122"/>
      <c r="I396" s="130"/>
      <c r="J396" s="123"/>
      <c r="K396"/>
      <c r="L396" s="131" t="str">
        <f ca="1">_xlfn.XLOOKUP(L375,RenewalPlans!B:B,RenewalPlans!AI:AI,"NA",0,1)</f>
        <v>NA</v>
      </c>
      <c r="M396" s="122"/>
      <c r="N396" s="122"/>
      <c r="O396" s="122"/>
      <c r="P396" s="130"/>
      <c r="Q396" s="122"/>
      <c r="R396" s="123"/>
      <c r="T396" s="131" t="str">
        <f>_xlfn.XLOOKUP(T375,RenewalPlans!B:B,RenewalPlans!AI:AI,"NA",0,1)</f>
        <v>NA</v>
      </c>
      <c r="U396" s="122"/>
      <c r="V396" s="122"/>
      <c r="W396" s="122"/>
      <c r="X396" s="130"/>
      <c r="Y396" s="122"/>
      <c r="Z396" s="123"/>
    </row>
    <row r="397" spans="1:26" ht="18" customHeight="1" hidden="1">
      <c r="A397" s="140"/>
      <c r="B397" s="140"/>
      <c r="D397" s="198" t="s">
        <v>268</v>
      </c>
      <c r="E397" s="130" t="str">
        <f>_xlfn.XLOOKUP(E375,CurrentPlans!B:B,CurrentPlans!AH:AH,"NA",0,1)</f>
        <v>NA</v>
      </c>
      <c r="F397" s="200"/>
      <c r="G397" s="200"/>
      <c r="H397" s="200"/>
      <c r="I397" s="130"/>
      <c r="J397" s="201"/>
      <c r="K397"/>
      <c r="L397" s="131" t="str">
        <f ca="1">_xlfn.XLOOKUP(L375,RenewalPlans!B:B,RenewalPlans!AK:AK,"NA",0,1)</f>
        <v>NA</v>
      </c>
      <c r="M397" s="200"/>
      <c r="N397" s="200"/>
      <c r="O397" s="200"/>
      <c r="P397" s="130"/>
      <c r="Q397" s="200"/>
      <c r="R397" s="201"/>
      <c r="T397" s="131" t="str">
        <f>_xlfn.XLOOKUP(T375,RenewalPlans!B:B,RenewalPlans!AK:AK,"NA",0,1)</f>
        <v>NA</v>
      </c>
      <c r="U397" s="200"/>
      <c r="V397" s="200"/>
      <c r="W397" s="200"/>
      <c r="X397" s="130"/>
      <c r="Y397" s="200"/>
      <c r="Z397" s="201"/>
    </row>
    <row r="398" spans="1:26" ht="18" customHeight="1" hidden="1">
      <c r="A398" s="140"/>
      <c r="B398" s="140"/>
      <c r="D398" s="198" t="s">
        <v>269</v>
      </c>
      <c r="E398" s="130" t="str">
        <f>_xlfn.XLOOKUP(E375,CurrentPlans!B:B,CurrentPlans!AG:AG,"NA",0,1)</f>
        <v>NA</v>
      </c>
      <c r="F398" s="200"/>
      <c r="G398" s="200"/>
      <c r="H398" s="200"/>
      <c r="I398" s="130"/>
      <c r="J398" s="201"/>
      <c r="K398"/>
      <c r="L398" s="131" t="str">
        <f ca="1">_xlfn.XLOOKUP(L375,RenewalPlans!B:B,RenewalPlans!AJ:AJ,"NA",0,1)</f>
        <v>NA</v>
      </c>
      <c r="M398" s="200"/>
      <c r="N398" s="200"/>
      <c r="O398" s="200"/>
      <c r="P398" s="130"/>
      <c r="Q398" s="200"/>
      <c r="R398" s="201"/>
      <c r="T398" s="131" t="str">
        <f>_xlfn.XLOOKUP(T375,RenewalPlans!B:B,RenewalPlans!AJ:AJ,"NA",0,1)</f>
        <v>NA</v>
      </c>
      <c r="U398" s="200"/>
      <c r="V398" s="200"/>
      <c r="W398" s="200"/>
      <c r="X398" s="130"/>
      <c r="Y398" s="200"/>
      <c r="Z398" s="201"/>
    </row>
    <row r="399" spans="1:26" ht="18" customHeight="1" hidden="1">
      <c r="A399" s="140"/>
      <c r="B399" s="140"/>
      <c r="D399" s="213" t="s">
        <v>270</v>
      </c>
      <c r="E399" s="216" t="str">
        <f>_xlfn.XLOOKUP(E375,CurrentPlans!B:B,CurrentPlans!AU:AU,"NA",0,1)</f>
        <v>NA</v>
      </c>
      <c r="F399" s="214"/>
      <c r="G399" s="214"/>
      <c r="H399" s="214"/>
      <c r="I399" s="217"/>
      <c r="J399" s="215"/>
      <c r="K399"/>
      <c r="L399" s="218" t="str">
        <f ca="1">_xlfn.XLOOKUP(L375,RenewalPlans!B:B,RenewalPlans!AX:AX,"NA",0,1)</f>
        <v>NA</v>
      </c>
      <c r="M399" s="214"/>
      <c r="N399" s="214"/>
      <c r="O399" s="214"/>
      <c r="P399" s="217"/>
      <c r="Q399" s="214"/>
      <c r="R399" s="215"/>
      <c r="T399" s="218" t="str">
        <f>_xlfn.XLOOKUP(T375,RenewalPlans!B:B,RenewalPlans!AX:AX,"NA",0,1)</f>
        <v>NA</v>
      </c>
      <c r="U399" s="214"/>
      <c r="V399" s="214"/>
      <c r="W399" s="214"/>
      <c r="X399" s="217"/>
      <c r="Y399" s="214"/>
      <c r="Z399" s="215"/>
    </row>
    <row r="400" spans="1:26" ht="18" customHeight="1" hidden="1">
      <c r="A400" s="140"/>
      <c r="B400" s="140"/>
      <c r="D400" s="213" t="s">
        <v>271</v>
      </c>
      <c r="E400" s="216" t="str">
        <f>_xlfn.XLOOKUP(E375,CurrentPlans!B:B,CurrentPlans!AT:AT,"NA",0,1)</f>
        <v>NA</v>
      </c>
      <c r="F400" s="214"/>
      <c r="G400" s="214"/>
      <c r="H400" s="214"/>
      <c r="I400" s="217"/>
      <c r="J400" s="215"/>
      <c r="K400"/>
      <c r="L400" s="218" t="str">
        <f ca="1">_xlfn.XLOOKUP(L375,RenewalPlans!B:B,RenewalPlans!AW:AW,"NA",0,1)</f>
        <v>NA</v>
      </c>
      <c r="M400" s="214"/>
      <c r="N400" s="214"/>
      <c r="O400" s="214"/>
      <c r="P400" s="217"/>
      <c r="Q400" s="214"/>
      <c r="R400" s="215"/>
      <c r="T400" s="218" t="str">
        <f>_xlfn.XLOOKUP(T375,RenewalPlans!B:B,RenewalPlans!AW:AW,"NA",0,1)</f>
        <v>NA</v>
      </c>
      <c r="U400" s="214"/>
      <c r="V400" s="214"/>
      <c r="W400" s="214"/>
      <c r="X400" s="217"/>
      <c r="Y400" s="214"/>
      <c r="Z400" s="215"/>
    </row>
    <row r="401" spans="1:26" ht="18" customHeight="1" hidden="1">
      <c r="A401" s="140"/>
      <c r="B401" s="140"/>
      <c r="D401" s="198" t="s">
        <v>272</v>
      </c>
      <c r="E401" s="130" t="str">
        <f>_xlfn.XLOOKUP(E375,CurrentPlans!B:B,CurrentPlans!AD:AD,"NA",0,1)</f>
        <v>NA</v>
      </c>
      <c r="F401" s="200"/>
      <c r="G401" s="200"/>
      <c r="H401" s="200"/>
      <c r="I401" s="130"/>
      <c r="J401" s="201"/>
      <c r="K401"/>
      <c r="L401" s="131" t="str">
        <f ca="1">_xlfn.XLOOKUP(L375,RenewalPlans!B:B,RenewalPlans!AG:AG,"NA",0,1)</f>
        <v>NA</v>
      </c>
      <c r="M401" s="200"/>
      <c r="N401" s="200"/>
      <c r="O401" s="200"/>
      <c r="P401" s="130"/>
      <c r="Q401" s="200"/>
      <c r="R401" s="201"/>
      <c r="T401" s="131" t="str">
        <f>_xlfn.XLOOKUP(T375,RenewalPlans!B:B,RenewalPlans!AG:AG,"NA",0,1)</f>
        <v>NA</v>
      </c>
      <c r="U401" s="200"/>
      <c r="V401" s="200"/>
      <c r="W401" s="200"/>
      <c r="X401" s="130"/>
      <c r="Y401" s="200"/>
      <c r="Z401" s="201"/>
    </row>
    <row r="402" spans="1:26" ht="18" customHeight="1" hidden="1">
      <c r="A402" s="140"/>
      <c r="B402" s="140"/>
      <c r="D402" s="198" t="s">
        <v>273</v>
      </c>
      <c r="E402" s="200"/>
      <c r="F402" s="200"/>
      <c r="G402" s="200"/>
      <c r="H402" s="200"/>
      <c r="I402" s="200"/>
      <c r="J402" s="201"/>
      <c r="K402"/>
      <c r="L402" s="198"/>
      <c r="M402" s="200"/>
      <c r="N402" s="200"/>
      <c r="O402" s="200"/>
      <c r="P402" s="200"/>
      <c r="Q402" s="200"/>
      <c r="R402" s="201"/>
      <c r="T402" s="198"/>
      <c r="U402" s="200"/>
      <c r="V402" s="200"/>
      <c r="W402" s="200"/>
      <c r="X402" s="200"/>
      <c r="Y402" s="200"/>
      <c r="Z402" s="201"/>
    </row>
    <row r="403" spans="1:26" ht="18" customHeight="1" hidden="1">
      <c r="A403" s="140"/>
      <c r="B403" s="140"/>
      <c r="D403" s="210"/>
      <c r="E403" s="211"/>
      <c r="F403" s="211"/>
      <c r="G403" s="211"/>
      <c r="H403" s="211"/>
      <c r="I403" s="211"/>
      <c r="J403" s="212"/>
      <c r="K403"/>
      <c r="L403" s="210"/>
      <c r="M403" s="211"/>
      <c r="N403" s="211"/>
      <c r="O403" s="211"/>
      <c r="P403" s="211"/>
      <c r="Q403" s="211"/>
      <c r="R403" s="212"/>
      <c r="T403" s="210"/>
      <c r="U403" s="211"/>
      <c r="V403" s="211"/>
      <c r="W403" s="211"/>
      <c r="X403" s="211"/>
      <c r="Y403" s="211"/>
      <c r="Z403" s="212"/>
    </row>
    <row r="404" spans="1:26" ht="18" customHeight="1" hidden="1">
      <c r="A404" s="140"/>
      <c r="B404" s="140"/>
      <c r="D404" s="219" t="s">
        <v>274</v>
      </c>
      <c r="E404" s="220"/>
      <c r="F404" s="220"/>
      <c r="G404" s="220"/>
      <c r="H404" s="220"/>
      <c r="I404" s="220"/>
      <c r="J404" s="221"/>
      <c r="K404"/>
      <c r="L404" s="222"/>
      <c r="M404" s="220"/>
      <c r="N404" s="220"/>
      <c r="O404" s="220"/>
      <c r="P404" s="220"/>
      <c r="Q404" s="220"/>
      <c r="R404" s="221"/>
      <c r="T404" s="222"/>
      <c r="U404" s="220"/>
      <c r="V404" s="220"/>
      <c r="W404" s="220"/>
      <c r="X404" s="220"/>
      <c r="Y404" s="220"/>
      <c r="Z404" s="221"/>
    </row>
    <row r="405" spans="1:26" ht="18" customHeight="1" hidden="1">
      <c r="A405" s="140"/>
      <c r="B405" s="140"/>
      <c r="D405" s="223" t="s">
        <v>250</v>
      </c>
      <c r="E405" s="205"/>
      <c r="F405" s="205"/>
      <c r="G405" s="205"/>
      <c r="H405" s="205"/>
      <c r="I405" s="205"/>
      <c r="J405" s="206"/>
      <c r="K405"/>
      <c r="L405" s="203"/>
      <c r="M405" s="205"/>
      <c r="N405" s="205"/>
      <c r="O405" s="205"/>
      <c r="P405" s="205"/>
      <c r="Q405" s="205"/>
      <c r="R405" s="206"/>
      <c r="T405" s="203"/>
      <c r="U405" s="205"/>
      <c r="V405" s="205"/>
      <c r="W405" s="205"/>
      <c r="X405" s="205"/>
      <c r="Y405" s="205"/>
      <c r="Z405" s="206"/>
    </row>
    <row r="406" spans="1:26" ht="18" customHeight="1" hidden="1">
      <c r="A406" s="140"/>
      <c r="B406" s="140"/>
      <c r="D406" s="198" t="s">
        <v>251</v>
      </c>
      <c r="E406" s="130" t="str">
        <f>_xlfn.XLOOKUP(E375,CurrentPlans!B:B,CurrentPlans!AP:AP,"NA",0,1)</f>
        <v>NA</v>
      </c>
      <c r="F406" s="200"/>
      <c r="G406" s="200"/>
      <c r="H406" s="200"/>
      <c r="I406" s="130"/>
      <c r="J406" s="201"/>
      <c r="K406"/>
      <c r="L406" s="131" t="str">
        <f ca="1">_xlfn.XLOOKUP(L375,RenewalPlans!B:B,RenewalPlans!AS:AS,"NA",0,1)</f>
        <v>NA</v>
      </c>
      <c r="M406" s="200"/>
      <c r="N406" s="200"/>
      <c r="O406" s="200"/>
      <c r="P406" s="130"/>
      <c r="Q406" s="200"/>
      <c r="R406" s="201"/>
      <c r="T406" s="131" t="str">
        <f>_xlfn.XLOOKUP(T375,RenewalPlans!B:B,RenewalPlans!AS:AS,"NA",0,1)</f>
        <v>NA</v>
      </c>
      <c r="U406" s="200"/>
      <c r="V406" s="200"/>
      <c r="W406" s="200"/>
      <c r="X406" s="130"/>
      <c r="Y406" s="200"/>
      <c r="Z406" s="201"/>
    </row>
    <row r="407" spans="1:26" ht="18" customHeight="1" hidden="1">
      <c r="A407" s="140"/>
      <c r="B407" s="140"/>
      <c r="D407" s="198" t="s">
        <v>252</v>
      </c>
      <c r="E407" s="130" t="str">
        <f>_xlfn.XLOOKUP(E375,CurrentPlans!B:B,CurrentPlans!AQ:AQ,"NA",0,1)</f>
        <v>NA</v>
      </c>
      <c r="F407" s="200"/>
      <c r="G407" s="200"/>
      <c r="H407" s="200"/>
      <c r="I407" s="130"/>
      <c r="J407" s="201"/>
      <c r="K407"/>
      <c r="L407" s="131" t="str">
        <f ca="1">_xlfn.XLOOKUP(L375,RenewalPlans!B:B,RenewalPlans!AT:AT,"NA",0,1)</f>
        <v>NA</v>
      </c>
      <c r="M407" s="200"/>
      <c r="N407" s="200"/>
      <c r="O407" s="200"/>
      <c r="P407" s="130"/>
      <c r="Q407" s="200"/>
      <c r="R407" s="201"/>
      <c r="T407" s="131" t="str">
        <f>_xlfn.XLOOKUP(T375,RenewalPlans!B:B,RenewalPlans!AT:AT,"NA",0,1)</f>
        <v>NA</v>
      </c>
      <c r="U407" s="200"/>
      <c r="V407" s="200"/>
      <c r="W407" s="200"/>
      <c r="X407" s="130"/>
      <c r="Y407" s="200"/>
      <c r="Z407" s="201"/>
    </row>
    <row r="408" spans="1:26" ht="18" customHeight="1" hidden="1">
      <c r="A408" s="140"/>
      <c r="B408" s="140"/>
      <c r="D408" s="120" t="s">
        <v>253</v>
      </c>
      <c r="E408" s="133" t="str">
        <f>_xlfn.XLOOKUP(E375,CurrentPlans!B:B,CurrentPlans!AO:AO,"NA",0,1)</f>
        <v>NA</v>
      </c>
      <c r="F408" s="122"/>
      <c r="G408" s="122"/>
      <c r="H408" s="122"/>
      <c r="I408" s="133"/>
      <c r="J408" s="123"/>
      <c r="K408"/>
      <c r="L408" s="136" t="str">
        <f ca="1">_xlfn.XLOOKUP(L375,RenewalPlans!B:B,RenewalPlans!AR:AR,"NA",0,1)</f>
        <v>NA</v>
      </c>
      <c r="M408" s="122"/>
      <c r="N408" s="122"/>
      <c r="O408" s="122"/>
      <c r="P408" s="133"/>
      <c r="Q408" s="122"/>
      <c r="R408" s="123"/>
      <c r="T408" s="136" t="str">
        <f>_xlfn.XLOOKUP(T375,RenewalPlans!B:B,RenewalPlans!AR:AR,"NA",0,1)</f>
        <v>NA</v>
      </c>
      <c r="U408" s="122"/>
      <c r="V408" s="122"/>
      <c r="W408" s="122"/>
      <c r="X408" s="133"/>
      <c r="Y408" s="122"/>
      <c r="Z408" s="123"/>
    </row>
    <row r="409" spans="1:26" ht="18" customHeight="1" hidden="1">
      <c r="A409" s="140"/>
      <c r="B409" s="140"/>
      <c r="D409" s="223" t="s">
        <v>254</v>
      </c>
      <c r="E409" s="205"/>
      <c r="F409" s="205"/>
      <c r="G409" s="205"/>
      <c r="H409" s="205"/>
      <c r="I409" s="205"/>
      <c r="J409" s="206"/>
      <c r="K409"/>
      <c r="L409" s="203"/>
      <c r="M409" s="205"/>
      <c r="N409" s="205"/>
      <c r="O409" s="205"/>
      <c r="P409" s="205"/>
      <c r="Q409" s="205"/>
      <c r="R409" s="206"/>
      <c r="T409" s="203"/>
      <c r="U409" s="205"/>
      <c r="V409" s="205"/>
      <c r="W409" s="205"/>
      <c r="X409" s="205"/>
      <c r="Y409" s="205"/>
      <c r="Z409" s="206"/>
    </row>
    <row r="410" spans="1:26" ht="18" customHeight="1" hidden="1">
      <c r="A410" s="140"/>
      <c r="B410" s="140"/>
      <c r="D410" s="198" t="s">
        <v>255</v>
      </c>
      <c r="E410" s="130" t="str">
        <f>_xlfn.XLOOKUP(E375,CurrentPlans!B:B,CurrentPlans!AR:AR,"NA",0,1)</f>
        <v>NA</v>
      </c>
      <c r="F410" s="200"/>
      <c r="G410" s="200"/>
      <c r="H410" s="200"/>
      <c r="I410" s="130"/>
      <c r="J410" s="201"/>
      <c r="K410"/>
      <c r="L410" s="131" t="str">
        <f ca="1">_xlfn.XLOOKUP(L375,RenewalPlans!B:B,RenewalPlans!AU:AU,"NA",0,1)</f>
        <v>NA</v>
      </c>
      <c r="M410" s="200"/>
      <c r="N410" s="200"/>
      <c r="O410" s="200"/>
      <c r="P410" s="130"/>
      <c r="Q410" s="200"/>
      <c r="R410" s="201"/>
      <c r="T410" s="131" t="str">
        <f>_xlfn.XLOOKUP(T375,RenewalPlans!B:B,RenewalPlans!AU:AU,"NA",0,1)</f>
        <v>NA</v>
      </c>
      <c r="U410" s="200"/>
      <c r="V410" s="200"/>
      <c r="W410" s="200"/>
      <c r="X410" s="130"/>
      <c r="Y410" s="200"/>
      <c r="Z410" s="201"/>
    </row>
    <row r="411" spans="1:26" ht="18" customHeight="1" hidden="1" thickBot="1">
      <c r="A411" s="140"/>
      <c r="B411" s="140"/>
      <c r="D411" s="224" t="s">
        <v>256</v>
      </c>
      <c r="E411" s="137" t="str">
        <f>_xlfn.XLOOKUP(E375,CurrentPlans!B:B,CurrentPlans!AS:AS,"NA",0,1)</f>
        <v>NA</v>
      </c>
      <c r="F411" s="225"/>
      <c r="G411" s="225"/>
      <c r="H411" s="225"/>
      <c r="I411" s="137"/>
      <c r="J411" s="226"/>
      <c r="K411"/>
      <c r="L411" s="138" t="str">
        <f ca="1">_xlfn.XLOOKUP(L375,RenewalPlans!B:B,RenewalPlans!AV:AV,"NA",0,1)</f>
        <v>NA</v>
      </c>
      <c r="M411" s="225"/>
      <c r="N411" s="225"/>
      <c r="O411" s="225"/>
      <c r="P411" s="137"/>
      <c r="Q411" s="225"/>
      <c r="R411" s="226"/>
      <c r="T411" s="138" t="str">
        <f>_xlfn.XLOOKUP(T375,RenewalPlans!B:B,RenewalPlans!AV:AV,"NA",0,1)</f>
        <v>NA</v>
      </c>
      <c r="U411" s="225"/>
      <c r="V411" s="225"/>
      <c r="W411" s="225"/>
      <c r="X411" s="137"/>
      <c r="Y411" s="225"/>
      <c r="Z411" s="226"/>
    </row>
    <row r="412" spans="1:26" ht="18" customHeight="1">
      <c r="A412" s="140"/>
      <c r="B412" s="140"/>
      <c r="D412" s="227"/>
      <c r="E412" s="176"/>
      <c r="F412" s="178"/>
      <c r="G412" s="179"/>
      <c r="H412" s="178"/>
      <c r="I412" s="176"/>
      <c r="J412" s="228"/>
      <c r="K412"/>
      <c r="L412" s="178"/>
      <c r="M412" s="176"/>
      <c r="N412" s="139"/>
      <c r="O412" s="178"/>
      <c r="P412" s="178"/>
      <c r="Q412" s="178"/>
      <c r="R412" s="228"/>
      <c r="T412" s="178"/>
      <c r="U412" s="176"/>
      <c r="V412" s="139"/>
      <c r="W412" s="178"/>
      <c r="X412" s="178"/>
      <c r="Y412" s="178"/>
      <c r="Z412" s="228"/>
    </row>
    <row r="413" spans="1:26" ht="5.25" customHeight="1" thickBot="1">
      <c r="A413" s="140"/>
      <c r="B413" s="140"/>
      <c r="D413" s="229"/>
      <c r="E413" s="229"/>
      <c r="F413" s="230"/>
      <c r="G413" s="231"/>
      <c r="H413" s="232"/>
      <c r="I413" s="233"/>
      <c r="J413" s="233"/>
      <c r="K413"/>
      <c r="L413" s="233"/>
      <c r="M413" s="233"/>
      <c r="N413" s="233"/>
      <c r="O413" s="233"/>
      <c r="P413" s="233"/>
      <c r="Q413" s="233"/>
      <c r="R413" s="233"/>
      <c r="T413" s="233"/>
      <c r="U413" s="233"/>
      <c r="V413" s="233"/>
      <c r="W413" s="233"/>
      <c r="X413" s="233"/>
      <c r="Y413" s="233"/>
      <c r="Z413" s="233"/>
    </row>
    <row r="414" spans="1:26" ht="50.15" customHeight="1">
      <c r="A414" s="140">
        <v>9</v>
      </c>
      <c r="B414" s="140" t="str">
        <f>IF(A414&gt;Class5_CurrentHealthCount,"DELETE",Class5_CurrentHealthStart+A414)</f>
        <v>DELETE</v>
      </c>
      <c r="C414" s="164" t="s">
        <v>282</v>
      </c>
      <c r="D414" s="273" t="str">
        <f>IF(B414="Delete","",VLOOKUP(F414,BEGIN_CURRENT_HEALTH:END_CURRENT_HEALTH,3,FALSE))</f>
        <v/>
      </c>
      <c r="E414" s="165"/>
      <c r="F414" s="272" t="str" cm="1">
        <f t="array" ca="1" aca="1" ref="F414">IF(B414="Delete","",INDIRECT("CurrentPlans!A"&amp;B414,TRUE))</f>
        <v/>
      </c>
      <c r="G414" s="166"/>
      <c r="H414" s="167"/>
      <c r="I414" s="168"/>
      <c r="J414" s="169"/>
      <c r="K414"/>
      <c r="L414" s="274" t="str">
        <f ca="1">_xlfn.IFNA(VLOOKUP(F414,BEGIN_RENEWEDFROM_HEALTH:ROW_RenewHealth_PlanID,3,FALSE),"SELECT PLAN")</f>
        <v>SELECT PLAN</v>
      </c>
      <c r="M414" s="170"/>
      <c r="N414" s="274" t="s">
        <v>237</v>
      </c>
      <c r="O414" s="171"/>
      <c r="P414" s="171"/>
      <c r="Q414" s="171"/>
      <c r="R414" s="169"/>
      <c r="T414" s="274" t="s">
        <v>38</v>
      </c>
      <c r="U414" s="170"/>
      <c r="V414" s="274" t="s">
        <v>237</v>
      </c>
      <c r="W414" s="171"/>
      <c r="X414" s="171"/>
      <c r="Y414" s="171"/>
      <c r="Z414" s="169"/>
    </row>
    <row r="415" spans="1:26" ht="18.75" customHeight="1">
      <c r="A415" s="140"/>
      <c r="B415" s="140"/>
      <c r="D415" s="172" t="s">
        <v>238</v>
      </c>
      <c r="E415" s="407" t="str">
        <f ca="1">_xlfn.IFNA(VLOOKUP(F414,BEGIN_CURRENT_HEALTH:END_CURRENT_HEALTH,CURRENT_COL_EO_count,FALSE),"")</f>
        <v/>
      </c>
      <c r="F415" s="408" t="str">
        <f ca="1">_xlfn.IFNA(VLOOKUP(F414,BEGIN_CURRENT_HEALTH:END_CURRENT_HEALTH,CURRENT_COL_EO,FALSE),"")</f>
        <v/>
      </c>
      <c r="G415" s="468" t="str">
        <f ca="1" t="shared" si="40" ref="G415:G418">IF(F415="","",H415/F415)</f>
        <v/>
      </c>
      <c r="H415" s="408" t="str">
        <f ca="1">_xlfn.IFNA(VLOOKUP(F414,BEGIN_CURRENT_HEALTH:END_CURRENT_HEALTH,CURRENT_COL_EOContrib,FALSE),"")</f>
        <v/>
      </c>
      <c r="I415" s="409" t="str">
        <f ca="1">IFERROR(F415-H415,"")</f>
        <v/>
      </c>
      <c r="J415" s="410" t="str">
        <f ca="1">IF(F415="","",H415*E415)</f>
        <v/>
      </c>
      <c r="K415" s="411"/>
      <c r="L415" s="408" t="str" cm="1">
        <f t="array" ca="1" aca="1" ref="L415">_xlfn.IFNA(VLOOKUP(INDIRECT("L"&amp;ROW()-1)&amp;"_"&amp;$D$12,BEGIN_RENEW_HEALTH:END_RENEW_HEALTH,RENEW_COL_EO,FALSE),"")</f>
        <v/>
      </c>
      <c r="M415" s="412" t="str">
        <f ca="1">IF(E415="","",E415)</f>
        <v/>
      </c>
      <c r="N415" s="413"/>
      <c r="O415" s="414"/>
      <c r="P415" s="415" t="str">
        <f>IFERROR(IF($N414="Keep Contribution Same",H415,IF($N414="Enter Percentages",IF(N415="","",N415*L415),IF($N414="Keep Percentage Same",IF(G415="","",G415*L415),IF($N414="Enter Dollar Amount",IF(O415="","",O415),"")))),"")</f>
        <v/>
      </c>
      <c r="Q415" s="408" t="str">
        <f ca="1">IFERROR(L415-P415,"")</f>
        <v/>
      </c>
      <c r="R415" s="410" t="str">
        <f>IFERROR(IF(P415="","",M415*P415),"")</f>
        <v/>
      </c>
      <c r="S415" s="411"/>
      <c r="T415" s="408" t="str" cm="1">
        <f t="array" ca="1" aca="1" ref="T415">_xlfn.IFNA(VLOOKUP(INDIRECT("T"&amp;ROW()-1)&amp;"_"&amp;$D$12,BEGIN_RENEW_HEALTH:END_RENEW_HEALTH,RENEW_COL_EO,FALSE),"")</f>
        <v/>
      </c>
      <c r="U415" s="412" t="str">
        <f ca="1">IF(E415="","",E415)</f>
        <v/>
      </c>
      <c r="V415" s="413"/>
      <c r="W415" s="414"/>
      <c r="X415" s="415" t="str">
        <f>IFERROR(IF($V414="Keep Contribution Same",H415,IF($V414="Enter Percentages",IF(V415="","",V415*T415),IF($V414="Keep Percentage Same",IF(G415="","",G415*T415),IF($V414="Enter Dollar Amount",IF(W415="","",W415),"")))),"")</f>
        <v/>
      </c>
      <c r="Y415" s="408" t="str">
        <f ca="1">IFERROR(T415-X415,"")</f>
        <v/>
      </c>
      <c r="Z415" s="410" t="str">
        <f>IFERROR(IF(X415="","",U415*X415),"")</f>
        <v/>
      </c>
    </row>
    <row r="416" spans="1:26" ht="18.75" customHeight="1">
      <c r="A416" s="140"/>
      <c r="B416" s="140"/>
      <c r="D416" s="172" t="s">
        <v>239</v>
      </c>
      <c r="E416" s="407" t="str">
        <f ca="1">_xlfn.IFNA(VLOOKUP(F414,BEGIN_CURRENT_HEALTH:END_CURRENT_HEALTH,CURRENT_COL_ES_count,FALSE),"")</f>
        <v/>
      </c>
      <c r="F416" s="408" t="str">
        <f ca="1">_xlfn.IFNA(VLOOKUP(F414,BEGIN_CURRENT_HEALTH:END_CURRENT_HEALTH,CURRENT_COL_ES,FALSE),"")</f>
        <v/>
      </c>
      <c r="G416" s="468" t="str">
        <f t="shared" ca="1" si="40"/>
        <v/>
      </c>
      <c r="H416" s="408" t="str">
        <f ca="1">_xlfn.IFNA(VLOOKUP(F414,BEGIN_CURRENT_HEALTH:END_CURRENT_HEALTH,CURRENT_COL_ESContrib,FALSE),"")</f>
        <v/>
      </c>
      <c r="I416" s="409" t="str">
        <f ca="1" t="shared" si="41" ref="I416:I418">IFERROR(F416-H416,"")</f>
        <v/>
      </c>
      <c r="J416" s="410" t="str">
        <f ca="1">IF(F416="","",H416*E416)</f>
        <v/>
      </c>
      <c r="K416" s="411"/>
      <c r="L416" s="408" t="str" cm="1">
        <f t="array" ca="1" aca="1" ref="L416">_xlfn.IFNA(VLOOKUP(INDIRECT("L"&amp;ROW()-2)&amp;"_"&amp;$D$12,BEGIN_RENEW_HEALTH:END_RENEW_HEALTH,RENEW_COL_ES,FALSE),"")</f>
        <v/>
      </c>
      <c r="M416" s="412" t="str">
        <f ca="1">IF(E416="","",E416)</f>
        <v/>
      </c>
      <c r="N416" s="413"/>
      <c r="O416" s="414"/>
      <c r="P416" s="415" t="str">
        <f>IFERROR(IF($N414="Keep Contribution Same",H416,IF($N414="Enter Percentages",IF(N416="","",N416*L416),IF($N414="Keep Percentage Same",IF(G416="","",G416*L416),IF($N414="Enter Dollar Amount",IF(O416="","",O416),"")))),"")</f>
        <v/>
      </c>
      <c r="Q416" s="408" t="str">
        <f ca="1">IFERROR(L416-P416,"")</f>
        <v/>
      </c>
      <c r="R416" s="410" t="str">
        <f>IFERROR(IF(P416="","",M416*P416),"")</f>
        <v/>
      </c>
      <c r="S416" s="411"/>
      <c r="T416" s="408" t="str" cm="1">
        <f t="array" ca="1" aca="1" ref="T416">_xlfn.IFNA(VLOOKUP(INDIRECT("T"&amp;ROW()-2)&amp;"_"&amp;$D$12,BEGIN_RENEW_HEALTH:END_RENEW_HEALTH,RENEW_COL_ES,FALSE),"")</f>
        <v/>
      </c>
      <c r="U416" s="412" t="str">
        <f ca="1" t="shared" si="42" ref="U416:U418">IF(E416="","",E416)</f>
        <v/>
      </c>
      <c r="V416" s="413"/>
      <c r="W416" s="414"/>
      <c r="X416" s="415" t="str">
        <f>IFERROR(IF($V414="Keep Contribution Same",H416,IF($V414="Enter Percentages",IF(V416="","",V416*T416),IF($V414="Keep Percentage Same",IF(G416="","",G416*T416),IF($V414="Enter Dollar Amount",IF(W416="","",W416),"")))),"")</f>
        <v/>
      </c>
      <c r="Y416" s="408" t="str">
        <f ca="1" t="shared" si="43" ref="Y416:Y418">IFERROR(T416-X416,"")</f>
        <v/>
      </c>
      <c r="Z416" s="410" t="str">
        <f t="shared" si="44" ref="Z416:Z418">IFERROR(IF(X416="","",U416*X416),"")</f>
        <v/>
      </c>
    </row>
    <row r="417" spans="1:26" ht="18.75" customHeight="1">
      <c r="A417" s="140"/>
      <c r="B417" s="140"/>
      <c r="D417" s="172" t="s">
        <v>240</v>
      </c>
      <c r="E417" s="407" t="str">
        <f ca="1">_xlfn.IFNA(VLOOKUP(F414,BEGIN_CURRENT_HEALTH:END_CURRENT_HEALTH,CURRENT_COL_EC_count,FALSE),"")</f>
        <v/>
      </c>
      <c r="F417" s="408" t="str">
        <f ca="1">_xlfn.IFNA(VLOOKUP(F414,BEGIN_CURRENT_HEALTH:END_CURRENT_HEALTH,CURRENT_COL_EC,FALSE),"")</f>
        <v/>
      </c>
      <c r="G417" s="468" t="str">
        <f t="shared" ca="1" si="40"/>
        <v/>
      </c>
      <c r="H417" s="408" t="str">
        <f ca="1">_xlfn.IFNA(VLOOKUP(F414,BEGIN_CURRENT_HEALTH:END_CURRENT_HEALTH,CURRENT_COL_ECContrib,FALSE),"")</f>
        <v/>
      </c>
      <c r="I417" s="409" t="str">
        <f t="shared" ca="1" si="41"/>
        <v/>
      </c>
      <c r="J417" s="410" t="str">
        <f ca="1">IF(F417="","",H417*E417)</f>
        <v/>
      </c>
      <c r="K417" s="411"/>
      <c r="L417" s="408" t="str" cm="1">
        <f t="array" ca="1" aca="1" ref="L417">_xlfn.IFNA(VLOOKUP(INDIRECT("L"&amp;ROW()-3)&amp;"_"&amp;$D$12,BEGIN_RENEW_HEALTH:END_RENEW_HEALTH,RENEW_COL_EC,FALSE),"")</f>
        <v/>
      </c>
      <c r="M417" s="412" t="str">
        <f ca="1">IF(E417="","",E417)</f>
        <v/>
      </c>
      <c r="N417" s="413"/>
      <c r="O417" s="414"/>
      <c r="P417" s="415" t="str">
        <f>IFERROR(IF($N414="Keep Contribution Same",H417,IF($N414="Enter Percentages",IF(N417="","",N417*L417),IF($N414="Keep Percentage Same",IF(G417="","",G417*L417),IF($N414="Enter Dollar Amount",IF(O417="","",O417),"")))),"")</f>
        <v/>
      </c>
      <c r="Q417" s="408" t="str">
        <f ca="1">IFERROR(L417-P417,"")</f>
        <v/>
      </c>
      <c r="R417" s="410" t="str">
        <f>IFERROR(IF(P417="","",M417*P417),"")</f>
        <v/>
      </c>
      <c r="S417" s="411"/>
      <c r="T417" s="408" t="str" cm="1">
        <f t="array" ca="1" aca="1" ref="T417">_xlfn.IFNA(VLOOKUP(INDIRECT("T"&amp;ROW()-3)&amp;"_"&amp;$D$12,BEGIN_RENEW_HEALTH:END_RENEW_HEALTH,RENEW_COL_EC,FALSE),"")</f>
        <v/>
      </c>
      <c r="U417" s="412" t="str">
        <f t="shared" ca="1" si="42"/>
        <v/>
      </c>
      <c r="V417" s="413"/>
      <c r="W417" s="414"/>
      <c r="X417" s="415" t="str">
        <f>IFERROR(IF($V414="Keep Contribution Same",H417,IF($V414="Enter Percentages",IF(V417="","",V417*T417),IF($V414="Keep Percentage Same",IF(G417="","",G417*T417),IF($V414="Enter Dollar Amount",IF(W417="","",W417),"")))),"")</f>
        <v/>
      </c>
      <c r="Y417" s="408" t="str">
        <f t="shared" ca="1" si="43"/>
        <v/>
      </c>
      <c r="Z417" s="410" t="str">
        <f t="shared" si="44"/>
        <v/>
      </c>
    </row>
    <row r="418" spans="1:26" ht="18.75" customHeight="1" thickBot="1">
      <c r="A418" s="140"/>
      <c r="B418" s="140"/>
      <c r="D418" s="174" t="s">
        <v>241</v>
      </c>
      <c r="E418" s="416" t="str">
        <f ca="1">_xlfn.IFNA(VLOOKUP(F414,BEGIN_CURRENT_HEALTH:END_CURRENT_HEALTH,CURRENT_COL_FAM_count,FALSE),"")</f>
        <v/>
      </c>
      <c r="F418" s="417" t="str">
        <f ca="1">_xlfn.IFNA(VLOOKUP(F414,BEGIN_CURRENT_HEALTH:END_CURRENT_HEALTH,CURRENT_COL_FAM,FALSE),"")</f>
        <v/>
      </c>
      <c r="G418" s="469" t="str">
        <f t="shared" ca="1" si="40"/>
        <v/>
      </c>
      <c r="H418" s="417" t="str">
        <f ca="1">_xlfn.IFNA(VLOOKUP(F414,BEGIN_CURRENT_HEALTH:END_CURRENT_HEALTH,CURRENT_COL_FAMContrib,FALSE),"")</f>
        <v/>
      </c>
      <c r="I418" s="418" t="str">
        <f t="shared" ca="1" si="41"/>
        <v/>
      </c>
      <c r="J418" s="419" t="str">
        <f ca="1">IF(F418="","",H418*E418)</f>
        <v/>
      </c>
      <c r="K418" s="411"/>
      <c r="L418" s="417" t="str" cm="1">
        <f t="array" ca="1" aca="1" ref="L418">_xlfn.IFNA(VLOOKUP(INDIRECT("L"&amp;ROW()-4)&amp;"_"&amp;$D$12,BEGIN_RENEW_HEALTH:END_RENEW_HEALTH,RENEW_COL_FAM,FALSE),"")</f>
        <v/>
      </c>
      <c r="M418" s="423" t="str">
        <f ca="1">IF(E418="","",E418)</f>
        <v/>
      </c>
      <c r="N418" s="420"/>
      <c r="O418" s="421"/>
      <c r="P418" s="422" t="str">
        <f>IFERROR(IF($N414="Keep Contribution Same",H418,IF($N414="Enter Percentages",IF(N418="","",N418*L418),IF($N414="Keep Percentage Same",IF(G418="","",G418*L418),IF($N414="Enter Dollar Amount",IF(O418="","",O418),"")))),"")</f>
        <v/>
      </c>
      <c r="Q418" s="417" t="str">
        <f ca="1">IFERROR(L418-P418,"")</f>
        <v/>
      </c>
      <c r="R418" s="419" t="str">
        <f>IFERROR(IF(P418="","",M418*P418),"")</f>
        <v/>
      </c>
      <c r="S418" s="411"/>
      <c r="T418" s="417" t="str" cm="1">
        <f t="array" ca="1" aca="1" ref="T418">_xlfn.IFNA(VLOOKUP(INDIRECT("T"&amp;ROW()-4)&amp;"_"&amp;$D$12,BEGIN_RENEW_HEALTH:END_RENEW_HEALTH,RENEW_COL_FAM,FALSE),"")</f>
        <v/>
      </c>
      <c r="U418" s="423" t="str">
        <f t="shared" ca="1" si="42"/>
        <v/>
      </c>
      <c r="V418" s="420"/>
      <c r="W418" s="421"/>
      <c r="X418" s="422" t="str">
        <f>IFERROR(IF($V414="Keep Contribution Same",H418,IF($V414="Enter Percentages",IF(V418="","",V418*T418),IF($V414="Keep Percentage Same",IF(G418="","",G418*T418),IF($V414="Enter Dollar Amount",IF(W418="","",W418),"")))),"")</f>
        <v/>
      </c>
      <c r="Y418" s="417" t="str">
        <f t="shared" ca="1" si="43"/>
        <v/>
      </c>
      <c r="Z418" s="419" t="str">
        <f t="shared" si="44"/>
        <v/>
      </c>
    </row>
    <row r="419" spans="1:26" ht="18.75" customHeight="1" thickTop="1">
      <c r="A419" s="140"/>
      <c r="B419" s="140"/>
      <c r="D419" s="175" t="s">
        <v>242</v>
      </c>
      <c r="E419" s="424"/>
      <c r="F419" s="447" t="str">
        <f ca="1">IFERROR((F415*E415)+(F416*E416)+(F417*E417)+(F418*E418),"")</f>
        <v/>
      </c>
      <c r="G419" s="426"/>
      <c r="H419" s="427"/>
      <c r="I419" s="428"/>
      <c r="J419" s="429" t="str">
        <f ca="1">IFERROR(IF(J415="","",SUM(J415:J418)),0)</f>
        <v/>
      </c>
      <c r="K419" s="1"/>
      <c r="L419" s="430" t="str">
        <f ca="1">IFERROR((M415*L415)+(M416*L416)+(M417*L417)+(M418*L418),"")</f>
        <v/>
      </c>
      <c r="M419" s="427"/>
      <c r="N419" s="426"/>
      <c r="O419" s="427"/>
      <c r="P419" s="431"/>
      <c r="Q419" s="432"/>
      <c r="R419" s="429" t="str">
        <f>IFERROR(IF(R415="","",SUM(R415:R418)),0)</f>
        <v/>
      </c>
      <c r="T419" s="430" t="str">
        <f ca="1">IFERROR((U415*T415)+(U416*T416)+(U417*T417)+(U418*T418),"")</f>
        <v/>
      </c>
      <c r="U419" s="427"/>
      <c r="V419" s="426"/>
      <c r="W419" s="427"/>
      <c r="X419" s="431"/>
      <c r="Y419" s="432"/>
      <c r="Z419" s="429" t="str">
        <f>IFERROR(IF(Z415="","",SUM(Z415:Z418)),0)</f>
        <v/>
      </c>
    </row>
    <row r="420" spans="1:26" ht="18.75" customHeight="1">
      <c r="A420" s="140"/>
      <c r="B420" s="140"/>
      <c r="D420" s="177" t="s">
        <v>243</v>
      </c>
      <c r="E420" s="433"/>
      <c r="F420" s="448" t="str">
        <f ca="1">IFERROR(F419*12,"")</f>
        <v/>
      </c>
      <c r="G420" s="435"/>
      <c r="H420" s="436"/>
      <c r="I420" s="432"/>
      <c r="J420" s="437" t="str">
        <f ca="1">IF(J419="","",J419*12)</f>
        <v/>
      </c>
      <c r="K420" s="1"/>
      <c r="L420" s="438" t="str">
        <f ca="1">IFERROR(L419*12,"")</f>
        <v/>
      </c>
      <c r="M420" s="436"/>
      <c r="N420" s="435"/>
      <c r="O420" s="436"/>
      <c r="P420" s="432"/>
      <c r="Q420" s="432"/>
      <c r="R420" s="437" t="str">
        <f>IF(R419="","",R419*12)</f>
        <v/>
      </c>
      <c r="T420" s="438" t="str">
        <f ca="1">IFERROR(T419*12,"")</f>
        <v/>
      </c>
      <c r="U420" s="436"/>
      <c r="V420" s="435"/>
      <c r="W420" s="436"/>
      <c r="X420" s="432"/>
      <c r="Y420" s="432"/>
      <c r="Z420" s="437" t="str">
        <f>IF(Z419="","",Z419*12)</f>
        <v/>
      </c>
    </row>
    <row r="421" spans="1:26" ht="18" customHeight="1">
      <c r="A421" s="140"/>
      <c r="B421" s="140"/>
      <c r="D421" s="177" t="s">
        <v>244</v>
      </c>
      <c r="E421" s="433"/>
      <c r="F421" s="436"/>
      <c r="G421" s="435"/>
      <c r="H421" s="436"/>
      <c r="I421" s="432"/>
      <c r="J421" s="437"/>
      <c r="K421" s="1"/>
      <c r="L421" s="434" t="str">
        <f ca="1">IFERROR(L420-F420,"")</f>
        <v/>
      </c>
      <c r="M421" s="436"/>
      <c r="N421" s="435"/>
      <c r="O421" s="436"/>
      <c r="P421" s="432"/>
      <c r="Q421" s="432"/>
      <c r="R421" s="437" t="str">
        <f ca="1">IFERROR(IF(J420="","",R420-J420),0)</f>
        <v/>
      </c>
      <c r="T421" s="434" t="str">
        <f ca="1">IFERROR(T420-F420,"")</f>
        <v/>
      </c>
      <c r="U421" s="436"/>
      <c r="V421" s="435"/>
      <c r="W421" s="436"/>
      <c r="X421" s="432"/>
      <c r="Y421" s="432"/>
      <c r="Z421" s="437" t="str">
        <f>IFERROR(IF(R420="","",Z420-R420),0)</f>
        <v/>
      </c>
    </row>
    <row r="422" spans="1:26" ht="18" customHeight="1" thickBot="1">
      <c r="A422" s="140"/>
      <c r="B422" s="140"/>
      <c r="D422" s="180" t="s">
        <v>245</v>
      </c>
      <c r="E422" s="439"/>
      <c r="F422" s="440"/>
      <c r="G422" s="441"/>
      <c r="H422" s="440"/>
      <c r="I422" s="442"/>
      <c r="J422" s="443"/>
      <c r="K422" s="1"/>
      <c r="L422" s="444" t="str">
        <f ca="1">IFERROR(L420/F420-1,"")</f>
        <v/>
      </c>
      <c r="M422" s="440"/>
      <c r="N422" s="441"/>
      <c r="O422" s="440"/>
      <c r="P422" s="445"/>
      <c r="Q422" s="445"/>
      <c r="R422" s="446" t="str">
        <f ca="1">IFERROR(IF(J420="","",(R420/J420)-1),0)</f>
        <v/>
      </c>
      <c r="T422" s="444" t="str">
        <f ca="1">IFERROR(T420/F420-1,"")</f>
        <v/>
      </c>
      <c r="U422" s="440"/>
      <c r="V422" s="441"/>
      <c r="W422" s="440"/>
      <c r="X422" s="445"/>
      <c r="Y422" s="445"/>
      <c r="Z422" s="446" t="str">
        <f>IFERROR(IF(R420="","",(Z420/R420)-1),0)</f>
        <v/>
      </c>
    </row>
    <row r="423" spans="1:26" ht="18" customHeight="1">
      <c r="A423" s="140"/>
      <c r="B423" s="140"/>
      <c r="D423" s="181" t="s">
        <v>246</v>
      </c>
      <c r="E423" s="182"/>
      <c r="F423" s="182"/>
      <c r="G423" s="182"/>
      <c r="H423" s="182"/>
      <c r="I423" s="182"/>
      <c r="J423" s="183"/>
      <c r="K423"/>
      <c r="L423" s="184"/>
      <c r="M423" s="182"/>
      <c r="N423" s="182"/>
      <c r="O423" s="182"/>
      <c r="P423" s="182"/>
      <c r="Q423" s="182"/>
      <c r="R423" s="183"/>
      <c r="T423" s="184"/>
      <c r="U423" s="182"/>
      <c r="V423" s="182"/>
      <c r="W423" s="182"/>
      <c r="X423" s="182"/>
      <c r="Y423" s="182"/>
      <c r="Z423" s="183"/>
    </row>
    <row r="424" spans="1:26" ht="18" customHeight="1" hidden="1">
      <c r="A424" s="140"/>
      <c r="B424" s="140"/>
      <c r="D424" s="185" t="s">
        <v>247</v>
      </c>
      <c r="E424" s="186"/>
      <c r="F424" s="186"/>
      <c r="G424" s="186"/>
      <c r="H424" s="186"/>
      <c r="I424" s="186"/>
      <c r="J424" s="187"/>
      <c r="K424"/>
      <c r="L424" s="188"/>
      <c r="M424" s="186"/>
      <c r="N424" s="186"/>
      <c r="O424" s="186"/>
      <c r="P424" s="186"/>
      <c r="Q424" s="186"/>
      <c r="R424" s="187"/>
      <c r="T424" s="188"/>
      <c r="U424" s="186"/>
      <c r="V424" s="186"/>
      <c r="W424" s="186"/>
      <c r="X424" s="186"/>
      <c r="Y424" s="186"/>
      <c r="Z424" s="187"/>
    </row>
    <row r="425" spans="1:26" ht="18" customHeight="1" hidden="1">
      <c r="A425" s="140"/>
      <c r="B425" s="140"/>
      <c r="D425" s="189" t="s">
        <v>248</v>
      </c>
      <c r="E425" s="190" t="str">
        <f>D414&amp;"_"&amp;D12</f>
        <v>_</v>
      </c>
      <c r="F425" s="191"/>
      <c r="G425" s="191"/>
      <c r="H425" s="191"/>
      <c r="I425" s="190"/>
      <c r="J425" s="192"/>
      <c r="K425"/>
      <c r="L425" s="193" t="str">
        <f ca="1">L414&amp;"_"&amp;D12</f>
        <v>SELECT PLAN_</v>
      </c>
      <c r="M425" s="191"/>
      <c r="N425" s="191"/>
      <c r="O425" s="191"/>
      <c r="P425" s="190"/>
      <c r="Q425" s="191"/>
      <c r="R425" s="192"/>
      <c r="T425" s="193" t="str">
        <f>T414&amp;"_"&amp;D12</f>
        <v>SELECT PLAN_</v>
      </c>
      <c r="U425" s="191"/>
      <c r="V425" s="191"/>
      <c r="W425" s="191"/>
      <c r="X425" s="190"/>
      <c r="Y425" s="191"/>
      <c r="Z425" s="192"/>
    </row>
    <row r="426" spans="1:26" ht="18" customHeight="1" hidden="1">
      <c r="A426" s="140"/>
      <c r="B426" s="140"/>
      <c r="D426" s="189" t="s">
        <v>249</v>
      </c>
      <c r="E426" s="191"/>
      <c r="F426" s="191"/>
      <c r="G426" s="191"/>
      <c r="H426" s="191"/>
      <c r="I426" s="191"/>
      <c r="J426" s="192"/>
      <c r="K426"/>
      <c r="L426" s="189"/>
      <c r="M426" s="191"/>
      <c r="N426" s="191"/>
      <c r="O426" s="191"/>
      <c r="P426" s="191"/>
      <c r="Q426" s="191"/>
      <c r="R426" s="192"/>
      <c r="T426" s="189"/>
      <c r="U426" s="191"/>
      <c r="V426" s="191"/>
      <c r="W426" s="191"/>
      <c r="X426" s="191"/>
      <c r="Y426" s="191"/>
      <c r="Z426" s="192"/>
    </row>
    <row r="427" spans="1:26" ht="18" customHeight="1" hidden="1">
      <c r="A427" s="140"/>
      <c r="B427" s="140"/>
      <c r="D427" s="194" t="s">
        <v>250</v>
      </c>
      <c r="E427" s="195"/>
      <c r="F427" s="195"/>
      <c r="G427" s="195"/>
      <c r="H427" s="195"/>
      <c r="I427" s="195"/>
      <c r="J427" s="196"/>
      <c r="K427"/>
      <c r="L427" s="197"/>
      <c r="M427" s="195"/>
      <c r="N427" s="195"/>
      <c r="O427" s="195"/>
      <c r="P427" s="195"/>
      <c r="Q427" s="195"/>
      <c r="R427" s="196"/>
      <c r="T427" s="197"/>
      <c r="U427" s="195"/>
      <c r="V427" s="195"/>
      <c r="W427" s="195"/>
      <c r="X427" s="195"/>
      <c r="Y427" s="195"/>
      <c r="Z427" s="196"/>
    </row>
    <row r="428" spans="1:26" ht="18" customHeight="1" hidden="1">
      <c r="A428" s="140"/>
      <c r="B428" s="140"/>
      <c r="D428" s="198" t="s">
        <v>251</v>
      </c>
      <c r="E428" s="199" t="str">
        <f>_xlfn.XLOOKUP(E425,CurrentPlans!B:B,CurrentPlans!X:X,"NA",0,1)</f>
        <v>NA</v>
      </c>
      <c r="F428" s="200"/>
      <c r="G428" s="200"/>
      <c r="H428" s="200"/>
      <c r="I428" s="199"/>
      <c r="J428" s="201"/>
      <c r="K428"/>
      <c r="L428" s="202" t="str">
        <f ca="1">_xlfn.XLOOKUP(L425,RenewalPlans!B:B,RenewalPlans!AA:AA,"NA",0,1)</f>
        <v>NA</v>
      </c>
      <c r="M428" s="200"/>
      <c r="N428" s="200"/>
      <c r="O428" s="200"/>
      <c r="P428" s="199"/>
      <c r="Q428" s="200"/>
      <c r="R428" s="201"/>
      <c r="T428" s="202" t="str">
        <f>_xlfn.XLOOKUP(T425,RenewalPlans!B:B,RenewalPlans!AA:AA,"NA",0,1)</f>
        <v>NA</v>
      </c>
      <c r="U428" s="200"/>
      <c r="V428" s="200"/>
      <c r="W428" s="200"/>
      <c r="X428" s="199"/>
      <c r="Y428" s="200"/>
      <c r="Z428" s="201"/>
    </row>
    <row r="429" spans="1:26" ht="18" customHeight="1" hidden="1">
      <c r="A429" s="140"/>
      <c r="B429" s="140"/>
      <c r="D429" s="198" t="s">
        <v>252</v>
      </c>
      <c r="E429" s="199" t="str">
        <f>_xlfn.XLOOKUP(E425,CurrentPlans!B:B,CurrentPlans!Y:Y,"NA",0,1)</f>
        <v>NA</v>
      </c>
      <c r="F429" s="200"/>
      <c r="G429" s="200"/>
      <c r="H429" s="200"/>
      <c r="I429" s="199"/>
      <c r="J429" s="201"/>
      <c r="K429"/>
      <c r="L429" s="202" t="str">
        <f ca="1">_xlfn.XLOOKUP(L425,RenewalPlans!B:B,RenewalPlans!AB:AB,"NA",0,1)</f>
        <v>NA</v>
      </c>
      <c r="M429" s="200"/>
      <c r="N429" s="200"/>
      <c r="O429" s="200"/>
      <c r="P429" s="199"/>
      <c r="Q429" s="200"/>
      <c r="R429" s="201"/>
      <c r="T429" s="202" t="str">
        <f>_xlfn.XLOOKUP(T425,RenewalPlans!B:B,RenewalPlans!AB:AB,"NA",0,1)</f>
        <v>NA</v>
      </c>
      <c r="U429" s="200"/>
      <c r="V429" s="200"/>
      <c r="W429" s="200"/>
      <c r="X429" s="199"/>
      <c r="Y429" s="200"/>
      <c r="Z429" s="201"/>
    </row>
    <row r="430" spans="1:26" ht="18" customHeight="1" hidden="1">
      <c r="A430" s="140"/>
      <c r="B430" s="140"/>
      <c r="D430" s="120" t="s">
        <v>253</v>
      </c>
      <c r="E430" s="121" t="str">
        <f>_xlfn.XLOOKUP(E425,CurrentPlans!B:B,CurrentPlans!W:W,"NA",0,1)</f>
        <v>NA</v>
      </c>
      <c r="F430" s="122"/>
      <c r="G430" s="122"/>
      <c r="H430" s="122"/>
      <c r="I430" s="121"/>
      <c r="J430" s="123"/>
      <c r="K430"/>
      <c r="L430" s="124" t="str">
        <f ca="1">_xlfn.XLOOKUP(L425,RenewalPlans!B:B,RenewalPlans!Z:Z,"NA",0,1)</f>
        <v>NA</v>
      </c>
      <c r="M430" s="122"/>
      <c r="N430" s="122"/>
      <c r="O430" s="122"/>
      <c r="P430" s="121"/>
      <c r="Q430" s="122"/>
      <c r="R430" s="123"/>
      <c r="T430" s="124" t="str">
        <f>_xlfn.XLOOKUP(T425,RenewalPlans!B:B,RenewalPlans!Z:Z,"NA",0,1)</f>
        <v>NA</v>
      </c>
      <c r="U430" s="122"/>
      <c r="V430" s="122"/>
      <c r="W430" s="122"/>
      <c r="X430" s="121"/>
      <c r="Y430" s="122"/>
      <c r="Z430" s="123"/>
    </row>
    <row r="431" spans="1:26" ht="18" customHeight="1" hidden="1">
      <c r="A431" s="140"/>
      <c r="B431" s="140"/>
      <c r="D431" s="203" t="s">
        <v>254</v>
      </c>
      <c r="E431" s="204"/>
      <c r="F431" s="205"/>
      <c r="G431" s="205"/>
      <c r="H431" s="205"/>
      <c r="I431" s="204"/>
      <c r="J431" s="206"/>
      <c r="K431"/>
      <c r="L431" s="207"/>
      <c r="M431" s="205"/>
      <c r="N431" s="205"/>
      <c r="O431" s="205"/>
      <c r="P431" s="204"/>
      <c r="Q431" s="205"/>
      <c r="R431" s="206"/>
      <c r="T431" s="207"/>
      <c r="U431" s="205"/>
      <c r="V431" s="205"/>
      <c r="W431" s="205"/>
      <c r="X431" s="204"/>
      <c r="Y431" s="205"/>
      <c r="Z431" s="206"/>
    </row>
    <row r="432" spans="1:26" ht="18" customHeight="1" hidden="1">
      <c r="A432" s="140"/>
      <c r="B432" s="140"/>
      <c r="D432" s="125" t="s">
        <v>255</v>
      </c>
      <c r="E432" s="126" t="str">
        <f>_xlfn.XLOOKUP(E425,CurrentPlans!B:B,CurrentPlans!Z:Z,"NA",0,1)</f>
        <v>NA</v>
      </c>
      <c r="F432" s="127"/>
      <c r="G432" s="127"/>
      <c r="H432" s="127"/>
      <c r="I432" s="126"/>
      <c r="J432" s="128"/>
      <c r="K432"/>
      <c r="L432" s="129" t="str">
        <f ca="1">_xlfn.XLOOKUP(L425,RenewalPlans!B:B,RenewalPlans!AC:AC,"NA",0,1)</f>
        <v>NA</v>
      </c>
      <c r="M432" s="127"/>
      <c r="N432" s="127"/>
      <c r="O432" s="127"/>
      <c r="P432" s="126"/>
      <c r="Q432" s="127"/>
      <c r="R432" s="128"/>
      <c r="T432" s="129" t="str">
        <f>_xlfn.XLOOKUP(T425,RenewalPlans!B:B,RenewalPlans!AC:AC,"NA",0,1)</f>
        <v>NA</v>
      </c>
      <c r="U432" s="127"/>
      <c r="V432" s="127"/>
      <c r="W432" s="127"/>
      <c r="X432" s="126"/>
      <c r="Y432" s="127"/>
      <c r="Z432" s="128"/>
    </row>
    <row r="433" spans="1:26" ht="18" customHeight="1" hidden="1">
      <c r="A433" s="140"/>
      <c r="B433" s="140"/>
      <c r="D433" s="198" t="s">
        <v>256</v>
      </c>
      <c r="E433" s="208" t="str">
        <f>_xlfn.XLOOKUP(E425,CurrentPlans!B:B,CurrentPlans!AA:AA,"NA",0,1)</f>
        <v>NA</v>
      </c>
      <c r="F433" s="200"/>
      <c r="G433" s="200"/>
      <c r="H433" s="200"/>
      <c r="I433" s="208"/>
      <c r="J433" s="201"/>
      <c r="K433"/>
      <c r="L433" s="209" t="str">
        <f ca="1">_xlfn.XLOOKUP(L425,RenewalPlans!B:B,RenewalPlans!AD:AD,"NA",0,1)</f>
        <v>NA</v>
      </c>
      <c r="M433" s="200"/>
      <c r="N433" s="200"/>
      <c r="O433" s="200"/>
      <c r="P433" s="208"/>
      <c r="Q433" s="200"/>
      <c r="R433" s="201"/>
      <c r="T433" s="209" t="str">
        <f>_xlfn.XLOOKUP(T425,RenewalPlans!B:B,RenewalPlans!AD:AD,"NA",0,1)</f>
        <v>NA</v>
      </c>
      <c r="U433" s="200"/>
      <c r="V433" s="200"/>
      <c r="W433" s="200"/>
      <c r="X433" s="208"/>
      <c r="Y433" s="200"/>
      <c r="Z433" s="201"/>
    </row>
    <row r="434" spans="1:26" ht="18" customHeight="1" hidden="1">
      <c r="A434" s="140"/>
      <c r="B434" s="140"/>
      <c r="D434" s="203" t="s">
        <v>257</v>
      </c>
      <c r="E434" s="204"/>
      <c r="F434" s="205"/>
      <c r="G434" s="205"/>
      <c r="H434" s="205"/>
      <c r="I434" s="204"/>
      <c r="J434" s="206"/>
      <c r="K434"/>
      <c r="L434" s="207"/>
      <c r="M434" s="205"/>
      <c r="N434" s="205"/>
      <c r="O434" s="205"/>
      <c r="P434" s="204"/>
      <c r="Q434" s="205"/>
      <c r="R434" s="206"/>
      <c r="T434" s="207"/>
      <c r="U434" s="205"/>
      <c r="V434" s="205"/>
      <c r="W434" s="205"/>
      <c r="X434" s="204"/>
      <c r="Y434" s="205"/>
      <c r="Z434" s="206"/>
    </row>
    <row r="435" spans="1:26" ht="18" customHeight="1" hidden="1">
      <c r="A435" s="140"/>
      <c r="B435" s="140"/>
      <c r="D435" s="198" t="s">
        <v>258</v>
      </c>
      <c r="E435" s="208" t="str">
        <f>_xlfn.XLOOKUP(E425,CurrentPlans!B:B,CurrentPlans!AB:AB,"NA",0,1)</f>
        <v>NA</v>
      </c>
      <c r="F435" s="200"/>
      <c r="G435" s="200"/>
      <c r="H435" s="200"/>
      <c r="I435" s="208"/>
      <c r="J435" s="201"/>
      <c r="K435"/>
      <c r="L435" s="209" t="str">
        <f ca="1">_xlfn.XLOOKUP(L425,RenewalPlans!B:B,RenewalPlans!AE:AE,"NA",0,1)</f>
        <v>NA</v>
      </c>
      <c r="M435" s="200"/>
      <c r="N435" s="200"/>
      <c r="O435" s="200"/>
      <c r="P435" s="208"/>
      <c r="Q435" s="200"/>
      <c r="R435" s="201"/>
      <c r="T435" s="209" t="str">
        <f>_xlfn.XLOOKUP(T425,RenewalPlans!B:B,RenewalPlans!AE:AE,"NA",0,1)</f>
        <v>NA</v>
      </c>
      <c r="U435" s="200"/>
      <c r="V435" s="200"/>
      <c r="W435" s="200"/>
      <c r="X435" s="208"/>
      <c r="Y435" s="200"/>
      <c r="Z435" s="201"/>
    </row>
    <row r="436" spans="1:26" ht="18" customHeight="1" hidden="1">
      <c r="A436" s="140"/>
      <c r="B436" s="140"/>
      <c r="D436" s="198" t="s">
        <v>259</v>
      </c>
      <c r="E436" s="208" t="str">
        <f>_xlfn.XLOOKUP(E425,CurrentPlans!B:B,CurrentPlans!AC:AC,"NA",0,1)</f>
        <v>NA</v>
      </c>
      <c r="F436" s="200"/>
      <c r="G436" s="200"/>
      <c r="H436" s="200"/>
      <c r="I436" s="208"/>
      <c r="J436" s="201"/>
      <c r="K436"/>
      <c r="L436" s="209" t="str">
        <f ca="1">_xlfn.XLOOKUP(L425,RenewalPlans!B:B,RenewalPlans!AF:AF,"NA",0,1)</f>
        <v>NA</v>
      </c>
      <c r="M436" s="200"/>
      <c r="N436" s="200"/>
      <c r="O436" s="200"/>
      <c r="P436" s="208"/>
      <c r="Q436" s="200"/>
      <c r="R436" s="201"/>
      <c r="T436" s="209" t="str">
        <f>_xlfn.XLOOKUP(T425,RenewalPlans!B:B,RenewalPlans!AF:AF,"NA",0,1)</f>
        <v>NA</v>
      </c>
      <c r="U436" s="200"/>
      <c r="V436" s="200"/>
      <c r="W436" s="200"/>
      <c r="X436" s="208"/>
      <c r="Y436" s="200"/>
      <c r="Z436" s="201"/>
    </row>
    <row r="437" spans="1:26" ht="18" customHeight="1" hidden="1">
      <c r="A437" s="140"/>
      <c r="B437" s="140"/>
      <c r="D437" s="210"/>
      <c r="E437" s="211"/>
      <c r="F437" s="211"/>
      <c r="G437" s="211"/>
      <c r="H437" s="211"/>
      <c r="I437" s="211"/>
      <c r="J437" s="212"/>
      <c r="K437"/>
      <c r="L437" s="210"/>
      <c r="M437" s="211"/>
      <c r="N437" s="211"/>
      <c r="O437" s="211"/>
      <c r="P437" s="211"/>
      <c r="Q437" s="211"/>
      <c r="R437" s="212"/>
      <c r="T437" s="210"/>
      <c r="U437" s="211"/>
      <c r="V437" s="211"/>
      <c r="W437" s="211"/>
      <c r="X437" s="211"/>
      <c r="Y437" s="211"/>
      <c r="Z437" s="212"/>
    </row>
    <row r="438" spans="1:26" ht="18" customHeight="1" hidden="1">
      <c r="A438" s="140"/>
      <c r="B438" s="140"/>
      <c r="D438" s="185" t="s">
        <v>260</v>
      </c>
      <c r="E438" s="186"/>
      <c r="F438" s="186"/>
      <c r="G438" s="186"/>
      <c r="H438" s="186"/>
      <c r="I438" s="186"/>
      <c r="J438" s="187"/>
      <c r="K438"/>
      <c r="L438" s="188"/>
      <c r="M438" s="186"/>
      <c r="N438" s="186"/>
      <c r="O438" s="186"/>
      <c r="P438" s="186"/>
      <c r="Q438" s="186"/>
      <c r="R438" s="187"/>
      <c r="T438" s="188"/>
      <c r="U438" s="186"/>
      <c r="V438" s="186"/>
      <c r="W438" s="186"/>
      <c r="X438" s="186"/>
      <c r="Y438" s="186"/>
      <c r="Z438" s="187"/>
    </row>
    <row r="439" spans="1:26" ht="18" customHeight="1" hidden="1">
      <c r="A439" s="140"/>
      <c r="B439" s="140"/>
      <c r="D439" s="213" t="s">
        <v>261</v>
      </c>
      <c r="E439" s="130" t="str">
        <f>_xlfn.XLOOKUP(E425,CurrentPlans!B:B,CurrentPlans!AJ:AJ,"NA",0,1)</f>
        <v>NA</v>
      </c>
      <c r="F439" s="214"/>
      <c r="G439" s="214"/>
      <c r="H439" s="214"/>
      <c r="I439" s="130"/>
      <c r="J439" s="215"/>
      <c r="K439"/>
      <c r="L439" s="131" t="str">
        <f ca="1">_xlfn.XLOOKUP(L425,RenewalPlans!B:B,RenewalPlans!AM:AM,"NA",0,1)</f>
        <v>NA</v>
      </c>
      <c r="M439" s="214"/>
      <c r="N439" s="214"/>
      <c r="O439" s="214"/>
      <c r="P439" s="130"/>
      <c r="Q439" s="214"/>
      <c r="R439" s="215"/>
      <c r="T439" s="131" t="str">
        <f>_xlfn.XLOOKUP(T425,RenewalPlans!B:B,RenewalPlans!AM:AM,"NA",0,1)</f>
        <v>NA</v>
      </c>
      <c r="U439" s="214"/>
      <c r="V439" s="214"/>
      <c r="W439" s="214"/>
      <c r="X439" s="130"/>
      <c r="Y439" s="214"/>
      <c r="Z439" s="215"/>
    </row>
    <row r="440" spans="1:26" ht="18" customHeight="1" hidden="1">
      <c r="A440" s="140"/>
      <c r="B440" s="140"/>
      <c r="D440" s="198" t="s">
        <v>262</v>
      </c>
      <c r="E440" s="130" t="str">
        <f>_xlfn.XLOOKUP(E425,CurrentPlans!B:B,CurrentPlans!AM:AM,"NA",0,1)</f>
        <v>NA</v>
      </c>
      <c r="F440" s="200"/>
      <c r="G440" s="200"/>
      <c r="H440" s="200"/>
      <c r="I440" s="130"/>
      <c r="J440" s="201"/>
      <c r="K440"/>
      <c r="L440" s="131" t="str">
        <f ca="1">_xlfn.XLOOKUP(L425,RenewalPlans!B:B,RenewalPlans!AP:AP,"NA",0,1)</f>
        <v>NA</v>
      </c>
      <c r="M440" s="200"/>
      <c r="N440" s="200"/>
      <c r="O440" s="200"/>
      <c r="P440" s="130"/>
      <c r="Q440" s="200"/>
      <c r="R440" s="201"/>
      <c r="T440" s="131" t="str">
        <f>_xlfn.XLOOKUP(T425,RenewalPlans!B:B,RenewalPlans!AP:AP,"NA",0,1)</f>
        <v>NA</v>
      </c>
      <c r="U440" s="200"/>
      <c r="V440" s="200"/>
      <c r="W440" s="200"/>
      <c r="X440" s="130"/>
      <c r="Y440" s="200"/>
      <c r="Z440" s="201"/>
    </row>
    <row r="441" spans="1:26" ht="18" customHeight="1" hidden="1">
      <c r="A441" s="140"/>
      <c r="B441" s="140"/>
      <c r="D441" s="198" t="s">
        <v>263</v>
      </c>
      <c r="E441" s="130" t="str">
        <f>_xlfn.XLOOKUP(E425,CurrentPlans!B:B,CurrentPlans!AI:AI,"NA",0,1)</f>
        <v>NA</v>
      </c>
      <c r="F441" s="200"/>
      <c r="G441" s="200"/>
      <c r="H441" s="200"/>
      <c r="I441" s="130"/>
      <c r="J441" s="201"/>
      <c r="K441"/>
      <c r="L441" s="131" t="str">
        <f ca="1">_xlfn.XLOOKUP(L425,RenewalPlans!B:B,RenewalPlans!AL:AL,"NA",0,1)</f>
        <v>NA</v>
      </c>
      <c r="M441" s="200"/>
      <c r="N441" s="200"/>
      <c r="O441" s="200"/>
      <c r="P441" s="130"/>
      <c r="Q441" s="200"/>
      <c r="R441" s="201"/>
      <c r="T441" s="131" t="str">
        <f>_xlfn.XLOOKUP(T425,RenewalPlans!B:B,RenewalPlans!AL:AL,"NA",0,1)</f>
        <v>NA</v>
      </c>
      <c r="U441" s="200"/>
      <c r="V441" s="200"/>
      <c r="W441" s="200"/>
      <c r="X441" s="130"/>
      <c r="Y441" s="200"/>
      <c r="Z441" s="201"/>
    </row>
    <row r="442" spans="1:26" ht="18" customHeight="1" hidden="1">
      <c r="A442" s="140"/>
      <c r="B442" s="140"/>
      <c r="D442" s="198" t="s">
        <v>264</v>
      </c>
      <c r="E442" s="208" t="str">
        <f>_xlfn.XLOOKUP(E425,CurrentPlans!B:B,CurrentPlans!AN:AN,"NA",0,1)</f>
        <v>NA</v>
      </c>
      <c r="F442" s="200"/>
      <c r="G442" s="200"/>
      <c r="H442" s="200"/>
      <c r="I442" s="208"/>
      <c r="J442" s="201"/>
      <c r="K442"/>
      <c r="L442" s="209" t="str">
        <f ca="1">_xlfn.XLOOKUP(L425,RenewalPlans!B:B,RenewalPlans!AQ:AQ,"NA",0,1)</f>
        <v>NA</v>
      </c>
      <c r="M442" s="200"/>
      <c r="N442" s="200"/>
      <c r="O442" s="200"/>
      <c r="P442" s="208"/>
      <c r="Q442" s="200"/>
      <c r="R442" s="201"/>
      <c r="T442" s="209" t="str">
        <f>_xlfn.XLOOKUP(T425,RenewalPlans!B:B,RenewalPlans!AQ:AQ,"NA",0,1)</f>
        <v>NA</v>
      </c>
      <c r="U442" s="200"/>
      <c r="V442" s="200"/>
      <c r="W442" s="200"/>
      <c r="X442" s="208"/>
      <c r="Y442" s="200"/>
      <c r="Z442" s="201"/>
    </row>
    <row r="443" spans="1:26" ht="18" customHeight="1" hidden="1">
      <c r="A443" s="140"/>
      <c r="B443" s="140"/>
      <c r="D443" s="210"/>
      <c r="E443" s="211"/>
      <c r="F443" s="211"/>
      <c r="G443" s="211"/>
      <c r="H443" s="211"/>
      <c r="I443" s="211"/>
      <c r="J443" s="212"/>
      <c r="K443"/>
      <c r="L443" s="210"/>
      <c r="M443" s="211"/>
      <c r="N443" s="211"/>
      <c r="O443" s="211"/>
      <c r="P443" s="211"/>
      <c r="Q443" s="211"/>
      <c r="R443" s="212"/>
      <c r="T443" s="210"/>
      <c r="U443" s="211"/>
      <c r="V443" s="211"/>
      <c r="W443" s="211"/>
      <c r="X443" s="211"/>
      <c r="Y443" s="211"/>
      <c r="Z443" s="212"/>
    </row>
    <row r="444" spans="1:26" ht="18" customHeight="1" hidden="1">
      <c r="A444" s="140"/>
      <c r="B444" s="140"/>
      <c r="D444" s="185" t="s">
        <v>265</v>
      </c>
      <c r="E444" s="186"/>
      <c r="F444" s="186"/>
      <c r="G444" s="186"/>
      <c r="H444" s="186"/>
      <c r="I444" s="186"/>
      <c r="J444" s="187"/>
      <c r="K444"/>
      <c r="L444" s="188"/>
      <c r="M444" s="186"/>
      <c r="N444" s="186"/>
      <c r="O444" s="186"/>
      <c r="P444" s="186"/>
      <c r="Q444" s="186"/>
      <c r="R444" s="187"/>
      <c r="T444" s="188"/>
      <c r="U444" s="186"/>
      <c r="V444" s="186"/>
      <c r="W444" s="186"/>
      <c r="X444" s="186"/>
      <c r="Y444" s="186"/>
      <c r="Z444" s="187"/>
    </row>
    <row r="445" spans="1:26" ht="18" customHeight="1" hidden="1">
      <c r="A445" s="140"/>
      <c r="B445" s="140"/>
      <c r="D445" s="132" t="s">
        <v>266</v>
      </c>
      <c r="E445" s="133" t="str">
        <f>_xlfn.XLOOKUP(E425,CurrentPlans!B:B,CurrentPlans!AE:AE,"NA",0,1)</f>
        <v>NA</v>
      </c>
      <c r="F445" s="134"/>
      <c r="G445" s="134"/>
      <c r="H445" s="134"/>
      <c r="I445" s="133"/>
      <c r="J445" s="135"/>
      <c r="K445"/>
      <c r="L445" s="136" t="str">
        <f ca="1">_xlfn.XLOOKUP(L425,RenewalPlans!B:B,RenewalPlans!AH:AH,"NA",0,1)</f>
        <v>NA</v>
      </c>
      <c r="M445" s="134"/>
      <c r="N445" s="134"/>
      <c r="O445" s="134"/>
      <c r="P445" s="133"/>
      <c r="Q445" s="134"/>
      <c r="R445" s="135"/>
      <c r="T445" s="136" t="str">
        <f>_xlfn.XLOOKUP(T425,RenewalPlans!B:B,RenewalPlans!AH:AH,"NA",0,1)</f>
        <v>NA</v>
      </c>
      <c r="U445" s="134"/>
      <c r="V445" s="134"/>
      <c r="W445" s="134"/>
      <c r="X445" s="133"/>
      <c r="Y445" s="134"/>
      <c r="Z445" s="135"/>
    </row>
    <row r="446" spans="1:26" ht="18" customHeight="1" hidden="1">
      <c r="A446" s="140"/>
      <c r="B446" s="140"/>
      <c r="D446" s="120" t="s">
        <v>267</v>
      </c>
      <c r="E446" s="130" t="str">
        <f>_xlfn.XLOOKUP(E425,CurrentPlans!B:B,CurrentPlans!AF:AF,"NA",0,1)</f>
        <v>NA</v>
      </c>
      <c r="F446" s="122"/>
      <c r="G446" s="122"/>
      <c r="H446" s="122"/>
      <c r="I446" s="130"/>
      <c r="J446" s="123"/>
      <c r="K446"/>
      <c r="L446" s="131" t="str">
        <f ca="1">_xlfn.XLOOKUP(L425,RenewalPlans!B:B,RenewalPlans!AI:AI,"NA",0,1)</f>
        <v>NA</v>
      </c>
      <c r="M446" s="122"/>
      <c r="N446" s="122"/>
      <c r="O446" s="122"/>
      <c r="P446" s="130"/>
      <c r="Q446" s="122"/>
      <c r="R446" s="123"/>
      <c r="T446" s="131" t="str">
        <f>_xlfn.XLOOKUP(T425,RenewalPlans!B:B,RenewalPlans!AI:AI,"NA",0,1)</f>
        <v>NA</v>
      </c>
      <c r="U446" s="122"/>
      <c r="V446" s="122"/>
      <c r="W446" s="122"/>
      <c r="X446" s="130"/>
      <c r="Y446" s="122"/>
      <c r="Z446" s="123"/>
    </row>
    <row r="447" spans="1:26" ht="18" customHeight="1" hidden="1">
      <c r="A447" s="140"/>
      <c r="B447" s="140"/>
      <c r="D447" s="198" t="s">
        <v>268</v>
      </c>
      <c r="E447" s="130" t="str">
        <f>_xlfn.XLOOKUP(E425,CurrentPlans!B:B,CurrentPlans!AH:AH,"NA",0,1)</f>
        <v>NA</v>
      </c>
      <c r="F447" s="200"/>
      <c r="G447" s="200"/>
      <c r="H447" s="200"/>
      <c r="I447" s="130"/>
      <c r="J447" s="201"/>
      <c r="K447"/>
      <c r="L447" s="131" t="str">
        <f ca="1">_xlfn.XLOOKUP(L425,RenewalPlans!B:B,RenewalPlans!AK:AK,"NA",0,1)</f>
        <v>NA</v>
      </c>
      <c r="M447" s="200"/>
      <c r="N447" s="200"/>
      <c r="O447" s="200"/>
      <c r="P447" s="130"/>
      <c r="Q447" s="200"/>
      <c r="R447" s="201"/>
      <c r="T447" s="131" t="str">
        <f>_xlfn.XLOOKUP(T425,RenewalPlans!B:B,RenewalPlans!AK:AK,"NA",0,1)</f>
        <v>NA</v>
      </c>
      <c r="U447" s="200"/>
      <c r="V447" s="200"/>
      <c r="W447" s="200"/>
      <c r="X447" s="130"/>
      <c r="Y447" s="200"/>
      <c r="Z447" s="201"/>
    </row>
    <row r="448" spans="1:26" ht="18" customHeight="1" hidden="1">
      <c r="A448" s="140"/>
      <c r="B448" s="140"/>
      <c r="D448" s="198" t="s">
        <v>269</v>
      </c>
      <c r="E448" s="130" t="str">
        <f>_xlfn.XLOOKUP(E425,CurrentPlans!B:B,CurrentPlans!AG:AG,"NA",0,1)</f>
        <v>NA</v>
      </c>
      <c r="F448" s="200"/>
      <c r="G448" s="200"/>
      <c r="H448" s="200"/>
      <c r="I448" s="130"/>
      <c r="J448" s="201"/>
      <c r="K448"/>
      <c r="L448" s="131" t="str">
        <f ca="1">_xlfn.XLOOKUP(L425,RenewalPlans!B:B,RenewalPlans!AJ:AJ,"NA",0,1)</f>
        <v>NA</v>
      </c>
      <c r="M448" s="200"/>
      <c r="N448" s="200"/>
      <c r="O448" s="200"/>
      <c r="P448" s="130"/>
      <c r="Q448" s="200"/>
      <c r="R448" s="201"/>
      <c r="T448" s="131" t="str">
        <f>_xlfn.XLOOKUP(T425,RenewalPlans!B:B,RenewalPlans!AJ:AJ,"NA",0,1)</f>
        <v>NA</v>
      </c>
      <c r="U448" s="200"/>
      <c r="V448" s="200"/>
      <c r="W448" s="200"/>
      <c r="X448" s="130"/>
      <c r="Y448" s="200"/>
      <c r="Z448" s="201"/>
    </row>
    <row r="449" spans="1:26" ht="18" customHeight="1" hidden="1">
      <c r="A449" s="140"/>
      <c r="B449" s="140"/>
      <c r="D449" s="213" t="s">
        <v>270</v>
      </c>
      <c r="E449" s="216" t="str">
        <f>_xlfn.XLOOKUP(E425,CurrentPlans!B:B,CurrentPlans!AU:AU,"NA",0,1)</f>
        <v>NA</v>
      </c>
      <c r="F449" s="214"/>
      <c r="G449" s="214"/>
      <c r="H449" s="214"/>
      <c r="I449" s="217"/>
      <c r="J449" s="215"/>
      <c r="K449"/>
      <c r="L449" s="218" t="str">
        <f ca="1">_xlfn.XLOOKUP(L425,RenewalPlans!B:B,RenewalPlans!AX:AX,"NA",0,1)</f>
        <v>NA</v>
      </c>
      <c r="M449" s="214"/>
      <c r="N449" s="214"/>
      <c r="O449" s="214"/>
      <c r="P449" s="217"/>
      <c r="Q449" s="214"/>
      <c r="R449" s="215"/>
      <c r="T449" s="218" t="str">
        <f>_xlfn.XLOOKUP(T425,RenewalPlans!B:B,RenewalPlans!AX:AX,"NA",0,1)</f>
        <v>NA</v>
      </c>
      <c r="U449" s="214"/>
      <c r="V449" s="214"/>
      <c r="W449" s="214"/>
      <c r="X449" s="217"/>
      <c r="Y449" s="214"/>
      <c r="Z449" s="215"/>
    </row>
    <row r="450" spans="1:26" ht="18" customHeight="1" hidden="1">
      <c r="A450" s="140"/>
      <c r="B450" s="140"/>
      <c r="D450" s="213" t="s">
        <v>271</v>
      </c>
      <c r="E450" s="216" t="str">
        <f>_xlfn.XLOOKUP(E425,CurrentPlans!B:B,CurrentPlans!AT:AT,"NA",0,1)</f>
        <v>NA</v>
      </c>
      <c r="F450" s="214"/>
      <c r="G450" s="214"/>
      <c r="H450" s="214"/>
      <c r="I450" s="217"/>
      <c r="J450" s="215"/>
      <c r="K450"/>
      <c r="L450" s="218" t="str">
        <f ca="1">_xlfn.XLOOKUP(L425,RenewalPlans!B:B,RenewalPlans!AW:AW,"NA",0,1)</f>
        <v>NA</v>
      </c>
      <c r="M450" s="214"/>
      <c r="N450" s="214"/>
      <c r="O450" s="214"/>
      <c r="P450" s="217"/>
      <c r="Q450" s="214"/>
      <c r="R450" s="215"/>
      <c r="T450" s="218" t="str">
        <f>_xlfn.XLOOKUP(T425,RenewalPlans!B:B,RenewalPlans!AW:AW,"NA",0,1)</f>
        <v>NA</v>
      </c>
      <c r="U450" s="214"/>
      <c r="V450" s="214"/>
      <c r="W450" s="214"/>
      <c r="X450" s="217"/>
      <c r="Y450" s="214"/>
      <c r="Z450" s="215"/>
    </row>
    <row r="451" spans="1:26" ht="18" customHeight="1" hidden="1">
      <c r="A451" s="140"/>
      <c r="B451" s="140"/>
      <c r="D451" s="198" t="s">
        <v>272</v>
      </c>
      <c r="E451" s="130" t="str">
        <f>_xlfn.XLOOKUP(E425,CurrentPlans!B:B,CurrentPlans!AD:AD,"NA",0,1)</f>
        <v>NA</v>
      </c>
      <c r="F451" s="200"/>
      <c r="G451" s="200"/>
      <c r="H451" s="200"/>
      <c r="I451" s="130"/>
      <c r="J451" s="201"/>
      <c r="K451"/>
      <c r="L451" s="131" t="str">
        <f ca="1">_xlfn.XLOOKUP(L425,RenewalPlans!B:B,RenewalPlans!AG:AG,"NA",0,1)</f>
        <v>NA</v>
      </c>
      <c r="M451" s="200"/>
      <c r="N451" s="200"/>
      <c r="O451" s="200"/>
      <c r="P451" s="130"/>
      <c r="Q451" s="200"/>
      <c r="R451" s="201"/>
      <c r="T451" s="131" t="str">
        <f>_xlfn.XLOOKUP(T425,RenewalPlans!B:B,RenewalPlans!AG:AG,"NA",0,1)</f>
        <v>NA</v>
      </c>
      <c r="U451" s="200"/>
      <c r="V451" s="200"/>
      <c r="W451" s="200"/>
      <c r="X451" s="130"/>
      <c r="Y451" s="200"/>
      <c r="Z451" s="201"/>
    </row>
    <row r="452" spans="1:26" ht="18" customHeight="1" hidden="1">
      <c r="A452" s="140"/>
      <c r="B452" s="140"/>
      <c r="D452" s="198" t="s">
        <v>273</v>
      </c>
      <c r="E452" s="200"/>
      <c r="F452" s="200"/>
      <c r="G452" s="200"/>
      <c r="H452" s="200"/>
      <c r="I452" s="200"/>
      <c r="J452" s="201"/>
      <c r="K452"/>
      <c r="L452" s="198"/>
      <c r="M452" s="200"/>
      <c r="N452" s="200"/>
      <c r="O452" s="200"/>
      <c r="P452" s="200"/>
      <c r="Q452" s="200"/>
      <c r="R452" s="201"/>
      <c r="T452" s="198"/>
      <c r="U452" s="200"/>
      <c r="V452" s="200"/>
      <c r="W452" s="200"/>
      <c r="X452" s="200"/>
      <c r="Y452" s="200"/>
      <c r="Z452" s="201"/>
    </row>
    <row r="453" spans="1:26" ht="18" customHeight="1" hidden="1">
      <c r="A453" s="140"/>
      <c r="B453" s="140"/>
      <c r="D453" s="210"/>
      <c r="E453" s="211"/>
      <c r="F453" s="211"/>
      <c r="G453" s="211"/>
      <c r="H453" s="211"/>
      <c r="I453" s="211"/>
      <c r="J453" s="212"/>
      <c r="K453"/>
      <c r="L453" s="210"/>
      <c r="M453" s="211"/>
      <c r="N453" s="211"/>
      <c r="O453" s="211"/>
      <c r="P453" s="211"/>
      <c r="Q453" s="211"/>
      <c r="R453" s="212"/>
      <c r="T453" s="210"/>
      <c r="U453" s="211"/>
      <c r="V453" s="211"/>
      <c r="W453" s="211"/>
      <c r="X453" s="211"/>
      <c r="Y453" s="211"/>
      <c r="Z453" s="212"/>
    </row>
    <row r="454" spans="1:26" ht="18" customHeight="1" hidden="1">
      <c r="A454" s="140"/>
      <c r="B454" s="140"/>
      <c r="D454" s="219" t="s">
        <v>274</v>
      </c>
      <c r="E454" s="220"/>
      <c r="F454" s="220"/>
      <c r="G454" s="220"/>
      <c r="H454" s="220"/>
      <c r="I454" s="220"/>
      <c r="J454" s="221"/>
      <c r="K454"/>
      <c r="L454" s="222"/>
      <c r="M454" s="220"/>
      <c r="N454" s="220"/>
      <c r="O454" s="220"/>
      <c r="P454" s="220"/>
      <c r="Q454" s="220"/>
      <c r="R454" s="221"/>
      <c r="T454" s="222"/>
      <c r="U454" s="220"/>
      <c r="V454" s="220"/>
      <c r="W454" s="220"/>
      <c r="X454" s="220"/>
      <c r="Y454" s="220"/>
      <c r="Z454" s="221"/>
    </row>
    <row r="455" spans="1:26" ht="18" customHeight="1" hidden="1">
      <c r="A455" s="140"/>
      <c r="B455" s="140"/>
      <c r="D455" s="223" t="s">
        <v>250</v>
      </c>
      <c r="E455" s="205"/>
      <c r="F455" s="205"/>
      <c r="G455" s="205"/>
      <c r="H455" s="205"/>
      <c r="I455" s="205"/>
      <c r="J455" s="206"/>
      <c r="K455"/>
      <c r="L455" s="203"/>
      <c r="M455" s="205"/>
      <c r="N455" s="205"/>
      <c r="O455" s="205"/>
      <c r="P455" s="205"/>
      <c r="Q455" s="205"/>
      <c r="R455" s="206"/>
      <c r="T455" s="203"/>
      <c r="U455" s="205"/>
      <c r="V455" s="205"/>
      <c r="W455" s="205"/>
      <c r="X455" s="205"/>
      <c r="Y455" s="205"/>
      <c r="Z455" s="206"/>
    </row>
    <row r="456" spans="1:26" ht="18" customHeight="1" hidden="1">
      <c r="A456" s="140"/>
      <c r="B456" s="140"/>
      <c r="D456" s="198" t="s">
        <v>251</v>
      </c>
      <c r="E456" s="130" t="str">
        <f>_xlfn.XLOOKUP(E425,CurrentPlans!B:B,CurrentPlans!AP:AP,"NA",0,1)</f>
        <v>NA</v>
      </c>
      <c r="F456" s="200"/>
      <c r="G456" s="200"/>
      <c r="H456" s="200"/>
      <c r="I456" s="130"/>
      <c r="J456" s="201"/>
      <c r="K456"/>
      <c r="L456" s="131" t="str">
        <f ca="1">_xlfn.XLOOKUP(L425,RenewalPlans!B:B,RenewalPlans!AS:AS,"NA",0,1)</f>
        <v>NA</v>
      </c>
      <c r="M456" s="200"/>
      <c r="N456" s="200"/>
      <c r="O456" s="200"/>
      <c r="P456" s="130"/>
      <c r="Q456" s="200"/>
      <c r="R456" s="201"/>
      <c r="T456" s="131" t="str">
        <f>_xlfn.XLOOKUP(T425,RenewalPlans!B:B,RenewalPlans!AS:AS,"NA",0,1)</f>
        <v>NA</v>
      </c>
      <c r="U456" s="200"/>
      <c r="V456" s="200"/>
      <c r="W456" s="200"/>
      <c r="X456" s="130"/>
      <c r="Y456" s="200"/>
      <c r="Z456" s="201"/>
    </row>
    <row r="457" spans="1:26" ht="18" customHeight="1" hidden="1">
      <c r="A457" s="140"/>
      <c r="B457" s="140"/>
      <c r="D457" s="198" t="s">
        <v>252</v>
      </c>
      <c r="E457" s="130" t="str">
        <f>_xlfn.XLOOKUP(E425,CurrentPlans!B:B,CurrentPlans!AQ:AQ,"NA",0,1)</f>
        <v>NA</v>
      </c>
      <c r="F457" s="200"/>
      <c r="G457" s="200"/>
      <c r="H457" s="200"/>
      <c r="I457" s="130"/>
      <c r="J457" s="201"/>
      <c r="K457"/>
      <c r="L457" s="131" t="str">
        <f ca="1">_xlfn.XLOOKUP(L425,RenewalPlans!B:B,RenewalPlans!AT:AT,"NA",0,1)</f>
        <v>NA</v>
      </c>
      <c r="M457" s="200"/>
      <c r="N457" s="200"/>
      <c r="O457" s="200"/>
      <c r="P457" s="130"/>
      <c r="Q457" s="200"/>
      <c r="R457" s="201"/>
      <c r="T457" s="131" t="str">
        <f>_xlfn.XLOOKUP(T425,RenewalPlans!B:B,RenewalPlans!AT:AT,"NA",0,1)</f>
        <v>NA</v>
      </c>
      <c r="U457" s="200"/>
      <c r="V457" s="200"/>
      <c r="W457" s="200"/>
      <c r="X457" s="130"/>
      <c r="Y457" s="200"/>
      <c r="Z457" s="201"/>
    </row>
    <row r="458" spans="1:26" ht="18" customHeight="1" hidden="1">
      <c r="A458" s="140"/>
      <c r="B458" s="140"/>
      <c r="D458" s="120" t="s">
        <v>253</v>
      </c>
      <c r="E458" s="133" t="str">
        <f>_xlfn.XLOOKUP(E425,CurrentPlans!B:B,CurrentPlans!AO:AO,"NA",0,1)</f>
        <v>NA</v>
      </c>
      <c r="F458" s="122"/>
      <c r="G458" s="122"/>
      <c r="H458" s="122"/>
      <c r="I458" s="133"/>
      <c r="J458" s="123"/>
      <c r="K458"/>
      <c r="L458" s="136" t="str">
        <f ca="1">_xlfn.XLOOKUP(L425,RenewalPlans!B:B,RenewalPlans!AR:AR,"NA",0,1)</f>
        <v>NA</v>
      </c>
      <c r="M458" s="122"/>
      <c r="N458" s="122"/>
      <c r="O458" s="122"/>
      <c r="P458" s="133"/>
      <c r="Q458" s="122"/>
      <c r="R458" s="123"/>
      <c r="T458" s="136" t="str">
        <f>_xlfn.XLOOKUP(T425,RenewalPlans!B:B,RenewalPlans!AR:AR,"NA",0,1)</f>
        <v>NA</v>
      </c>
      <c r="U458" s="122"/>
      <c r="V458" s="122"/>
      <c r="W458" s="122"/>
      <c r="X458" s="133"/>
      <c r="Y458" s="122"/>
      <c r="Z458" s="123"/>
    </row>
    <row r="459" spans="1:26" ht="18" customHeight="1" hidden="1">
      <c r="A459" s="140"/>
      <c r="B459" s="140"/>
      <c r="D459" s="223" t="s">
        <v>254</v>
      </c>
      <c r="E459" s="205"/>
      <c r="F459" s="205"/>
      <c r="G459" s="205"/>
      <c r="H459" s="205"/>
      <c r="I459" s="205"/>
      <c r="J459" s="206"/>
      <c r="K459"/>
      <c r="L459" s="203"/>
      <c r="M459" s="205"/>
      <c r="N459" s="205"/>
      <c r="O459" s="205"/>
      <c r="P459" s="205"/>
      <c r="Q459" s="205"/>
      <c r="R459" s="206"/>
      <c r="T459" s="203"/>
      <c r="U459" s="205"/>
      <c r="V459" s="205"/>
      <c r="W459" s="205"/>
      <c r="X459" s="205"/>
      <c r="Y459" s="205"/>
      <c r="Z459" s="206"/>
    </row>
    <row r="460" spans="1:26" ht="18" customHeight="1" hidden="1">
      <c r="A460" s="140"/>
      <c r="B460" s="140"/>
      <c r="D460" s="198" t="s">
        <v>255</v>
      </c>
      <c r="E460" s="130" t="str">
        <f>_xlfn.XLOOKUP(E425,CurrentPlans!B:B,CurrentPlans!AR:AR,"NA",0,1)</f>
        <v>NA</v>
      </c>
      <c r="F460" s="200"/>
      <c r="G460" s="200"/>
      <c r="H460" s="200"/>
      <c r="I460" s="130"/>
      <c r="J460" s="201"/>
      <c r="K460"/>
      <c r="L460" s="131" t="str">
        <f ca="1">_xlfn.XLOOKUP(L425,RenewalPlans!B:B,RenewalPlans!AU:AU,"NA",0,1)</f>
        <v>NA</v>
      </c>
      <c r="M460" s="200"/>
      <c r="N460" s="200"/>
      <c r="O460" s="200"/>
      <c r="P460" s="130"/>
      <c r="Q460" s="200"/>
      <c r="R460" s="201"/>
      <c r="T460" s="131" t="str">
        <f>_xlfn.XLOOKUP(T425,RenewalPlans!B:B,RenewalPlans!AU:AU,"NA",0,1)</f>
        <v>NA</v>
      </c>
      <c r="U460" s="200"/>
      <c r="V460" s="200"/>
      <c r="W460" s="200"/>
      <c r="X460" s="130"/>
      <c r="Y460" s="200"/>
      <c r="Z460" s="201"/>
    </row>
    <row r="461" spans="1:26" ht="18" customHeight="1" hidden="1" thickBot="1">
      <c r="A461" s="140"/>
      <c r="B461" s="140"/>
      <c r="D461" s="224" t="s">
        <v>256</v>
      </c>
      <c r="E461" s="137" t="str">
        <f>_xlfn.XLOOKUP(E425,CurrentPlans!B:B,CurrentPlans!AS:AS,"NA",0,1)</f>
        <v>NA</v>
      </c>
      <c r="F461" s="225"/>
      <c r="G461" s="225"/>
      <c r="H461" s="225"/>
      <c r="I461" s="137"/>
      <c r="J461" s="226"/>
      <c r="K461"/>
      <c r="L461" s="138" t="str">
        <f ca="1">_xlfn.XLOOKUP(L425,RenewalPlans!B:B,RenewalPlans!AV:AV,"NA",0,1)</f>
        <v>NA</v>
      </c>
      <c r="M461" s="225"/>
      <c r="N461" s="225"/>
      <c r="O461" s="225"/>
      <c r="P461" s="137"/>
      <c r="Q461" s="225"/>
      <c r="R461" s="226"/>
      <c r="T461" s="138" t="str">
        <f>_xlfn.XLOOKUP(T425,RenewalPlans!B:B,RenewalPlans!AV:AV,"NA",0,1)</f>
        <v>NA</v>
      </c>
      <c r="U461" s="225"/>
      <c r="V461" s="225"/>
      <c r="W461" s="225"/>
      <c r="X461" s="137"/>
      <c r="Y461" s="225"/>
      <c r="Z461" s="226"/>
    </row>
    <row r="462" spans="1:26" ht="18" customHeight="1">
      <c r="A462" s="140"/>
      <c r="B462" s="140"/>
      <c r="D462" s="227"/>
      <c r="E462" s="176"/>
      <c r="F462" s="178"/>
      <c r="G462" s="179"/>
      <c r="H462" s="178"/>
      <c r="I462" s="176"/>
      <c r="J462" s="228"/>
      <c r="K462"/>
      <c r="L462" s="178"/>
      <c r="M462" s="176"/>
      <c r="N462" s="139"/>
      <c r="O462" s="178"/>
      <c r="P462" s="178"/>
      <c r="Q462" s="178"/>
      <c r="R462" s="228"/>
      <c r="T462" s="178"/>
      <c r="U462" s="176"/>
      <c r="V462" s="139"/>
      <c r="W462" s="178"/>
      <c r="X462" s="178"/>
      <c r="Y462" s="178"/>
      <c r="Z462" s="228"/>
    </row>
    <row r="463" spans="1:26" ht="5.25" customHeight="1" thickBot="1">
      <c r="A463" s="140"/>
      <c r="B463" s="140"/>
      <c r="D463" s="229"/>
      <c r="E463" s="229"/>
      <c r="F463" s="230"/>
      <c r="G463" s="231"/>
      <c r="H463" s="232"/>
      <c r="I463" s="233"/>
      <c r="J463" s="233"/>
      <c r="K463"/>
      <c r="L463" s="233"/>
      <c r="M463" s="233"/>
      <c r="N463" s="233"/>
      <c r="O463" s="233"/>
      <c r="P463" s="233"/>
      <c r="Q463" s="233"/>
      <c r="R463" s="233"/>
      <c r="T463" s="233"/>
      <c r="U463" s="233"/>
      <c r="V463" s="233"/>
      <c r="W463" s="233"/>
      <c r="X463" s="233"/>
      <c r="Y463" s="233"/>
      <c r="Z463" s="233"/>
    </row>
    <row r="464" spans="1:26" ht="50.15" customHeight="1">
      <c r="A464" s="140">
        <v>10</v>
      </c>
      <c r="B464" s="140" t="str">
        <f>IF(A464&gt;Class5_CurrentHealthCount,"DELETE",Class5_CurrentHealthStart+A464)</f>
        <v>DELETE</v>
      </c>
      <c r="C464" s="164" t="s">
        <v>283</v>
      </c>
      <c r="D464" s="273" t="str">
        <f>IF(B464="Delete","",VLOOKUP(F464,BEGIN_CURRENT_HEALTH:END_CURRENT_HEALTH,3,FALSE))</f>
        <v/>
      </c>
      <c r="E464" s="165"/>
      <c r="F464" s="272" t="str" cm="1">
        <f t="array" ca="1" aca="1" ref="F464">IF(B464="Delete","",INDIRECT("CurrentPlans!A"&amp;B464,TRUE))</f>
        <v/>
      </c>
      <c r="G464" s="166"/>
      <c r="H464" s="167"/>
      <c r="I464" s="168"/>
      <c r="J464" s="169"/>
      <c r="K464"/>
      <c r="L464" s="274" t="str">
        <f ca="1">_xlfn.IFNA(VLOOKUP(F464,BEGIN_RENEWEDFROM_HEALTH:ROW_RenewHealth_PlanID,3,FALSE),"SELECT PLAN")</f>
        <v>SELECT PLAN</v>
      </c>
      <c r="M464" s="170"/>
      <c r="N464" s="274" t="s">
        <v>237</v>
      </c>
      <c r="O464" s="171"/>
      <c r="P464" s="171"/>
      <c r="Q464" s="171"/>
      <c r="R464" s="169"/>
      <c r="T464" s="274" t="s">
        <v>38</v>
      </c>
      <c r="U464" s="170"/>
      <c r="V464" s="274" t="s">
        <v>237</v>
      </c>
      <c r="W464" s="171"/>
      <c r="X464" s="171"/>
      <c r="Y464" s="171"/>
      <c r="Z464" s="169"/>
    </row>
    <row r="465" spans="1:26" ht="18.75" customHeight="1">
      <c r="A465" s="140"/>
      <c r="B465" s="140"/>
      <c r="D465" s="172" t="s">
        <v>238</v>
      </c>
      <c r="E465" s="407" t="str">
        <f ca="1">_xlfn.IFNA(VLOOKUP(F464,BEGIN_CURRENT_HEALTH:END_CURRENT_HEALTH,CURRENT_COL_EO_count,FALSE),"")</f>
        <v/>
      </c>
      <c r="F465" s="408" t="str">
        <f ca="1">_xlfn.IFNA(VLOOKUP(F464,BEGIN_CURRENT_HEALTH:END_CURRENT_HEALTH,CURRENT_COL_EO,FALSE),"")</f>
        <v/>
      </c>
      <c r="G465" s="468" t="str">
        <f ca="1" t="shared" si="45" ref="G465:G468">IF(F465="","",H465/F465)</f>
        <v/>
      </c>
      <c r="H465" s="408" t="str">
        <f ca="1">_xlfn.IFNA(VLOOKUP(F464,BEGIN_CURRENT_HEALTH:END_CURRENT_HEALTH,CURRENT_COL_EOContrib,FALSE),"")</f>
        <v/>
      </c>
      <c r="I465" s="409" t="str">
        <f ca="1">IFERROR(F465-H465,"")</f>
        <v/>
      </c>
      <c r="J465" s="410" t="str">
        <f ca="1">IF(F465="","",H465*E465)</f>
        <v/>
      </c>
      <c r="K465" s="411"/>
      <c r="L465" s="408" t="str" cm="1">
        <f t="array" ca="1" aca="1" ref="L465">_xlfn.IFNA(VLOOKUP(INDIRECT("L"&amp;ROW()-1)&amp;"_"&amp;$D$12,BEGIN_RENEW_HEALTH:END_RENEW_HEALTH,RENEW_COL_EO,FALSE),"")</f>
        <v/>
      </c>
      <c r="M465" s="412" t="str">
        <f ca="1">IF(E465="","",E465)</f>
        <v/>
      </c>
      <c r="N465" s="413"/>
      <c r="O465" s="414"/>
      <c r="P465" s="415" t="str">
        <f>IFERROR(IF($N464="Keep Contribution Same",H465,IF($N464="Enter Percentages",IF(N465="","",N465*L465),IF($N464="Keep Percentage Same",IF(G465="","",G465*L465),IF($N464="Enter Dollar Amount",IF(O465="","",O465),"")))),"")</f>
        <v/>
      </c>
      <c r="Q465" s="408" t="str">
        <f ca="1">IFERROR(L465-P465,"")</f>
        <v/>
      </c>
      <c r="R465" s="410" t="str">
        <f>IFERROR(IF(P465="","",M465*P465),"")</f>
        <v/>
      </c>
      <c r="S465" s="411"/>
      <c r="T465" s="408" t="str" cm="1">
        <f t="array" ca="1" aca="1" ref="T465">_xlfn.IFNA(VLOOKUP(INDIRECT("T"&amp;ROW()-1)&amp;"_"&amp;$D$12,BEGIN_RENEW_HEALTH:END_RENEW_HEALTH,RENEW_COL_EO,FALSE),"")</f>
        <v/>
      </c>
      <c r="U465" s="412" t="str">
        <f ca="1">IF(E465="","",E465)</f>
        <v/>
      </c>
      <c r="V465" s="413"/>
      <c r="W465" s="414"/>
      <c r="X465" s="415" t="str">
        <f>IFERROR(IF($V464="Keep Contribution Same",H465,IF($V464="Enter Percentages",IF(V465="","",V465*T465),IF($V464="Keep Percentage Same",IF(G465="","",G465*T465),IF($V464="Enter Dollar Amount",IF(W465="","",W465),"")))),"")</f>
        <v/>
      </c>
      <c r="Y465" s="408" t="str">
        <f ca="1">IFERROR(T465-X465,"")</f>
        <v/>
      </c>
      <c r="Z465" s="410" t="str">
        <f>IFERROR(IF(X465="","",U465*X465),"")</f>
        <v/>
      </c>
    </row>
    <row r="466" spans="1:26" ht="18.75" customHeight="1">
      <c r="A466" s="140"/>
      <c r="B466" s="140"/>
      <c r="D466" s="172" t="s">
        <v>239</v>
      </c>
      <c r="E466" s="407" t="str">
        <f ca="1">_xlfn.IFNA(VLOOKUP(F464,BEGIN_CURRENT_HEALTH:END_CURRENT_HEALTH,CURRENT_COL_ES_count,FALSE),"")</f>
        <v/>
      </c>
      <c r="F466" s="408" t="str">
        <f ca="1">_xlfn.IFNA(VLOOKUP(F464,BEGIN_CURRENT_HEALTH:END_CURRENT_HEALTH,CURRENT_COL_ES,FALSE),"")</f>
        <v/>
      </c>
      <c r="G466" s="468" t="str">
        <f t="shared" ca="1" si="45"/>
        <v/>
      </c>
      <c r="H466" s="408" t="str">
        <f ca="1">_xlfn.IFNA(VLOOKUP(F464,BEGIN_CURRENT_HEALTH:END_CURRENT_HEALTH,CURRENT_COL_ESContrib,FALSE),"")</f>
        <v/>
      </c>
      <c r="I466" s="409" t="str">
        <f ca="1" t="shared" si="46" ref="I466:I468">IFERROR(F466-H466,"")</f>
        <v/>
      </c>
      <c r="J466" s="410" t="str">
        <f ca="1">IF(F466="","",H466*E466)</f>
        <v/>
      </c>
      <c r="K466" s="411"/>
      <c r="L466" s="408" t="str" cm="1">
        <f t="array" ca="1" aca="1" ref="L466">_xlfn.IFNA(VLOOKUP(INDIRECT("L"&amp;ROW()-2)&amp;"_"&amp;$D$12,BEGIN_RENEW_HEALTH:END_RENEW_HEALTH,RENEW_COL_ES,FALSE),"")</f>
        <v/>
      </c>
      <c r="M466" s="412" t="str">
        <f ca="1">IF(E466="","",E466)</f>
        <v/>
      </c>
      <c r="N466" s="413"/>
      <c r="O466" s="414"/>
      <c r="P466" s="415" t="str">
        <f>IFERROR(IF($N464="Keep Contribution Same",H466,IF($N464="Enter Percentages",IF(N466="","",N466*L466),IF($N464="Keep Percentage Same",IF(G466="","",G466*L466),IF($N464="Enter Dollar Amount",IF(O466="","",O466),"")))),"")</f>
        <v/>
      </c>
      <c r="Q466" s="408" t="str">
        <f ca="1">IFERROR(L466-P466,"")</f>
        <v/>
      </c>
      <c r="R466" s="410" t="str">
        <f>IFERROR(IF(P466="","",M466*P466),"")</f>
        <v/>
      </c>
      <c r="S466" s="411"/>
      <c r="T466" s="408" t="str" cm="1">
        <f t="array" ca="1" aca="1" ref="T466">_xlfn.IFNA(VLOOKUP(INDIRECT("T"&amp;ROW()-2)&amp;"_"&amp;$D$12,BEGIN_RENEW_HEALTH:END_RENEW_HEALTH,RENEW_COL_ES,FALSE),"")</f>
        <v/>
      </c>
      <c r="U466" s="412" t="str">
        <f ca="1" t="shared" si="47" ref="U466:U468">IF(E466="","",E466)</f>
        <v/>
      </c>
      <c r="V466" s="413"/>
      <c r="W466" s="414"/>
      <c r="X466" s="415" t="str">
        <f>IFERROR(IF($V464="Keep Contribution Same",H466,IF($V464="Enter Percentages",IF(V466="","",V466*T466),IF($V464="Keep Percentage Same",IF(G466="","",G466*T466),IF($V464="Enter Dollar Amount",IF(W466="","",W466),"")))),"")</f>
        <v/>
      </c>
      <c r="Y466" s="408" t="str">
        <f ca="1" t="shared" si="48" ref="Y466:Y468">IFERROR(T466-X466,"")</f>
        <v/>
      </c>
      <c r="Z466" s="410" t="str">
        <f t="shared" si="49" ref="Z466:Z468">IFERROR(IF(X466="","",U466*X466),"")</f>
        <v/>
      </c>
    </row>
    <row r="467" spans="1:26" ht="18.75" customHeight="1">
      <c r="A467" s="140"/>
      <c r="B467" s="140"/>
      <c r="D467" s="172" t="s">
        <v>240</v>
      </c>
      <c r="E467" s="407" t="str">
        <f ca="1">_xlfn.IFNA(VLOOKUP(F464,BEGIN_CURRENT_HEALTH:END_CURRENT_HEALTH,CURRENT_COL_EC_count,FALSE),"")</f>
        <v/>
      </c>
      <c r="F467" s="408" t="str">
        <f ca="1">_xlfn.IFNA(VLOOKUP(F464,BEGIN_CURRENT_HEALTH:END_CURRENT_HEALTH,CURRENT_COL_EC,FALSE),"")</f>
        <v/>
      </c>
      <c r="G467" s="468" t="str">
        <f t="shared" ca="1" si="45"/>
        <v/>
      </c>
      <c r="H467" s="408" t="str">
        <f ca="1">_xlfn.IFNA(VLOOKUP(F464,BEGIN_CURRENT_HEALTH:END_CURRENT_HEALTH,CURRENT_COL_ECContrib,FALSE),"")</f>
        <v/>
      </c>
      <c r="I467" s="409" t="str">
        <f t="shared" ca="1" si="46"/>
        <v/>
      </c>
      <c r="J467" s="410" t="str">
        <f ca="1">IF(F467="","",H467*E467)</f>
        <v/>
      </c>
      <c r="K467" s="411"/>
      <c r="L467" s="408" t="str" cm="1">
        <f t="array" ca="1" aca="1" ref="L467">_xlfn.IFNA(VLOOKUP(INDIRECT("L"&amp;ROW()-3)&amp;"_"&amp;$D$12,BEGIN_RENEW_HEALTH:END_RENEW_HEALTH,RENEW_COL_EC,FALSE),"")</f>
        <v/>
      </c>
      <c r="M467" s="412" t="str">
        <f ca="1">IF(E467="","",E467)</f>
        <v/>
      </c>
      <c r="N467" s="413"/>
      <c r="O467" s="414"/>
      <c r="P467" s="415" t="str">
        <f>IFERROR(IF($N464="Keep Contribution Same",H467,IF($N464="Enter Percentages",IF(N467="","",N467*L467),IF($N464="Keep Percentage Same",IF(G467="","",G467*L467),IF($N464="Enter Dollar Amount",IF(O467="","",O467),"")))),"")</f>
        <v/>
      </c>
      <c r="Q467" s="408" t="str">
        <f ca="1">IFERROR(L467-P467,"")</f>
        <v/>
      </c>
      <c r="R467" s="410" t="str">
        <f>IFERROR(IF(P467="","",M467*P467),"")</f>
        <v/>
      </c>
      <c r="S467" s="411"/>
      <c r="T467" s="408" t="str" cm="1">
        <f t="array" ca="1" aca="1" ref="T467">_xlfn.IFNA(VLOOKUP(INDIRECT("T"&amp;ROW()-3)&amp;"_"&amp;$D$12,BEGIN_RENEW_HEALTH:END_RENEW_HEALTH,RENEW_COL_EC,FALSE),"")</f>
        <v/>
      </c>
      <c r="U467" s="412" t="str">
        <f t="shared" ca="1" si="47"/>
        <v/>
      </c>
      <c r="V467" s="413"/>
      <c r="W467" s="414"/>
      <c r="X467" s="415" t="str">
        <f>IFERROR(IF($V464="Keep Contribution Same",H467,IF($V464="Enter Percentages",IF(V467="","",V467*T467),IF($V464="Keep Percentage Same",IF(G467="","",G467*T467),IF($V464="Enter Dollar Amount",IF(W467="","",W467),"")))),"")</f>
        <v/>
      </c>
      <c r="Y467" s="408" t="str">
        <f t="shared" ca="1" si="48"/>
        <v/>
      </c>
      <c r="Z467" s="410" t="str">
        <f t="shared" si="49"/>
        <v/>
      </c>
    </row>
    <row r="468" spans="1:26" ht="18.75" customHeight="1" thickBot="1">
      <c r="A468" s="140"/>
      <c r="B468" s="140"/>
      <c r="D468" s="174" t="s">
        <v>241</v>
      </c>
      <c r="E468" s="416" t="str">
        <f ca="1">_xlfn.IFNA(VLOOKUP(F464,BEGIN_CURRENT_HEALTH:END_CURRENT_HEALTH,CURRENT_COL_FAM_count,FALSE),"")</f>
        <v/>
      </c>
      <c r="F468" s="417" t="str">
        <f ca="1">_xlfn.IFNA(VLOOKUP(F464,BEGIN_CURRENT_HEALTH:END_CURRENT_HEALTH,CURRENT_COL_FAM,FALSE),"")</f>
        <v/>
      </c>
      <c r="G468" s="469" t="str">
        <f t="shared" ca="1" si="45"/>
        <v/>
      </c>
      <c r="H468" s="417" t="str">
        <f ca="1">_xlfn.IFNA(VLOOKUP(F464,BEGIN_CURRENT_HEALTH:END_CURRENT_HEALTH,CURRENT_COL_FAMContrib,FALSE),"")</f>
        <v/>
      </c>
      <c r="I468" s="418" t="str">
        <f t="shared" ca="1" si="46"/>
        <v/>
      </c>
      <c r="J468" s="419" t="str">
        <f ca="1">IF(F468="","",H468*E468)</f>
        <v/>
      </c>
      <c r="K468" s="411"/>
      <c r="L468" s="417" t="str" cm="1">
        <f t="array" ca="1" aca="1" ref="L468">_xlfn.IFNA(VLOOKUP(INDIRECT("L"&amp;ROW()-4)&amp;"_"&amp;$D$12,BEGIN_RENEW_HEALTH:END_RENEW_HEALTH,RENEW_COL_FAM,FALSE),"")</f>
        <v/>
      </c>
      <c r="M468" s="423" t="str">
        <f ca="1">IF(E468="","",E468)</f>
        <v/>
      </c>
      <c r="N468" s="420"/>
      <c r="O468" s="421"/>
      <c r="P468" s="422" t="str">
        <f>IFERROR(IF($N464="Keep Contribution Same",H468,IF($N464="Enter Percentages",IF(N468="","",N468*L468),IF($N464="Keep Percentage Same",IF(G468="","",G468*L468),IF($N464="Enter Dollar Amount",IF(O468="","",O468),"")))),"")</f>
        <v/>
      </c>
      <c r="Q468" s="417" t="str">
        <f ca="1">IFERROR(L468-P468,"")</f>
        <v/>
      </c>
      <c r="R468" s="419" t="str">
        <f>IFERROR(IF(P468="","",M468*P468),"")</f>
        <v/>
      </c>
      <c r="S468" s="411"/>
      <c r="T468" s="417" t="str" cm="1">
        <f t="array" ca="1" aca="1" ref="T468">_xlfn.IFNA(VLOOKUP(INDIRECT("T"&amp;ROW()-4)&amp;"_"&amp;$D$12,BEGIN_RENEW_HEALTH:END_RENEW_HEALTH,RENEW_COL_FAM,FALSE),"")</f>
        <v/>
      </c>
      <c r="U468" s="423" t="str">
        <f t="shared" ca="1" si="47"/>
        <v/>
      </c>
      <c r="V468" s="420"/>
      <c r="W468" s="421"/>
      <c r="X468" s="422" t="str">
        <f>IFERROR(IF($V464="Keep Contribution Same",H468,IF($V464="Enter Percentages",IF(V468="","",V468*T468),IF($V464="Keep Percentage Same",IF(G468="","",G468*T468),IF($V464="Enter Dollar Amount",IF(W468="","",W468),"")))),"")</f>
        <v/>
      </c>
      <c r="Y468" s="417" t="str">
        <f t="shared" ca="1" si="48"/>
        <v/>
      </c>
      <c r="Z468" s="419" t="str">
        <f t="shared" si="49"/>
        <v/>
      </c>
    </row>
    <row r="469" spans="1:26" ht="19.5" customHeight="1" thickTop="1">
      <c r="A469" s="140"/>
      <c r="B469" s="140"/>
      <c r="D469" s="175" t="s">
        <v>242</v>
      </c>
      <c r="E469" s="424"/>
      <c r="F469" s="447" t="str">
        <f ca="1">IFERROR((F465*E465)+(F466*E466)+(F467*E467)+(F468*E468),"")</f>
        <v/>
      </c>
      <c r="G469" s="426"/>
      <c r="H469" s="427"/>
      <c r="I469" s="428"/>
      <c r="J469" s="429" t="str">
        <f ca="1">IFERROR(IF(J465="","",SUM(J465:J468)),0)</f>
        <v/>
      </c>
      <c r="K469" s="1"/>
      <c r="L469" s="430" t="str">
        <f ca="1">IFERROR((M465*L465)+(M466*L466)+(M467*L467)+(M468*L468),"")</f>
        <v/>
      </c>
      <c r="M469" s="427"/>
      <c r="N469" s="426"/>
      <c r="O469" s="427"/>
      <c r="P469" s="431"/>
      <c r="Q469" s="432"/>
      <c r="R469" s="429" t="str">
        <f>IFERROR(IF(R465="","",SUM(R465:R468)),0)</f>
        <v/>
      </c>
      <c r="T469" s="430" t="str">
        <f ca="1">IFERROR((U465*T465)+(U466*T466)+(U467*T467)+(U468*T468),"")</f>
        <v/>
      </c>
      <c r="U469" s="427"/>
      <c r="V469" s="426"/>
      <c r="W469" s="427"/>
      <c r="X469" s="431"/>
      <c r="Y469" s="432"/>
      <c r="Z469" s="429" t="str">
        <f>IFERROR(IF(Z465="","",SUM(Z465:Z468)),0)</f>
        <v/>
      </c>
    </row>
    <row r="470" spans="1:26" ht="19.5" customHeight="1">
      <c r="A470" s="140"/>
      <c r="B470" s="140"/>
      <c r="D470" s="177" t="s">
        <v>243</v>
      </c>
      <c r="E470" s="433"/>
      <c r="F470" s="448" t="str">
        <f ca="1">IFERROR(F469*12,"")</f>
        <v/>
      </c>
      <c r="G470" s="435"/>
      <c r="H470" s="436"/>
      <c r="I470" s="432"/>
      <c r="J470" s="437" t="str">
        <f ca="1">IF(J469="","",J469*12)</f>
        <v/>
      </c>
      <c r="K470" s="1"/>
      <c r="L470" s="438" t="str">
        <f ca="1">IFERROR(L469*12,"")</f>
        <v/>
      </c>
      <c r="M470" s="436"/>
      <c r="N470" s="435"/>
      <c r="O470" s="436"/>
      <c r="P470" s="432"/>
      <c r="Q470" s="432"/>
      <c r="R470" s="437" t="str">
        <f>IF(R469="","",R469*12)</f>
        <v/>
      </c>
      <c r="T470" s="438" t="str">
        <f ca="1">IFERROR(T469*12,"")</f>
        <v/>
      </c>
      <c r="U470" s="436"/>
      <c r="V470" s="435"/>
      <c r="W470" s="436"/>
      <c r="X470" s="432"/>
      <c r="Y470" s="432"/>
      <c r="Z470" s="437" t="str">
        <f>IF(Z469="","",Z469*12)</f>
        <v/>
      </c>
    </row>
    <row r="471" spans="1:26" ht="18" customHeight="1">
      <c r="A471" s="140"/>
      <c r="B471" s="140"/>
      <c r="D471" s="177" t="s">
        <v>244</v>
      </c>
      <c r="E471" s="433"/>
      <c r="F471" s="436"/>
      <c r="G471" s="435"/>
      <c r="H471" s="436"/>
      <c r="I471" s="432"/>
      <c r="J471" s="437"/>
      <c r="K471" s="1"/>
      <c r="L471" s="434" t="str">
        <f ca="1">IFERROR(L470-F470,"")</f>
        <v/>
      </c>
      <c r="M471" s="436"/>
      <c r="N471" s="435"/>
      <c r="O471" s="436"/>
      <c r="P471" s="432"/>
      <c r="Q471" s="432"/>
      <c r="R471" s="437" t="str">
        <f ca="1">IFERROR(IF(J470="","",R470-J470),0)</f>
        <v/>
      </c>
      <c r="T471" s="434" t="str">
        <f ca="1">IFERROR(T470-F470,"")</f>
        <v/>
      </c>
      <c r="U471" s="436"/>
      <c r="V471" s="435"/>
      <c r="W471" s="436"/>
      <c r="X471" s="432"/>
      <c r="Y471" s="432"/>
      <c r="Z471" s="437" t="str">
        <f>IFERROR(IF(R470="","",Z470-R470),0)</f>
        <v/>
      </c>
    </row>
    <row r="472" spans="1:26" ht="18" customHeight="1" thickBot="1">
      <c r="A472" s="140"/>
      <c r="B472" s="140"/>
      <c r="D472" s="180" t="s">
        <v>245</v>
      </c>
      <c r="E472" s="439"/>
      <c r="F472" s="440"/>
      <c r="G472" s="441"/>
      <c r="H472" s="440"/>
      <c r="I472" s="442"/>
      <c r="J472" s="443"/>
      <c r="K472" s="1"/>
      <c r="L472" s="444" t="str">
        <f ca="1">IFERROR(L470/F470-1,"")</f>
        <v/>
      </c>
      <c r="M472" s="440"/>
      <c r="N472" s="441"/>
      <c r="O472" s="440"/>
      <c r="P472" s="445"/>
      <c r="Q472" s="445"/>
      <c r="R472" s="446" t="str">
        <f ca="1">IFERROR(IF(J470="","",(R470/J470)-1),0)</f>
        <v/>
      </c>
      <c r="T472" s="444" t="str">
        <f ca="1">IFERROR(T470/F470-1,"")</f>
        <v/>
      </c>
      <c r="U472" s="440"/>
      <c r="V472" s="441"/>
      <c r="W472" s="440"/>
      <c r="X472" s="445"/>
      <c r="Y472" s="445"/>
      <c r="Z472" s="446" t="str">
        <f>IFERROR(IF(R470="","",(Z470/R470)-1),0)</f>
        <v/>
      </c>
    </row>
    <row r="473" spans="1:26" ht="18" customHeight="1">
      <c r="A473" s="140"/>
      <c r="B473" s="140"/>
      <c r="D473" s="181" t="s">
        <v>246</v>
      </c>
      <c r="E473" s="182"/>
      <c r="F473" s="182"/>
      <c r="G473" s="182"/>
      <c r="H473" s="182"/>
      <c r="I473" s="182"/>
      <c r="J473" s="183"/>
      <c r="K473"/>
      <c r="L473" s="184"/>
      <c r="M473" s="182"/>
      <c r="N473" s="182"/>
      <c r="O473" s="182"/>
      <c r="P473" s="182"/>
      <c r="Q473" s="182"/>
      <c r="R473" s="183"/>
      <c r="T473" s="184"/>
      <c r="U473" s="182"/>
      <c r="V473" s="182"/>
      <c r="W473" s="182"/>
      <c r="X473" s="182"/>
      <c r="Y473" s="182"/>
      <c r="Z473" s="183"/>
    </row>
    <row r="474" spans="1:26" ht="18" customHeight="1" hidden="1">
      <c r="A474" s="140"/>
      <c r="B474" s="140"/>
      <c r="D474" s="185" t="s">
        <v>247</v>
      </c>
      <c r="E474" s="186"/>
      <c r="F474" s="186"/>
      <c r="G474" s="186"/>
      <c r="H474" s="186"/>
      <c r="I474" s="186"/>
      <c r="J474" s="187"/>
      <c r="K474"/>
      <c r="L474" s="188"/>
      <c r="M474" s="186"/>
      <c r="N474" s="186"/>
      <c r="O474" s="186"/>
      <c r="P474" s="186"/>
      <c r="Q474" s="186"/>
      <c r="R474" s="187"/>
      <c r="T474" s="188"/>
      <c r="U474" s="186"/>
      <c r="V474" s="186"/>
      <c r="W474" s="186"/>
      <c r="X474" s="186"/>
      <c r="Y474" s="186"/>
      <c r="Z474" s="187"/>
    </row>
    <row r="475" spans="1:26" ht="18" customHeight="1" hidden="1">
      <c r="A475" s="140"/>
      <c r="B475" s="140"/>
      <c r="D475" s="189" t="s">
        <v>248</v>
      </c>
      <c r="E475" s="190" t="str">
        <f>D464&amp;"_"&amp;D12</f>
        <v>_</v>
      </c>
      <c r="F475" s="191"/>
      <c r="G475" s="191"/>
      <c r="H475" s="191"/>
      <c r="I475" s="190"/>
      <c r="J475" s="192"/>
      <c r="K475"/>
      <c r="L475" s="193" t="str">
        <f ca="1">L464&amp;"_"&amp;D12</f>
        <v>SELECT PLAN_</v>
      </c>
      <c r="M475" s="191"/>
      <c r="N475" s="191"/>
      <c r="O475" s="191"/>
      <c r="P475" s="190"/>
      <c r="Q475" s="191"/>
      <c r="R475" s="192"/>
      <c r="T475" s="193" t="str">
        <f>T464&amp;"_"&amp;D12</f>
        <v>SELECT PLAN_</v>
      </c>
      <c r="U475" s="191"/>
      <c r="V475" s="191"/>
      <c r="W475" s="191"/>
      <c r="X475" s="190"/>
      <c r="Y475" s="191"/>
      <c r="Z475" s="192"/>
    </row>
    <row r="476" spans="1:26" ht="18" customHeight="1" hidden="1">
      <c r="A476" s="140"/>
      <c r="B476" s="140"/>
      <c r="D476" s="189" t="s">
        <v>249</v>
      </c>
      <c r="E476" s="191"/>
      <c r="F476" s="191"/>
      <c r="G476" s="191"/>
      <c r="H476" s="191"/>
      <c r="I476" s="191"/>
      <c r="J476" s="192"/>
      <c r="K476"/>
      <c r="L476" s="189"/>
      <c r="M476" s="191"/>
      <c r="N476" s="191"/>
      <c r="O476" s="191"/>
      <c r="P476" s="191"/>
      <c r="Q476" s="191"/>
      <c r="R476" s="192"/>
      <c r="T476" s="189"/>
      <c r="U476" s="191"/>
      <c r="V476" s="191"/>
      <c r="W476" s="191"/>
      <c r="X476" s="191"/>
      <c r="Y476" s="191"/>
      <c r="Z476" s="192"/>
    </row>
    <row r="477" spans="1:26" ht="18" customHeight="1" hidden="1">
      <c r="A477" s="140"/>
      <c r="B477" s="140"/>
      <c r="D477" s="194" t="s">
        <v>250</v>
      </c>
      <c r="E477" s="195"/>
      <c r="F477" s="195"/>
      <c r="G477" s="195"/>
      <c r="H477" s="195"/>
      <c r="I477" s="195"/>
      <c r="J477" s="196"/>
      <c r="K477"/>
      <c r="L477" s="197"/>
      <c r="M477" s="195"/>
      <c r="N477" s="195"/>
      <c r="O477" s="195"/>
      <c r="P477" s="195"/>
      <c r="Q477" s="195"/>
      <c r="R477" s="196"/>
      <c r="T477" s="197"/>
      <c r="U477" s="195"/>
      <c r="V477" s="195"/>
      <c r="W477" s="195"/>
      <c r="X477" s="195"/>
      <c r="Y477" s="195"/>
      <c r="Z477" s="196"/>
    </row>
    <row r="478" spans="1:26" ht="18" customHeight="1" hidden="1">
      <c r="A478" s="140"/>
      <c r="B478" s="140"/>
      <c r="D478" s="198" t="s">
        <v>251</v>
      </c>
      <c r="E478" s="199" t="str">
        <f>_xlfn.XLOOKUP(E475,CurrentPlans!B:B,CurrentPlans!X:X,"NA",0,1)</f>
        <v>NA</v>
      </c>
      <c r="F478" s="200"/>
      <c r="G478" s="200"/>
      <c r="H478" s="200"/>
      <c r="I478" s="199"/>
      <c r="J478" s="201"/>
      <c r="K478"/>
      <c r="L478" s="202" t="str">
        <f ca="1">_xlfn.XLOOKUP(L475,RenewalPlans!B:B,RenewalPlans!AA:AA,"NA",0,1)</f>
        <v>NA</v>
      </c>
      <c r="M478" s="200"/>
      <c r="N478" s="200"/>
      <c r="O478" s="200"/>
      <c r="P478" s="199"/>
      <c r="Q478" s="200"/>
      <c r="R478" s="201"/>
      <c r="T478" s="202" t="str">
        <f>_xlfn.XLOOKUP(T475,RenewalPlans!B:B,RenewalPlans!AA:AA,"NA",0,1)</f>
        <v>NA</v>
      </c>
      <c r="U478" s="200"/>
      <c r="V478" s="200"/>
      <c r="W478" s="200"/>
      <c r="X478" s="199"/>
      <c r="Y478" s="200"/>
      <c r="Z478" s="201"/>
    </row>
    <row r="479" spans="1:26" ht="18" customHeight="1" hidden="1">
      <c r="A479" s="140"/>
      <c r="B479" s="140"/>
      <c r="D479" s="198" t="s">
        <v>252</v>
      </c>
      <c r="E479" s="199" t="str">
        <f>_xlfn.XLOOKUP(E475,CurrentPlans!B:B,CurrentPlans!Y:Y,"NA",0,1)</f>
        <v>NA</v>
      </c>
      <c r="F479" s="200"/>
      <c r="G479" s="200"/>
      <c r="H479" s="200"/>
      <c r="I479" s="199"/>
      <c r="J479" s="201"/>
      <c r="K479"/>
      <c r="L479" s="202" t="str">
        <f ca="1">_xlfn.XLOOKUP(L475,RenewalPlans!B:B,RenewalPlans!AB:AB,"NA",0,1)</f>
        <v>NA</v>
      </c>
      <c r="M479" s="200"/>
      <c r="N479" s="200"/>
      <c r="O479" s="200"/>
      <c r="P479" s="199"/>
      <c r="Q479" s="200"/>
      <c r="R479" s="201"/>
      <c r="T479" s="202" t="str">
        <f>_xlfn.XLOOKUP(T475,RenewalPlans!B:B,RenewalPlans!AB:AB,"NA",0,1)</f>
        <v>NA</v>
      </c>
      <c r="U479" s="200"/>
      <c r="V479" s="200"/>
      <c r="W479" s="200"/>
      <c r="X479" s="199"/>
      <c r="Y479" s="200"/>
      <c r="Z479" s="201"/>
    </row>
    <row r="480" spans="1:26" ht="18" customHeight="1" hidden="1">
      <c r="A480" s="140"/>
      <c r="B480" s="140"/>
      <c r="D480" s="120" t="s">
        <v>253</v>
      </c>
      <c r="E480" s="121" t="str">
        <f>_xlfn.XLOOKUP(E475,CurrentPlans!B:B,CurrentPlans!W:W,"NA",0,1)</f>
        <v>NA</v>
      </c>
      <c r="F480" s="122"/>
      <c r="G480" s="122"/>
      <c r="H480" s="122"/>
      <c r="I480" s="121"/>
      <c r="J480" s="123"/>
      <c r="K480"/>
      <c r="L480" s="124" t="str">
        <f ca="1">_xlfn.XLOOKUP(L475,RenewalPlans!B:B,RenewalPlans!Z:Z,"NA",0,1)</f>
        <v>NA</v>
      </c>
      <c r="M480" s="122"/>
      <c r="N480" s="122"/>
      <c r="O480" s="122"/>
      <c r="P480" s="121"/>
      <c r="Q480" s="122"/>
      <c r="R480" s="123"/>
      <c r="T480" s="124" t="str">
        <f>_xlfn.XLOOKUP(T475,RenewalPlans!B:B,RenewalPlans!Z:Z,"NA",0,1)</f>
        <v>NA</v>
      </c>
      <c r="U480" s="122"/>
      <c r="V480" s="122"/>
      <c r="W480" s="122"/>
      <c r="X480" s="121"/>
      <c r="Y480" s="122"/>
      <c r="Z480" s="123"/>
    </row>
    <row r="481" spans="1:26" ht="18" customHeight="1" hidden="1">
      <c r="A481" s="140"/>
      <c r="B481" s="140"/>
      <c r="D481" s="203" t="s">
        <v>254</v>
      </c>
      <c r="E481" s="204"/>
      <c r="F481" s="205"/>
      <c r="G481" s="205"/>
      <c r="H481" s="205"/>
      <c r="I481" s="204"/>
      <c r="J481" s="206"/>
      <c r="K481"/>
      <c r="L481" s="207"/>
      <c r="M481" s="205"/>
      <c r="N481" s="205"/>
      <c r="O481" s="205"/>
      <c r="P481" s="204"/>
      <c r="Q481" s="205"/>
      <c r="R481" s="206"/>
      <c r="T481" s="207"/>
      <c r="U481" s="205"/>
      <c r="V481" s="205"/>
      <c r="W481" s="205"/>
      <c r="X481" s="204"/>
      <c r="Y481" s="205"/>
      <c r="Z481" s="206"/>
    </row>
    <row r="482" spans="1:26" ht="18" customHeight="1" hidden="1">
      <c r="A482" s="140"/>
      <c r="B482" s="140"/>
      <c r="D482" s="125" t="s">
        <v>255</v>
      </c>
      <c r="E482" s="126" t="str">
        <f>_xlfn.XLOOKUP(E475,CurrentPlans!B:B,CurrentPlans!Z:Z,"NA",0,1)</f>
        <v>NA</v>
      </c>
      <c r="F482" s="127"/>
      <c r="G482" s="127"/>
      <c r="H482" s="127"/>
      <c r="I482" s="126"/>
      <c r="J482" s="128"/>
      <c r="K482"/>
      <c r="L482" s="129" t="str">
        <f ca="1">_xlfn.XLOOKUP(L475,RenewalPlans!B:B,RenewalPlans!AC:AC,"NA",0,1)</f>
        <v>NA</v>
      </c>
      <c r="M482" s="127"/>
      <c r="N482" s="127"/>
      <c r="O482" s="127"/>
      <c r="P482" s="126"/>
      <c r="Q482" s="127"/>
      <c r="R482" s="128"/>
      <c r="T482" s="129" t="str">
        <f>_xlfn.XLOOKUP(T475,RenewalPlans!B:B,RenewalPlans!AC:AC,"NA",0,1)</f>
        <v>NA</v>
      </c>
      <c r="U482" s="127"/>
      <c r="V482" s="127"/>
      <c r="W482" s="127"/>
      <c r="X482" s="126"/>
      <c r="Y482" s="127"/>
      <c r="Z482" s="128"/>
    </row>
    <row r="483" spans="1:26" ht="18" customHeight="1" hidden="1">
      <c r="A483" s="140"/>
      <c r="B483" s="140"/>
      <c r="D483" s="198" t="s">
        <v>256</v>
      </c>
      <c r="E483" s="208" t="str">
        <f>_xlfn.XLOOKUP(E475,CurrentPlans!B:B,CurrentPlans!AA:AA,"NA",0,1)</f>
        <v>NA</v>
      </c>
      <c r="F483" s="200"/>
      <c r="G483" s="200"/>
      <c r="H483" s="200"/>
      <c r="I483" s="208"/>
      <c r="J483" s="201"/>
      <c r="K483"/>
      <c r="L483" s="209" t="str">
        <f ca="1">_xlfn.XLOOKUP(L475,RenewalPlans!B:B,RenewalPlans!AD:AD,"NA",0,1)</f>
        <v>NA</v>
      </c>
      <c r="M483" s="200"/>
      <c r="N483" s="200"/>
      <c r="O483" s="200"/>
      <c r="P483" s="208"/>
      <c r="Q483" s="200"/>
      <c r="R483" s="201"/>
      <c r="T483" s="209" t="str">
        <f>_xlfn.XLOOKUP(T475,RenewalPlans!B:B,RenewalPlans!AD:AD,"NA",0,1)</f>
        <v>NA</v>
      </c>
      <c r="U483" s="200"/>
      <c r="V483" s="200"/>
      <c r="W483" s="200"/>
      <c r="X483" s="208"/>
      <c r="Y483" s="200"/>
      <c r="Z483" s="201"/>
    </row>
    <row r="484" spans="1:26" ht="18" customHeight="1" hidden="1">
      <c r="A484" s="140"/>
      <c r="B484" s="140"/>
      <c r="D484" s="203" t="s">
        <v>257</v>
      </c>
      <c r="E484" s="204"/>
      <c r="F484" s="205"/>
      <c r="G484" s="205"/>
      <c r="H484" s="205"/>
      <c r="I484" s="204"/>
      <c r="J484" s="206"/>
      <c r="K484"/>
      <c r="L484" s="207"/>
      <c r="M484" s="205"/>
      <c r="N484" s="205"/>
      <c r="O484" s="205"/>
      <c r="P484" s="204"/>
      <c r="Q484" s="205"/>
      <c r="R484" s="206"/>
      <c r="T484" s="207"/>
      <c r="U484" s="205"/>
      <c r="V484" s="205"/>
      <c r="W484" s="205"/>
      <c r="X484" s="204"/>
      <c r="Y484" s="205"/>
      <c r="Z484" s="206"/>
    </row>
    <row r="485" spans="1:26" ht="18" customHeight="1" hidden="1">
      <c r="A485" s="140"/>
      <c r="B485" s="140"/>
      <c r="D485" s="198" t="s">
        <v>258</v>
      </c>
      <c r="E485" s="208" t="str">
        <f>_xlfn.XLOOKUP(E475,CurrentPlans!B:B,CurrentPlans!AB:AB,"NA",0,1)</f>
        <v>NA</v>
      </c>
      <c r="F485" s="200"/>
      <c r="G485" s="200"/>
      <c r="H485" s="200"/>
      <c r="I485" s="208"/>
      <c r="J485" s="201"/>
      <c r="K485"/>
      <c r="L485" s="209" t="str">
        <f ca="1">_xlfn.XLOOKUP(L475,RenewalPlans!B:B,RenewalPlans!AE:AE,"NA",0,1)</f>
        <v>NA</v>
      </c>
      <c r="M485" s="200"/>
      <c r="N485" s="200"/>
      <c r="O485" s="200"/>
      <c r="P485" s="208"/>
      <c r="Q485" s="200"/>
      <c r="R485" s="201"/>
      <c r="T485" s="209" t="str">
        <f>_xlfn.XLOOKUP(T475,RenewalPlans!B:B,RenewalPlans!AE:AE,"NA",0,1)</f>
        <v>NA</v>
      </c>
      <c r="U485" s="200"/>
      <c r="V485" s="200"/>
      <c r="W485" s="200"/>
      <c r="X485" s="208"/>
      <c r="Y485" s="200"/>
      <c r="Z485" s="201"/>
    </row>
    <row r="486" spans="1:26" ht="18" customHeight="1" hidden="1">
      <c r="A486" s="140"/>
      <c r="B486" s="140"/>
      <c r="D486" s="198" t="s">
        <v>259</v>
      </c>
      <c r="E486" s="208" t="str">
        <f>_xlfn.XLOOKUP(E475,CurrentPlans!B:B,CurrentPlans!AC:AC,"NA",0,1)</f>
        <v>NA</v>
      </c>
      <c r="F486" s="200"/>
      <c r="G486" s="200"/>
      <c r="H486" s="200"/>
      <c r="I486" s="208"/>
      <c r="J486" s="201"/>
      <c r="K486"/>
      <c r="L486" s="209" t="str">
        <f ca="1">_xlfn.XLOOKUP(L475,RenewalPlans!B:B,RenewalPlans!AF:AF,"NA",0,1)</f>
        <v>NA</v>
      </c>
      <c r="M486" s="200"/>
      <c r="N486" s="200"/>
      <c r="O486" s="200"/>
      <c r="P486" s="208"/>
      <c r="Q486" s="200"/>
      <c r="R486" s="201"/>
      <c r="T486" s="209" t="str">
        <f>_xlfn.XLOOKUP(T475,RenewalPlans!B:B,RenewalPlans!AF:AF,"NA",0,1)</f>
        <v>NA</v>
      </c>
      <c r="U486" s="200"/>
      <c r="V486" s="200"/>
      <c r="W486" s="200"/>
      <c r="X486" s="208"/>
      <c r="Y486" s="200"/>
      <c r="Z486" s="201"/>
    </row>
    <row r="487" spans="1:26" ht="18" customHeight="1" hidden="1">
      <c r="A487" s="140"/>
      <c r="B487" s="140"/>
      <c r="D487" s="210"/>
      <c r="E487" s="211"/>
      <c r="F487" s="211"/>
      <c r="G487" s="211"/>
      <c r="H487" s="211"/>
      <c r="I487" s="211"/>
      <c r="J487" s="212"/>
      <c r="K487"/>
      <c r="L487" s="210"/>
      <c r="M487" s="211"/>
      <c r="N487" s="211"/>
      <c r="O487" s="211"/>
      <c r="P487" s="211"/>
      <c r="Q487" s="211"/>
      <c r="R487" s="212"/>
      <c r="T487" s="210"/>
      <c r="U487" s="211"/>
      <c r="V487" s="211"/>
      <c r="W487" s="211"/>
      <c r="X487" s="211"/>
      <c r="Y487" s="211"/>
      <c r="Z487" s="212"/>
    </row>
    <row r="488" spans="1:26" ht="18" customHeight="1" hidden="1">
      <c r="A488" s="140"/>
      <c r="B488" s="140"/>
      <c r="D488" s="185" t="s">
        <v>260</v>
      </c>
      <c r="E488" s="186"/>
      <c r="F488" s="186"/>
      <c r="G488" s="186"/>
      <c r="H488" s="186"/>
      <c r="I488" s="186"/>
      <c r="J488" s="187"/>
      <c r="K488"/>
      <c r="L488" s="188"/>
      <c r="M488" s="186"/>
      <c r="N488" s="186"/>
      <c r="O488" s="186"/>
      <c r="P488" s="186"/>
      <c r="Q488" s="186"/>
      <c r="R488" s="187"/>
      <c r="T488" s="188"/>
      <c r="U488" s="186"/>
      <c r="V488" s="186"/>
      <c r="W488" s="186"/>
      <c r="X488" s="186"/>
      <c r="Y488" s="186"/>
      <c r="Z488" s="187"/>
    </row>
    <row r="489" spans="1:26" ht="18" customHeight="1" hidden="1">
      <c r="A489" s="140"/>
      <c r="B489" s="140"/>
      <c r="D489" s="213" t="s">
        <v>261</v>
      </c>
      <c r="E489" s="130" t="str">
        <f>_xlfn.XLOOKUP(E475,CurrentPlans!B:B,CurrentPlans!AJ:AJ,"NA",0,1)</f>
        <v>NA</v>
      </c>
      <c r="F489" s="214"/>
      <c r="G489" s="214"/>
      <c r="H489" s="214"/>
      <c r="I489" s="130"/>
      <c r="J489" s="215"/>
      <c r="K489"/>
      <c r="L489" s="131" t="str">
        <f ca="1">_xlfn.XLOOKUP(L475,RenewalPlans!B:B,RenewalPlans!AM:AM,"NA",0,1)</f>
        <v>NA</v>
      </c>
      <c r="M489" s="214"/>
      <c r="N489" s="214"/>
      <c r="O489" s="214"/>
      <c r="P489" s="130"/>
      <c r="Q489" s="214"/>
      <c r="R489" s="215"/>
      <c r="T489" s="131" t="str">
        <f>_xlfn.XLOOKUP(T475,RenewalPlans!B:B,RenewalPlans!AM:AM,"NA",0,1)</f>
        <v>NA</v>
      </c>
      <c r="U489" s="214"/>
      <c r="V489" s="214"/>
      <c r="W489" s="214"/>
      <c r="X489" s="130"/>
      <c r="Y489" s="214"/>
      <c r="Z489" s="215"/>
    </row>
    <row r="490" spans="1:26" ht="18" customHeight="1" hidden="1">
      <c r="A490" s="140"/>
      <c r="B490" s="140"/>
      <c r="D490" s="198" t="s">
        <v>262</v>
      </c>
      <c r="E490" s="130" t="str">
        <f>_xlfn.XLOOKUP(E475,CurrentPlans!B:B,CurrentPlans!AM:AM,"NA",0,1)</f>
        <v>NA</v>
      </c>
      <c r="F490" s="200"/>
      <c r="G490" s="200"/>
      <c r="H490" s="200"/>
      <c r="I490" s="130"/>
      <c r="J490" s="201"/>
      <c r="K490"/>
      <c r="L490" s="131" t="str">
        <f ca="1">_xlfn.XLOOKUP(L475,RenewalPlans!B:B,RenewalPlans!AP:AP,"NA",0,1)</f>
        <v>NA</v>
      </c>
      <c r="M490" s="200"/>
      <c r="N490" s="200"/>
      <c r="O490" s="200"/>
      <c r="P490" s="130"/>
      <c r="Q490" s="200"/>
      <c r="R490" s="201"/>
      <c r="T490" s="131" t="str">
        <f>_xlfn.XLOOKUP(T475,RenewalPlans!B:B,RenewalPlans!AP:AP,"NA",0,1)</f>
        <v>NA</v>
      </c>
      <c r="U490" s="200"/>
      <c r="V490" s="200"/>
      <c r="W490" s="200"/>
      <c r="X490" s="130"/>
      <c r="Y490" s="200"/>
      <c r="Z490" s="201"/>
    </row>
    <row r="491" spans="1:26" ht="18" customHeight="1" hidden="1">
      <c r="A491" s="140"/>
      <c r="B491" s="140"/>
      <c r="D491" s="198" t="s">
        <v>263</v>
      </c>
      <c r="E491" s="130" t="str">
        <f>_xlfn.XLOOKUP(E475,CurrentPlans!B:B,CurrentPlans!AI:AI,"NA",0,1)</f>
        <v>NA</v>
      </c>
      <c r="F491" s="200"/>
      <c r="G491" s="200"/>
      <c r="H491" s="200"/>
      <c r="I491" s="130"/>
      <c r="J491" s="201"/>
      <c r="K491"/>
      <c r="L491" s="131" t="str">
        <f ca="1">_xlfn.XLOOKUP(L475,RenewalPlans!B:B,RenewalPlans!AL:AL,"NA",0,1)</f>
        <v>NA</v>
      </c>
      <c r="M491" s="200"/>
      <c r="N491" s="200"/>
      <c r="O491" s="200"/>
      <c r="P491" s="130"/>
      <c r="Q491" s="200"/>
      <c r="R491" s="201"/>
      <c r="T491" s="131" t="str">
        <f>_xlfn.XLOOKUP(T475,RenewalPlans!B:B,RenewalPlans!AL:AL,"NA",0,1)</f>
        <v>NA</v>
      </c>
      <c r="U491" s="200"/>
      <c r="V491" s="200"/>
      <c r="W491" s="200"/>
      <c r="X491" s="130"/>
      <c r="Y491" s="200"/>
      <c r="Z491" s="201"/>
    </row>
    <row r="492" spans="1:26" ht="18" customHeight="1" hidden="1">
      <c r="A492" s="140"/>
      <c r="B492" s="140"/>
      <c r="D492" s="198" t="s">
        <v>264</v>
      </c>
      <c r="E492" s="208" t="str">
        <f>_xlfn.XLOOKUP(E475,CurrentPlans!B:B,CurrentPlans!AN:AN,"NA",0,1)</f>
        <v>NA</v>
      </c>
      <c r="F492" s="200"/>
      <c r="G492" s="200"/>
      <c r="H492" s="200"/>
      <c r="I492" s="208"/>
      <c r="J492" s="201"/>
      <c r="K492"/>
      <c r="L492" s="209" t="str">
        <f ca="1">_xlfn.XLOOKUP(L475,RenewalPlans!B:B,RenewalPlans!AQ:AQ,"NA",0,1)</f>
        <v>NA</v>
      </c>
      <c r="M492" s="200"/>
      <c r="N492" s="200"/>
      <c r="O492" s="200"/>
      <c r="P492" s="208"/>
      <c r="Q492" s="200"/>
      <c r="R492" s="201"/>
      <c r="T492" s="209" t="str">
        <f>_xlfn.XLOOKUP(T475,RenewalPlans!B:B,RenewalPlans!AQ:AQ,"NA",0,1)</f>
        <v>NA</v>
      </c>
      <c r="U492" s="200"/>
      <c r="V492" s="200"/>
      <c r="W492" s="200"/>
      <c r="X492" s="208"/>
      <c r="Y492" s="200"/>
      <c r="Z492" s="201"/>
    </row>
    <row r="493" spans="1:26" ht="18" customHeight="1" hidden="1">
      <c r="A493" s="140"/>
      <c r="B493" s="140"/>
      <c r="D493" s="210"/>
      <c r="E493" s="211"/>
      <c r="F493" s="211"/>
      <c r="G493" s="211"/>
      <c r="H493" s="211"/>
      <c r="I493" s="211"/>
      <c r="J493" s="212"/>
      <c r="K493"/>
      <c r="L493" s="210"/>
      <c r="M493" s="211"/>
      <c r="N493" s="211"/>
      <c r="O493" s="211"/>
      <c r="P493" s="211"/>
      <c r="Q493" s="211"/>
      <c r="R493" s="212"/>
      <c r="T493" s="210"/>
      <c r="U493" s="211"/>
      <c r="V493" s="211"/>
      <c r="W493" s="211"/>
      <c r="X493" s="211"/>
      <c r="Y493" s="211"/>
      <c r="Z493" s="212"/>
    </row>
    <row r="494" spans="1:26" ht="18" customHeight="1" hidden="1">
      <c r="A494" s="140"/>
      <c r="B494" s="140"/>
      <c r="D494" s="185" t="s">
        <v>265</v>
      </c>
      <c r="E494" s="186"/>
      <c r="F494" s="186"/>
      <c r="G494" s="186"/>
      <c r="H494" s="186"/>
      <c r="I494" s="186"/>
      <c r="J494" s="187"/>
      <c r="K494"/>
      <c r="L494" s="188"/>
      <c r="M494" s="186"/>
      <c r="N494" s="186"/>
      <c r="O494" s="186"/>
      <c r="P494" s="186"/>
      <c r="Q494" s="186"/>
      <c r="R494" s="187"/>
      <c r="T494" s="188"/>
      <c r="U494" s="186"/>
      <c r="V494" s="186"/>
      <c r="W494" s="186"/>
      <c r="X494" s="186"/>
      <c r="Y494" s="186"/>
      <c r="Z494" s="187"/>
    </row>
    <row r="495" spans="1:26" ht="18" customHeight="1" hidden="1">
      <c r="A495" s="140"/>
      <c r="B495" s="140"/>
      <c r="D495" s="132" t="s">
        <v>266</v>
      </c>
      <c r="E495" s="133" t="str">
        <f>_xlfn.XLOOKUP(E475,CurrentPlans!B:B,CurrentPlans!AE:AE,"NA",0,1)</f>
        <v>NA</v>
      </c>
      <c r="F495" s="134"/>
      <c r="G495" s="134"/>
      <c r="H495" s="134"/>
      <c r="I495" s="133"/>
      <c r="J495" s="135"/>
      <c r="K495"/>
      <c r="L495" s="136" t="str">
        <f ca="1">_xlfn.XLOOKUP(L475,RenewalPlans!B:B,RenewalPlans!AH:AH,"NA",0,1)</f>
        <v>NA</v>
      </c>
      <c r="M495" s="134"/>
      <c r="N495" s="134"/>
      <c r="O495" s="134"/>
      <c r="P495" s="133"/>
      <c r="Q495" s="134"/>
      <c r="R495" s="135"/>
      <c r="T495" s="136" t="str">
        <f>_xlfn.XLOOKUP(T475,RenewalPlans!B:B,RenewalPlans!AH:AH,"NA",0,1)</f>
        <v>NA</v>
      </c>
      <c r="U495" s="134"/>
      <c r="V495" s="134"/>
      <c r="W495" s="134"/>
      <c r="X495" s="133"/>
      <c r="Y495" s="134"/>
      <c r="Z495" s="135"/>
    </row>
    <row r="496" spans="1:26" ht="18" customHeight="1" hidden="1">
      <c r="A496" s="140"/>
      <c r="B496" s="140"/>
      <c r="D496" s="120" t="s">
        <v>267</v>
      </c>
      <c r="E496" s="130" t="str">
        <f>_xlfn.XLOOKUP(E475,CurrentPlans!B:B,CurrentPlans!AF:AF,"NA",0,1)</f>
        <v>NA</v>
      </c>
      <c r="F496" s="122"/>
      <c r="G496" s="122"/>
      <c r="H496" s="122"/>
      <c r="I496" s="130"/>
      <c r="J496" s="123"/>
      <c r="K496"/>
      <c r="L496" s="131" t="str">
        <f ca="1">_xlfn.XLOOKUP(L475,RenewalPlans!B:B,RenewalPlans!AI:AI,"NA",0,1)</f>
        <v>NA</v>
      </c>
      <c r="M496" s="122"/>
      <c r="N496" s="122"/>
      <c r="O496" s="122"/>
      <c r="P496" s="130"/>
      <c r="Q496" s="122"/>
      <c r="R496" s="123"/>
      <c r="T496" s="131" t="str">
        <f>_xlfn.XLOOKUP(T475,RenewalPlans!B:B,RenewalPlans!AI:AI,"NA",0,1)</f>
        <v>NA</v>
      </c>
      <c r="U496" s="122"/>
      <c r="V496" s="122"/>
      <c r="W496" s="122"/>
      <c r="X496" s="130"/>
      <c r="Y496" s="122"/>
      <c r="Z496" s="123"/>
    </row>
    <row r="497" spans="1:26" ht="18" customHeight="1" hidden="1">
      <c r="A497" s="140"/>
      <c r="B497" s="140"/>
      <c r="D497" s="198" t="s">
        <v>268</v>
      </c>
      <c r="E497" s="130" t="str">
        <f>_xlfn.XLOOKUP(E475,CurrentPlans!B:B,CurrentPlans!AH:AH,"NA",0,1)</f>
        <v>NA</v>
      </c>
      <c r="F497" s="200"/>
      <c r="G497" s="200"/>
      <c r="H497" s="200"/>
      <c r="I497" s="130"/>
      <c r="J497" s="201"/>
      <c r="K497"/>
      <c r="L497" s="131" t="str">
        <f ca="1">_xlfn.XLOOKUP(L475,RenewalPlans!B:B,RenewalPlans!AK:AK,"NA",0,1)</f>
        <v>NA</v>
      </c>
      <c r="M497" s="200"/>
      <c r="N497" s="200"/>
      <c r="O497" s="200"/>
      <c r="P497" s="130"/>
      <c r="Q497" s="200"/>
      <c r="R497" s="201"/>
      <c r="T497" s="131" t="str">
        <f>_xlfn.XLOOKUP(T475,RenewalPlans!B:B,RenewalPlans!AK:AK,"NA",0,1)</f>
        <v>NA</v>
      </c>
      <c r="U497" s="200"/>
      <c r="V497" s="200"/>
      <c r="W497" s="200"/>
      <c r="X497" s="130"/>
      <c r="Y497" s="200"/>
      <c r="Z497" s="201"/>
    </row>
    <row r="498" spans="1:26" ht="18" customHeight="1" hidden="1">
      <c r="A498" s="140"/>
      <c r="B498" s="140"/>
      <c r="D498" s="198" t="s">
        <v>269</v>
      </c>
      <c r="E498" s="130" t="str">
        <f>_xlfn.XLOOKUP(E475,CurrentPlans!B:B,CurrentPlans!AG:AG,"NA",0,1)</f>
        <v>NA</v>
      </c>
      <c r="F498" s="200"/>
      <c r="G498" s="200"/>
      <c r="H498" s="200"/>
      <c r="I498" s="130"/>
      <c r="J498" s="201"/>
      <c r="K498"/>
      <c r="L498" s="131" t="str">
        <f ca="1">_xlfn.XLOOKUP(L475,RenewalPlans!B:B,RenewalPlans!AJ:AJ,"NA",0,1)</f>
        <v>NA</v>
      </c>
      <c r="M498" s="200"/>
      <c r="N498" s="200"/>
      <c r="O498" s="200"/>
      <c r="P498" s="130"/>
      <c r="Q498" s="200"/>
      <c r="R498" s="201"/>
      <c r="T498" s="131" t="str">
        <f>_xlfn.XLOOKUP(T475,RenewalPlans!B:B,RenewalPlans!AJ:AJ,"NA",0,1)</f>
        <v>NA</v>
      </c>
      <c r="U498" s="200"/>
      <c r="V498" s="200"/>
      <c r="W498" s="200"/>
      <c r="X498" s="130"/>
      <c r="Y498" s="200"/>
      <c r="Z498" s="201"/>
    </row>
    <row r="499" spans="1:26" ht="18" customHeight="1" hidden="1">
      <c r="A499" s="140"/>
      <c r="B499" s="140"/>
      <c r="D499" s="213" t="s">
        <v>270</v>
      </c>
      <c r="E499" s="216" t="str">
        <f>_xlfn.XLOOKUP(E475,CurrentPlans!B:B,CurrentPlans!AU:AU,"NA",0,1)</f>
        <v>NA</v>
      </c>
      <c r="F499" s="214"/>
      <c r="G499" s="214"/>
      <c r="H499" s="214"/>
      <c r="I499" s="217"/>
      <c r="J499" s="215"/>
      <c r="K499"/>
      <c r="L499" s="218" t="str">
        <f ca="1">_xlfn.XLOOKUP(L475,RenewalPlans!B:B,RenewalPlans!AX:AX,"NA",0,1)</f>
        <v>NA</v>
      </c>
      <c r="M499" s="214"/>
      <c r="N499" s="214"/>
      <c r="O499" s="214"/>
      <c r="P499" s="217"/>
      <c r="Q499" s="214"/>
      <c r="R499" s="215"/>
      <c r="T499" s="218" t="str">
        <f>_xlfn.XLOOKUP(T475,RenewalPlans!B:B,RenewalPlans!AX:AX,"NA",0,1)</f>
        <v>NA</v>
      </c>
      <c r="U499" s="214"/>
      <c r="V499" s="214"/>
      <c r="W499" s="214"/>
      <c r="X499" s="217"/>
      <c r="Y499" s="214"/>
      <c r="Z499" s="215"/>
    </row>
    <row r="500" spans="1:26" ht="18" customHeight="1" hidden="1">
      <c r="A500" s="140"/>
      <c r="B500" s="140"/>
      <c r="D500" s="213" t="s">
        <v>271</v>
      </c>
      <c r="E500" s="216" t="str">
        <f>_xlfn.XLOOKUP(E475,CurrentPlans!B:B,CurrentPlans!AT:AT,"NA",0,1)</f>
        <v>NA</v>
      </c>
      <c r="F500" s="214"/>
      <c r="G500" s="214"/>
      <c r="H500" s="214"/>
      <c r="I500" s="217"/>
      <c r="J500" s="215"/>
      <c r="K500"/>
      <c r="L500" s="218" t="str">
        <f ca="1">_xlfn.XLOOKUP(L475,RenewalPlans!B:B,RenewalPlans!AW:AW,"NA",0,1)</f>
        <v>NA</v>
      </c>
      <c r="M500" s="214"/>
      <c r="N500" s="214"/>
      <c r="O500" s="214"/>
      <c r="P500" s="217"/>
      <c r="Q500" s="214"/>
      <c r="R500" s="215"/>
      <c r="T500" s="218" t="str">
        <f>_xlfn.XLOOKUP(T475,RenewalPlans!B:B,RenewalPlans!AW:AW,"NA",0,1)</f>
        <v>NA</v>
      </c>
      <c r="U500" s="214"/>
      <c r="V500" s="214"/>
      <c r="W500" s="214"/>
      <c r="X500" s="217"/>
      <c r="Y500" s="214"/>
      <c r="Z500" s="215"/>
    </row>
    <row r="501" spans="1:26" ht="18" customHeight="1" hidden="1">
      <c r="A501" s="140"/>
      <c r="B501" s="140"/>
      <c r="D501" s="198" t="s">
        <v>272</v>
      </c>
      <c r="E501" s="130" t="str">
        <f>_xlfn.XLOOKUP(E475,CurrentPlans!B:B,CurrentPlans!AD:AD,"NA",0,1)</f>
        <v>NA</v>
      </c>
      <c r="F501" s="200"/>
      <c r="G501" s="200"/>
      <c r="H501" s="200"/>
      <c r="I501" s="130"/>
      <c r="J501" s="201"/>
      <c r="K501"/>
      <c r="L501" s="131" t="str">
        <f ca="1">_xlfn.XLOOKUP(L475,RenewalPlans!B:B,RenewalPlans!AG:AG,"NA",0,1)</f>
        <v>NA</v>
      </c>
      <c r="M501" s="200"/>
      <c r="N501" s="200"/>
      <c r="O501" s="200"/>
      <c r="P501" s="130"/>
      <c r="Q501" s="200"/>
      <c r="R501" s="201"/>
      <c r="T501" s="131" t="str">
        <f>_xlfn.XLOOKUP(T475,RenewalPlans!B:B,RenewalPlans!AG:AG,"NA",0,1)</f>
        <v>NA</v>
      </c>
      <c r="U501" s="200"/>
      <c r="V501" s="200"/>
      <c r="W501" s="200"/>
      <c r="X501" s="130"/>
      <c r="Y501" s="200"/>
      <c r="Z501" s="201"/>
    </row>
    <row r="502" spans="1:26" ht="18" customHeight="1" hidden="1">
      <c r="A502" s="140"/>
      <c r="B502" s="140"/>
      <c r="D502" s="198" t="s">
        <v>273</v>
      </c>
      <c r="E502" s="200"/>
      <c r="F502" s="200"/>
      <c r="G502" s="200"/>
      <c r="H502" s="200"/>
      <c r="I502" s="200"/>
      <c r="J502" s="201"/>
      <c r="K502"/>
      <c r="L502" s="198"/>
      <c r="M502" s="200"/>
      <c r="N502" s="200"/>
      <c r="O502" s="200"/>
      <c r="P502" s="200"/>
      <c r="Q502" s="200"/>
      <c r="R502" s="201"/>
      <c r="T502" s="198"/>
      <c r="U502" s="200"/>
      <c r="V502" s="200"/>
      <c r="W502" s="200"/>
      <c r="X502" s="200"/>
      <c r="Y502" s="200"/>
      <c r="Z502" s="201"/>
    </row>
    <row r="503" spans="1:26" ht="18" customHeight="1" hidden="1">
      <c r="A503" s="140"/>
      <c r="B503" s="140"/>
      <c r="D503" s="210"/>
      <c r="E503" s="211"/>
      <c r="F503" s="211"/>
      <c r="G503" s="211"/>
      <c r="H503" s="211"/>
      <c r="I503" s="211"/>
      <c r="J503" s="212"/>
      <c r="K503"/>
      <c r="L503" s="210"/>
      <c r="M503" s="211"/>
      <c r="N503" s="211"/>
      <c r="O503" s="211"/>
      <c r="P503" s="211"/>
      <c r="Q503" s="211"/>
      <c r="R503" s="212"/>
      <c r="T503" s="210"/>
      <c r="U503" s="211"/>
      <c r="V503" s="211"/>
      <c r="W503" s="211"/>
      <c r="X503" s="211"/>
      <c r="Y503" s="211"/>
      <c r="Z503" s="212"/>
    </row>
    <row r="504" spans="1:26" ht="18" customHeight="1" hidden="1">
      <c r="A504" s="140"/>
      <c r="B504" s="140"/>
      <c r="D504" s="219" t="s">
        <v>274</v>
      </c>
      <c r="E504" s="220"/>
      <c r="F504" s="220"/>
      <c r="G504" s="220"/>
      <c r="H504" s="220"/>
      <c r="I504" s="220"/>
      <c r="J504" s="221"/>
      <c r="K504"/>
      <c r="L504" s="222"/>
      <c r="M504" s="220"/>
      <c r="N504" s="220"/>
      <c r="O504" s="220"/>
      <c r="P504" s="220"/>
      <c r="Q504" s="220"/>
      <c r="R504" s="221"/>
      <c r="T504" s="222"/>
      <c r="U504" s="220"/>
      <c r="V504" s="220"/>
      <c r="W504" s="220"/>
      <c r="X504" s="220"/>
      <c r="Y504" s="220"/>
      <c r="Z504" s="221"/>
    </row>
    <row r="505" spans="1:26" ht="18" customHeight="1" hidden="1">
      <c r="A505" s="140"/>
      <c r="B505" s="140"/>
      <c r="D505" s="223" t="s">
        <v>250</v>
      </c>
      <c r="E505" s="205"/>
      <c r="F505" s="205"/>
      <c r="G505" s="205"/>
      <c r="H505" s="205"/>
      <c r="I505" s="205"/>
      <c r="J505" s="206"/>
      <c r="K505"/>
      <c r="L505" s="203"/>
      <c r="M505" s="205"/>
      <c r="N505" s="205"/>
      <c r="O505" s="205"/>
      <c r="P505" s="205"/>
      <c r="Q505" s="205"/>
      <c r="R505" s="206"/>
      <c r="T505" s="203"/>
      <c r="U505" s="205"/>
      <c r="V505" s="205"/>
      <c r="W505" s="205"/>
      <c r="X505" s="205"/>
      <c r="Y505" s="205"/>
      <c r="Z505" s="206"/>
    </row>
    <row r="506" spans="1:26" ht="18" customHeight="1" hidden="1">
      <c r="A506" s="140"/>
      <c r="B506" s="140"/>
      <c r="D506" s="198" t="s">
        <v>251</v>
      </c>
      <c r="E506" s="130" t="str">
        <f>_xlfn.XLOOKUP(E475,CurrentPlans!B:B,CurrentPlans!AP:AP,"NA",0,1)</f>
        <v>NA</v>
      </c>
      <c r="F506" s="200"/>
      <c r="G506" s="200"/>
      <c r="H506" s="200"/>
      <c r="I506" s="130"/>
      <c r="J506" s="201"/>
      <c r="K506"/>
      <c r="L506" s="131" t="str">
        <f ca="1">_xlfn.XLOOKUP(L475,RenewalPlans!B:B,RenewalPlans!AS:AS,"NA",0,1)</f>
        <v>NA</v>
      </c>
      <c r="M506" s="200"/>
      <c r="N506" s="200"/>
      <c r="O506" s="200"/>
      <c r="P506" s="130"/>
      <c r="Q506" s="200"/>
      <c r="R506" s="201"/>
      <c r="T506" s="131" t="str">
        <f>_xlfn.XLOOKUP(T475,RenewalPlans!B:B,RenewalPlans!AS:AS,"NA",0,1)</f>
        <v>NA</v>
      </c>
      <c r="U506" s="200"/>
      <c r="V506" s="200"/>
      <c r="W506" s="200"/>
      <c r="X506" s="130"/>
      <c r="Y506" s="200"/>
      <c r="Z506" s="201"/>
    </row>
    <row r="507" spans="1:26" ht="18" customHeight="1" hidden="1">
      <c r="A507" s="140"/>
      <c r="B507" s="140"/>
      <c r="D507" s="198" t="s">
        <v>252</v>
      </c>
      <c r="E507" s="130" t="str">
        <f>_xlfn.XLOOKUP(E475,CurrentPlans!B:B,CurrentPlans!AQ:AQ,"NA",0,1)</f>
        <v>NA</v>
      </c>
      <c r="F507" s="200"/>
      <c r="G507" s="200"/>
      <c r="H507" s="200"/>
      <c r="I507" s="130"/>
      <c r="J507" s="201"/>
      <c r="K507"/>
      <c r="L507" s="131" t="str">
        <f ca="1">_xlfn.XLOOKUP(L475,RenewalPlans!B:B,RenewalPlans!AT:AT,"NA",0,1)</f>
        <v>NA</v>
      </c>
      <c r="M507" s="200"/>
      <c r="N507" s="200"/>
      <c r="O507" s="200"/>
      <c r="P507" s="130"/>
      <c r="Q507" s="200"/>
      <c r="R507" s="201"/>
      <c r="T507" s="131" t="str">
        <f>_xlfn.XLOOKUP(T475,RenewalPlans!B:B,RenewalPlans!AT:AT,"NA",0,1)</f>
        <v>NA</v>
      </c>
      <c r="U507" s="200"/>
      <c r="V507" s="200"/>
      <c r="W507" s="200"/>
      <c r="X507" s="130"/>
      <c r="Y507" s="200"/>
      <c r="Z507" s="201"/>
    </row>
    <row r="508" spans="1:26" ht="18" customHeight="1" hidden="1">
      <c r="A508" s="140"/>
      <c r="B508" s="140"/>
      <c r="D508" s="120" t="s">
        <v>253</v>
      </c>
      <c r="E508" s="133" t="str">
        <f>_xlfn.XLOOKUP(E475,CurrentPlans!B:B,CurrentPlans!AO:AO,"NA",0,1)</f>
        <v>NA</v>
      </c>
      <c r="F508" s="122"/>
      <c r="G508" s="122"/>
      <c r="H508" s="122"/>
      <c r="I508" s="133"/>
      <c r="J508" s="123"/>
      <c r="K508"/>
      <c r="L508" s="136" t="str">
        <f ca="1">_xlfn.XLOOKUP(L475,RenewalPlans!B:B,RenewalPlans!AR:AR,"NA",0,1)</f>
        <v>NA</v>
      </c>
      <c r="M508" s="122"/>
      <c r="N508" s="122"/>
      <c r="O508" s="122"/>
      <c r="P508" s="133"/>
      <c r="Q508" s="122"/>
      <c r="R508" s="123"/>
      <c r="T508" s="136" t="str">
        <f>_xlfn.XLOOKUP(T475,RenewalPlans!B:B,RenewalPlans!AR:AR,"NA",0,1)</f>
        <v>NA</v>
      </c>
      <c r="U508" s="122"/>
      <c r="V508" s="122"/>
      <c r="W508" s="122"/>
      <c r="X508" s="133"/>
      <c r="Y508" s="122"/>
      <c r="Z508" s="123"/>
    </row>
    <row r="509" spans="1:26" ht="18" customHeight="1" hidden="1">
      <c r="A509" s="140"/>
      <c r="B509" s="140"/>
      <c r="D509" s="223" t="s">
        <v>254</v>
      </c>
      <c r="E509" s="205"/>
      <c r="F509" s="205"/>
      <c r="G509" s="205"/>
      <c r="H509" s="205"/>
      <c r="I509" s="205"/>
      <c r="J509" s="206"/>
      <c r="K509"/>
      <c r="L509" s="203"/>
      <c r="M509" s="205"/>
      <c r="N509" s="205"/>
      <c r="O509" s="205"/>
      <c r="P509" s="205"/>
      <c r="Q509" s="205"/>
      <c r="R509" s="206"/>
      <c r="T509" s="203"/>
      <c r="U509" s="205"/>
      <c r="V509" s="205"/>
      <c r="W509" s="205"/>
      <c r="X509" s="205"/>
      <c r="Y509" s="205"/>
      <c r="Z509" s="206"/>
    </row>
    <row r="510" spans="1:26" ht="18" customHeight="1" hidden="1">
      <c r="A510" s="140"/>
      <c r="B510" s="140"/>
      <c r="D510" s="198" t="s">
        <v>255</v>
      </c>
      <c r="E510" s="130" t="str">
        <f>_xlfn.XLOOKUP(E475,CurrentPlans!B:B,CurrentPlans!AR:AR,"NA",0,1)</f>
        <v>NA</v>
      </c>
      <c r="F510" s="200"/>
      <c r="G510" s="200"/>
      <c r="H510" s="200"/>
      <c r="I510" s="130"/>
      <c r="J510" s="201"/>
      <c r="K510"/>
      <c r="L510" s="131" t="str">
        <f ca="1">_xlfn.XLOOKUP(L475,RenewalPlans!B:B,RenewalPlans!AU:AU,"NA",0,1)</f>
        <v>NA</v>
      </c>
      <c r="M510" s="200"/>
      <c r="N510" s="200"/>
      <c r="O510" s="200"/>
      <c r="P510" s="130"/>
      <c r="Q510" s="200"/>
      <c r="R510" s="201"/>
      <c r="T510" s="131" t="str">
        <f>_xlfn.XLOOKUP(T475,RenewalPlans!B:B,RenewalPlans!AU:AU,"NA",0,1)</f>
        <v>NA</v>
      </c>
      <c r="U510" s="200"/>
      <c r="V510" s="200"/>
      <c r="W510" s="200"/>
      <c r="X510" s="130"/>
      <c r="Y510" s="200"/>
      <c r="Z510" s="201"/>
    </row>
    <row r="511" spans="1:26" ht="18" customHeight="1" hidden="1" thickBot="1">
      <c r="A511" s="140"/>
      <c r="B511" s="140"/>
      <c r="D511" s="224" t="s">
        <v>256</v>
      </c>
      <c r="E511" s="137" t="str">
        <f>_xlfn.XLOOKUP(E475,CurrentPlans!B:B,CurrentPlans!AS:AS,"NA",0,1)</f>
        <v>NA</v>
      </c>
      <c r="F511" s="225"/>
      <c r="G511" s="225"/>
      <c r="H511" s="225"/>
      <c r="I511" s="137"/>
      <c r="J511" s="226"/>
      <c r="K511"/>
      <c r="L511" s="138" t="str">
        <f ca="1">_xlfn.XLOOKUP(L475,RenewalPlans!B:B,RenewalPlans!AV:AV,"NA",0,1)</f>
        <v>NA</v>
      </c>
      <c r="M511" s="225"/>
      <c r="N511" s="225"/>
      <c r="O511" s="225"/>
      <c r="P511" s="137"/>
      <c r="Q511" s="225"/>
      <c r="R511" s="226"/>
      <c r="T511" s="138" t="str">
        <f>_xlfn.XLOOKUP(T475,RenewalPlans!B:B,RenewalPlans!AV:AV,"NA",0,1)</f>
        <v>NA</v>
      </c>
      <c r="U511" s="225"/>
      <c r="V511" s="225"/>
      <c r="W511" s="225"/>
      <c r="X511" s="137"/>
      <c r="Y511" s="225"/>
      <c r="Z511" s="226"/>
    </row>
    <row r="512" spans="1:26" ht="18" customHeight="1">
      <c r="A512" s="140"/>
      <c r="B512" s="140"/>
      <c r="D512" s="227"/>
      <c r="E512" s="176"/>
      <c r="F512" s="178"/>
      <c r="G512" s="179"/>
      <c r="H512" s="178"/>
      <c r="I512" s="176"/>
      <c r="J512" s="228"/>
      <c r="K512"/>
      <c r="L512" s="178"/>
      <c r="M512" s="176"/>
      <c r="N512" s="139"/>
      <c r="O512" s="178"/>
      <c r="P512" s="178"/>
      <c r="Q512" s="178"/>
      <c r="R512" s="228"/>
      <c r="T512" s="178"/>
      <c r="U512" s="176"/>
      <c r="V512" s="139"/>
      <c r="W512" s="178"/>
      <c r="X512" s="178"/>
      <c r="Y512" s="178"/>
      <c r="Z512" s="228"/>
    </row>
    <row r="513" spans="1:26" ht="5.25" customHeight="1" thickBot="1">
      <c r="A513" s="140"/>
      <c r="B513" s="140"/>
      <c r="D513" s="229"/>
      <c r="E513" s="229"/>
      <c r="F513" s="230"/>
      <c r="G513" s="231"/>
      <c r="H513" s="232"/>
      <c r="I513" s="233"/>
      <c r="J513" s="233"/>
      <c r="K513"/>
      <c r="L513" s="233"/>
      <c r="M513" s="233"/>
      <c r="N513" s="233"/>
      <c r="O513" s="233"/>
      <c r="P513" s="233"/>
      <c r="Q513" s="233"/>
      <c r="R513" s="233"/>
      <c r="T513" s="233"/>
      <c r="U513" s="233"/>
      <c r="V513" s="233"/>
      <c r="W513" s="233"/>
      <c r="X513" s="233"/>
      <c r="Y513" s="233"/>
      <c r="Z513" s="233"/>
    </row>
    <row r="514" spans="1:26" ht="50.15" customHeight="1">
      <c r="A514" s="140"/>
      <c r="B514" s="140"/>
      <c r="C514" s="164" t="s">
        <v>284</v>
      </c>
      <c r="D514" s="275" t="s">
        <v>285</v>
      </c>
      <c r="E514" s="165"/>
      <c r="F514" s="321"/>
      <c r="G514" s="166"/>
      <c r="H514" s="167"/>
      <c r="I514" s="168"/>
      <c r="J514" s="169"/>
      <c r="K514"/>
      <c r="L514" s="274" t="s">
        <v>38</v>
      </c>
      <c r="M514" s="170"/>
      <c r="N514" s="274" t="s">
        <v>237</v>
      </c>
      <c r="O514" s="171"/>
      <c r="P514" s="171"/>
      <c r="Q514" s="171"/>
      <c r="R514" s="169"/>
      <c r="T514" s="274" t="s">
        <v>38</v>
      </c>
      <c r="U514" s="170"/>
      <c r="V514" s="274" t="s">
        <v>237</v>
      </c>
      <c r="W514" s="171"/>
      <c r="X514" s="171"/>
      <c r="Y514" s="171"/>
      <c r="Z514" s="169"/>
    </row>
    <row r="515" spans="1:26" ht="18.75" customHeight="1">
      <c r="A515" s="140"/>
      <c r="B515" s="140"/>
      <c r="D515" s="172" t="s">
        <v>238</v>
      </c>
      <c r="E515" s="407"/>
      <c r="F515" s="449"/>
      <c r="G515" s="470"/>
      <c r="H515" s="449"/>
      <c r="I515" s="450"/>
      <c r="J515" s="410"/>
      <c r="K515" s="411"/>
      <c r="L515" s="408" t="str" cm="1">
        <f t="array" ca="1" aca="1" ref="L515">_xlfn.IFNA(VLOOKUP(INDIRECT("L"&amp;ROW()-1)&amp;"_"&amp;$D$12,BEGIN_RENEW_HEALTH:END_RENEW_HEALTH,RENEW_COL_EO,FALSE),"")</f>
        <v/>
      </c>
      <c r="M515" s="412" t="str">
        <f>IF(E515="","",E515)</f>
        <v/>
      </c>
      <c r="N515" s="413"/>
      <c r="O515" s="414"/>
      <c r="P515" s="415" t="str">
        <f>IFERROR(IF($N514="Keep Contribution Same",H515,IF($N514="Enter Percentages",IF(N515="","",N515*L515),IF($N514="Keep Percentage Same",IF(G515="","",G515*L515),IF($N514="Enter Dollar Amount",IF(O515="","",O515),"")))),"")</f>
        <v/>
      </c>
      <c r="Q515" s="408" t="str">
        <f ca="1">IFERROR(L515-P515,"")</f>
        <v/>
      </c>
      <c r="R515" s="410" t="str">
        <f>IFERROR(IF(P515="","",M515*P515),"")</f>
        <v/>
      </c>
      <c r="S515" s="411"/>
      <c r="T515" s="408" t="str" cm="1">
        <f t="array" ca="1" aca="1" ref="T515">_xlfn.IFNA(VLOOKUP(INDIRECT("T"&amp;ROW()-1)&amp;"_"&amp;$D$12,BEGIN_RENEW_HEALTH:END_RENEW_HEALTH,RENEW_COL_EO,FALSE),"")</f>
        <v/>
      </c>
      <c r="U515" s="412" t="str">
        <f>IF(E515="","",E515)</f>
        <v/>
      </c>
      <c r="V515" s="413"/>
      <c r="W515" s="414"/>
      <c r="X515" s="415" t="str">
        <f>IFERROR(IF($V514="Keep Contribution Same",H515,IF($V514="Enter Percentages",IF(V515="","",V515*T515),IF($V514="Keep Percentage Same",IF(G515="","",G515*T515),IF($V514="Enter Dollar Amount",IF(W515="","",W515),"")))),"")</f>
        <v/>
      </c>
      <c r="Y515" s="408" t="str">
        <f ca="1">IFERROR(T515-X515,"")</f>
        <v/>
      </c>
      <c r="Z515" s="410" t="str">
        <f>IFERROR(IF(X515="","",U515*X515),"")</f>
        <v/>
      </c>
    </row>
    <row r="516" spans="1:26" ht="18.75" customHeight="1">
      <c r="A516" s="140"/>
      <c r="B516" s="140"/>
      <c r="D516" s="172" t="s">
        <v>239</v>
      </c>
      <c r="E516" s="407"/>
      <c r="F516" s="449"/>
      <c r="G516" s="470"/>
      <c r="H516" s="449"/>
      <c r="I516" s="450"/>
      <c r="J516" s="410"/>
      <c r="K516" s="411"/>
      <c r="L516" s="408" t="str" cm="1">
        <f t="array" ca="1" aca="1" ref="L516">_xlfn.IFNA(VLOOKUP(INDIRECT("L"&amp;ROW()-2)&amp;"_"&amp;$D$12,BEGIN_RENEW_HEALTH:END_RENEW_HEALTH,RENEW_COL_ES,FALSE),"")</f>
        <v/>
      </c>
      <c r="M516" s="412" t="str">
        <f>IF(E516="","",E516)</f>
        <v/>
      </c>
      <c r="N516" s="413"/>
      <c r="O516" s="414"/>
      <c r="P516" s="415" t="str">
        <f>IFERROR(IF($N514="Keep Contribution Same",H516,IF($N514="Enter Percentages",IF(N516="","",N516*L516),IF($N514="Keep Percentage Same",IF(G516="","",G516*L516),IF($N514="Enter Dollar Amount",IF(O516="","",O516),"")))),"")</f>
        <v/>
      </c>
      <c r="Q516" s="408" t="str">
        <f ca="1" t="shared" si="50" ref="Q516:Q518">IFERROR(L516-P516,"")</f>
        <v/>
      </c>
      <c r="R516" s="410" t="str">
        <f>IFERROR(IF(P516="","",M516*P516),"")</f>
        <v/>
      </c>
      <c r="S516" s="411"/>
      <c r="T516" s="408" t="str" cm="1">
        <f t="array" ca="1" aca="1" ref="T516">_xlfn.IFNA(VLOOKUP(INDIRECT("T"&amp;ROW()-2)&amp;"_"&amp;$D$12,BEGIN_RENEW_HEALTH:END_RENEW_HEALTH,RENEW_COL_ES,FALSE),"")</f>
        <v/>
      </c>
      <c r="U516" s="412" t="str">
        <f t="shared" si="51" ref="U516:U518">IF(E516="","",E516)</f>
        <v/>
      </c>
      <c r="V516" s="413"/>
      <c r="W516" s="414"/>
      <c r="X516" s="415" t="str">
        <f>IFERROR(IF($V514="Keep Contribution Same",H516,IF($V514="Enter Percentages",IF(V516="","",V516*T516),IF($V514="Keep Percentage Same",IF(G516="","",G516*T516),IF($V514="Enter Dollar Amount",IF(W516="","",W516),"")))),"")</f>
        <v/>
      </c>
      <c r="Y516" s="408" t="str">
        <f ca="1" t="shared" si="52" ref="Y516:Y518">IFERROR(T516-X516,"")</f>
        <v/>
      </c>
      <c r="Z516" s="410" t="str">
        <f t="shared" si="53" ref="Z516:Z518">IFERROR(IF(X516="","",U516*X516),"")</f>
        <v/>
      </c>
    </row>
    <row r="517" spans="1:26" ht="18.75" customHeight="1">
      <c r="A517" s="140"/>
      <c r="B517" s="140"/>
      <c r="D517" s="172" t="s">
        <v>240</v>
      </c>
      <c r="E517" s="407"/>
      <c r="F517" s="449"/>
      <c r="G517" s="470"/>
      <c r="H517" s="449"/>
      <c r="I517" s="450"/>
      <c r="J517" s="410"/>
      <c r="K517" s="411"/>
      <c r="L517" s="408" t="str" cm="1">
        <f t="array" ca="1" aca="1" ref="L517">_xlfn.IFNA(VLOOKUP(INDIRECT("L"&amp;ROW()-3)&amp;"_"&amp;$D$12,BEGIN_RENEW_HEALTH:END_RENEW_HEALTH,RENEW_COL_EC,FALSE),"")</f>
        <v/>
      </c>
      <c r="M517" s="412" t="str">
        <f>IF(E517="","",E517)</f>
        <v/>
      </c>
      <c r="N517" s="413"/>
      <c r="O517" s="414"/>
      <c r="P517" s="415" t="str">
        <f>IFERROR(IF($N514="Keep Contribution Same",H517,IF($N514="Enter Percentages",IF(N517="","",N517*L517),IF($N514="Keep Percentage Same",IF(G517="","",G517*L517),IF($N514="Enter Dollar Amount",IF(O517="","",O517),"")))),"")</f>
        <v/>
      </c>
      <c r="Q517" s="408" t="str">
        <f t="shared" ca="1" si="50"/>
        <v/>
      </c>
      <c r="R517" s="410" t="str">
        <f>IFERROR(IF(P517="","",M517*P517),"")</f>
        <v/>
      </c>
      <c r="S517" s="411"/>
      <c r="T517" s="408" t="str" cm="1">
        <f t="array" ca="1" aca="1" ref="T517">_xlfn.IFNA(VLOOKUP(INDIRECT("T"&amp;ROW()-3)&amp;"_"&amp;$D$12,BEGIN_RENEW_HEALTH:END_RENEW_HEALTH,RENEW_COL_EC,FALSE),"")</f>
        <v/>
      </c>
      <c r="U517" s="412" t="str">
        <f t="shared" si="51"/>
        <v/>
      </c>
      <c r="V517" s="413"/>
      <c r="W517" s="414"/>
      <c r="X517" s="415" t="str">
        <f>IFERROR(IF($V514="Keep Contribution Same",H517,IF($V514="Enter Percentages",IF(V517="","",V517*T517),IF($V514="Keep Percentage Same",IF(G517="","",G517*T517),IF($V514="Enter Dollar Amount",IF(W517="","",W517),"")))),"")</f>
        <v/>
      </c>
      <c r="Y517" s="408" t="str">
        <f t="shared" ca="1" si="52"/>
        <v/>
      </c>
      <c r="Z517" s="410" t="str">
        <f t="shared" si="53"/>
        <v/>
      </c>
    </row>
    <row r="518" spans="1:26" ht="18.75" customHeight="1" thickBot="1">
      <c r="A518" s="140"/>
      <c r="B518" s="140"/>
      <c r="D518" s="174" t="s">
        <v>241</v>
      </c>
      <c r="E518" s="416"/>
      <c r="F518" s="451"/>
      <c r="G518" s="471"/>
      <c r="H518" s="451"/>
      <c r="I518" s="452"/>
      <c r="J518" s="419"/>
      <c r="K518" s="411"/>
      <c r="L518" s="417" t="str" cm="1">
        <f t="array" ca="1" aca="1" ref="L518">_xlfn.IFNA(VLOOKUP(INDIRECT("L"&amp;ROW()-4)&amp;"_"&amp;$D$12,BEGIN_RENEW_HEALTH:END_RENEW_HEALTH,RENEW_COL_FAM,FALSE),"")</f>
        <v/>
      </c>
      <c r="M518" s="423" t="str">
        <f>IF(E518="","",E518)</f>
        <v/>
      </c>
      <c r="N518" s="420"/>
      <c r="O518" s="421"/>
      <c r="P518" s="422" t="str">
        <f>IFERROR(IF($N514="Keep Contribution Same",H518,IF($N514="Enter Percentages",IF(N518="","",N518*L518),IF($N514="Keep Percentage Same",IF(G518="","",G518*L518),IF($N514="Enter Dollar Amount",IF(O518="","",O518),"")))),"")</f>
        <v/>
      </c>
      <c r="Q518" s="417" t="str">
        <f t="shared" ca="1" si="50"/>
        <v/>
      </c>
      <c r="R518" s="419" t="str">
        <f>IFERROR(IF(P518="","",M518*P518),"")</f>
        <v/>
      </c>
      <c r="S518" s="411"/>
      <c r="T518" s="417" t="str" cm="1">
        <f t="array" ca="1" aca="1" ref="T518">_xlfn.IFNA(VLOOKUP(INDIRECT("T"&amp;ROW()-4)&amp;"_"&amp;$D$12,BEGIN_RENEW_HEALTH:END_RENEW_HEALTH,RENEW_COL_FAM,FALSE),"")</f>
        <v/>
      </c>
      <c r="U518" s="423" t="str">
        <f t="shared" si="51"/>
        <v/>
      </c>
      <c r="V518" s="420"/>
      <c r="W518" s="421"/>
      <c r="X518" s="422" t="str">
        <f>IFERROR(IF($V514="Keep Contribution Same",H518,IF($V514="Enter Percentages",IF(V518="","",V518*T518),IF($V514="Keep Percentage Same",IF(G518="","",G518*T518),IF($V514="Enter Dollar Amount",IF(W518="","",W518),"")))),"")</f>
        <v/>
      </c>
      <c r="Y518" s="417" t="str">
        <f t="shared" ca="1" si="52"/>
        <v/>
      </c>
      <c r="Z518" s="419" t="str">
        <f t="shared" si="53"/>
        <v/>
      </c>
    </row>
    <row r="519" spans="1:26" ht="18.75" customHeight="1" thickTop="1">
      <c r="A519" s="140"/>
      <c r="B519" s="140"/>
      <c r="D519" s="175" t="s">
        <v>329</v>
      </c>
      <c r="E519" s="424"/>
      <c r="F519" s="447">
        <f>IFERROR((F515*E515)+(F516*E516)+(F517*E517)+(F518*E518),"")</f>
        <v>0</v>
      </c>
      <c r="G519" s="426"/>
      <c r="H519" s="427"/>
      <c r="I519" s="428"/>
      <c r="J519" s="429" t="str">
        <f>IFERROR(IF(J515="","",SUM(J515:J518)),0)</f>
        <v/>
      </c>
      <c r="K519" s="1"/>
      <c r="L519" s="430" t="str">
        <f ca="1">IFERROR((M515*L515)+(M516*L516)+(M517*L517)+(M518*L518),"")</f>
        <v/>
      </c>
      <c r="M519" s="427"/>
      <c r="N519" s="426"/>
      <c r="O519" s="427"/>
      <c r="P519" s="431"/>
      <c r="Q519" s="432"/>
      <c r="R519" s="429" t="str">
        <f>IFERROR(IF(R515="","",SUM(R515:R518)),0)</f>
        <v/>
      </c>
      <c r="T519" s="430" t="str">
        <f ca="1">IFERROR((U515*T515)+(U516*T516)+(U517*T517)+(U518*T518),"")</f>
        <v/>
      </c>
      <c r="U519" s="427"/>
      <c r="V519" s="426"/>
      <c r="W519" s="427"/>
      <c r="X519" s="431"/>
      <c r="Y519" s="432"/>
      <c r="Z519" s="429" t="str">
        <f>IFERROR(IF(Z515="","",SUM(Z515:Z518)),0)</f>
        <v/>
      </c>
    </row>
    <row r="520" spans="1:26" ht="18.75" customHeight="1">
      <c r="A520" s="140"/>
      <c r="B520" s="140"/>
      <c r="D520" s="177" t="s">
        <v>243</v>
      </c>
      <c r="E520" s="433"/>
      <c r="F520" s="448">
        <f>IFERROR(F519*12,"")</f>
        <v>0</v>
      </c>
      <c r="G520" s="435"/>
      <c r="H520" s="436"/>
      <c r="I520" s="432"/>
      <c r="J520" s="437" t="str">
        <f>IF(J519="","",J519*12)</f>
        <v/>
      </c>
      <c r="K520" s="1"/>
      <c r="L520" s="438" t="str">
        <f ca="1">IFERROR(L519*12,"")</f>
        <v/>
      </c>
      <c r="M520" s="436"/>
      <c r="N520" s="435"/>
      <c r="O520" s="436"/>
      <c r="P520" s="432"/>
      <c r="Q520" s="432"/>
      <c r="R520" s="437" t="str">
        <f>IF(R519="","",R519*12)</f>
        <v/>
      </c>
      <c r="T520" s="438" t="str">
        <f ca="1">IFERROR(T519*12,"")</f>
        <v/>
      </c>
      <c r="U520" s="436"/>
      <c r="V520" s="435"/>
      <c r="W520" s="436"/>
      <c r="X520" s="432"/>
      <c r="Y520" s="432"/>
      <c r="Z520" s="437" t="str">
        <f>IF(Z519="","",Z519*12)</f>
        <v/>
      </c>
    </row>
    <row r="521" spans="1:26" ht="18" customHeight="1">
      <c r="A521" s="140"/>
      <c r="B521" s="140"/>
      <c r="D521" s="177" t="s">
        <v>244</v>
      </c>
      <c r="E521" s="433"/>
      <c r="F521" s="436"/>
      <c r="G521" s="435"/>
      <c r="H521" s="436"/>
      <c r="I521" s="432"/>
      <c r="J521" s="437" t="str">
        <f>IFERROR(IF(J520="","",R520-J520),0)</f>
        <v/>
      </c>
      <c r="K521" s="1"/>
      <c r="L521" s="434" t="str">
        <f ca="1">IFERROR(L520-F520,"")</f>
        <v/>
      </c>
      <c r="M521" s="436"/>
      <c r="N521" s="435"/>
      <c r="O521" s="436"/>
      <c r="P521" s="432"/>
      <c r="Q521" s="432"/>
      <c r="R521" s="437" t="str">
        <f>IFERROR(IF(J520="","",R520-J520),0)</f>
        <v/>
      </c>
      <c r="T521" s="434" t="str">
        <f ca="1">IFERROR(T520-F520,"")</f>
        <v/>
      </c>
      <c r="U521" s="436"/>
      <c r="V521" s="435"/>
      <c r="W521" s="436"/>
      <c r="X521" s="432"/>
      <c r="Y521" s="432"/>
      <c r="Z521" s="437" t="str">
        <f>IFERROR(IF(R520="","",Z520-R520),0)</f>
        <v/>
      </c>
    </row>
    <row r="522" spans="1:26" ht="18" customHeight="1" thickBot="1">
      <c r="A522" s="140"/>
      <c r="B522" s="140"/>
      <c r="D522" s="180" t="s">
        <v>245</v>
      </c>
      <c r="E522" s="439"/>
      <c r="F522" s="440"/>
      <c r="G522" s="441"/>
      <c r="H522" s="440"/>
      <c r="I522" s="442"/>
      <c r="J522" s="443" t="str">
        <f>IFERROR(IF(J520="","",(R520/J520)-1),0)</f>
        <v/>
      </c>
      <c r="K522" s="1"/>
      <c r="L522" s="444" t="str">
        <f ca="1">IFERROR(L520/F520-1,"")</f>
        <v/>
      </c>
      <c r="M522" s="440"/>
      <c r="N522" s="441"/>
      <c r="O522" s="440"/>
      <c r="P522" s="445"/>
      <c r="Q522" s="445"/>
      <c r="R522" s="446" t="str">
        <f>IFERROR(IF(J520="","",(R520/J520)-1),0)</f>
        <v/>
      </c>
      <c r="T522" s="444" t="str">
        <f ca="1">IFERROR(T520/F520-1,"")</f>
        <v/>
      </c>
      <c r="U522" s="440"/>
      <c r="V522" s="441"/>
      <c r="W522" s="440"/>
      <c r="X522" s="445"/>
      <c r="Y522" s="445"/>
      <c r="Z522" s="446" t="str">
        <f>IFERROR(IF(R520="","",(Z520/R520)-1),0)</f>
        <v/>
      </c>
    </row>
    <row r="523" spans="1:26" ht="18" customHeight="1">
      <c r="A523" s="140"/>
      <c r="B523" s="140"/>
      <c r="D523" s="181" t="s">
        <v>246</v>
      </c>
      <c r="E523" s="182"/>
      <c r="F523" s="182"/>
      <c r="G523" s="182"/>
      <c r="H523" s="182"/>
      <c r="I523" s="182"/>
      <c r="J523" s="183"/>
      <c r="K523"/>
      <c r="L523" s="184"/>
      <c r="M523" s="182"/>
      <c r="N523" s="182"/>
      <c r="O523" s="182"/>
      <c r="P523" s="182"/>
      <c r="Q523" s="182"/>
      <c r="R523" s="183"/>
      <c r="T523" s="184"/>
      <c r="U523" s="182"/>
      <c r="V523" s="182"/>
      <c r="W523" s="182"/>
      <c r="X523" s="182"/>
      <c r="Y523" s="182"/>
      <c r="Z523" s="183"/>
    </row>
    <row r="524" spans="1:26" ht="18" customHeight="1" hidden="1">
      <c r="A524" s="140"/>
      <c r="B524" s="140"/>
      <c r="D524" s="185" t="s">
        <v>247</v>
      </c>
      <c r="E524" s="186"/>
      <c r="F524" s="186"/>
      <c r="G524" s="186"/>
      <c r="H524" s="186"/>
      <c r="I524" s="186"/>
      <c r="J524" s="187"/>
      <c r="K524"/>
      <c r="L524" s="188"/>
      <c r="M524" s="186"/>
      <c r="N524" s="186"/>
      <c r="O524" s="186"/>
      <c r="P524" s="186"/>
      <c r="Q524" s="186"/>
      <c r="R524" s="187"/>
      <c r="T524" s="188"/>
      <c r="U524" s="186"/>
      <c r="V524" s="186"/>
      <c r="W524" s="186"/>
      <c r="X524" s="186"/>
      <c r="Y524" s="186"/>
      <c r="Z524" s="187"/>
    </row>
    <row r="525" spans="1:26" ht="18" customHeight="1" hidden="1">
      <c r="A525" s="140"/>
      <c r="B525" s="140"/>
      <c r="D525" s="189" t="s">
        <v>248</v>
      </c>
      <c r="E525" s="190" t="str">
        <f>D514&amp;"_"&amp;D12</f>
        <v>NEW PLAN_</v>
      </c>
      <c r="F525" s="191"/>
      <c r="G525" s="191"/>
      <c r="H525" s="191"/>
      <c r="I525" s="190"/>
      <c r="J525" s="192"/>
      <c r="K525"/>
      <c r="L525" s="193" t="str">
        <f>L514&amp;"_"&amp;D12</f>
        <v>SELECT PLAN_</v>
      </c>
      <c r="M525" s="191"/>
      <c r="N525" s="191"/>
      <c r="O525" s="191"/>
      <c r="P525" s="190"/>
      <c r="Q525" s="191"/>
      <c r="R525" s="192"/>
      <c r="T525" s="193" t="str">
        <f>T514&amp;"_"&amp;D12</f>
        <v>SELECT PLAN_</v>
      </c>
      <c r="U525" s="191"/>
      <c r="V525" s="191"/>
      <c r="W525" s="191"/>
      <c r="X525" s="190"/>
      <c r="Y525" s="191"/>
      <c r="Z525" s="192"/>
    </row>
    <row r="526" spans="1:26" ht="18" customHeight="1" hidden="1">
      <c r="A526" s="140"/>
      <c r="B526" s="140"/>
      <c r="D526" s="189" t="s">
        <v>249</v>
      </c>
      <c r="E526" s="191"/>
      <c r="F526" s="191"/>
      <c r="G526" s="191"/>
      <c r="H526" s="191"/>
      <c r="I526" s="191"/>
      <c r="J526" s="192"/>
      <c r="K526"/>
      <c r="L526" s="189"/>
      <c r="M526" s="191"/>
      <c r="N526" s="191"/>
      <c r="O526" s="191"/>
      <c r="P526" s="191"/>
      <c r="Q526" s="191"/>
      <c r="R526" s="192"/>
      <c r="T526" s="189"/>
      <c r="U526" s="191"/>
      <c r="V526" s="191"/>
      <c r="W526" s="191"/>
      <c r="X526" s="191"/>
      <c r="Y526" s="191"/>
      <c r="Z526" s="192"/>
    </row>
    <row r="527" spans="1:26" ht="18" customHeight="1" hidden="1">
      <c r="A527" s="140"/>
      <c r="B527" s="140"/>
      <c r="D527" s="194" t="s">
        <v>250</v>
      </c>
      <c r="E527" s="195"/>
      <c r="F527" s="195"/>
      <c r="G527" s="195"/>
      <c r="H527" s="195"/>
      <c r="I527" s="195"/>
      <c r="J527" s="196"/>
      <c r="K527"/>
      <c r="L527" s="197"/>
      <c r="M527" s="195"/>
      <c r="N527" s="195"/>
      <c r="O527" s="195"/>
      <c r="P527" s="195"/>
      <c r="Q527" s="195"/>
      <c r="R527" s="196"/>
      <c r="T527" s="197"/>
      <c r="U527" s="195"/>
      <c r="V527" s="195"/>
      <c r="W527" s="195"/>
      <c r="X527" s="195"/>
      <c r="Y527" s="195"/>
      <c r="Z527" s="196"/>
    </row>
    <row r="528" spans="1:26" ht="18" customHeight="1" hidden="1">
      <c r="A528" s="140"/>
      <c r="B528" s="140"/>
      <c r="D528" s="198" t="s">
        <v>251</v>
      </c>
      <c r="E528" s="199" t="str">
        <f>_xlfn.XLOOKUP(E525,CurrentPlans!B:B,CurrentPlans!X:X,"NA",0,1)</f>
        <v>NA</v>
      </c>
      <c r="F528" s="200"/>
      <c r="G528" s="200"/>
      <c r="H528" s="200"/>
      <c r="I528" s="199"/>
      <c r="J528" s="201"/>
      <c r="K528"/>
      <c r="L528" s="202" t="str">
        <f>_xlfn.XLOOKUP(L525,RenewalPlans!B:B,RenewalPlans!AA:AA,"NA",0,1)</f>
        <v>NA</v>
      </c>
      <c r="M528" s="200"/>
      <c r="N528" s="200"/>
      <c r="O528" s="200"/>
      <c r="P528" s="199"/>
      <c r="Q528" s="200"/>
      <c r="R528" s="201"/>
      <c r="T528" s="202" t="str">
        <f>_xlfn.XLOOKUP(T525,RenewalPlans!B:B,RenewalPlans!AA:AA,"NA",0,1)</f>
        <v>NA</v>
      </c>
      <c r="U528" s="200"/>
      <c r="V528" s="200"/>
      <c r="W528" s="200"/>
      <c r="X528" s="199"/>
      <c r="Y528" s="200"/>
      <c r="Z528" s="201"/>
    </row>
    <row r="529" spans="1:26" ht="18" customHeight="1" hidden="1">
      <c r="A529" s="140"/>
      <c r="B529" s="140"/>
      <c r="D529" s="198" t="s">
        <v>252</v>
      </c>
      <c r="E529" s="199" t="str">
        <f>_xlfn.XLOOKUP(E525,CurrentPlans!B:B,CurrentPlans!Y:Y,"NA",0,1)</f>
        <v>NA</v>
      </c>
      <c r="F529" s="200"/>
      <c r="G529" s="200"/>
      <c r="H529" s="200"/>
      <c r="I529" s="199"/>
      <c r="J529" s="201"/>
      <c r="K529"/>
      <c r="L529" s="202" t="str">
        <f>_xlfn.XLOOKUP(L525,RenewalPlans!B:B,RenewalPlans!AB:AB,"NA",0,1)</f>
        <v>NA</v>
      </c>
      <c r="M529" s="200"/>
      <c r="N529" s="200"/>
      <c r="O529" s="200"/>
      <c r="P529" s="199"/>
      <c r="Q529" s="200"/>
      <c r="R529" s="201"/>
      <c r="T529" s="202" t="str">
        <f>_xlfn.XLOOKUP(T525,RenewalPlans!B:B,RenewalPlans!AB:AB,"NA",0,1)</f>
        <v>NA</v>
      </c>
      <c r="U529" s="200"/>
      <c r="V529" s="200"/>
      <c r="W529" s="200"/>
      <c r="X529" s="199"/>
      <c r="Y529" s="200"/>
      <c r="Z529" s="201"/>
    </row>
    <row r="530" spans="1:26" ht="18" customHeight="1" hidden="1">
      <c r="A530" s="140"/>
      <c r="B530" s="140"/>
      <c r="D530" s="120" t="s">
        <v>253</v>
      </c>
      <c r="E530" s="121" t="str">
        <f>_xlfn.XLOOKUP(E525,CurrentPlans!B:B,CurrentPlans!W:W,"NA",0,1)</f>
        <v>NA</v>
      </c>
      <c r="F530" s="122"/>
      <c r="G530" s="122"/>
      <c r="H530" s="122"/>
      <c r="I530" s="121"/>
      <c r="J530" s="123"/>
      <c r="K530"/>
      <c r="L530" s="124" t="str">
        <f>_xlfn.XLOOKUP(L525,RenewalPlans!B:B,RenewalPlans!Z:Z,"NA",0,1)</f>
        <v>NA</v>
      </c>
      <c r="M530" s="122"/>
      <c r="N530" s="122"/>
      <c r="O530" s="122"/>
      <c r="P530" s="121"/>
      <c r="Q530" s="122"/>
      <c r="R530" s="123"/>
      <c r="T530" s="124" t="str">
        <f>_xlfn.XLOOKUP(T525,RenewalPlans!B:B,RenewalPlans!Z:Z,"NA",0,1)</f>
        <v>NA</v>
      </c>
      <c r="U530" s="122"/>
      <c r="V530" s="122"/>
      <c r="W530" s="122"/>
      <c r="X530" s="121"/>
      <c r="Y530" s="122"/>
      <c r="Z530" s="123"/>
    </row>
    <row r="531" spans="1:26" ht="18" customHeight="1" hidden="1">
      <c r="A531" s="140"/>
      <c r="B531" s="140"/>
      <c r="D531" s="203" t="s">
        <v>254</v>
      </c>
      <c r="E531" s="204"/>
      <c r="F531" s="205"/>
      <c r="G531" s="205"/>
      <c r="H531" s="205"/>
      <c r="I531" s="204"/>
      <c r="J531" s="206"/>
      <c r="K531"/>
      <c r="L531" s="207"/>
      <c r="M531" s="205"/>
      <c r="N531" s="205"/>
      <c r="O531" s="205"/>
      <c r="P531" s="204"/>
      <c r="Q531" s="205"/>
      <c r="R531" s="206"/>
      <c r="T531" s="207"/>
      <c r="U531" s="205"/>
      <c r="V531" s="205"/>
      <c r="W531" s="205"/>
      <c r="X531" s="204"/>
      <c r="Y531" s="205"/>
      <c r="Z531" s="206"/>
    </row>
    <row r="532" spans="1:26" ht="18" customHeight="1" hidden="1">
      <c r="A532" s="140"/>
      <c r="B532" s="140"/>
      <c r="D532" s="125" t="s">
        <v>255</v>
      </c>
      <c r="E532" s="126" t="str">
        <f>_xlfn.XLOOKUP(E525,CurrentPlans!B:B,CurrentPlans!Z:Z,"NA",0,1)</f>
        <v>NA</v>
      </c>
      <c r="F532" s="127"/>
      <c r="G532" s="127"/>
      <c r="H532" s="127"/>
      <c r="I532" s="126"/>
      <c r="J532" s="128"/>
      <c r="K532"/>
      <c r="L532" s="129" t="str">
        <f>_xlfn.XLOOKUP(L525,RenewalPlans!B:B,RenewalPlans!AC:AC,"NA",0,1)</f>
        <v>NA</v>
      </c>
      <c r="M532" s="127"/>
      <c r="N532" s="127"/>
      <c r="O532" s="127"/>
      <c r="P532" s="126"/>
      <c r="Q532" s="127"/>
      <c r="R532" s="128"/>
      <c r="T532" s="129" t="str">
        <f>_xlfn.XLOOKUP(T525,RenewalPlans!B:B,RenewalPlans!AC:AC,"NA",0,1)</f>
        <v>NA</v>
      </c>
      <c r="U532" s="127"/>
      <c r="V532" s="127"/>
      <c r="W532" s="127"/>
      <c r="X532" s="126"/>
      <c r="Y532" s="127"/>
      <c r="Z532" s="128"/>
    </row>
    <row r="533" spans="1:26" ht="18" customHeight="1" hidden="1">
      <c r="A533" s="140"/>
      <c r="B533" s="140"/>
      <c r="D533" s="198" t="s">
        <v>256</v>
      </c>
      <c r="E533" s="208" t="str">
        <f>_xlfn.XLOOKUP(E525,CurrentPlans!B:B,CurrentPlans!AA:AA,"NA",0,1)</f>
        <v>NA</v>
      </c>
      <c r="F533" s="200"/>
      <c r="G533" s="200"/>
      <c r="H533" s="200"/>
      <c r="I533" s="208"/>
      <c r="J533" s="201"/>
      <c r="K533"/>
      <c r="L533" s="209" t="str">
        <f>_xlfn.XLOOKUP(L525,RenewalPlans!B:B,RenewalPlans!AD:AD,"NA",0,1)</f>
        <v>NA</v>
      </c>
      <c r="M533" s="200"/>
      <c r="N533" s="200"/>
      <c r="O533" s="200"/>
      <c r="P533" s="208"/>
      <c r="Q533" s="200"/>
      <c r="R533" s="201"/>
      <c r="T533" s="209" t="str">
        <f>_xlfn.XLOOKUP(T525,RenewalPlans!B:B,RenewalPlans!AD:AD,"NA",0,1)</f>
        <v>NA</v>
      </c>
      <c r="U533" s="200"/>
      <c r="V533" s="200"/>
      <c r="W533" s="200"/>
      <c r="X533" s="208"/>
      <c r="Y533" s="200"/>
      <c r="Z533" s="201"/>
    </row>
    <row r="534" spans="1:26" ht="18" customHeight="1" hidden="1">
      <c r="A534" s="140"/>
      <c r="B534" s="140"/>
      <c r="D534" s="203" t="s">
        <v>257</v>
      </c>
      <c r="E534" s="204"/>
      <c r="F534" s="205"/>
      <c r="G534" s="205"/>
      <c r="H534" s="205"/>
      <c r="I534" s="204"/>
      <c r="J534" s="206"/>
      <c r="K534"/>
      <c r="L534" s="207"/>
      <c r="M534" s="205"/>
      <c r="N534" s="205"/>
      <c r="O534" s="205"/>
      <c r="P534" s="204"/>
      <c r="Q534" s="205"/>
      <c r="R534" s="206"/>
      <c r="T534" s="207"/>
      <c r="U534" s="205"/>
      <c r="V534" s="205"/>
      <c r="W534" s="205"/>
      <c r="X534" s="204"/>
      <c r="Y534" s="205"/>
      <c r="Z534" s="206"/>
    </row>
    <row r="535" spans="1:26" ht="18" customHeight="1" hidden="1">
      <c r="A535" s="140"/>
      <c r="B535" s="140"/>
      <c r="D535" s="198" t="s">
        <v>258</v>
      </c>
      <c r="E535" s="208" t="str">
        <f>_xlfn.XLOOKUP(E525,CurrentPlans!B:B,CurrentPlans!AB:AB,"NA",0,1)</f>
        <v>NA</v>
      </c>
      <c r="F535" s="200"/>
      <c r="G535" s="200"/>
      <c r="H535" s="200"/>
      <c r="I535" s="208"/>
      <c r="J535" s="201"/>
      <c r="K535"/>
      <c r="L535" s="209" t="str">
        <f>_xlfn.XLOOKUP(L525,RenewalPlans!B:B,RenewalPlans!AE:AE,"NA",0,1)</f>
        <v>NA</v>
      </c>
      <c r="M535" s="200"/>
      <c r="N535" s="200"/>
      <c r="O535" s="200"/>
      <c r="P535" s="208"/>
      <c r="Q535" s="200"/>
      <c r="R535" s="201"/>
      <c r="T535" s="209" t="str">
        <f>_xlfn.XLOOKUP(T525,RenewalPlans!B:B,RenewalPlans!AE:AE,"NA",0,1)</f>
        <v>NA</v>
      </c>
      <c r="U535" s="200"/>
      <c r="V535" s="200"/>
      <c r="W535" s="200"/>
      <c r="X535" s="208"/>
      <c r="Y535" s="200"/>
      <c r="Z535" s="201"/>
    </row>
    <row r="536" spans="1:26" ht="18" customHeight="1" hidden="1">
      <c r="A536" s="140"/>
      <c r="B536" s="140"/>
      <c r="D536" s="198" t="s">
        <v>259</v>
      </c>
      <c r="E536" s="208" t="str">
        <f>_xlfn.XLOOKUP(E525,CurrentPlans!B:B,CurrentPlans!AC:AC,"NA",0,1)</f>
        <v>NA</v>
      </c>
      <c r="F536" s="200"/>
      <c r="G536" s="200"/>
      <c r="H536" s="200"/>
      <c r="I536" s="208"/>
      <c r="J536" s="201"/>
      <c r="K536"/>
      <c r="L536" s="209" t="str">
        <f>_xlfn.XLOOKUP(L525,RenewalPlans!B:B,RenewalPlans!AF:AF,"NA",0,1)</f>
        <v>NA</v>
      </c>
      <c r="M536" s="200"/>
      <c r="N536" s="200"/>
      <c r="O536" s="200"/>
      <c r="P536" s="208"/>
      <c r="Q536" s="200"/>
      <c r="R536" s="201"/>
      <c r="T536" s="209" t="str">
        <f>_xlfn.XLOOKUP(T525,RenewalPlans!B:B,RenewalPlans!AF:AF,"NA",0,1)</f>
        <v>NA</v>
      </c>
      <c r="U536" s="200"/>
      <c r="V536" s="200"/>
      <c r="W536" s="200"/>
      <c r="X536" s="208"/>
      <c r="Y536" s="200"/>
      <c r="Z536" s="201"/>
    </row>
    <row r="537" spans="1:26" ht="18" customHeight="1" hidden="1">
      <c r="A537" s="140"/>
      <c r="B537" s="140"/>
      <c r="D537" s="210"/>
      <c r="E537" s="211"/>
      <c r="F537" s="211"/>
      <c r="G537" s="211"/>
      <c r="H537" s="211"/>
      <c r="I537" s="211"/>
      <c r="J537" s="212"/>
      <c r="K537"/>
      <c r="L537" s="210"/>
      <c r="M537" s="211"/>
      <c r="N537" s="211"/>
      <c r="O537" s="211"/>
      <c r="P537" s="211"/>
      <c r="Q537" s="211"/>
      <c r="R537" s="212"/>
      <c r="T537" s="210"/>
      <c r="U537" s="211"/>
      <c r="V537" s="211"/>
      <c r="W537" s="211"/>
      <c r="X537" s="211"/>
      <c r="Y537" s="211"/>
      <c r="Z537" s="212"/>
    </row>
    <row r="538" spans="1:26" ht="18" customHeight="1" hidden="1">
      <c r="A538" s="140"/>
      <c r="B538" s="140"/>
      <c r="D538" s="185" t="s">
        <v>260</v>
      </c>
      <c r="E538" s="186"/>
      <c r="F538" s="186"/>
      <c r="G538" s="186"/>
      <c r="H538" s="186"/>
      <c r="I538" s="186"/>
      <c r="J538" s="187"/>
      <c r="K538"/>
      <c r="L538" s="188"/>
      <c r="M538" s="186"/>
      <c r="N538" s="186"/>
      <c r="O538" s="186"/>
      <c r="P538" s="186"/>
      <c r="Q538" s="186"/>
      <c r="R538" s="187"/>
      <c r="T538" s="188"/>
      <c r="U538" s="186"/>
      <c r="V538" s="186"/>
      <c r="W538" s="186"/>
      <c r="X538" s="186"/>
      <c r="Y538" s="186"/>
      <c r="Z538" s="187"/>
    </row>
    <row r="539" spans="1:26" ht="18" customHeight="1" hidden="1">
      <c r="A539" s="140"/>
      <c r="B539" s="140"/>
      <c r="D539" s="213" t="s">
        <v>261</v>
      </c>
      <c r="E539" s="130" t="str">
        <f>_xlfn.XLOOKUP(E525,CurrentPlans!B:B,CurrentPlans!AJ:AJ,"NA",0,1)</f>
        <v>NA</v>
      </c>
      <c r="F539" s="214"/>
      <c r="G539" s="214"/>
      <c r="H539" s="214"/>
      <c r="I539" s="130"/>
      <c r="J539" s="215"/>
      <c r="K539"/>
      <c r="L539" s="131" t="str">
        <f>_xlfn.XLOOKUP(L525,RenewalPlans!B:B,RenewalPlans!AM:AM,"NA",0,1)</f>
        <v>NA</v>
      </c>
      <c r="M539" s="214"/>
      <c r="N539" s="214"/>
      <c r="O539" s="214"/>
      <c r="P539" s="130"/>
      <c r="Q539" s="214"/>
      <c r="R539" s="215"/>
      <c r="T539" s="131" t="str">
        <f>_xlfn.XLOOKUP(T525,RenewalPlans!B:B,RenewalPlans!AM:AM,"NA",0,1)</f>
        <v>NA</v>
      </c>
      <c r="U539" s="214"/>
      <c r="V539" s="214"/>
      <c r="W539" s="214"/>
      <c r="X539" s="130"/>
      <c r="Y539" s="214"/>
      <c r="Z539" s="215"/>
    </row>
    <row r="540" spans="1:26" ht="18" customHeight="1" hidden="1">
      <c r="A540" s="140"/>
      <c r="B540" s="140"/>
      <c r="D540" s="198" t="s">
        <v>262</v>
      </c>
      <c r="E540" s="130" t="str">
        <f>_xlfn.XLOOKUP(E525,CurrentPlans!B:B,CurrentPlans!AM:AM,"NA",0,1)</f>
        <v>NA</v>
      </c>
      <c r="F540" s="200"/>
      <c r="G540" s="200"/>
      <c r="H540" s="200"/>
      <c r="I540" s="130"/>
      <c r="J540" s="201"/>
      <c r="K540"/>
      <c r="L540" s="131" t="str">
        <f>_xlfn.XLOOKUP(L525,RenewalPlans!B:B,RenewalPlans!AP:AP,"NA",0,1)</f>
        <v>NA</v>
      </c>
      <c r="M540" s="200"/>
      <c r="N540" s="200"/>
      <c r="O540" s="200"/>
      <c r="P540" s="130"/>
      <c r="Q540" s="200"/>
      <c r="R540" s="201"/>
      <c r="T540" s="131" t="str">
        <f>_xlfn.XLOOKUP(T525,RenewalPlans!B:B,RenewalPlans!AP:AP,"NA",0,1)</f>
        <v>NA</v>
      </c>
      <c r="U540" s="200"/>
      <c r="V540" s="200"/>
      <c r="W540" s="200"/>
      <c r="X540" s="130"/>
      <c r="Y540" s="200"/>
      <c r="Z540" s="201"/>
    </row>
    <row r="541" spans="1:26" ht="18" customHeight="1" hidden="1">
      <c r="A541" s="140"/>
      <c r="B541" s="140"/>
      <c r="D541" s="198" t="s">
        <v>263</v>
      </c>
      <c r="E541" s="130" t="str">
        <f>_xlfn.XLOOKUP(E525,CurrentPlans!B:B,CurrentPlans!AI:AI,"NA",0,1)</f>
        <v>NA</v>
      </c>
      <c r="F541" s="200"/>
      <c r="G541" s="200"/>
      <c r="H541" s="200"/>
      <c r="I541" s="130"/>
      <c r="J541" s="201"/>
      <c r="K541"/>
      <c r="L541" s="131" t="str">
        <f>_xlfn.XLOOKUP(L525,RenewalPlans!B:B,RenewalPlans!AL:AL,"NA",0,1)</f>
        <v>NA</v>
      </c>
      <c r="M541" s="200"/>
      <c r="N541" s="200"/>
      <c r="O541" s="200"/>
      <c r="P541" s="130"/>
      <c r="Q541" s="200"/>
      <c r="R541" s="201"/>
      <c r="T541" s="131" t="str">
        <f>_xlfn.XLOOKUP(T525,RenewalPlans!B:B,RenewalPlans!AL:AL,"NA",0,1)</f>
        <v>NA</v>
      </c>
      <c r="U541" s="200"/>
      <c r="V541" s="200"/>
      <c r="W541" s="200"/>
      <c r="X541" s="130"/>
      <c r="Y541" s="200"/>
      <c r="Z541" s="201"/>
    </row>
    <row r="542" spans="1:26" ht="18" customHeight="1" hidden="1">
      <c r="A542" s="140"/>
      <c r="B542" s="140"/>
      <c r="D542" s="198" t="s">
        <v>264</v>
      </c>
      <c r="E542" s="208" t="str">
        <f>_xlfn.XLOOKUP(E525,CurrentPlans!B:B,CurrentPlans!AN:AN,"NA",0,1)</f>
        <v>NA</v>
      </c>
      <c r="F542" s="200"/>
      <c r="G542" s="200"/>
      <c r="H542" s="200"/>
      <c r="I542" s="208"/>
      <c r="J542" s="201"/>
      <c r="K542"/>
      <c r="L542" s="209" t="str">
        <f>_xlfn.XLOOKUP(L525,RenewalPlans!B:B,RenewalPlans!AQ:AQ,"NA",0,1)</f>
        <v>NA</v>
      </c>
      <c r="M542" s="200"/>
      <c r="N542" s="200"/>
      <c r="O542" s="200"/>
      <c r="P542" s="208"/>
      <c r="Q542" s="200"/>
      <c r="R542" s="201"/>
      <c r="T542" s="209" t="str">
        <f>_xlfn.XLOOKUP(T525,RenewalPlans!B:B,RenewalPlans!AQ:AQ,"NA",0,1)</f>
        <v>NA</v>
      </c>
      <c r="U542" s="200"/>
      <c r="V542" s="200"/>
      <c r="W542" s="200"/>
      <c r="X542" s="208"/>
      <c r="Y542" s="200"/>
      <c r="Z542" s="201"/>
    </row>
    <row r="543" spans="1:26" ht="18" customHeight="1" hidden="1">
      <c r="A543" s="140"/>
      <c r="B543" s="140"/>
      <c r="D543" s="210"/>
      <c r="E543" s="211"/>
      <c r="F543" s="211"/>
      <c r="G543" s="211"/>
      <c r="H543" s="211"/>
      <c r="I543" s="211"/>
      <c r="J543" s="212"/>
      <c r="K543"/>
      <c r="L543" s="210"/>
      <c r="M543" s="211"/>
      <c r="N543" s="211"/>
      <c r="O543" s="211"/>
      <c r="P543" s="211"/>
      <c r="Q543" s="211"/>
      <c r="R543" s="212"/>
      <c r="T543" s="210"/>
      <c r="U543" s="211"/>
      <c r="V543" s="211"/>
      <c r="W543" s="211"/>
      <c r="X543" s="211"/>
      <c r="Y543" s="211"/>
      <c r="Z543" s="212"/>
    </row>
    <row r="544" spans="1:26" ht="18" customHeight="1" hidden="1">
      <c r="A544" s="140"/>
      <c r="B544" s="140"/>
      <c r="D544" s="185" t="s">
        <v>265</v>
      </c>
      <c r="E544" s="186"/>
      <c r="F544" s="186"/>
      <c r="G544" s="186"/>
      <c r="H544" s="186"/>
      <c r="I544" s="186"/>
      <c r="J544" s="187"/>
      <c r="K544"/>
      <c r="L544" s="188"/>
      <c r="M544" s="186"/>
      <c r="N544" s="186"/>
      <c r="O544" s="186"/>
      <c r="P544" s="186"/>
      <c r="Q544" s="186"/>
      <c r="R544" s="187"/>
      <c r="T544" s="188"/>
      <c r="U544" s="186"/>
      <c r="V544" s="186"/>
      <c r="W544" s="186"/>
      <c r="X544" s="186"/>
      <c r="Y544" s="186"/>
      <c r="Z544" s="187"/>
    </row>
    <row r="545" spans="1:26" ht="18" customHeight="1" hidden="1">
      <c r="A545" s="140"/>
      <c r="B545" s="140"/>
      <c r="D545" s="132" t="s">
        <v>266</v>
      </c>
      <c r="E545" s="133" t="str">
        <f>_xlfn.XLOOKUP(E525,CurrentPlans!B:B,CurrentPlans!AE:AE,"NA",0,1)</f>
        <v>NA</v>
      </c>
      <c r="F545" s="134"/>
      <c r="G545" s="134"/>
      <c r="H545" s="134"/>
      <c r="I545" s="133"/>
      <c r="J545" s="135"/>
      <c r="K545"/>
      <c r="L545" s="136" t="str">
        <f>_xlfn.XLOOKUP(L525,RenewalPlans!B:B,RenewalPlans!AH:AH,"NA",0,1)</f>
        <v>NA</v>
      </c>
      <c r="M545" s="134"/>
      <c r="N545" s="134"/>
      <c r="O545" s="134"/>
      <c r="P545" s="133"/>
      <c r="Q545" s="134"/>
      <c r="R545" s="135"/>
      <c r="T545" s="136" t="str">
        <f>_xlfn.XLOOKUP(T525,RenewalPlans!B:B,RenewalPlans!AH:AH,"NA",0,1)</f>
        <v>NA</v>
      </c>
      <c r="U545" s="134"/>
      <c r="V545" s="134"/>
      <c r="W545" s="134"/>
      <c r="X545" s="133"/>
      <c r="Y545" s="134"/>
      <c r="Z545" s="135"/>
    </row>
    <row r="546" spans="1:26" ht="18" customHeight="1" hidden="1">
      <c r="A546" s="140"/>
      <c r="B546" s="140"/>
      <c r="D546" s="120" t="s">
        <v>267</v>
      </c>
      <c r="E546" s="130" t="str">
        <f>_xlfn.XLOOKUP(E525,CurrentPlans!B:B,CurrentPlans!AF:AF,"NA",0,1)</f>
        <v>NA</v>
      </c>
      <c r="F546" s="122"/>
      <c r="G546" s="122"/>
      <c r="H546" s="122"/>
      <c r="I546" s="130"/>
      <c r="J546" s="123"/>
      <c r="K546"/>
      <c r="L546" s="131" t="str">
        <f>_xlfn.XLOOKUP(L525,RenewalPlans!B:B,RenewalPlans!AI:AI,"NA",0,1)</f>
        <v>NA</v>
      </c>
      <c r="M546" s="122"/>
      <c r="N546" s="122"/>
      <c r="O546" s="122"/>
      <c r="P546" s="130"/>
      <c r="Q546" s="122"/>
      <c r="R546" s="123"/>
      <c r="T546" s="131" t="str">
        <f>_xlfn.XLOOKUP(T525,RenewalPlans!B:B,RenewalPlans!AI:AI,"NA",0,1)</f>
        <v>NA</v>
      </c>
      <c r="U546" s="122"/>
      <c r="V546" s="122"/>
      <c r="W546" s="122"/>
      <c r="X546" s="130"/>
      <c r="Y546" s="122"/>
      <c r="Z546" s="123"/>
    </row>
    <row r="547" spans="1:26" ht="18" customHeight="1" hidden="1">
      <c r="A547" s="140"/>
      <c r="B547" s="140"/>
      <c r="D547" s="198" t="s">
        <v>268</v>
      </c>
      <c r="E547" s="130" t="str">
        <f>_xlfn.XLOOKUP(E525,CurrentPlans!B:B,CurrentPlans!AH:AH,"NA",0,1)</f>
        <v>NA</v>
      </c>
      <c r="F547" s="200"/>
      <c r="G547" s="200"/>
      <c r="H547" s="200"/>
      <c r="I547" s="130"/>
      <c r="J547" s="201"/>
      <c r="K547"/>
      <c r="L547" s="131" t="str">
        <f>_xlfn.XLOOKUP(L525,RenewalPlans!B:B,RenewalPlans!AK:AK,"NA",0,1)</f>
        <v>NA</v>
      </c>
      <c r="M547" s="200"/>
      <c r="N547" s="200"/>
      <c r="O547" s="200"/>
      <c r="P547" s="130"/>
      <c r="Q547" s="200"/>
      <c r="R547" s="201"/>
      <c r="T547" s="131" t="str">
        <f>_xlfn.XLOOKUP(T525,RenewalPlans!B:B,RenewalPlans!AK:AK,"NA",0,1)</f>
        <v>NA</v>
      </c>
      <c r="U547" s="200"/>
      <c r="V547" s="200"/>
      <c r="W547" s="200"/>
      <c r="X547" s="130"/>
      <c r="Y547" s="200"/>
      <c r="Z547" s="201"/>
    </row>
    <row r="548" spans="1:26" ht="18" customHeight="1" hidden="1">
      <c r="A548" s="140"/>
      <c r="B548" s="140"/>
      <c r="D548" s="198" t="s">
        <v>269</v>
      </c>
      <c r="E548" s="130" t="str">
        <f>_xlfn.XLOOKUP(E525,CurrentPlans!B:B,CurrentPlans!AG:AG,"NA",0,1)</f>
        <v>NA</v>
      </c>
      <c r="F548" s="200"/>
      <c r="G548" s="200"/>
      <c r="H548" s="200"/>
      <c r="I548" s="130"/>
      <c r="J548" s="201"/>
      <c r="K548"/>
      <c r="L548" s="131" t="str">
        <f>_xlfn.XLOOKUP(L525,RenewalPlans!B:B,RenewalPlans!AJ:AJ,"NA",0,1)</f>
        <v>NA</v>
      </c>
      <c r="M548" s="200"/>
      <c r="N548" s="200"/>
      <c r="O548" s="200"/>
      <c r="P548" s="130"/>
      <c r="Q548" s="200"/>
      <c r="R548" s="201"/>
      <c r="T548" s="131" t="str">
        <f>_xlfn.XLOOKUP(T525,RenewalPlans!B:B,RenewalPlans!AJ:AJ,"NA",0,1)</f>
        <v>NA</v>
      </c>
      <c r="U548" s="200"/>
      <c r="V548" s="200"/>
      <c r="W548" s="200"/>
      <c r="X548" s="130"/>
      <c r="Y548" s="200"/>
      <c r="Z548" s="201"/>
    </row>
    <row r="549" spans="1:26" ht="18" customHeight="1" hidden="1">
      <c r="A549" s="140"/>
      <c r="B549" s="140"/>
      <c r="D549" s="213" t="s">
        <v>270</v>
      </c>
      <c r="E549" s="216" t="str">
        <f>_xlfn.XLOOKUP(E525,CurrentPlans!B:B,CurrentPlans!AU:AU,"NA",0,1)</f>
        <v>NA</v>
      </c>
      <c r="F549" s="214"/>
      <c r="G549" s="214"/>
      <c r="H549" s="214"/>
      <c r="I549" s="217"/>
      <c r="J549" s="215"/>
      <c r="K549"/>
      <c r="L549" s="218" t="str">
        <f>_xlfn.XLOOKUP(L525,RenewalPlans!B:B,RenewalPlans!AX:AX,"NA",0,1)</f>
        <v>NA</v>
      </c>
      <c r="M549" s="214"/>
      <c r="N549" s="214"/>
      <c r="O549" s="214"/>
      <c r="P549" s="217"/>
      <c r="Q549" s="214"/>
      <c r="R549" s="215"/>
      <c r="T549" s="218" t="str">
        <f>_xlfn.XLOOKUP(T525,RenewalPlans!B:B,RenewalPlans!AX:AX,"NA",0,1)</f>
        <v>NA</v>
      </c>
      <c r="U549" s="214"/>
      <c r="V549" s="214"/>
      <c r="W549" s="214"/>
      <c r="X549" s="217"/>
      <c r="Y549" s="214"/>
      <c r="Z549" s="215"/>
    </row>
    <row r="550" spans="1:26" ht="18" customHeight="1" hidden="1">
      <c r="A550" s="140"/>
      <c r="B550" s="140"/>
      <c r="D550" s="213" t="s">
        <v>271</v>
      </c>
      <c r="E550" s="216" t="str">
        <f>_xlfn.XLOOKUP(E525,CurrentPlans!B:B,CurrentPlans!AT:AT,"NA",0,1)</f>
        <v>NA</v>
      </c>
      <c r="F550" s="214"/>
      <c r="G550" s="214"/>
      <c r="H550" s="214"/>
      <c r="I550" s="217"/>
      <c r="J550" s="215"/>
      <c r="K550"/>
      <c r="L550" s="218" t="str">
        <f>_xlfn.XLOOKUP(L525,RenewalPlans!B:B,RenewalPlans!AW:AW,"NA",0,1)</f>
        <v>NA</v>
      </c>
      <c r="M550" s="214"/>
      <c r="N550" s="214"/>
      <c r="O550" s="214"/>
      <c r="P550" s="217"/>
      <c r="Q550" s="214"/>
      <c r="R550" s="215"/>
      <c r="T550" s="218" t="str">
        <f>_xlfn.XLOOKUP(T525,RenewalPlans!B:B,RenewalPlans!AW:AW,"NA",0,1)</f>
        <v>NA</v>
      </c>
      <c r="U550" s="214"/>
      <c r="V550" s="214"/>
      <c r="W550" s="214"/>
      <c r="X550" s="217"/>
      <c r="Y550" s="214"/>
      <c r="Z550" s="215"/>
    </row>
    <row r="551" spans="1:26" ht="18" customHeight="1" hidden="1">
      <c r="A551" s="140"/>
      <c r="B551" s="140"/>
      <c r="D551" s="198" t="s">
        <v>272</v>
      </c>
      <c r="E551" s="130" t="str">
        <f>_xlfn.XLOOKUP(E525,CurrentPlans!B:B,CurrentPlans!AD:AD,"NA",0,1)</f>
        <v>NA</v>
      </c>
      <c r="F551" s="200"/>
      <c r="G551" s="200"/>
      <c r="H551" s="200"/>
      <c r="I551" s="130"/>
      <c r="J551" s="201"/>
      <c r="K551"/>
      <c r="L551" s="131" t="str">
        <f>_xlfn.XLOOKUP(L525,RenewalPlans!B:B,RenewalPlans!AG:AG,"NA",0,1)</f>
        <v>NA</v>
      </c>
      <c r="M551" s="200"/>
      <c r="N551" s="200"/>
      <c r="O551" s="200"/>
      <c r="P551" s="130"/>
      <c r="Q551" s="200"/>
      <c r="R551" s="201"/>
      <c r="T551" s="131" t="str">
        <f>_xlfn.XLOOKUP(T525,RenewalPlans!B:B,RenewalPlans!AG:AG,"NA",0,1)</f>
        <v>NA</v>
      </c>
      <c r="U551" s="200"/>
      <c r="V551" s="200"/>
      <c r="W551" s="200"/>
      <c r="X551" s="130"/>
      <c r="Y551" s="200"/>
      <c r="Z551" s="201"/>
    </row>
    <row r="552" spans="1:26" ht="18" customHeight="1" hidden="1">
      <c r="A552" s="140"/>
      <c r="B552" s="140"/>
      <c r="D552" s="198" t="s">
        <v>273</v>
      </c>
      <c r="E552" s="200"/>
      <c r="F552" s="200"/>
      <c r="G552" s="200"/>
      <c r="H552" s="200"/>
      <c r="I552" s="200"/>
      <c r="J552" s="201"/>
      <c r="K552"/>
      <c r="L552" s="198"/>
      <c r="M552" s="200"/>
      <c r="N552" s="200"/>
      <c r="O552" s="200"/>
      <c r="P552" s="200"/>
      <c r="Q552" s="200"/>
      <c r="R552" s="201"/>
      <c r="T552" s="198"/>
      <c r="U552" s="200"/>
      <c r="V552" s="200"/>
      <c r="W552" s="200"/>
      <c r="X552" s="200"/>
      <c r="Y552" s="200"/>
      <c r="Z552" s="201"/>
    </row>
    <row r="553" spans="1:26" ht="18" customHeight="1" hidden="1">
      <c r="A553" s="140"/>
      <c r="B553" s="140"/>
      <c r="D553" s="210"/>
      <c r="E553" s="211"/>
      <c r="F553" s="211"/>
      <c r="G553" s="211"/>
      <c r="H553" s="211"/>
      <c r="I553" s="211"/>
      <c r="J553" s="212"/>
      <c r="K553"/>
      <c r="L553" s="210"/>
      <c r="M553" s="211"/>
      <c r="N553" s="211"/>
      <c r="O553" s="211"/>
      <c r="P553" s="211"/>
      <c r="Q553" s="211"/>
      <c r="R553" s="212"/>
      <c r="T553" s="210"/>
      <c r="U553" s="211"/>
      <c r="V553" s="211"/>
      <c r="W553" s="211"/>
      <c r="X553" s="211"/>
      <c r="Y553" s="211"/>
      <c r="Z553" s="212"/>
    </row>
    <row r="554" spans="1:26" ht="18" customHeight="1" hidden="1">
      <c r="A554" s="140"/>
      <c r="B554" s="140"/>
      <c r="D554" s="219" t="s">
        <v>274</v>
      </c>
      <c r="E554" s="220"/>
      <c r="F554" s="220"/>
      <c r="G554" s="220"/>
      <c r="H554" s="220"/>
      <c r="I554" s="220"/>
      <c r="J554" s="221"/>
      <c r="K554"/>
      <c r="L554" s="222"/>
      <c r="M554" s="220"/>
      <c r="N554" s="220"/>
      <c r="O554" s="220"/>
      <c r="P554" s="220"/>
      <c r="Q554" s="220"/>
      <c r="R554" s="221"/>
      <c r="T554" s="222"/>
      <c r="U554" s="220"/>
      <c r="V554" s="220"/>
      <c r="W554" s="220"/>
      <c r="X554" s="220"/>
      <c r="Y554" s="220"/>
      <c r="Z554" s="221"/>
    </row>
    <row r="555" spans="1:26" ht="18" customHeight="1" hidden="1">
      <c r="A555" s="140"/>
      <c r="B555" s="140"/>
      <c r="D555" s="223" t="s">
        <v>250</v>
      </c>
      <c r="E555" s="205"/>
      <c r="F555" s="205"/>
      <c r="G555" s="205"/>
      <c r="H555" s="205"/>
      <c r="I555" s="205"/>
      <c r="J555" s="206"/>
      <c r="K555"/>
      <c r="L555" s="203"/>
      <c r="M555" s="205"/>
      <c r="N555" s="205"/>
      <c r="O555" s="205"/>
      <c r="P555" s="205"/>
      <c r="Q555" s="205"/>
      <c r="R555" s="206"/>
      <c r="T555" s="203"/>
      <c r="U555" s="205"/>
      <c r="V555" s="205"/>
      <c r="W555" s="205"/>
      <c r="X555" s="205"/>
      <c r="Y555" s="205"/>
      <c r="Z555" s="206"/>
    </row>
    <row r="556" spans="1:26" ht="18" customHeight="1" hidden="1">
      <c r="A556" s="140"/>
      <c r="B556" s="140"/>
      <c r="D556" s="198" t="s">
        <v>251</v>
      </c>
      <c r="E556" s="130" t="str">
        <f>_xlfn.XLOOKUP(E525,CurrentPlans!B:B,CurrentPlans!AP:AP,"NA",0,1)</f>
        <v>NA</v>
      </c>
      <c r="F556" s="200"/>
      <c r="G556" s="200"/>
      <c r="H556" s="200"/>
      <c r="I556" s="130"/>
      <c r="J556" s="201"/>
      <c r="K556"/>
      <c r="L556" s="131" t="str">
        <f>_xlfn.XLOOKUP(L525,RenewalPlans!B:B,RenewalPlans!AS:AS,"NA",0,1)</f>
        <v>NA</v>
      </c>
      <c r="M556" s="200"/>
      <c r="N556" s="200"/>
      <c r="O556" s="200"/>
      <c r="P556" s="130"/>
      <c r="Q556" s="200"/>
      <c r="R556" s="201"/>
      <c r="T556" s="131" t="str">
        <f>_xlfn.XLOOKUP(T525,RenewalPlans!B:B,RenewalPlans!AS:AS,"NA",0,1)</f>
        <v>NA</v>
      </c>
      <c r="U556" s="200"/>
      <c r="V556" s="200"/>
      <c r="W556" s="200"/>
      <c r="X556" s="130"/>
      <c r="Y556" s="200"/>
      <c r="Z556" s="201"/>
    </row>
    <row r="557" spans="1:26" ht="18" customHeight="1" hidden="1">
      <c r="A557" s="140"/>
      <c r="B557" s="140"/>
      <c r="D557" s="198" t="s">
        <v>252</v>
      </c>
      <c r="E557" s="130" t="str">
        <f>_xlfn.XLOOKUP(E525,CurrentPlans!B:B,CurrentPlans!AQ:AQ,"NA",0,1)</f>
        <v>NA</v>
      </c>
      <c r="F557" s="200"/>
      <c r="G557" s="200"/>
      <c r="H557" s="200"/>
      <c r="I557" s="130"/>
      <c r="J557" s="201"/>
      <c r="K557"/>
      <c r="L557" s="131" t="str">
        <f>_xlfn.XLOOKUP(L525,RenewalPlans!B:B,RenewalPlans!AT:AT,"NA",0,1)</f>
        <v>NA</v>
      </c>
      <c r="M557" s="200"/>
      <c r="N557" s="200"/>
      <c r="O557" s="200"/>
      <c r="P557" s="130"/>
      <c r="Q557" s="200"/>
      <c r="R557" s="201"/>
      <c r="T557" s="131" t="str">
        <f>_xlfn.XLOOKUP(T525,RenewalPlans!B:B,RenewalPlans!AT:AT,"NA",0,1)</f>
        <v>NA</v>
      </c>
      <c r="U557" s="200"/>
      <c r="V557" s="200"/>
      <c r="W557" s="200"/>
      <c r="X557" s="130"/>
      <c r="Y557" s="200"/>
      <c r="Z557" s="201"/>
    </row>
    <row r="558" spans="1:26" ht="18" customHeight="1" hidden="1">
      <c r="A558" s="140"/>
      <c r="B558" s="140"/>
      <c r="D558" s="120" t="s">
        <v>253</v>
      </c>
      <c r="E558" s="133" t="str">
        <f>_xlfn.XLOOKUP(E525,CurrentPlans!B:B,CurrentPlans!AO:AO,"NA",0,1)</f>
        <v>NA</v>
      </c>
      <c r="F558" s="122"/>
      <c r="G558" s="122"/>
      <c r="H558" s="122"/>
      <c r="I558" s="133"/>
      <c r="J558" s="123"/>
      <c r="K558"/>
      <c r="L558" s="136" t="str">
        <f>_xlfn.XLOOKUP(L525,RenewalPlans!B:B,RenewalPlans!AR:AR,"NA",0,1)</f>
        <v>NA</v>
      </c>
      <c r="M558" s="122"/>
      <c r="N558" s="122"/>
      <c r="O558" s="122"/>
      <c r="P558" s="133"/>
      <c r="Q558" s="122"/>
      <c r="R558" s="123"/>
      <c r="T558" s="136" t="str">
        <f>_xlfn.XLOOKUP(T525,RenewalPlans!B:B,RenewalPlans!AR:AR,"NA",0,1)</f>
        <v>NA</v>
      </c>
      <c r="U558" s="122"/>
      <c r="V558" s="122"/>
      <c r="W558" s="122"/>
      <c r="X558" s="133"/>
      <c r="Y558" s="122"/>
      <c r="Z558" s="123"/>
    </row>
    <row r="559" spans="1:26" ht="18" customHeight="1" hidden="1">
      <c r="A559" s="140"/>
      <c r="B559" s="140"/>
      <c r="D559" s="223" t="s">
        <v>254</v>
      </c>
      <c r="E559" s="205"/>
      <c r="F559" s="205"/>
      <c r="G559" s="205"/>
      <c r="H559" s="205"/>
      <c r="I559" s="205"/>
      <c r="J559" s="206"/>
      <c r="K559"/>
      <c r="L559" s="203"/>
      <c r="M559" s="205"/>
      <c r="N559" s="205"/>
      <c r="O559" s="205"/>
      <c r="P559" s="205"/>
      <c r="Q559" s="205"/>
      <c r="R559" s="206"/>
      <c r="T559" s="203"/>
      <c r="U559" s="205"/>
      <c r="V559" s="205"/>
      <c r="W559" s="205"/>
      <c r="X559" s="205"/>
      <c r="Y559" s="205"/>
      <c r="Z559" s="206"/>
    </row>
    <row r="560" spans="1:26" ht="18" customHeight="1" hidden="1">
      <c r="A560" s="140"/>
      <c r="B560" s="140"/>
      <c r="D560" s="198" t="s">
        <v>255</v>
      </c>
      <c r="E560" s="130" t="str">
        <f>_xlfn.XLOOKUP(E525,CurrentPlans!B:B,CurrentPlans!AR:AR,"NA",0,1)</f>
        <v>NA</v>
      </c>
      <c r="F560" s="200"/>
      <c r="G560" s="200"/>
      <c r="H560" s="200"/>
      <c r="I560" s="130"/>
      <c r="J560" s="201"/>
      <c r="K560"/>
      <c r="L560" s="131" t="str">
        <f>_xlfn.XLOOKUP(L525,RenewalPlans!B:B,RenewalPlans!AU:AU,"NA",0,1)</f>
        <v>NA</v>
      </c>
      <c r="M560" s="200"/>
      <c r="N560" s="200"/>
      <c r="O560" s="200"/>
      <c r="P560" s="130"/>
      <c r="Q560" s="200"/>
      <c r="R560" s="201"/>
      <c r="T560" s="131" t="str">
        <f>_xlfn.XLOOKUP(T525,RenewalPlans!B:B,RenewalPlans!AU:AU,"NA",0,1)</f>
        <v>NA</v>
      </c>
      <c r="U560" s="200"/>
      <c r="V560" s="200"/>
      <c r="W560" s="200"/>
      <c r="X560" s="130"/>
      <c r="Y560" s="200"/>
      <c r="Z560" s="201"/>
    </row>
    <row r="561" spans="1:26" ht="18" customHeight="1" hidden="1" thickBot="1">
      <c r="A561" s="140"/>
      <c r="B561" s="140"/>
      <c r="D561" s="224" t="s">
        <v>256</v>
      </c>
      <c r="E561" s="137" t="str">
        <f>_xlfn.XLOOKUP(E525,CurrentPlans!B:B,CurrentPlans!AS:AS,"NA",0,1)</f>
        <v>NA</v>
      </c>
      <c r="F561" s="225"/>
      <c r="G561" s="225"/>
      <c r="H561" s="225"/>
      <c r="I561" s="137"/>
      <c r="J561" s="226"/>
      <c r="K561"/>
      <c r="L561" s="138" t="str">
        <f>_xlfn.XLOOKUP(L525,RenewalPlans!B:B,RenewalPlans!AV:AV,"NA",0,1)</f>
        <v>NA</v>
      </c>
      <c r="M561" s="225"/>
      <c r="N561" s="225"/>
      <c r="O561" s="225"/>
      <c r="P561" s="137"/>
      <c r="Q561" s="225"/>
      <c r="R561" s="226"/>
      <c r="T561" s="138" t="str">
        <f>_xlfn.XLOOKUP(T525,RenewalPlans!B:B,RenewalPlans!AV:AV,"NA",0,1)</f>
        <v>NA</v>
      </c>
      <c r="U561" s="225"/>
      <c r="V561" s="225"/>
      <c r="W561" s="225"/>
      <c r="X561" s="137"/>
      <c r="Y561" s="225"/>
      <c r="Z561" s="226"/>
    </row>
    <row r="562" spans="1:26" ht="18" customHeight="1">
      <c r="A562" s="140"/>
      <c r="B562" s="140"/>
      <c r="D562" s="227"/>
      <c r="E562" s="176"/>
      <c r="F562" s="178"/>
      <c r="G562" s="179"/>
      <c r="H562" s="178"/>
      <c r="I562" s="176"/>
      <c r="J562" s="228"/>
      <c r="K562"/>
      <c r="L562" s="178"/>
      <c r="M562" s="176"/>
      <c r="N562" s="139"/>
      <c r="O562" s="178"/>
      <c r="P562" s="178"/>
      <c r="Q562" s="178"/>
      <c r="R562" s="228"/>
      <c r="T562" s="178"/>
      <c r="U562" s="176"/>
      <c r="V562" s="139"/>
      <c r="W562" s="178"/>
      <c r="X562" s="178"/>
      <c r="Y562" s="178"/>
      <c r="Z562" s="228"/>
    </row>
    <row r="563" spans="1:26" ht="5.25" customHeight="1" thickBot="1">
      <c r="A563" s="140"/>
      <c r="B563" s="140"/>
      <c r="D563" s="229"/>
      <c r="E563" s="229"/>
      <c r="F563" s="230"/>
      <c r="G563" s="231"/>
      <c r="H563" s="232"/>
      <c r="I563" s="233"/>
      <c r="J563" s="233"/>
      <c r="K563"/>
      <c r="L563" s="233"/>
      <c r="M563" s="233"/>
      <c r="N563" s="233"/>
      <c r="O563" s="233"/>
      <c r="P563" s="233"/>
      <c r="Q563" s="233"/>
      <c r="R563" s="233"/>
      <c r="T563" s="233"/>
      <c r="U563" s="233"/>
      <c r="V563" s="233"/>
      <c r="W563" s="233"/>
      <c r="X563" s="233"/>
      <c r="Y563" s="233"/>
      <c r="Z563" s="233"/>
    </row>
    <row r="564" spans="1:26" ht="50.15" customHeight="1">
      <c r="A564" s="140"/>
      <c r="B564" s="140"/>
      <c r="C564" s="164" t="s">
        <v>286</v>
      </c>
      <c r="D564" s="275" t="s">
        <v>285</v>
      </c>
      <c r="E564" s="165"/>
      <c r="F564" s="272"/>
      <c r="G564" s="166"/>
      <c r="H564" s="167"/>
      <c r="I564" s="168"/>
      <c r="J564" s="169"/>
      <c r="K564"/>
      <c r="L564" s="274" t="s">
        <v>38</v>
      </c>
      <c r="M564" s="170"/>
      <c r="N564" s="274" t="s">
        <v>237</v>
      </c>
      <c r="O564" s="171"/>
      <c r="P564" s="171"/>
      <c r="Q564" s="171"/>
      <c r="R564" s="169"/>
      <c r="T564" s="274" t="s">
        <v>38</v>
      </c>
      <c r="U564" s="170"/>
      <c r="V564" s="274" t="s">
        <v>237</v>
      </c>
      <c r="W564" s="171"/>
      <c r="X564" s="171"/>
      <c r="Y564" s="171"/>
      <c r="Z564" s="169"/>
    </row>
    <row r="565" spans="1:26" ht="18.75" customHeight="1">
      <c r="A565" s="140"/>
      <c r="B565" s="140"/>
      <c r="D565" s="172" t="s">
        <v>238</v>
      </c>
      <c r="E565" s="407"/>
      <c r="F565" s="449"/>
      <c r="G565" s="470"/>
      <c r="H565" s="449"/>
      <c r="I565" s="450"/>
      <c r="J565" s="410"/>
      <c r="K565" s="411"/>
      <c r="L565" s="408" t="str" cm="1">
        <f t="array" ca="1" aca="1" ref="L565">_xlfn.IFNA(VLOOKUP(INDIRECT("L"&amp;ROW()-1)&amp;"_"&amp;$D$12,BEGIN_RENEW_HEALTH:END_RENEW_HEALTH,RENEW_COL_EO,FALSE),"")</f>
        <v/>
      </c>
      <c r="M565" s="412" t="str">
        <f>IF(E565="","",E565)</f>
        <v/>
      </c>
      <c r="N565" s="413"/>
      <c r="O565" s="414"/>
      <c r="P565" s="415" t="str">
        <f>IFERROR(IF($N564="Keep Contribution Same",H565,IF($N564="Enter Percentages",IF(N565="","",N565*L565),IF($N564="Keep Percentage Same",IF(G565="","",G565*L565),IF($N564="Enter Dollar Amount",IF(O565="","",O565),"")))),"")</f>
        <v/>
      </c>
      <c r="Q565" s="408" t="str">
        <f ca="1">IFERROR(L565-P565,"")</f>
        <v/>
      </c>
      <c r="R565" s="410" t="str">
        <f>IFERROR(IF(P565="","",M565*P565),"")</f>
        <v/>
      </c>
      <c r="S565" s="411"/>
      <c r="T565" s="408" t="str" cm="1">
        <f t="array" ca="1" aca="1" ref="T565">_xlfn.IFNA(VLOOKUP(INDIRECT("T"&amp;ROW()-1)&amp;"_"&amp;$D$12,BEGIN_RENEW_HEALTH:END_RENEW_HEALTH,RENEW_COL_EO,FALSE),"")</f>
        <v/>
      </c>
      <c r="U565" s="412" t="str">
        <f>IF(E565="","",E565)</f>
        <v/>
      </c>
      <c r="V565" s="413"/>
      <c r="W565" s="414"/>
      <c r="X565" s="415" t="str">
        <f>IFERROR(IF($V564="Keep Contribution Same",H565,IF($V564="Enter Percentages",IF(V565="","",V565*T565),IF($V564="Keep Percentage Same",IF(G565="","",G565*T565),IF($V564="Enter Dollar Amount",IF(W565="","",W565),"")))),"")</f>
        <v/>
      </c>
      <c r="Y565" s="408" t="str">
        <f ca="1">IFERROR(T565-X565,"")</f>
        <v/>
      </c>
      <c r="Z565" s="410" t="str">
        <f>IFERROR(IF(X565="","",U565*X565),"")</f>
        <v/>
      </c>
    </row>
    <row r="566" spans="1:26" ht="18.75" customHeight="1">
      <c r="A566" s="140"/>
      <c r="B566" s="140"/>
      <c r="D566" s="172" t="s">
        <v>239</v>
      </c>
      <c r="E566" s="407"/>
      <c r="F566" s="449"/>
      <c r="G566" s="470"/>
      <c r="H566" s="449"/>
      <c r="I566" s="450"/>
      <c r="J566" s="410"/>
      <c r="K566" s="411"/>
      <c r="L566" s="408" t="str" cm="1">
        <f t="array" ca="1" aca="1" ref="L566">_xlfn.IFNA(VLOOKUP(INDIRECT("L"&amp;ROW()-2)&amp;"_"&amp;$D$12,BEGIN_RENEW_HEALTH:END_RENEW_HEALTH,RENEW_COL_ES,FALSE),"")</f>
        <v/>
      </c>
      <c r="M566" s="412" t="str">
        <f>IF(E566="","",E566)</f>
        <v/>
      </c>
      <c r="N566" s="413"/>
      <c r="O566" s="414"/>
      <c r="P566" s="415" t="str">
        <f>IFERROR(IF($N564="Keep Contribution Same",H566,IF($N564="Enter Percentages",IF(N566="","",N566*L566),IF($N564="Keep Percentage Same",IF(G566="","",G566*L566),IF($N564="Enter Dollar Amount",IF(O566="","",O566),"")))),"")</f>
        <v/>
      </c>
      <c r="Q566" s="408" t="str">
        <f ca="1" t="shared" si="54" ref="Q566:Q568">IFERROR(L566-P566,"")</f>
        <v/>
      </c>
      <c r="R566" s="410" t="str">
        <f>IFERROR(IF(P566="","",M566*P566),"")</f>
        <v/>
      </c>
      <c r="S566" s="411"/>
      <c r="T566" s="408" t="str" cm="1">
        <f t="array" ca="1" aca="1" ref="T566">_xlfn.IFNA(VLOOKUP(INDIRECT("T"&amp;ROW()-2)&amp;"_"&amp;$D$12,BEGIN_RENEW_HEALTH:END_RENEW_HEALTH,RENEW_COL_ES,FALSE),"")</f>
        <v/>
      </c>
      <c r="U566" s="412" t="str">
        <f t="shared" si="55" ref="U566:U568">IF(E566="","",E566)</f>
        <v/>
      </c>
      <c r="V566" s="413"/>
      <c r="W566" s="414"/>
      <c r="X566" s="415" t="str">
        <f>IFERROR(IF($V564="Keep Contribution Same",H566,IF($V564="Enter Percentages",IF(V566="","",V566*T566),IF($V564="Keep Percentage Same",IF(G566="","",G566*T566),IF($V564="Enter Dollar Amount",IF(W566="","",W566),"")))),"")</f>
        <v/>
      </c>
      <c r="Y566" s="408" t="str">
        <f ca="1" t="shared" si="56" ref="Y566:Y568">IFERROR(T566-X566,"")</f>
        <v/>
      </c>
      <c r="Z566" s="410" t="str">
        <f t="shared" si="57" ref="Z566:Z568">IFERROR(IF(X566="","",U566*X566),"")</f>
        <v/>
      </c>
    </row>
    <row r="567" spans="1:26" ht="18.75" customHeight="1">
      <c r="A567" s="140"/>
      <c r="B567" s="140"/>
      <c r="D567" s="172" t="s">
        <v>240</v>
      </c>
      <c r="E567" s="407"/>
      <c r="F567" s="449"/>
      <c r="G567" s="470"/>
      <c r="H567" s="449"/>
      <c r="I567" s="450"/>
      <c r="J567" s="410"/>
      <c r="K567" s="411"/>
      <c r="L567" s="408" t="str" cm="1">
        <f t="array" ca="1" aca="1" ref="L567">_xlfn.IFNA(VLOOKUP(INDIRECT("L"&amp;ROW()-3)&amp;"_"&amp;$D$12,BEGIN_RENEW_HEALTH:END_RENEW_HEALTH,RENEW_COL_EC,FALSE),"")</f>
        <v/>
      </c>
      <c r="M567" s="412" t="str">
        <f>IF(E567="","",E567)</f>
        <v/>
      </c>
      <c r="N567" s="413"/>
      <c r="O567" s="414"/>
      <c r="P567" s="415" t="str">
        <f>IFERROR(IF($N564="Keep Contribution Same",H567,IF($N564="Enter Percentages",IF(N567="","",N567*L567),IF($N564="Keep Percentage Same",IF(G567="","",G567*L567),IF($N564="Enter Dollar Amount",IF(O567="","",O567),"")))),"")</f>
        <v/>
      </c>
      <c r="Q567" s="408" t="str">
        <f t="shared" ca="1" si="54"/>
        <v/>
      </c>
      <c r="R567" s="410" t="str">
        <f>IFERROR(IF(P567="","",M567*P567),"")</f>
        <v/>
      </c>
      <c r="S567" s="411"/>
      <c r="T567" s="408" t="str" cm="1">
        <f t="array" ca="1" aca="1" ref="T567">_xlfn.IFNA(VLOOKUP(INDIRECT("T"&amp;ROW()-3)&amp;"_"&amp;$D$12,BEGIN_RENEW_HEALTH:END_RENEW_HEALTH,RENEW_COL_EC,FALSE),"")</f>
        <v/>
      </c>
      <c r="U567" s="412" t="str">
        <f t="shared" si="55"/>
        <v/>
      </c>
      <c r="V567" s="413"/>
      <c r="W567" s="414"/>
      <c r="X567" s="415" t="str">
        <f>IFERROR(IF($V564="Keep Contribution Same",H567,IF($V564="Enter Percentages",IF(V567="","",V567*T567),IF($V564="Keep Percentage Same",IF(G567="","",G567*T567),IF($V564="Enter Dollar Amount",IF(W567="","",W567),"")))),"")</f>
        <v/>
      </c>
      <c r="Y567" s="408" t="str">
        <f t="shared" ca="1" si="56"/>
        <v/>
      </c>
      <c r="Z567" s="410" t="str">
        <f t="shared" si="57"/>
        <v/>
      </c>
    </row>
    <row r="568" spans="1:26" ht="18.75" customHeight="1" thickBot="1">
      <c r="A568" s="140"/>
      <c r="B568" s="140"/>
      <c r="D568" s="174" t="s">
        <v>241</v>
      </c>
      <c r="E568" s="416"/>
      <c r="F568" s="451"/>
      <c r="G568" s="471"/>
      <c r="H568" s="451"/>
      <c r="I568" s="452"/>
      <c r="J568" s="419"/>
      <c r="K568" s="411"/>
      <c r="L568" s="417" t="str" cm="1">
        <f t="array" ca="1" aca="1" ref="L568">_xlfn.IFNA(VLOOKUP(INDIRECT("L"&amp;ROW()-4)&amp;"_"&amp;$D$12,BEGIN_RENEW_HEALTH:END_RENEW_HEALTH,RENEW_COL_FAM,FALSE),"")</f>
        <v/>
      </c>
      <c r="M568" s="423" t="str">
        <f>IF(E568="","",E568)</f>
        <v/>
      </c>
      <c r="N568" s="420"/>
      <c r="O568" s="421"/>
      <c r="P568" s="422" t="str">
        <f>IFERROR(IF($N564="Keep Contribution Same",H568,IF($N564="Enter Percentages",IF(N568="","",N568*L568),IF($N564="Keep Percentage Same",IF(G568="","",G568*L568),IF($N564="Enter Dollar Amount",IF(O568="","",O568),"")))),"")</f>
        <v/>
      </c>
      <c r="Q568" s="417" t="str">
        <f t="shared" ca="1" si="54"/>
        <v/>
      </c>
      <c r="R568" s="419" t="str">
        <f>IFERROR(IF(P568="","",M568*P568),"")</f>
        <v/>
      </c>
      <c r="S568" s="411"/>
      <c r="T568" s="417" t="str" cm="1">
        <f t="array" ca="1" aca="1" ref="T568">_xlfn.IFNA(VLOOKUP(INDIRECT("T"&amp;ROW()-4)&amp;"_"&amp;$D$12,BEGIN_RENEW_HEALTH:END_RENEW_HEALTH,RENEW_COL_FAM,FALSE),"")</f>
        <v/>
      </c>
      <c r="U568" s="423" t="str">
        <f t="shared" si="55"/>
        <v/>
      </c>
      <c r="V568" s="420"/>
      <c r="W568" s="421"/>
      <c r="X568" s="422" t="str">
        <f>IFERROR(IF($V564="Keep Contribution Same",H568,IF($V564="Enter Percentages",IF(V568="","",V568*T568),IF($V564="Keep Percentage Same",IF(G568="","",G568*T568),IF($V564="Enter Dollar Amount",IF(W568="","",W568),"")))),"")</f>
        <v/>
      </c>
      <c r="Y568" s="417" t="str">
        <f t="shared" ca="1" si="56"/>
        <v/>
      </c>
      <c r="Z568" s="419" t="str">
        <f t="shared" si="57"/>
        <v/>
      </c>
    </row>
    <row r="569" spans="1:26" ht="18.75" customHeight="1" thickTop="1">
      <c r="A569" s="140"/>
      <c r="B569" s="140"/>
      <c r="D569" s="175" t="s">
        <v>329</v>
      </c>
      <c r="E569" s="424"/>
      <c r="F569" s="447">
        <f>IFERROR((F565*E565)+(F566*E566)+(F567*E567)+(F568*E568),"")</f>
        <v>0</v>
      </c>
      <c r="G569" s="426"/>
      <c r="H569" s="427"/>
      <c r="I569" s="428"/>
      <c r="J569" s="429" t="str">
        <f>IFERROR(IF(J565="","",SUM(J565:J568)),0)</f>
        <v/>
      </c>
      <c r="K569" s="1"/>
      <c r="L569" s="430" t="str">
        <f ca="1">IFERROR((M565*L565)+(M566*L566)+(M567*L567)+(M568*L568),"")</f>
        <v/>
      </c>
      <c r="M569" s="427"/>
      <c r="N569" s="426"/>
      <c r="O569" s="427"/>
      <c r="P569" s="431"/>
      <c r="Q569" s="432"/>
      <c r="R569" s="429" t="str">
        <f>IFERROR(IF(R565="","",SUM(R565:R568)),0)</f>
        <v/>
      </c>
      <c r="T569" s="430" t="str">
        <f ca="1">IFERROR((U565*T565)+(U566*T566)+(U567*T567)+(U568*T568),"")</f>
        <v/>
      </c>
      <c r="U569" s="427"/>
      <c r="V569" s="426"/>
      <c r="W569" s="427"/>
      <c r="X569" s="431"/>
      <c r="Y569" s="432"/>
      <c r="Z569" s="429" t="str">
        <f>IFERROR(IF(Z565="","",SUM(Z565:Z568)),0)</f>
        <v/>
      </c>
    </row>
    <row r="570" spans="1:26" ht="18.75" customHeight="1">
      <c r="A570" s="140"/>
      <c r="B570" s="140"/>
      <c r="D570" s="177" t="s">
        <v>243</v>
      </c>
      <c r="E570" s="433"/>
      <c r="F570" s="448">
        <f>IFERROR(F569*12,"")</f>
        <v>0</v>
      </c>
      <c r="G570" s="435"/>
      <c r="H570" s="436"/>
      <c r="I570" s="432"/>
      <c r="J570" s="437" t="str">
        <f>IF(J569="","",J569*12)</f>
        <v/>
      </c>
      <c r="K570" s="1"/>
      <c r="L570" s="438" t="str">
        <f ca="1">IFERROR(L569*12,"")</f>
        <v/>
      </c>
      <c r="M570" s="436"/>
      <c r="N570" s="435"/>
      <c r="O570" s="436"/>
      <c r="P570" s="432"/>
      <c r="Q570" s="432"/>
      <c r="R570" s="437" t="str">
        <f>IF(R569="","",R569*12)</f>
        <v/>
      </c>
      <c r="T570" s="438" t="str">
        <f ca="1">IFERROR(T569*12,"")</f>
        <v/>
      </c>
      <c r="U570" s="436"/>
      <c r="V570" s="435"/>
      <c r="W570" s="436"/>
      <c r="X570" s="432"/>
      <c r="Y570" s="432"/>
      <c r="Z570" s="437" t="str">
        <f>IF(Z569="","",Z569*12)</f>
        <v/>
      </c>
    </row>
    <row r="571" spans="1:26" ht="18" customHeight="1">
      <c r="A571" s="140"/>
      <c r="B571" s="140"/>
      <c r="D571" s="177" t="s">
        <v>244</v>
      </c>
      <c r="E571" s="433"/>
      <c r="F571" s="436"/>
      <c r="G571" s="435"/>
      <c r="H571" s="436"/>
      <c r="I571" s="432"/>
      <c r="J571" s="437" t="str">
        <f>IFERROR(IF(J570="","",R570-J570),0)</f>
        <v/>
      </c>
      <c r="K571" s="1"/>
      <c r="L571" s="434" t="str">
        <f ca="1">IFERROR(L570-F570,"")</f>
        <v/>
      </c>
      <c r="M571" s="436"/>
      <c r="N571" s="435"/>
      <c r="O571" s="436"/>
      <c r="P571" s="432"/>
      <c r="Q571" s="432"/>
      <c r="R571" s="437" t="str">
        <f>IFERROR(IF(J570="","",R570-J570),0)</f>
        <v/>
      </c>
      <c r="T571" s="434" t="str">
        <f ca="1">IFERROR(T570-F570,"")</f>
        <v/>
      </c>
      <c r="U571" s="436"/>
      <c r="V571" s="435"/>
      <c r="W571" s="436"/>
      <c r="X571" s="432"/>
      <c r="Y571" s="432"/>
      <c r="Z571" s="437" t="str">
        <f>IFERROR(IF(R570="","",Z570-R570),0)</f>
        <v/>
      </c>
    </row>
    <row r="572" spans="1:26" ht="18" customHeight="1" thickBot="1">
      <c r="A572" s="140"/>
      <c r="B572" s="140"/>
      <c r="D572" s="180" t="s">
        <v>245</v>
      </c>
      <c r="E572" s="439"/>
      <c r="F572" s="440"/>
      <c r="G572" s="441"/>
      <c r="H572" s="440"/>
      <c r="I572" s="442"/>
      <c r="J572" s="443" t="str">
        <f>IFERROR(IF(J570="","",(R570/J570)-1),0)</f>
        <v/>
      </c>
      <c r="K572" s="1"/>
      <c r="L572" s="444" t="str">
        <f ca="1">IFERROR(L570/F570-1,"")</f>
        <v/>
      </c>
      <c r="M572" s="440"/>
      <c r="N572" s="441"/>
      <c r="O572" s="440"/>
      <c r="P572" s="445"/>
      <c r="Q572" s="445"/>
      <c r="R572" s="446" t="str">
        <f>IFERROR(IF(J570="","",(R570/J570)-1),0)</f>
        <v/>
      </c>
      <c r="T572" s="444" t="str">
        <f ca="1">IFERROR(T570/F570-1,"")</f>
        <v/>
      </c>
      <c r="U572" s="440"/>
      <c r="V572" s="441"/>
      <c r="W572" s="440"/>
      <c r="X572" s="445"/>
      <c r="Y572" s="445"/>
      <c r="Z572" s="446" t="str">
        <f>IFERROR(IF(R570="","",(Z570/R570)-1),0)</f>
        <v/>
      </c>
    </row>
    <row r="573" spans="1:26" ht="18" customHeight="1">
      <c r="A573" s="140"/>
      <c r="B573" s="140"/>
      <c r="D573" s="181" t="s">
        <v>246</v>
      </c>
      <c r="E573" s="182"/>
      <c r="F573" s="182"/>
      <c r="G573" s="182"/>
      <c r="H573" s="182"/>
      <c r="I573" s="182"/>
      <c r="J573" s="183"/>
      <c r="K573"/>
      <c r="L573" s="184"/>
      <c r="M573" s="182"/>
      <c r="N573" s="182"/>
      <c r="O573" s="182"/>
      <c r="P573" s="182"/>
      <c r="Q573" s="182"/>
      <c r="R573" s="183"/>
      <c r="T573" s="184"/>
      <c r="U573" s="182"/>
      <c r="V573" s="182"/>
      <c r="W573" s="182"/>
      <c r="X573" s="182"/>
      <c r="Y573" s="182"/>
      <c r="Z573" s="183"/>
    </row>
    <row r="574" spans="1:26" ht="18" customHeight="1" hidden="1">
      <c r="A574" s="140"/>
      <c r="B574" s="140"/>
      <c r="D574" s="185" t="s">
        <v>247</v>
      </c>
      <c r="E574" s="186"/>
      <c r="F574" s="186"/>
      <c r="G574" s="186"/>
      <c r="H574" s="186"/>
      <c r="I574" s="186"/>
      <c r="J574" s="187"/>
      <c r="K574"/>
      <c r="L574" s="188"/>
      <c r="M574" s="186"/>
      <c r="N574" s="186"/>
      <c r="O574" s="186"/>
      <c r="P574" s="186"/>
      <c r="Q574" s="186"/>
      <c r="R574" s="187"/>
      <c r="T574" s="188"/>
      <c r="U574" s="186"/>
      <c r="V574" s="186"/>
      <c r="W574" s="186"/>
      <c r="X574" s="186"/>
      <c r="Y574" s="186"/>
      <c r="Z574" s="187"/>
    </row>
    <row r="575" spans="1:26" ht="18" customHeight="1" hidden="1">
      <c r="A575" s="140"/>
      <c r="B575" s="140"/>
      <c r="D575" s="189" t="s">
        <v>248</v>
      </c>
      <c r="E575" s="190" t="str">
        <f>D564&amp;"_"&amp;D12</f>
        <v>NEW PLAN_</v>
      </c>
      <c r="F575" s="191"/>
      <c r="G575" s="191"/>
      <c r="H575" s="191"/>
      <c r="I575" s="190"/>
      <c r="J575" s="192"/>
      <c r="K575"/>
      <c r="L575" s="193" t="str">
        <f>L564&amp;"_"&amp;D12</f>
        <v>SELECT PLAN_</v>
      </c>
      <c r="M575" s="191"/>
      <c r="N575" s="191"/>
      <c r="O575" s="191"/>
      <c r="P575" s="190"/>
      <c r="Q575" s="191"/>
      <c r="R575" s="192"/>
      <c r="T575" s="193" t="str">
        <f>T564&amp;"_"&amp;D12</f>
        <v>SELECT PLAN_</v>
      </c>
      <c r="U575" s="191"/>
      <c r="V575" s="191"/>
      <c r="W575" s="191"/>
      <c r="X575" s="190"/>
      <c r="Y575" s="191"/>
      <c r="Z575" s="192"/>
    </row>
    <row r="576" spans="1:26" ht="18" customHeight="1" hidden="1">
      <c r="A576" s="140"/>
      <c r="B576" s="140"/>
      <c r="D576" s="189" t="s">
        <v>249</v>
      </c>
      <c r="E576" s="191"/>
      <c r="F576" s="191"/>
      <c r="G576" s="191"/>
      <c r="H576" s="191"/>
      <c r="I576" s="191"/>
      <c r="J576" s="192"/>
      <c r="K576"/>
      <c r="L576" s="189"/>
      <c r="M576" s="191"/>
      <c r="N576" s="191"/>
      <c r="O576" s="191"/>
      <c r="P576" s="191"/>
      <c r="Q576" s="191"/>
      <c r="R576" s="192"/>
      <c r="T576" s="189"/>
      <c r="U576" s="191"/>
      <c r="V576" s="191"/>
      <c r="W576" s="191"/>
      <c r="X576" s="191"/>
      <c r="Y576" s="191"/>
      <c r="Z576" s="192"/>
    </row>
    <row r="577" spans="1:26" ht="18" customHeight="1" hidden="1">
      <c r="A577" s="140"/>
      <c r="B577" s="140"/>
      <c r="D577" s="194" t="s">
        <v>250</v>
      </c>
      <c r="E577" s="195"/>
      <c r="F577" s="195"/>
      <c r="G577" s="195"/>
      <c r="H577" s="195"/>
      <c r="I577" s="195"/>
      <c r="J577" s="196"/>
      <c r="K577"/>
      <c r="L577" s="197"/>
      <c r="M577" s="195"/>
      <c r="N577" s="195"/>
      <c r="O577" s="195"/>
      <c r="P577" s="195"/>
      <c r="Q577" s="195"/>
      <c r="R577" s="196"/>
      <c r="T577" s="197"/>
      <c r="U577" s="195"/>
      <c r="V577" s="195"/>
      <c r="W577" s="195"/>
      <c r="X577" s="195"/>
      <c r="Y577" s="195"/>
      <c r="Z577" s="196"/>
    </row>
    <row r="578" spans="1:26" ht="18" customHeight="1" hidden="1">
      <c r="A578" s="140"/>
      <c r="B578" s="140"/>
      <c r="D578" s="198" t="s">
        <v>251</v>
      </c>
      <c r="E578" s="199" t="str">
        <f>_xlfn.XLOOKUP(E575,CurrentPlans!B:B,CurrentPlans!X:X,"NA",0,1)</f>
        <v>NA</v>
      </c>
      <c r="F578" s="200"/>
      <c r="G578" s="200"/>
      <c r="H578" s="200"/>
      <c r="I578" s="199"/>
      <c r="J578" s="201"/>
      <c r="K578"/>
      <c r="L578" s="202" t="str">
        <f>_xlfn.XLOOKUP(L575,RenewalPlans!B:B,RenewalPlans!AA:AA,"NA",0,1)</f>
        <v>NA</v>
      </c>
      <c r="M578" s="200"/>
      <c r="N578" s="200"/>
      <c r="O578" s="200"/>
      <c r="P578" s="199"/>
      <c r="Q578" s="200"/>
      <c r="R578" s="201"/>
      <c r="T578" s="202" t="str">
        <f>_xlfn.XLOOKUP(T575,RenewalPlans!B:B,RenewalPlans!AA:AA,"NA",0,1)</f>
        <v>NA</v>
      </c>
      <c r="U578" s="200"/>
      <c r="V578" s="200"/>
      <c r="W578" s="200"/>
      <c r="X578" s="199"/>
      <c r="Y578" s="200"/>
      <c r="Z578" s="201"/>
    </row>
    <row r="579" spans="1:26" ht="18" customHeight="1" hidden="1">
      <c r="A579" s="140"/>
      <c r="B579" s="140"/>
      <c r="D579" s="198" t="s">
        <v>252</v>
      </c>
      <c r="E579" s="199" t="str">
        <f>_xlfn.XLOOKUP(E575,CurrentPlans!B:B,CurrentPlans!Y:Y,"NA",0,1)</f>
        <v>NA</v>
      </c>
      <c r="F579" s="200"/>
      <c r="G579" s="200"/>
      <c r="H579" s="200"/>
      <c r="I579" s="199"/>
      <c r="J579" s="201"/>
      <c r="K579"/>
      <c r="L579" s="202" t="str">
        <f>_xlfn.XLOOKUP(L575,RenewalPlans!B:B,RenewalPlans!AB:AB,"NA",0,1)</f>
        <v>NA</v>
      </c>
      <c r="M579" s="200"/>
      <c r="N579" s="200"/>
      <c r="O579" s="200"/>
      <c r="P579" s="199"/>
      <c r="Q579" s="200"/>
      <c r="R579" s="201"/>
      <c r="T579" s="202" t="str">
        <f>_xlfn.XLOOKUP(T575,RenewalPlans!B:B,RenewalPlans!AB:AB,"NA",0,1)</f>
        <v>NA</v>
      </c>
      <c r="U579" s="200"/>
      <c r="V579" s="200"/>
      <c r="W579" s="200"/>
      <c r="X579" s="199"/>
      <c r="Y579" s="200"/>
      <c r="Z579" s="201"/>
    </row>
    <row r="580" spans="1:26" ht="18" customHeight="1" hidden="1">
      <c r="A580" s="140"/>
      <c r="B580" s="140"/>
      <c r="D580" s="120" t="s">
        <v>253</v>
      </c>
      <c r="E580" s="121" t="str">
        <f>_xlfn.XLOOKUP(E575,CurrentPlans!B:B,CurrentPlans!W:W,"NA",0,1)</f>
        <v>NA</v>
      </c>
      <c r="F580" s="122"/>
      <c r="G580" s="122"/>
      <c r="H580" s="122"/>
      <c r="I580" s="121"/>
      <c r="J580" s="123"/>
      <c r="K580"/>
      <c r="L580" s="124" t="str">
        <f>_xlfn.XLOOKUP(L575,RenewalPlans!B:B,RenewalPlans!Z:Z,"NA",0,1)</f>
        <v>NA</v>
      </c>
      <c r="M580" s="122"/>
      <c r="N580" s="122"/>
      <c r="O580" s="122"/>
      <c r="P580" s="121"/>
      <c r="Q580" s="122"/>
      <c r="R580" s="123"/>
      <c r="T580" s="124" t="str">
        <f>_xlfn.XLOOKUP(T575,RenewalPlans!B:B,RenewalPlans!Z:Z,"NA",0,1)</f>
        <v>NA</v>
      </c>
      <c r="U580" s="122"/>
      <c r="V580" s="122"/>
      <c r="W580" s="122"/>
      <c r="X580" s="121"/>
      <c r="Y580" s="122"/>
      <c r="Z580" s="123"/>
    </row>
    <row r="581" spans="1:26" ht="18" customHeight="1" hidden="1">
      <c r="A581" s="140"/>
      <c r="B581" s="140"/>
      <c r="D581" s="203" t="s">
        <v>254</v>
      </c>
      <c r="E581" s="204"/>
      <c r="F581" s="205"/>
      <c r="G581" s="205"/>
      <c r="H581" s="205"/>
      <c r="I581" s="204"/>
      <c r="J581" s="206"/>
      <c r="K581"/>
      <c r="L581" s="207"/>
      <c r="M581" s="205"/>
      <c r="N581" s="205"/>
      <c r="O581" s="205"/>
      <c r="P581" s="204"/>
      <c r="Q581" s="205"/>
      <c r="R581" s="206"/>
      <c r="T581" s="207"/>
      <c r="U581" s="205"/>
      <c r="V581" s="205"/>
      <c r="W581" s="205"/>
      <c r="X581" s="204"/>
      <c r="Y581" s="205"/>
      <c r="Z581" s="206"/>
    </row>
    <row r="582" spans="1:26" ht="18" customHeight="1" hidden="1">
      <c r="A582" s="140"/>
      <c r="B582" s="140"/>
      <c r="D582" s="125" t="s">
        <v>255</v>
      </c>
      <c r="E582" s="126" t="str">
        <f>_xlfn.XLOOKUP(E575,CurrentPlans!B:B,CurrentPlans!Z:Z,"NA",0,1)</f>
        <v>NA</v>
      </c>
      <c r="F582" s="127"/>
      <c r="G582" s="127"/>
      <c r="H582" s="127"/>
      <c r="I582" s="126"/>
      <c r="J582" s="128"/>
      <c r="K582"/>
      <c r="L582" s="129" t="str">
        <f>_xlfn.XLOOKUP(L575,RenewalPlans!B:B,RenewalPlans!AC:AC,"NA",0,1)</f>
        <v>NA</v>
      </c>
      <c r="M582" s="127"/>
      <c r="N582" s="127"/>
      <c r="O582" s="127"/>
      <c r="P582" s="126"/>
      <c r="Q582" s="127"/>
      <c r="R582" s="128"/>
      <c r="T582" s="129" t="str">
        <f>_xlfn.XLOOKUP(T575,RenewalPlans!B:B,RenewalPlans!AC:AC,"NA",0,1)</f>
        <v>NA</v>
      </c>
      <c r="U582" s="127"/>
      <c r="V582" s="127"/>
      <c r="W582" s="127"/>
      <c r="X582" s="126"/>
      <c r="Y582" s="127"/>
      <c r="Z582" s="128"/>
    </row>
    <row r="583" spans="1:26" ht="18" customHeight="1" hidden="1">
      <c r="A583" s="140"/>
      <c r="B583" s="140"/>
      <c r="D583" s="198" t="s">
        <v>256</v>
      </c>
      <c r="E583" s="208" t="str">
        <f>_xlfn.XLOOKUP(E575,CurrentPlans!B:B,CurrentPlans!AA:AA,"NA",0,1)</f>
        <v>NA</v>
      </c>
      <c r="F583" s="200"/>
      <c r="G583" s="200"/>
      <c r="H583" s="200"/>
      <c r="I583" s="208"/>
      <c r="J583" s="201"/>
      <c r="K583"/>
      <c r="L583" s="209" t="str">
        <f>_xlfn.XLOOKUP(L575,RenewalPlans!B:B,RenewalPlans!AD:AD,"NA",0,1)</f>
        <v>NA</v>
      </c>
      <c r="M583" s="200"/>
      <c r="N583" s="200"/>
      <c r="O583" s="200"/>
      <c r="P583" s="208"/>
      <c r="Q583" s="200"/>
      <c r="R583" s="201"/>
      <c r="T583" s="209" t="str">
        <f>_xlfn.XLOOKUP(T575,RenewalPlans!B:B,RenewalPlans!AD:AD,"NA",0,1)</f>
        <v>NA</v>
      </c>
      <c r="U583" s="200"/>
      <c r="V583" s="200"/>
      <c r="W583" s="200"/>
      <c r="X583" s="208"/>
      <c r="Y583" s="200"/>
      <c r="Z583" s="201"/>
    </row>
    <row r="584" spans="1:26" ht="18" customHeight="1" hidden="1">
      <c r="A584" s="140"/>
      <c r="B584" s="140"/>
      <c r="D584" s="203" t="s">
        <v>257</v>
      </c>
      <c r="E584" s="204"/>
      <c r="F584" s="205"/>
      <c r="G584" s="205"/>
      <c r="H584" s="205"/>
      <c r="I584" s="204"/>
      <c r="J584" s="206"/>
      <c r="K584"/>
      <c r="L584" s="207"/>
      <c r="M584" s="205"/>
      <c r="N584" s="205"/>
      <c r="O584" s="205"/>
      <c r="P584" s="204"/>
      <c r="Q584" s="205"/>
      <c r="R584" s="206"/>
      <c r="T584" s="207"/>
      <c r="U584" s="205"/>
      <c r="V584" s="205"/>
      <c r="W584" s="205"/>
      <c r="X584" s="204"/>
      <c r="Y584" s="205"/>
      <c r="Z584" s="206"/>
    </row>
    <row r="585" spans="1:26" ht="18" customHeight="1" hidden="1">
      <c r="A585" s="140"/>
      <c r="B585" s="140"/>
      <c r="D585" s="198" t="s">
        <v>258</v>
      </c>
      <c r="E585" s="208" t="str">
        <f>_xlfn.XLOOKUP(E575,CurrentPlans!B:B,CurrentPlans!AB:AB,"NA",0,1)</f>
        <v>NA</v>
      </c>
      <c r="F585" s="200"/>
      <c r="G585" s="200"/>
      <c r="H585" s="200"/>
      <c r="I585" s="208"/>
      <c r="J585" s="201"/>
      <c r="K585"/>
      <c r="L585" s="209" t="str">
        <f>_xlfn.XLOOKUP(L575,RenewalPlans!B:B,RenewalPlans!AE:AE,"NA",0,1)</f>
        <v>NA</v>
      </c>
      <c r="M585" s="200"/>
      <c r="N585" s="200"/>
      <c r="O585" s="200"/>
      <c r="P585" s="208"/>
      <c r="Q585" s="200"/>
      <c r="R585" s="201"/>
      <c r="T585" s="209" t="str">
        <f>_xlfn.XLOOKUP(T575,RenewalPlans!B:B,RenewalPlans!AE:AE,"NA",0,1)</f>
        <v>NA</v>
      </c>
      <c r="U585" s="200"/>
      <c r="V585" s="200"/>
      <c r="W585" s="200"/>
      <c r="X585" s="208"/>
      <c r="Y585" s="200"/>
      <c r="Z585" s="201"/>
    </row>
    <row r="586" spans="1:26" ht="18" customHeight="1" hidden="1">
      <c r="A586" s="140"/>
      <c r="B586" s="140"/>
      <c r="D586" s="198" t="s">
        <v>259</v>
      </c>
      <c r="E586" s="208" t="str">
        <f>_xlfn.XLOOKUP(E575,CurrentPlans!B:B,CurrentPlans!AC:AC,"NA",0,1)</f>
        <v>NA</v>
      </c>
      <c r="F586" s="200"/>
      <c r="G586" s="200"/>
      <c r="H586" s="200"/>
      <c r="I586" s="208"/>
      <c r="J586" s="201"/>
      <c r="K586"/>
      <c r="L586" s="209" t="str">
        <f>_xlfn.XLOOKUP(L575,RenewalPlans!B:B,RenewalPlans!AF:AF,"NA",0,1)</f>
        <v>NA</v>
      </c>
      <c r="M586" s="200"/>
      <c r="N586" s="200"/>
      <c r="O586" s="200"/>
      <c r="P586" s="208"/>
      <c r="Q586" s="200"/>
      <c r="R586" s="201"/>
      <c r="T586" s="209" t="str">
        <f>_xlfn.XLOOKUP(T575,RenewalPlans!B:B,RenewalPlans!AF:AF,"NA",0,1)</f>
        <v>NA</v>
      </c>
      <c r="U586" s="200"/>
      <c r="V586" s="200"/>
      <c r="W586" s="200"/>
      <c r="X586" s="208"/>
      <c r="Y586" s="200"/>
      <c r="Z586" s="201"/>
    </row>
    <row r="587" spans="1:26" ht="18" customHeight="1" hidden="1">
      <c r="A587" s="140"/>
      <c r="B587" s="140"/>
      <c r="D587" s="210"/>
      <c r="E587" s="211"/>
      <c r="F587" s="211"/>
      <c r="G587" s="211"/>
      <c r="H587" s="211"/>
      <c r="I587" s="211"/>
      <c r="J587" s="212"/>
      <c r="K587"/>
      <c r="L587" s="210"/>
      <c r="M587" s="211"/>
      <c r="N587" s="211"/>
      <c r="O587" s="211"/>
      <c r="P587" s="211"/>
      <c r="Q587" s="211"/>
      <c r="R587" s="212"/>
      <c r="T587" s="210"/>
      <c r="U587" s="211"/>
      <c r="V587" s="211"/>
      <c r="W587" s="211"/>
      <c r="X587" s="211"/>
      <c r="Y587" s="211"/>
      <c r="Z587" s="212"/>
    </row>
    <row r="588" spans="1:26" ht="18" customHeight="1" hidden="1">
      <c r="A588" s="140"/>
      <c r="B588" s="140"/>
      <c r="D588" s="185" t="s">
        <v>260</v>
      </c>
      <c r="E588" s="186"/>
      <c r="F588" s="186"/>
      <c r="G588" s="186"/>
      <c r="H588" s="186"/>
      <c r="I588" s="186"/>
      <c r="J588" s="187"/>
      <c r="K588"/>
      <c r="L588" s="188"/>
      <c r="M588" s="186"/>
      <c r="N588" s="186"/>
      <c r="O588" s="186"/>
      <c r="P588" s="186"/>
      <c r="Q588" s="186"/>
      <c r="R588" s="187"/>
      <c r="T588" s="188"/>
      <c r="U588" s="186"/>
      <c r="V588" s="186"/>
      <c r="W588" s="186"/>
      <c r="X588" s="186"/>
      <c r="Y588" s="186"/>
      <c r="Z588" s="187"/>
    </row>
    <row r="589" spans="1:26" ht="18" customHeight="1" hidden="1">
      <c r="A589" s="140"/>
      <c r="B589" s="140"/>
      <c r="D589" s="213" t="s">
        <v>261</v>
      </c>
      <c r="E589" s="130" t="str">
        <f>_xlfn.XLOOKUP(E575,CurrentPlans!B:B,CurrentPlans!AJ:AJ,"NA",0,1)</f>
        <v>NA</v>
      </c>
      <c r="F589" s="214"/>
      <c r="G589" s="214"/>
      <c r="H589" s="214"/>
      <c r="I589" s="130"/>
      <c r="J589" s="215"/>
      <c r="K589"/>
      <c r="L589" s="131" t="str">
        <f>_xlfn.XLOOKUP(L575,RenewalPlans!B:B,RenewalPlans!AM:AM,"NA",0,1)</f>
        <v>NA</v>
      </c>
      <c r="M589" s="214"/>
      <c r="N589" s="214"/>
      <c r="O589" s="214"/>
      <c r="P589" s="130"/>
      <c r="Q589" s="214"/>
      <c r="R589" s="215"/>
      <c r="T589" s="131" t="str">
        <f>_xlfn.XLOOKUP(T575,RenewalPlans!B:B,RenewalPlans!AM:AM,"NA",0,1)</f>
        <v>NA</v>
      </c>
      <c r="U589" s="214"/>
      <c r="V589" s="214"/>
      <c r="W589" s="214"/>
      <c r="X589" s="130"/>
      <c r="Y589" s="214"/>
      <c r="Z589" s="215"/>
    </row>
    <row r="590" spans="1:26" ht="18" customHeight="1" hidden="1">
      <c r="A590" s="140"/>
      <c r="B590" s="140"/>
      <c r="D590" s="198" t="s">
        <v>262</v>
      </c>
      <c r="E590" s="130" t="str">
        <f>_xlfn.XLOOKUP(E575,CurrentPlans!B:B,CurrentPlans!AM:AM,"NA",0,1)</f>
        <v>NA</v>
      </c>
      <c r="F590" s="200"/>
      <c r="G590" s="200"/>
      <c r="H590" s="200"/>
      <c r="I590" s="130"/>
      <c r="J590" s="201"/>
      <c r="K590"/>
      <c r="L590" s="131" t="str">
        <f>_xlfn.XLOOKUP(L575,RenewalPlans!B:B,RenewalPlans!AP:AP,"NA",0,1)</f>
        <v>NA</v>
      </c>
      <c r="M590" s="200"/>
      <c r="N590" s="200"/>
      <c r="O590" s="200"/>
      <c r="P590" s="130"/>
      <c r="Q590" s="200"/>
      <c r="R590" s="201"/>
      <c r="T590" s="131" t="str">
        <f>_xlfn.XLOOKUP(T575,RenewalPlans!B:B,RenewalPlans!AP:AP,"NA",0,1)</f>
        <v>NA</v>
      </c>
      <c r="U590" s="200"/>
      <c r="V590" s="200"/>
      <c r="W590" s="200"/>
      <c r="X590" s="130"/>
      <c r="Y590" s="200"/>
      <c r="Z590" s="201"/>
    </row>
    <row r="591" spans="1:26" ht="18" customHeight="1" hidden="1">
      <c r="A591" s="140"/>
      <c r="B591" s="140"/>
      <c r="D591" s="198" t="s">
        <v>263</v>
      </c>
      <c r="E591" s="130" t="str">
        <f>_xlfn.XLOOKUP(E575,CurrentPlans!B:B,CurrentPlans!AI:AI,"NA",0,1)</f>
        <v>NA</v>
      </c>
      <c r="F591" s="200"/>
      <c r="G591" s="200"/>
      <c r="H591" s="200"/>
      <c r="I591" s="130"/>
      <c r="J591" s="201"/>
      <c r="K591"/>
      <c r="L591" s="131" t="str">
        <f>_xlfn.XLOOKUP(L575,RenewalPlans!B:B,RenewalPlans!AL:AL,"NA",0,1)</f>
        <v>NA</v>
      </c>
      <c r="M591" s="200"/>
      <c r="N591" s="200"/>
      <c r="O591" s="200"/>
      <c r="P591" s="130"/>
      <c r="Q591" s="200"/>
      <c r="R591" s="201"/>
      <c r="T591" s="131" t="str">
        <f>_xlfn.XLOOKUP(T575,RenewalPlans!B:B,RenewalPlans!AL:AL,"NA",0,1)</f>
        <v>NA</v>
      </c>
      <c r="U591" s="200"/>
      <c r="V591" s="200"/>
      <c r="W591" s="200"/>
      <c r="X591" s="130"/>
      <c r="Y591" s="200"/>
      <c r="Z591" s="201"/>
    </row>
    <row r="592" spans="1:26" ht="18" customHeight="1" hidden="1">
      <c r="A592" s="140"/>
      <c r="B592" s="140"/>
      <c r="D592" s="198" t="s">
        <v>264</v>
      </c>
      <c r="E592" s="208" t="str">
        <f>_xlfn.XLOOKUP(E575,CurrentPlans!B:B,CurrentPlans!AN:AN,"NA",0,1)</f>
        <v>NA</v>
      </c>
      <c r="F592" s="200"/>
      <c r="G592" s="200"/>
      <c r="H592" s="200"/>
      <c r="I592" s="208"/>
      <c r="J592" s="201"/>
      <c r="K592"/>
      <c r="L592" s="209" t="str">
        <f>_xlfn.XLOOKUP(L575,RenewalPlans!B:B,RenewalPlans!AQ:AQ,"NA",0,1)</f>
        <v>NA</v>
      </c>
      <c r="M592" s="200"/>
      <c r="N592" s="200"/>
      <c r="O592" s="200"/>
      <c r="P592" s="208"/>
      <c r="Q592" s="200"/>
      <c r="R592" s="201"/>
      <c r="T592" s="209" t="str">
        <f>_xlfn.XLOOKUP(T575,RenewalPlans!B:B,RenewalPlans!AQ:AQ,"NA",0,1)</f>
        <v>NA</v>
      </c>
      <c r="U592" s="200"/>
      <c r="V592" s="200"/>
      <c r="W592" s="200"/>
      <c r="X592" s="208"/>
      <c r="Y592" s="200"/>
      <c r="Z592" s="201"/>
    </row>
    <row r="593" spans="1:26" ht="18" customHeight="1" hidden="1">
      <c r="A593" s="140"/>
      <c r="B593" s="140"/>
      <c r="D593" s="210"/>
      <c r="E593" s="211"/>
      <c r="F593" s="211"/>
      <c r="G593" s="211"/>
      <c r="H593" s="211"/>
      <c r="I593" s="211"/>
      <c r="J593" s="212"/>
      <c r="K593"/>
      <c r="L593" s="210"/>
      <c r="M593" s="211"/>
      <c r="N593" s="211"/>
      <c r="O593" s="211"/>
      <c r="P593" s="211"/>
      <c r="Q593" s="211"/>
      <c r="R593" s="212"/>
      <c r="T593" s="210"/>
      <c r="U593" s="211"/>
      <c r="V593" s="211"/>
      <c r="W593" s="211"/>
      <c r="X593" s="211"/>
      <c r="Y593" s="211"/>
      <c r="Z593" s="212"/>
    </row>
    <row r="594" spans="1:26" ht="18" customHeight="1" hidden="1">
      <c r="A594" s="140"/>
      <c r="B594" s="140"/>
      <c r="D594" s="185" t="s">
        <v>265</v>
      </c>
      <c r="E594" s="186"/>
      <c r="F594" s="186"/>
      <c r="G594" s="186"/>
      <c r="H594" s="186"/>
      <c r="I594" s="186"/>
      <c r="J594" s="187"/>
      <c r="K594"/>
      <c r="L594" s="188"/>
      <c r="M594" s="186"/>
      <c r="N594" s="186"/>
      <c r="O594" s="186"/>
      <c r="P594" s="186"/>
      <c r="Q594" s="186"/>
      <c r="R594" s="187"/>
      <c r="T594" s="188"/>
      <c r="U594" s="186"/>
      <c r="V594" s="186"/>
      <c r="W594" s="186"/>
      <c r="X594" s="186"/>
      <c r="Y594" s="186"/>
      <c r="Z594" s="187"/>
    </row>
    <row r="595" spans="1:26" ht="18" customHeight="1" hidden="1">
      <c r="A595" s="140"/>
      <c r="B595" s="140"/>
      <c r="D595" s="132" t="s">
        <v>266</v>
      </c>
      <c r="E595" s="133" t="str">
        <f>_xlfn.XLOOKUP(E575,CurrentPlans!B:B,CurrentPlans!AE:AE,"NA",0,1)</f>
        <v>NA</v>
      </c>
      <c r="F595" s="134"/>
      <c r="G595" s="134"/>
      <c r="H595" s="134"/>
      <c r="I595" s="133"/>
      <c r="J595" s="135"/>
      <c r="K595"/>
      <c r="L595" s="136" t="str">
        <f>_xlfn.XLOOKUP(L575,RenewalPlans!B:B,RenewalPlans!AH:AH,"NA",0,1)</f>
        <v>NA</v>
      </c>
      <c r="M595" s="134"/>
      <c r="N595" s="134"/>
      <c r="O595" s="134"/>
      <c r="P595" s="133"/>
      <c r="Q595" s="134"/>
      <c r="R595" s="135"/>
      <c r="T595" s="136" t="str">
        <f>_xlfn.XLOOKUP(T575,RenewalPlans!B:B,RenewalPlans!AH:AH,"NA",0,1)</f>
        <v>NA</v>
      </c>
      <c r="U595" s="134"/>
      <c r="V595" s="134"/>
      <c r="W595" s="134"/>
      <c r="X595" s="133"/>
      <c r="Y595" s="134"/>
      <c r="Z595" s="135"/>
    </row>
    <row r="596" spans="1:26" ht="18" customHeight="1" hidden="1">
      <c r="A596" s="140"/>
      <c r="B596" s="140"/>
      <c r="D596" s="120" t="s">
        <v>267</v>
      </c>
      <c r="E596" s="130" t="str">
        <f>_xlfn.XLOOKUP(E575,CurrentPlans!B:B,CurrentPlans!AF:AF,"NA",0,1)</f>
        <v>NA</v>
      </c>
      <c r="F596" s="122"/>
      <c r="G596" s="122"/>
      <c r="H596" s="122"/>
      <c r="I596" s="130"/>
      <c r="J596" s="123"/>
      <c r="K596"/>
      <c r="L596" s="131" t="str">
        <f>_xlfn.XLOOKUP(L575,RenewalPlans!B:B,RenewalPlans!AI:AI,"NA",0,1)</f>
        <v>NA</v>
      </c>
      <c r="M596" s="122"/>
      <c r="N596" s="122"/>
      <c r="O596" s="122"/>
      <c r="P596" s="130"/>
      <c r="Q596" s="122"/>
      <c r="R596" s="123"/>
      <c r="T596" s="131" t="str">
        <f>_xlfn.XLOOKUP(T575,RenewalPlans!B:B,RenewalPlans!AI:AI,"NA",0,1)</f>
        <v>NA</v>
      </c>
      <c r="U596" s="122"/>
      <c r="V596" s="122"/>
      <c r="W596" s="122"/>
      <c r="X596" s="130"/>
      <c r="Y596" s="122"/>
      <c r="Z596" s="123"/>
    </row>
    <row r="597" spans="1:26" ht="18" customHeight="1" hidden="1">
      <c r="A597" s="140"/>
      <c r="B597" s="140"/>
      <c r="D597" s="198" t="s">
        <v>268</v>
      </c>
      <c r="E597" s="130" t="str">
        <f>_xlfn.XLOOKUP(E575,CurrentPlans!B:B,CurrentPlans!AH:AH,"NA",0,1)</f>
        <v>NA</v>
      </c>
      <c r="F597" s="200"/>
      <c r="G597" s="200"/>
      <c r="H597" s="200"/>
      <c r="I597" s="130"/>
      <c r="J597" s="201"/>
      <c r="K597"/>
      <c r="L597" s="131" t="str">
        <f>_xlfn.XLOOKUP(L575,RenewalPlans!B:B,RenewalPlans!AK:AK,"NA",0,1)</f>
        <v>NA</v>
      </c>
      <c r="M597" s="200"/>
      <c r="N597" s="200"/>
      <c r="O597" s="200"/>
      <c r="P597" s="130"/>
      <c r="Q597" s="200"/>
      <c r="R597" s="201"/>
      <c r="T597" s="131" t="str">
        <f>_xlfn.XLOOKUP(T575,RenewalPlans!B:B,RenewalPlans!AK:AK,"NA",0,1)</f>
        <v>NA</v>
      </c>
      <c r="U597" s="200"/>
      <c r="V597" s="200"/>
      <c r="W597" s="200"/>
      <c r="X597" s="130"/>
      <c r="Y597" s="200"/>
      <c r="Z597" s="201"/>
    </row>
    <row r="598" spans="1:26" ht="18" customHeight="1" hidden="1">
      <c r="A598" s="140"/>
      <c r="B598" s="140"/>
      <c r="D598" s="198" t="s">
        <v>269</v>
      </c>
      <c r="E598" s="130" t="str">
        <f>_xlfn.XLOOKUP(E575,CurrentPlans!B:B,CurrentPlans!AG:AG,"NA",0,1)</f>
        <v>NA</v>
      </c>
      <c r="F598" s="200"/>
      <c r="G598" s="200"/>
      <c r="H598" s="200"/>
      <c r="I598" s="130"/>
      <c r="J598" s="201"/>
      <c r="K598"/>
      <c r="L598" s="131" t="str">
        <f>_xlfn.XLOOKUP(L575,RenewalPlans!B:B,RenewalPlans!AJ:AJ,"NA",0,1)</f>
        <v>NA</v>
      </c>
      <c r="M598" s="200"/>
      <c r="N598" s="200"/>
      <c r="O598" s="200"/>
      <c r="P598" s="130"/>
      <c r="Q598" s="200"/>
      <c r="R598" s="201"/>
      <c r="T598" s="131" t="str">
        <f>_xlfn.XLOOKUP(T575,RenewalPlans!B:B,RenewalPlans!AJ:AJ,"NA",0,1)</f>
        <v>NA</v>
      </c>
      <c r="U598" s="200"/>
      <c r="V598" s="200"/>
      <c r="W598" s="200"/>
      <c r="X598" s="130"/>
      <c r="Y598" s="200"/>
      <c r="Z598" s="201"/>
    </row>
    <row r="599" spans="1:26" ht="18" customHeight="1" hidden="1">
      <c r="A599" s="140"/>
      <c r="B599" s="140"/>
      <c r="D599" s="213" t="s">
        <v>270</v>
      </c>
      <c r="E599" s="216" t="str">
        <f>_xlfn.XLOOKUP(E575,CurrentPlans!B:B,CurrentPlans!AU:AU,"NA",0,1)</f>
        <v>NA</v>
      </c>
      <c r="F599" s="214"/>
      <c r="G599" s="214"/>
      <c r="H599" s="214"/>
      <c r="I599" s="217"/>
      <c r="J599" s="215"/>
      <c r="K599"/>
      <c r="L599" s="218" t="str">
        <f>_xlfn.XLOOKUP(L575,RenewalPlans!B:B,RenewalPlans!AX:AX,"NA",0,1)</f>
        <v>NA</v>
      </c>
      <c r="M599" s="214"/>
      <c r="N599" s="214"/>
      <c r="O599" s="214"/>
      <c r="P599" s="217"/>
      <c r="Q599" s="214"/>
      <c r="R599" s="215"/>
      <c r="T599" s="218" t="str">
        <f>_xlfn.XLOOKUP(T575,RenewalPlans!B:B,RenewalPlans!AX:AX,"NA",0,1)</f>
        <v>NA</v>
      </c>
      <c r="U599" s="214"/>
      <c r="V599" s="214"/>
      <c r="W599" s="214"/>
      <c r="X599" s="217"/>
      <c r="Y599" s="214"/>
      <c r="Z599" s="215"/>
    </row>
    <row r="600" spans="1:26" ht="18" customHeight="1" hidden="1">
      <c r="A600" s="140"/>
      <c r="B600" s="140"/>
      <c r="D600" s="213" t="s">
        <v>271</v>
      </c>
      <c r="E600" s="216" t="str">
        <f>_xlfn.XLOOKUP(E575,CurrentPlans!B:B,CurrentPlans!AT:AT,"NA",0,1)</f>
        <v>NA</v>
      </c>
      <c r="F600" s="214"/>
      <c r="G600" s="214"/>
      <c r="H600" s="214"/>
      <c r="I600" s="217"/>
      <c r="J600" s="215"/>
      <c r="K600"/>
      <c r="L600" s="218" t="str">
        <f>_xlfn.XLOOKUP(L575,RenewalPlans!B:B,RenewalPlans!AW:AW,"NA",0,1)</f>
        <v>NA</v>
      </c>
      <c r="M600" s="214"/>
      <c r="N600" s="214"/>
      <c r="O600" s="214"/>
      <c r="P600" s="217"/>
      <c r="Q600" s="214"/>
      <c r="R600" s="215"/>
      <c r="T600" s="218" t="str">
        <f>_xlfn.XLOOKUP(T575,RenewalPlans!B:B,RenewalPlans!AW:AW,"NA",0,1)</f>
        <v>NA</v>
      </c>
      <c r="U600" s="214"/>
      <c r="V600" s="214"/>
      <c r="W600" s="214"/>
      <c r="X600" s="217"/>
      <c r="Y600" s="214"/>
      <c r="Z600" s="215"/>
    </row>
    <row r="601" spans="1:26" ht="18" customHeight="1" hidden="1">
      <c r="A601" s="140"/>
      <c r="B601" s="140"/>
      <c r="D601" s="198" t="s">
        <v>272</v>
      </c>
      <c r="E601" s="130" t="str">
        <f>_xlfn.XLOOKUP(E575,CurrentPlans!B:B,CurrentPlans!AD:AD,"NA",0,1)</f>
        <v>NA</v>
      </c>
      <c r="F601" s="200"/>
      <c r="G601" s="200"/>
      <c r="H601" s="200"/>
      <c r="I601" s="130"/>
      <c r="J601" s="201"/>
      <c r="K601"/>
      <c r="L601" s="131" t="str">
        <f>_xlfn.XLOOKUP(L575,RenewalPlans!B:B,RenewalPlans!AG:AG,"NA",0,1)</f>
        <v>NA</v>
      </c>
      <c r="M601" s="200"/>
      <c r="N601" s="200"/>
      <c r="O601" s="200"/>
      <c r="P601" s="130"/>
      <c r="Q601" s="200"/>
      <c r="R601" s="201"/>
      <c r="T601" s="131" t="str">
        <f>_xlfn.XLOOKUP(T575,RenewalPlans!B:B,RenewalPlans!AG:AG,"NA",0,1)</f>
        <v>NA</v>
      </c>
      <c r="U601" s="200"/>
      <c r="V601" s="200"/>
      <c r="W601" s="200"/>
      <c r="X601" s="130"/>
      <c r="Y601" s="200"/>
      <c r="Z601" s="201"/>
    </row>
    <row r="602" spans="1:26" ht="18" customHeight="1" hidden="1">
      <c r="A602" s="140"/>
      <c r="B602" s="140"/>
      <c r="D602" s="198" t="s">
        <v>273</v>
      </c>
      <c r="E602" s="200"/>
      <c r="F602" s="200"/>
      <c r="G602" s="200"/>
      <c r="H602" s="200"/>
      <c r="I602" s="200"/>
      <c r="J602" s="201"/>
      <c r="K602"/>
      <c r="L602" s="198"/>
      <c r="M602" s="200"/>
      <c r="N602" s="200"/>
      <c r="O602" s="200"/>
      <c r="P602" s="200"/>
      <c r="Q602" s="200"/>
      <c r="R602" s="201"/>
      <c r="T602" s="198"/>
      <c r="U602" s="200"/>
      <c r="V602" s="200"/>
      <c r="W602" s="200"/>
      <c r="X602" s="200"/>
      <c r="Y602" s="200"/>
      <c r="Z602" s="201"/>
    </row>
    <row r="603" spans="1:26" ht="18" customHeight="1" hidden="1">
      <c r="A603" s="140"/>
      <c r="B603" s="140"/>
      <c r="D603" s="210"/>
      <c r="E603" s="211"/>
      <c r="F603" s="211"/>
      <c r="G603" s="211"/>
      <c r="H603" s="211"/>
      <c r="I603" s="211"/>
      <c r="J603" s="212"/>
      <c r="K603"/>
      <c r="L603" s="210"/>
      <c r="M603" s="211"/>
      <c r="N603" s="211"/>
      <c r="O603" s="211"/>
      <c r="P603" s="211"/>
      <c r="Q603" s="211"/>
      <c r="R603" s="212"/>
      <c r="T603" s="210"/>
      <c r="U603" s="211"/>
      <c r="V603" s="211"/>
      <c r="W603" s="211"/>
      <c r="X603" s="211"/>
      <c r="Y603" s="211"/>
      <c r="Z603" s="212"/>
    </row>
    <row r="604" spans="1:26" ht="18" customHeight="1" hidden="1">
      <c r="A604" s="140"/>
      <c r="B604" s="140"/>
      <c r="D604" s="219" t="s">
        <v>274</v>
      </c>
      <c r="E604" s="220"/>
      <c r="F604" s="220"/>
      <c r="G604" s="220"/>
      <c r="H604" s="220"/>
      <c r="I604" s="220"/>
      <c r="J604" s="221"/>
      <c r="K604"/>
      <c r="L604" s="222"/>
      <c r="M604" s="220"/>
      <c r="N604" s="220"/>
      <c r="O604" s="220"/>
      <c r="P604" s="220"/>
      <c r="Q604" s="220"/>
      <c r="R604" s="221"/>
      <c r="T604" s="222"/>
      <c r="U604" s="220"/>
      <c r="V604" s="220"/>
      <c r="W604" s="220"/>
      <c r="X604" s="220"/>
      <c r="Y604" s="220"/>
      <c r="Z604" s="221"/>
    </row>
    <row r="605" spans="1:26" ht="18" customHeight="1" hidden="1">
      <c r="A605" s="140"/>
      <c r="B605" s="140"/>
      <c r="D605" s="223" t="s">
        <v>250</v>
      </c>
      <c r="E605" s="205"/>
      <c r="F605" s="205"/>
      <c r="G605" s="205"/>
      <c r="H605" s="205"/>
      <c r="I605" s="205"/>
      <c r="J605" s="206"/>
      <c r="K605"/>
      <c r="L605" s="203"/>
      <c r="M605" s="205"/>
      <c r="N605" s="205"/>
      <c r="O605" s="205"/>
      <c r="P605" s="205"/>
      <c r="Q605" s="205"/>
      <c r="R605" s="206"/>
      <c r="T605" s="203"/>
      <c r="U605" s="205"/>
      <c r="V605" s="205"/>
      <c r="W605" s="205"/>
      <c r="X605" s="205"/>
      <c r="Y605" s="205"/>
      <c r="Z605" s="206"/>
    </row>
    <row r="606" spans="1:26" ht="18" customHeight="1" hidden="1">
      <c r="A606" s="140"/>
      <c r="B606" s="140"/>
      <c r="D606" s="198" t="s">
        <v>251</v>
      </c>
      <c r="E606" s="130" t="str">
        <f>_xlfn.XLOOKUP(E575,CurrentPlans!B:B,CurrentPlans!AP:AP,"NA",0,1)</f>
        <v>NA</v>
      </c>
      <c r="F606" s="200"/>
      <c r="G606" s="200"/>
      <c r="H606" s="200"/>
      <c r="I606" s="130"/>
      <c r="J606" s="201"/>
      <c r="K606"/>
      <c r="L606" s="131" t="str">
        <f>_xlfn.XLOOKUP(L575,RenewalPlans!B:B,RenewalPlans!AS:AS,"NA",0,1)</f>
        <v>NA</v>
      </c>
      <c r="M606" s="200"/>
      <c r="N606" s="200"/>
      <c r="O606" s="200"/>
      <c r="P606" s="130"/>
      <c r="Q606" s="200"/>
      <c r="R606" s="201"/>
      <c r="T606" s="131" t="str">
        <f>_xlfn.XLOOKUP(T575,RenewalPlans!B:B,RenewalPlans!AS:AS,"NA",0,1)</f>
        <v>NA</v>
      </c>
      <c r="U606" s="200"/>
      <c r="V606" s="200"/>
      <c r="W606" s="200"/>
      <c r="X606" s="130"/>
      <c r="Y606" s="200"/>
      <c r="Z606" s="201"/>
    </row>
    <row r="607" spans="1:26" ht="18" customHeight="1" hidden="1">
      <c r="A607" s="140"/>
      <c r="B607" s="140"/>
      <c r="D607" s="198" t="s">
        <v>252</v>
      </c>
      <c r="E607" s="130" t="str">
        <f>_xlfn.XLOOKUP(E575,CurrentPlans!B:B,CurrentPlans!AQ:AQ,"NA",0,1)</f>
        <v>NA</v>
      </c>
      <c r="F607" s="200"/>
      <c r="G607" s="200"/>
      <c r="H607" s="200"/>
      <c r="I607" s="130"/>
      <c r="J607" s="201"/>
      <c r="K607"/>
      <c r="L607" s="131" t="str">
        <f>_xlfn.XLOOKUP(L575,RenewalPlans!B:B,RenewalPlans!AT:AT,"NA",0,1)</f>
        <v>NA</v>
      </c>
      <c r="M607" s="200"/>
      <c r="N607" s="200"/>
      <c r="O607" s="200"/>
      <c r="P607" s="130"/>
      <c r="Q607" s="200"/>
      <c r="R607" s="201"/>
      <c r="T607" s="131" t="str">
        <f>_xlfn.XLOOKUP(T575,RenewalPlans!B:B,RenewalPlans!AT:AT,"NA",0,1)</f>
        <v>NA</v>
      </c>
      <c r="U607" s="200"/>
      <c r="V607" s="200"/>
      <c r="W607" s="200"/>
      <c r="X607" s="130"/>
      <c r="Y607" s="200"/>
      <c r="Z607" s="201"/>
    </row>
    <row r="608" spans="1:26" ht="18" customHeight="1" hidden="1">
      <c r="A608" s="140"/>
      <c r="B608" s="140"/>
      <c r="D608" s="120" t="s">
        <v>253</v>
      </c>
      <c r="E608" s="133" t="str">
        <f>_xlfn.XLOOKUP(E575,CurrentPlans!B:B,CurrentPlans!AO:AO,"NA",0,1)</f>
        <v>NA</v>
      </c>
      <c r="F608" s="122"/>
      <c r="G608" s="122"/>
      <c r="H608" s="122"/>
      <c r="I608" s="133"/>
      <c r="J608" s="123"/>
      <c r="K608"/>
      <c r="L608" s="136" t="str">
        <f>_xlfn.XLOOKUP(L575,RenewalPlans!B:B,RenewalPlans!AR:AR,"NA",0,1)</f>
        <v>NA</v>
      </c>
      <c r="M608" s="122"/>
      <c r="N608" s="122"/>
      <c r="O608" s="122"/>
      <c r="P608" s="133"/>
      <c r="Q608" s="122"/>
      <c r="R608" s="123"/>
      <c r="T608" s="136" t="str">
        <f>_xlfn.XLOOKUP(T575,RenewalPlans!B:B,RenewalPlans!AR:AR,"NA",0,1)</f>
        <v>NA</v>
      </c>
      <c r="U608" s="122"/>
      <c r="V608" s="122"/>
      <c r="W608" s="122"/>
      <c r="X608" s="133"/>
      <c r="Y608" s="122"/>
      <c r="Z608" s="123"/>
    </row>
    <row r="609" spans="1:26" ht="18" customHeight="1" hidden="1">
      <c r="A609" s="140"/>
      <c r="B609" s="140"/>
      <c r="D609" s="223" t="s">
        <v>254</v>
      </c>
      <c r="E609" s="205"/>
      <c r="F609" s="205"/>
      <c r="G609" s="205"/>
      <c r="H609" s="205"/>
      <c r="I609" s="205"/>
      <c r="J609" s="206"/>
      <c r="K609"/>
      <c r="L609" s="203"/>
      <c r="M609" s="205"/>
      <c r="N609" s="205"/>
      <c r="O609" s="205"/>
      <c r="P609" s="205"/>
      <c r="Q609" s="205"/>
      <c r="R609" s="206"/>
      <c r="T609" s="203"/>
      <c r="U609" s="205"/>
      <c r="V609" s="205"/>
      <c r="W609" s="205"/>
      <c r="X609" s="205"/>
      <c r="Y609" s="205"/>
      <c r="Z609" s="206"/>
    </row>
    <row r="610" spans="1:26" ht="18" customHeight="1" hidden="1">
      <c r="A610" s="140"/>
      <c r="B610" s="140"/>
      <c r="D610" s="198" t="s">
        <v>255</v>
      </c>
      <c r="E610" s="130" t="str">
        <f>_xlfn.XLOOKUP(E575,CurrentPlans!B:B,CurrentPlans!AR:AR,"NA",0,1)</f>
        <v>NA</v>
      </c>
      <c r="F610" s="200"/>
      <c r="G610" s="200"/>
      <c r="H610" s="200"/>
      <c r="I610" s="130"/>
      <c r="J610" s="201"/>
      <c r="K610"/>
      <c r="L610" s="131" t="str">
        <f>_xlfn.XLOOKUP(L575,RenewalPlans!B:B,RenewalPlans!AU:AU,"NA",0,1)</f>
        <v>NA</v>
      </c>
      <c r="M610" s="200"/>
      <c r="N610" s="200"/>
      <c r="O610" s="200"/>
      <c r="P610" s="130"/>
      <c r="Q610" s="200"/>
      <c r="R610" s="201"/>
      <c r="T610" s="131" t="str">
        <f>_xlfn.XLOOKUP(T575,RenewalPlans!B:B,RenewalPlans!AU:AU,"NA",0,1)</f>
        <v>NA</v>
      </c>
      <c r="U610" s="200"/>
      <c r="V610" s="200"/>
      <c r="W610" s="200"/>
      <c r="X610" s="130"/>
      <c r="Y610" s="200"/>
      <c r="Z610" s="201"/>
    </row>
    <row r="611" spans="1:26" ht="18" customHeight="1" hidden="1" thickBot="1">
      <c r="A611" s="140"/>
      <c r="B611" s="140"/>
      <c r="D611" s="224" t="s">
        <v>256</v>
      </c>
      <c r="E611" s="137" t="str">
        <f>_xlfn.XLOOKUP(E575,CurrentPlans!B:B,CurrentPlans!AS:AS,"NA",0,1)</f>
        <v>NA</v>
      </c>
      <c r="F611" s="225"/>
      <c r="G611" s="225"/>
      <c r="H611" s="225"/>
      <c r="I611" s="137"/>
      <c r="J611" s="226"/>
      <c r="K611"/>
      <c r="L611" s="138" t="str">
        <f>_xlfn.XLOOKUP(L575,RenewalPlans!B:B,RenewalPlans!AV:AV,"NA",0,1)</f>
        <v>NA</v>
      </c>
      <c r="M611" s="225"/>
      <c r="N611" s="225"/>
      <c r="O611" s="225"/>
      <c r="P611" s="137"/>
      <c r="Q611" s="225"/>
      <c r="R611" s="226"/>
      <c r="T611" s="138" t="str">
        <f>_xlfn.XLOOKUP(T575,RenewalPlans!B:B,RenewalPlans!AV:AV,"NA",0,1)</f>
        <v>NA</v>
      </c>
      <c r="U611" s="225"/>
      <c r="V611" s="225"/>
      <c r="W611" s="225"/>
      <c r="X611" s="137"/>
      <c r="Y611" s="225"/>
      <c r="Z611" s="226"/>
    </row>
    <row r="612" spans="1:26" ht="18" customHeight="1">
      <c r="A612" s="140"/>
      <c r="B612" s="140"/>
      <c r="D612" s="227"/>
      <c r="E612" s="176"/>
      <c r="F612" s="178"/>
      <c r="G612" s="179"/>
      <c r="H612" s="178"/>
      <c r="I612" s="176"/>
      <c r="J612" s="228"/>
      <c r="K612"/>
      <c r="L612" s="178"/>
      <c r="M612" s="176"/>
      <c r="N612" s="139"/>
      <c r="O612" s="178"/>
      <c r="P612" s="178"/>
      <c r="Q612" s="178"/>
      <c r="R612" s="228"/>
      <c r="T612" s="178"/>
      <c r="U612" s="176"/>
      <c r="V612" s="139"/>
      <c r="W612" s="178"/>
      <c r="X612" s="178"/>
      <c r="Y612" s="178"/>
      <c r="Z612" s="228"/>
    </row>
    <row r="613" spans="1:26" ht="5.25" customHeight="1" thickBot="1">
      <c r="A613" s="140"/>
      <c r="B613" s="140"/>
      <c r="D613" s="229"/>
      <c r="E613" s="229"/>
      <c r="F613" s="230"/>
      <c r="G613" s="231"/>
      <c r="H613" s="232"/>
      <c r="I613" s="233"/>
      <c r="J613" s="233"/>
      <c r="K613"/>
      <c r="L613" s="233"/>
      <c r="M613" s="233"/>
      <c r="N613" s="233"/>
      <c r="O613" s="233"/>
      <c r="P613" s="233"/>
      <c r="Q613" s="233"/>
      <c r="R613" s="233"/>
      <c r="T613" s="233"/>
      <c r="U613" s="233"/>
      <c r="V613" s="233"/>
      <c r="W613" s="233"/>
      <c r="X613" s="233"/>
      <c r="Y613" s="233"/>
      <c r="Z613" s="233"/>
    </row>
    <row r="614" spans="1:26" ht="50.15" customHeight="1">
      <c r="A614" s="140"/>
      <c r="B614" s="140"/>
      <c r="C614" s="164" t="s">
        <v>287</v>
      </c>
      <c r="D614" s="275" t="s">
        <v>285</v>
      </c>
      <c r="E614" s="165"/>
      <c r="F614" s="272"/>
      <c r="G614" s="166"/>
      <c r="H614" s="167"/>
      <c r="I614" s="168"/>
      <c r="J614" s="169"/>
      <c r="K614"/>
      <c r="L614" s="274" t="s">
        <v>38</v>
      </c>
      <c r="M614" s="170"/>
      <c r="N614" s="274" t="s">
        <v>237</v>
      </c>
      <c r="O614" s="171"/>
      <c r="P614" s="171"/>
      <c r="Q614" s="171"/>
      <c r="R614" s="169"/>
      <c r="T614" s="274" t="s">
        <v>38</v>
      </c>
      <c r="U614" s="170"/>
      <c r="V614" s="274" t="s">
        <v>237</v>
      </c>
      <c r="W614" s="171"/>
      <c r="X614" s="171"/>
      <c r="Y614" s="171"/>
      <c r="Z614" s="169"/>
    </row>
    <row r="615" spans="1:26" ht="18.75" customHeight="1">
      <c r="A615" s="140"/>
      <c r="B615" s="140"/>
      <c r="D615" s="172" t="s">
        <v>238</v>
      </c>
      <c r="E615" s="407"/>
      <c r="F615" s="449"/>
      <c r="G615" s="470"/>
      <c r="H615" s="449"/>
      <c r="I615" s="450"/>
      <c r="J615" s="410"/>
      <c r="K615" s="411"/>
      <c r="L615" s="408" t="str" cm="1">
        <f t="array" ca="1" aca="1" ref="L615">_xlfn.IFNA(VLOOKUP(INDIRECT("L"&amp;ROW()-1)&amp;"_"&amp;$D$12,BEGIN_RENEW_HEALTH:END_RENEW_HEALTH,RENEW_COL_EO,FALSE),"")</f>
        <v/>
      </c>
      <c r="M615" s="412" t="str">
        <f>IF(E615="","",E615)</f>
        <v/>
      </c>
      <c r="N615" s="413"/>
      <c r="O615" s="414"/>
      <c r="P615" s="415" t="str">
        <f>IFERROR(IF($N614="Keep Contribution Same",H615,IF($N614="Enter Percentages",IF(N615="","",N615*L615),IF($N614="Keep Percentage Same",IF(G615="","",G615*L615),IF($N614="Enter Dollar Amount",IF(O615="","",O615),"")))),"")</f>
        <v/>
      </c>
      <c r="Q615" s="408" t="str">
        <f ca="1">IFERROR(L615-P615,"")</f>
        <v/>
      </c>
      <c r="R615" s="410" t="str">
        <f>IFERROR(IF(P615="","",M615*P615),"")</f>
        <v/>
      </c>
      <c r="S615" s="411"/>
      <c r="T615" s="408" t="str" cm="1">
        <f t="array" ca="1" aca="1" ref="T615">_xlfn.IFNA(VLOOKUP(INDIRECT("T"&amp;ROW()-1)&amp;"_"&amp;$D$12,BEGIN_RENEW_HEALTH:END_RENEW_HEALTH,RENEW_COL_EO,FALSE),"")</f>
        <v/>
      </c>
      <c r="U615" s="412" t="str">
        <f>IF(E615="","",E615)</f>
        <v/>
      </c>
      <c r="V615" s="413"/>
      <c r="W615" s="414"/>
      <c r="X615" s="415" t="str">
        <f>IFERROR(IF($V614="Keep Contribution Same",H615,IF($V614="Enter Percentages",IF(V615="","",V615*T615),IF($V614="Keep Percentage Same",IF(G615="","",G615*T615),IF($V614="Enter Dollar Amount",IF(W615="","",W615),"")))),"")</f>
        <v/>
      </c>
      <c r="Y615" s="408" t="str">
        <f ca="1">IFERROR(T615-X615,"")</f>
        <v/>
      </c>
      <c r="Z615" s="410" t="str">
        <f>IFERROR(IF(X615="","",U615*X615),"")</f>
        <v/>
      </c>
    </row>
    <row r="616" spans="1:26" ht="18.75" customHeight="1">
      <c r="A616" s="140"/>
      <c r="B616" s="140"/>
      <c r="D616" s="172" t="s">
        <v>239</v>
      </c>
      <c r="E616" s="407"/>
      <c r="F616" s="449"/>
      <c r="G616" s="470"/>
      <c r="H616" s="449"/>
      <c r="I616" s="450"/>
      <c r="J616" s="410"/>
      <c r="K616" s="411"/>
      <c r="L616" s="408" t="str" cm="1">
        <f t="array" ca="1" aca="1" ref="L616">_xlfn.IFNA(VLOOKUP(INDIRECT("L"&amp;ROW()-2)&amp;"_"&amp;$D$12,BEGIN_RENEW_HEALTH:END_RENEW_HEALTH,RENEW_COL_ES,FALSE),"")</f>
        <v/>
      </c>
      <c r="M616" s="412" t="str">
        <f>IF(E616="","",E616)</f>
        <v/>
      </c>
      <c r="N616" s="413"/>
      <c r="O616" s="414"/>
      <c r="P616" s="415" t="str">
        <f>IFERROR(IF($N614="Keep Contribution Same",H616,IF($N614="Enter Percentages",IF(N616="","",N616*L616),IF($N614="Keep Percentage Same",IF(G616="","",G616*L616),IF($N614="Enter Dollar Amount",IF(O616="","",O616),"")))),"")</f>
        <v/>
      </c>
      <c r="Q616" s="408" t="str">
        <f ca="1" t="shared" si="58" ref="Q616:Q618">IFERROR(L616-P616,"")</f>
        <v/>
      </c>
      <c r="R616" s="410" t="str">
        <f>IFERROR(IF(P616="","",M616*P616),"")</f>
        <v/>
      </c>
      <c r="S616" s="411"/>
      <c r="T616" s="408" t="str" cm="1">
        <f t="array" ca="1" aca="1" ref="T616">_xlfn.IFNA(VLOOKUP(INDIRECT("T"&amp;ROW()-2)&amp;"_"&amp;$D$12,BEGIN_RENEW_HEALTH:END_RENEW_HEALTH,RENEW_COL_ES,FALSE),"")</f>
        <v/>
      </c>
      <c r="U616" s="412" t="str">
        <f t="shared" si="59" ref="U616:U618">IF(E616="","",E616)</f>
        <v/>
      </c>
      <c r="V616" s="413"/>
      <c r="W616" s="414"/>
      <c r="X616" s="415" t="str">
        <f>IFERROR(IF($V614="Keep Contribution Same",H616,IF($V614="Enter Percentages",IF(V616="","",V616*T616),IF($V614="Keep Percentage Same",IF(G616="","",G616*T616),IF($V614="Enter Dollar Amount",IF(W616="","",W616),"")))),"")</f>
        <v/>
      </c>
      <c r="Y616" s="408" t="str">
        <f ca="1" t="shared" si="60" ref="Y616:Y618">IFERROR(T616-X616,"")</f>
        <v/>
      </c>
      <c r="Z616" s="410" t="str">
        <f t="shared" si="61" ref="Z616:Z618">IFERROR(IF(X616="","",U616*X616),"")</f>
        <v/>
      </c>
    </row>
    <row r="617" spans="1:26" ht="18.75" customHeight="1">
      <c r="A617" s="140"/>
      <c r="B617" s="140"/>
      <c r="D617" s="172" t="s">
        <v>240</v>
      </c>
      <c r="E617" s="407"/>
      <c r="F617" s="449"/>
      <c r="G617" s="470"/>
      <c r="H617" s="449"/>
      <c r="I617" s="450"/>
      <c r="J617" s="410"/>
      <c r="K617" s="411"/>
      <c r="L617" s="408" t="str" cm="1">
        <f t="array" ca="1" aca="1" ref="L617">_xlfn.IFNA(VLOOKUP(INDIRECT("L"&amp;ROW()-3)&amp;"_"&amp;$D$12,BEGIN_RENEW_HEALTH:END_RENEW_HEALTH,RENEW_COL_EC,FALSE),"")</f>
        <v/>
      </c>
      <c r="M617" s="412" t="str">
        <f>IF(E617="","",E617)</f>
        <v/>
      </c>
      <c r="N617" s="413"/>
      <c r="O617" s="414"/>
      <c r="P617" s="415" t="str">
        <f>IFERROR(IF($N614="Keep Contribution Same",H617,IF($N614="Enter Percentages",IF(N617="","",N617*L617),IF($N614="Keep Percentage Same",IF(G617="","",G617*L617),IF($N614="Enter Dollar Amount",IF(O617="","",O617),"")))),"")</f>
        <v/>
      </c>
      <c r="Q617" s="408" t="str">
        <f t="shared" ca="1" si="58"/>
        <v/>
      </c>
      <c r="R617" s="410" t="str">
        <f>IFERROR(IF(P617="","",M617*P617),"")</f>
        <v/>
      </c>
      <c r="S617" s="411"/>
      <c r="T617" s="408" t="str" cm="1">
        <f t="array" ca="1" aca="1" ref="T617">_xlfn.IFNA(VLOOKUP(INDIRECT("T"&amp;ROW()-3)&amp;"_"&amp;$D$12,BEGIN_RENEW_HEALTH:END_RENEW_HEALTH,RENEW_COL_EC,FALSE),"")</f>
        <v/>
      </c>
      <c r="U617" s="412" t="str">
        <f t="shared" si="59"/>
        <v/>
      </c>
      <c r="V617" s="413"/>
      <c r="W617" s="414"/>
      <c r="X617" s="415" t="str">
        <f>IFERROR(IF($V614="Keep Contribution Same",H617,IF($V614="Enter Percentages",IF(V617="","",V617*T617),IF($V614="Keep Percentage Same",IF(G617="","",G617*T617),IF($V614="Enter Dollar Amount",IF(W617="","",W617),"")))),"")</f>
        <v/>
      </c>
      <c r="Y617" s="408" t="str">
        <f t="shared" ca="1" si="60"/>
        <v/>
      </c>
      <c r="Z617" s="410" t="str">
        <f t="shared" si="61"/>
        <v/>
      </c>
    </row>
    <row r="618" spans="1:26" ht="18.75" customHeight="1" thickBot="1">
      <c r="A618" s="140"/>
      <c r="B618" s="140"/>
      <c r="D618" s="174" t="s">
        <v>241</v>
      </c>
      <c r="E618" s="416"/>
      <c r="F618" s="451"/>
      <c r="G618" s="471"/>
      <c r="H618" s="451"/>
      <c r="I618" s="452"/>
      <c r="J618" s="419"/>
      <c r="K618" s="411"/>
      <c r="L618" s="417" t="str" cm="1">
        <f t="array" ca="1" aca="1" ref="L618">_xlfn.IFNA(VLOOKUP(INDIRECT("L"&amp;ROW()-4)&amp;"_"&amp;$D$12,BEGIN_RENEW_HEALTH:END_RENEW_HEALTH,RENEW_COL_FAM,FALSE),"")</f>
        <v/>
      </c>
      <c r="M618" s="423" t="str">
        <f>IF(E618="","",E618)</f>
        <v/>
      </c>
      <c r="N618" s="420"/>
      <c r="O618" s="421"/>
      <c r="P618" s="422" t="str">
        <f>IFERROR(IF($N614="Keep Contribution Same",H618,IF($N614="Enter Percentages",IF(N618="","",N618*L618),IF($N614="Keep Percentage Same",IF(G618="","",G618*L618),IF($N614="Enter Dollar Amount",IF(O618="","",O618),"")))),"")</f>
        <v/>
      </c>
      <c r="Q618" s="417" t="str">
        <f t="shared" ca="1" si="58"/>
        <v/>
      </c>
      <c r="R618" s="419" t="str">
        <f>IFERROR(IF(P618="","",M618*P618),"")</f>
        <v/>
      </c>
      <c r="S618" s="411"/>
      <c r="T618" s="417" t="str" cm="1">
        <f t="array" ca="1" aca="1" ref="T618">_xlfn.IFNA(VLOOKUP(INDIRECT("T"&amp;ROW()-4)&amp;"_"&amp;$D$12,BEGIN_RENEW_HEALTH:END_RENEW_HEALTH,RENEW_COL_FAM,FALSE),"")</f>
        <v/>
      </c>
      <c r="U618" s="423" t="str">
        <f t="shared" si="59"/>
        <v/>
      </c>
      <c r="V618" s="420"/>
      <c r="W618" s="421"/>
      <c r="X618" s="422" t="str">
        <f>IFERROR(IF($V614="Keep Contribution Same",H618,IF($V614="Enter Percentages",IF(V618="","",V618*T618),IF($V614="Keep Percentage Same",IF(G618="","",G618*T618),IF($V614="Enter Dollar Amount",IF(W618="","",W618),"")))),"")</f>
        <v/>
      </c>
      <c r="Y618" s="417" t="str">
        <f t="shared" ca="1" si="60"/>
        <v/>
      </c>
      <c r="Z618" s="419" t="str">
        <f t="shared" si="61"/>
        <v/>
      </c>
    </row>
    <row r="619" spans="1:26" ht="18.75" customHeight="1" thickTop="1">
      <c r="A619" s="140"/>
      <c r="B619" s="140"/>
      <c r="D619" s="175" t="s">
        <v>329</v>
      </c>
      <c r="E619" s="459"/>
      <c r="F619" s="447">
        <f>IFERROR((F615*E615)+(F616*E616)+(F617*E617)+(F618*E618),"")</f>
        <v>0</v>
      </c>
      <c r="G619" s="426"/>
      <c r="H619" s="427"/>
      <c r="I619" s="428"/>
      <c r="J619" s="429" t="str">
        <f>IFERROR(IF(J615="","",SUM(J615:J618)),0)</f>
        <v/>
      </c>
      <c r="K619" s="1"/>
      <c r="L619" s="430" t="str">
        <f ca="1">IFERROR((M615*L615)+(M616*L616)+(M617*L617)+(M618*L618),"")</f>
        <v/>
      </c>
      <c r="M619" s="427"/>
      <c r="N619" s="426"/>
      <c r="O619" s="427"/>
      <c r="P619" s="431"/>
      <c r="Q619" s="432"/>
      <c r="R619" s="429" t="str">
        <f>IFERROR(IF(R615="","",SUM(R615:R618)),0)</f>
        <v/>
      </c>
      <c r="T619" s="430" t="str">
        <f ca="1">IFERROR((U615*T615)+(U616*T616)+(U617*T617)+(U618*T618),"")</f>
        <v/>
      </c>
      <c r="U619" s="427"/>
      <c r="V619" s="426"/>
      <c r="W619" s="427"/>
      <c r="X619" s="431"/>
      <c r="Y619" s="432"/>
      <c r="Z619" s="429" t="str">
        <f>IFERROR(IF(Z615="","",SUM(Z615:Z618)),0)</f>
        <v/>
      </c>
    </row>
    <row r="620" spans="1:26" ht="18.75" customHeight="1">
      <c r="A620" s="140"/>
      <c r="B620" s="140"/>
      <c r="D620" s="177" t="s">
        <v>243</v>
      </c>
      <c r="E620" s="460"/>
      <c r="F620" s="448">
        <f>IFERROR(F619*12,"")</f>
        <v>0</v>
      </c>
      <c r="G620" s="435"/>
      <c r="H620" s="436"/>
      <c r="I620" s="432"/>
      <c r="J620" s="437" t="str">
        <f>IF(J619="","",J619*12)</f>
        <v/>
      </c>
      <c r="K620" s="1"/>
      <c r="L620" s="438" t="str">
        <f ca="1">IFERROR(L619*12,"")</f>
        <v/>
      </c>
      <c r="M620" s="436"/>
      <c r="N620" s="435"/>
      <c r="O620" s="436"/>
      <c r="P620" s="432"/>
      <c r="Q620" s="432"/>
      <c r="R620" s="437" t="str">
        <f>IF(R619="","",R619*12)</f>
        <v/>
      </c>
      <c r="T620" s="438" t="str">
        <f ca="1">IFERROR(T619*12,"")</f>
        <v/>
      </c>
      <c r="U620" s="436"/>
      <c r="V620" s="435"/>
      <c r="W620" s="436"/>
      <c r="X620" s="432"/>
      <c r="Y620" s="432"/>
      <c r="Z620" s="437" t="str">
        <f>IF(Z619="","",Z619*12)</f>
        <v/>
      </c>
    </row>
    <row r="621" spans="1:26" ht="18.75" customHeight="1">
      <c r="A621" s="140"/>
      <c r="B621" s="140"/>
      <c r="D621" s="177" t="s">
        <v>244</v>
      </c>
      <c r="E621" s="433"/>
      <c r="F621" s="436"/>
      <c r="G621" s="435"/>
      <c r="H621" s="436"/>
      <c r="I621" s="432"/>
      <c r="J621" s="437" t="str">
        <f>IFERROR(IF(J620="","",R620-J620),0)</f>
        <v/>
      </c>
      <c r="K621" s="1"/>
      <c r="L621" s="434" t="str">
        <f ca="1">IFERROR(L620-F620,"")</f>
        <v/>
      </c>
      <c r="M621" s="436"/>
      <c r="N621" s="435"/>
      <c r="O621" s="436"/>
      <c r="P621" s="432"/>
      <c r="Q621" s="432"/>
      <c r="R621" s="437" t="str">
        <f>IFERROR(IF(J620="","",R620-J620),0)</f>
        <v/>
      </c>
      <c r="T621" s="434" t="str">
        <f ca="1">IFERROR(T620-F620,"")</f>
        <v/>
      </c>
      <c r="U621" s="436"/>
      <c r="V621" s="435"/>
      <c r="W621" s="436"/>
      <c r="X621" s="432"/>
      <c r="Y621" s="432"/>
      <c r="Z621" s="437" t="str">
        <f>IFERROR(IF(R620="","",Z620-R620),0)</f>
        <v/>
      </c>
    </row>
    <row r="622" spans="1:26" ht="18" customHeight="1" thickBot="1">
      <c r="A622" s="140"/>
      <c r="B622" s="140"/>
      <c r="D622" s="180" t="s">
        <v>245</v>
      </c>
      <c r="E622" s="439"/>
      <c r="F622" s="440"/>
      <c r="G622" s="441"/>
      <c r="H622" s="440"/>
      <c r="I622" s="442"/>
      <c r="J622" s="443" t="str">
        <f>IFERROR(IF(J620="","",(R620/J620)-1),0)</f>
        <v/>
      </c>
      <c r="K622" s="1"/>
      <c r="L622" s="444" t="str">
        <f ca="1">IFERROR(L620/F620-1,"")</f>
        <v/>
      </c>
      <c r="M622" s="440"/>
      <c r="N622" s="441"/>
      <c r="O622" s="440"/>
      <c r="P622" s="445"/>
      <c r="Q622" s="445"/>
      <c r="R622" s="446" t="str">
        <f>IFERROR(IF(J620="","",(R620/J620)-1),0)</f>
        <v/>
      </c>
      <c r="T622" s="444" t="str">
        <f ca="1">IFERROR(T620/F620-1,"")</f>
        <v/>
      </c>
      <c r="U622" s="440"/>
      <c r="V622" s="441"/>
      <c r="W622" s="440"/>
      <c r="X622" s="445"/>
      <c r="Y622" s="445"/>
      <c r="Z622" s="446" t="str">
        <f>IFERROR(IF(R620="","",(Z620/R620)-1),0)</f>
        <v/>
      </c>
    </row>
    <row r="623" spans="1:26" ht="18" customHeight="1">
      <c r="A623" s="140"/>
      <c r="B623" s="140"/>
      <c r="D623" s="181" t="s">
        <v>246</v>
      </c>
      <c r="E623" s="182"/>
      <c r="F623" s="182"/>
      <c r="G623" s="182"/>
      <c r="H623" s="182"/>
      <c r="I623" s="182"/>
      <c r="J623" s="183"/>
      <c r="K623"/>
      <c r="L623" s="184"/>
      <c r="M623" s="182"/>
      <c r="N623" s="182"/>
      <c r="O623" s="182"/>
      <c r="P623" s="182"/>
      <c r="Q623" s="182"/>
      <c r="R623" s="183"/>
      <c r="T623" s="184"/>
      <c r="U623" s="182"/>
      <c r="V623" s="182"/>
      <c r="W623" s="182"/>
      <c r="X623" s="182"/>
      <c r="Y623" s="182"/>
      <c r="Z623" s="183"/>
    </row>
    <row r="624" spans="1:26" ht="18" customHeight="1" hidden="1">
      <c r="A624" s="140"/>
      <c r="B624" s="140"/>
      <c r="D624" s="185" t="s">
        <v>247</v>
      </c>
      <c r="E624" s="186"/>
      <c r="F624" s="186"/>
      <c r="G624" s="186"/>
      <c r="H624" s="186"/>
      <c r="I624" s="186"/>
      <c r="J624" s="187"/>
      <c r="K624"/>
      <c r="L624" s="188"/>
      <c r="M624" s="186"/>
      <c r="N624" s="186"/>
      <c r="O624" s="186"/>
      <c r="P624" s="186"/>
      <c r="Q624" s="186"/>
      <c r="R624" s="187"/>
      <c r="T624" s="188"/>
      <c r="U624" s="186"/>
      <c r="V624" s="186"/>
      <c r="W624" s="186"/>
      <c r="X624" s="186"/>
      <c r="Y624" s="186"/>
      <c r="Z624" s="187"/>
    </row>
    <row r="625" spans="1:26" ht="18" customHeight="1" hidden="1">
      <c r="A625" s="140"/>
      <c r="B625" s="140"/>
      <c r="D625" s="189" t="s">
        <v>248</v>
      </c>
      <c r="E625" s="190" t="str">
        <f>D614&amp;"_"&amp;D12</f>
        <v>NEW PLAN_</v>
      </c>
      <c r="F625" s="191"/>
      <c r="G625" s="191"/>
      <c r="H625" s="191"/>
      <c r="I625" s="190"/>
      <c r="J625" s="192"/>
      <c r="K625"/>
      <c r="L625" s="193" t="str">
        <f>L614&amp;"_"&amp;D12</f>
        <v>SELECT PLAN_</v>
      </c>
      <c r="M625" s="191"/>
      <c r="N625" s="191"/>
      <c r="O625" s="191"/>
      <c r="P625" s="190"/>
      <c r="Q625" s="191"/>
      <c r="R625" s="192"/>
      <c r="T625" s="193" t="str">
        <f>T614&amp;"_"&amp;D12</f>
        <v>SELECT PLAN_</v>
      </c>
      <c r="U625" s="191"/>
      <c r="V625" s="191"/>
      <c r="W625" s="191"/>
      <c r="X625" s="190"/>
      <c r="Y625" s="191"/>
      <c r="Z625" s="192"/>
    </row>
    <row r="626" spans="1:26" ht="18" customHeight="1" hidden="1">
      <c r="A626" s="140"/>
      <c r="B626" s="140"/>
      <c r="D626" s="189" t="s">
        <v>249</v>
      </c>
      <c r="E626" s="191"/>
      <c r="F626" s="191"/>
      <c r="G626" s="191"/>
      <c r="H626" s="191"/>
      <c r="I626" s="191"/>
      <c r="J626" s="192"/>
      <c r="K626"/>
      <c r="L626" s="189"/>
      <c r="M626" s="191"/>
      <c r="N626" s="191"/>
      <c r="O626" s="191"/>
      <c r="P626" s="191"/>
      <c r="Q626" s="191"/>
      <c r="R626" s="192"/>
      <c r="T626" s="189"/>
      <c r="U626" s="191"/>
      <c r="V626" s="191"/>
      <c r="W626" s="191"/>
      <c r="X626" s="191"/>
      <c r="Y626" s="191"/>
      <c r="Z626" s="192"/>
    </row>
    <row r="627" spans="1:26" ht="32.25" customHeight="1" hidden="1">
      <c r="A627" s="140"/>
      <c r="B627" s="140"/>
      <c r="D627" s="194" t="s">
        <v>250</v>
      </c>
      <c r="E627" s="195"/>
      <c r="F627" s="195"/>
      <c r="G627" s="195"/>
      <c r="H627" s="195"/>
      <c r="I627" s="195"/>
      <c r="J627" s="196"/>
      <c r="K627"/>
      <c r="L627" s="197"/>
      <c r="M627" s="195"/>
      <c r="N627" s="195"/>
      <c r="O627" s="195"/>
      <c r="P627" s="195"/>
      <c r="Q627" s="195"/>
      <c r="R627" s="196"/>
      <c r="T627" s="197"/>
      <c r="U627" s="195"/>
      <c r="V627" s="195"/>
      <c r="W627" s="195"/>
      <c r="X627" s="195"/>
      <c r="Y627" s="195"/>
      <c r="Z627" s="196"/>
    </row>
    <row r="628" spans="1:26" ht="18" customHeight="1" hidden="1">
      <c r="A628" s="140"/>
      <c r="B628" s="140"/>
      <c r="D628" s="198" t="s">
        <v>251</v>
      </c>
      <c r="E628" s="199" t="str">
        <f>_xlfn.XLOOKUP(E625,CurrentPlans!B:B,CurrentPlans!X:X,"NA",0,1)</f>
        <v>NA</v>
      </c>
      <c r="F628" s="200"/>
      <c r="G628" s="200"/>
      <c r="H628" s="200"/>
      <c r="I628" s="199"/>
      <c r="J628" s="201"/>
      <c r="K628"/>
      <c r="L628" s="202" t="str">
        <f>_xlfn.XLOOKUP(L625,RenewalPlans!B:B,RenewalPlans!AA:AA,"NA",0,1)</f>
        <v>NA</v>
      </c>
      <c r="M628" s="200"/>
      <c r="N628" s="200"/>
      <c r="O628" s="200"/>
      <c r="P628" s="199"/>
      <c r="Q628" s="200"/>
      <c r="R628" s="201"/>
      <c r="T628" s="202" t="str">
        <f>_xlfn.XLOOKUP(T625,RenewalPlans!B:B,RenewalPlans!AA:AA,"NA",0,1)</f>
        <v>NA</v>
      </c>
      <c r="U628" s="200"/>
      <c r="V628" s="200"/>
      <c r="W628" s="200"/>
      <c r="X628" s="199"/>
      <c r="Y628" s="200"/>
      <c r="Z628" s="201"/>
    </row>
    <row r="629" spans="1:26" ht="18" customHeight="1" hidden="1">
      <c r="A629" s="140"/>
      <c r="B629" s="140"/>
      <c r="D629" s="198" t="s">
        <v>252</v>
      </c>
      <c r="E629" s="199" t="str">
        <f>_xlfn.XLOOKUP(E625,CurrentPlans!B:B,CurrentPlans!Y:Y,"NA",0,1)</f>
        <v>NA</v>
      </c>
      <c r="F629" s="200"/>
      <c r="G629" s="200"/>
      <c r="H629" s="200"/>
      <c r="I629" s="199"/>
      <c r="J629" s="201"/>
      <c r="K629"/>
      <c r="L629" s="202" t="str">
        <f>_xlfn.XLOOKUP(L625,RenewalPlans!B:B,RenewalPlans!AB:AB,"NA",0,1)</f>
        <v>NA</v>
      </c>
      <c r="M629" s="200"/>
      <c r="N629" s="200"/>
      <c r="O629" s="200"/>
      <c r="P629" s="199"/>
      <c r="Q629" s="200"/>
      <c r="R629" s="201"/>
      <c r="T629" s="202" t="str">
        <f>_xlfn.XLOOKUP(T625,RenewalPlans!B:B,RenewalPlans!AB:AB,"NA",0,1)</f>
        <v>NA</v>
      </c>
      <c r="U629" s="200"/>
      <c r="V629" s="200"/>
      <c r="W629" s="200"/>
      <c r="X629" s="199"/>
      <c r="Y629" s="200"/>
      <c r="Z629" s="201"/>
    </row>
    <row r="630" spans="1:26" ht="18" customHeight="1" hidden="1">
      <c r="A630" s="140"/>
      <c r="B630" s="140"/>
      <c r="D630" s="120" t="s">
        <v>253</v>
      </c>
      <c r="E630" s="121" t="str">
        <f>_xlfn.XLOOKUP(E625,CurrentPlans!B:B,CurrentPlans!W:W,"NA",0,1)</f>
        <v>NA</v>
      </c>
      <c r="F630" s="122"/>
      <c r="G630" s="122"/>
      <c r="H630" s="122"/>
      <c r="I630" s="121"/>
      <c r="J630" s="123"/>
      <c r="K630"/>
      <c r="L630" s="124" t="str">
        <f>_xlfn.XLOOKUP(L625,RenewalPlans!B:B,RenewalPlans!Z:Z,"NA",0,1)</f>
        <v>NA</v>
      </c>
      <c r="M630" s="122"/>
      <c r="N630" s="122"/>
      <c r="O630" s="122"/>
      <c r="P630" s="121"/>
      <c r="Q630" s="122"/>
      <c r="R630" s="123"/>
      <c r="T630" s="124" t="str">
        <f>_xlfn.XLOOKUP(T625,RenewalPlans!B:B,RenewalPlans!Z:Z,"NA",0,1)</f>
        <v>NA</v>
      </c>
      <c r="U630" s="122"/>
      <c r="V630" s="122"/>
      <c r="W630" s="122"/>
      <c r="X630" s="121"/>
      <c r="Y630" s="122"/>
      <c r="Z630" s="123"/>
    </row>
    <row r="631" spans="1:26" ht="18" customHeight="1" hidden="1">
      <c r="A631" s="140"/>
      <c r="B631" s="140"/>
      <c r="D631" s="203" t="s">
        <v>254</v>
      </c>
      <c r="E631" s="204"/>
      <c r="F631" s="205"/>
      <c r="G631" s="205"/>
      <c r="H631" s="205"/>
      <c r="I631" s="204"/>
      <c r="J631" s="206"/>
      <c r="K631"/>
      <c r="L631" s="207"/>
      <c r="M631" s="205"/>
      <c r="N631" s="205"/>
      <c r="O631" s="205"/>
      <c r="P631" s="204"/>
      <c r="Q631" s="205"/>
      <c r="R631" s="206"/>
      <c r="T631" s="207"/>
      <c r="U631" s="205"/>
      <c r="V631" s="205"/>
      <c r="W631" s="205"/>
      <c r="X631" s="204"/>
      <c r="Y631" s="205"/>
      <c r="Z631" s="206"/>
    </row>
    <row r="632" spans="1:26" ht="18" customHeight="1" hidden="1">
      <c r="A632" s="140"/>
      <c r="B632" s="140"/>
      <c r="D632" s="125" t="s">
        <v>255</v>
      </c>
      <c r="E632" s="126" t="str">
        <f>_xlfn.XLOOKUP(E625,CurrentPlans!B:B,CurrentPlans!Z:Z,"NA",0,1)</f>
        <v>NA</v>
      </c>
      <c r="F632" s="127"/>
      <c r="G632" s="127"/>
      <c r="H632" s="127"/>
      <c r="I632" s="126"/>
      <c r="J632" s="128"/>
      <c r="K632"/>
      <c r="L632" s="129" t="str">
        <f>_xlfn.XLOOKUP(L625,RenewalPlans!B:B,RenewalPlans!AC:AC,"NA",0,1)</f>
        <v>NA</v>
      </c>
      <c r="M632" s="127"/>
      <c r="N632" s="127"/>
      <c r="O632" s="127"/>
      <c r="P632" s="126"/>
      <c r="Q632" s="127"/>
      <c r="R632" s="128"/>
      <c r="T632" s="129" t="str">
        <f>_xlfn.XLOOKUP(T625,RenewalPlans!B:B,RenewalPlans!AC:AC,"NA",0,1)</f>
        <v>NA</v>
      </c>
      <c r="U632" s="127"/>
      <c r="V632" s="127"/>
      <c r="W632" s="127"/>
      <c r="X632" s="126"/>
      <c r="Y632" s="127"/>
      <c r="Z632" s="128"/>
    </row>
    <row r="633" spans="1:26" ht="18" customHeight="1" hidden="1">
      <c r="A633" s="140"/>
      <c r="B633" s="140"/>
      <c r="D633" s="198" t="s">
        <v>256</v>
      </c>
      <c r="E633" s="208" t="str">
        <f>_xlfn.XLOOKUP(E625,CurrentPlans!B:B,CurrentPlans!AA:AA,"NA",0,1)</f>
        <v>NA</v>
      </c>
      <c r="F633" s="200"/>
      <c r="G633" s="200"/>
      <c r="H633" s="200"/>
      <c r="I633" s="208"/>
      <c r="J633" s="201"/>
      <c r="K633"/>
      <c r="L633" s="209" t="str">
        <f>_xlfn.XLOOKUP(L625,RenewalPlans!B:B,RenewalPlans!AD:AD,"NA",0,1)</f>
        <v>NA</v>
      </c>
      <c r="M633" s="200"/>
      <c r="N633" s="200"/>
      <c r="O633" s="200"/>
      <c r="P633" s="208"/>
      <c r="Q633" s="200"/>
      <c r="R633" s="201"/>
      <c r="T633" s="209" t="str">
        <f>_xlfn.XLOOKUP(T625,RenewalPlans!B:B,RenewalPlans!AD:AD,"NA",0,1)</f>
        <v>NA</v>
      </c>
      <c r="U633" s="200"/>
      <c r="V633" s="200"/>
      <c r="W633" s="200"/>
      <c r="X633" s="208"/>
      <c r="Y633" s="200"/>
      <c r="Z633" s="201"/>
    </row>
    <row r="634" spans="1:26" ht="18" customHeight="1" hidden="1">
      <c r="A634" s="140"/>
      <c r="B634" s="140"/>
      <c r="D634" s="203" t="s">
        <v>257</v>
      </c>
      <c r="E634" s="204"/>
      <c r="F634" s="205"/>
      <c r="G634" s="205"/>
      <c r="H634" s="205"/>
      <c r="I634" s="204"/>
      <c r="J634" s="206"/>
      <c r="K634"/>
      <c r="L634" s="207"/>
      <c r="M634" s="205"/>
      <c r="N634" s="205"/>
      <c r="O634" s="205"/>
      <c r="P634" s="204"/>
      <c r="Q634" s="205"/>
      <c r="R634" s="206"/>
      <c r="T634" s="207"/>
      <c r="U634" s="205"/>
      <c r="V634" s="205"/>
      <c r="W634" s="205"/>
      <c r="X634" s="204"/>
      <c r="Y634" s="205"/>
      <c r="Z634" s="206"/>
    </row>
    <row r="635" spans="1:26" ht="18" customHeight="1" hidden="1">
      <c r="A635" s="140"/>
      <c r="B635" s="140"/>
      <c r="D635" s="198" t="s">
        <v>258</v>
      </c>
      <c r="E635" s="208" t="str">
        <f>_xlfn.XLOOKUP(E625,CurrentPlans!B:B,CurrentPlans!AB:AB,"NA",0,1)</f>
        <v>NA</v>
      </c>
      <c r="F635" s="200"/>
      <c r="G635" s="200"/>
      <c r="H635" s="200"/>
      <c r="I635" s="208"/>
      <c r="J635" s="201"/>
      <c r="K635"/>
      <c r="L635" s="209" t="str">
        <f>_xlfn.XLOOKUP(L625,RenewalPlans!B:B,RenewalPlans!AE:AE,"NA",0,1)</f>
        <v>NA</v>
      </c>
      <c r="M635" s="200"/>
      <c r="N635" s="200"/>
      <c r="O635" s="200"/>
      <c r="P635" s="208"/>
      <c r="Q635" s="200"/>
      <c r="R635" s="201"/>
      <c r="T635" s="209" t="str">
        <f>_xlfn.XLOOKUP(T625,RenewalPlans!B:B,RenewalPlans!AE:AE,"NA",0,1)</f>
        <v>NA</v>
      </c>
      <c r="U635" s="200"/>
      <c r="V635" s="200"/>
      <c r="W635" s="200"/>
      <c r="X635" s="208"/>
      <c r="Y635" s="200"/>
      <c r="Z635" s="201"/>
    </row>
    <row r="636" spans="1:26" ht="18" customHeight="1" hidden="1">
      <c r="A636" s="140"/>
      <c r="B636" s="140"/>
      <c r="D636" s="198" t="s">
        <v>259</v>
      </c>
      <c r="E636" s="208" t="str">
        <f>_xlfn.XLOOKUP(E625,CurrentPlans!B:B,CurrentPlans!AC:AC,"NA",0,1)</f>
        <v>NA</v>
      </c>
      <c r="F636" s="200"/>
      <c r="G636" s="200"/>
      <c r="H636" s="200"/>
      <c r="I636" s="208"/>
      <c r="J636" s="201"/>
      <c r="K636"/>
      <c r="L636" s="209" t="str">
        <f>_xlfn.XLOOKUP(L625,RenewalPlans!B:B,RenewalPlans!AF:AF,"NA",0,1)</f>
        <v>NA</v>
      </c>
      <c r="M636" s="200"/>
      <c r="N636" s="200"/>
      <c r="O636" s="200"/>
      <c r="P636" s="208"/>
      <c r="Q636" s="200"/>
      <c r="R636" s="201"/>
      <c r="T636" s="209" t="str">
        <f>_xlfn.XLOOKUP(T625,RenewalPlans!B:B,RenewalPlans!AF:AF,"NA",0,1)</f>
        <v>NA</v>
      </c>
      <c r="U636" s="200"/>
      <c r="V636" s="200"/>
      <c r="W636" s="200"/>
      <c r="X636" s="208"/>
      <c r="Y636" s="200"/>
      <c r="Z636" s="201"/>
    </row>
    <row r="637" spans="1:26" ht="18" customHeight="1" hidden="1">
      <c r="A637" s="140"/>
      <c r="B637" s="140"/>
      <c r="D637" s="210"/>
      <c r="E637" s="211"/>
      <c r="F637" s="211"/>
      <c r="G637" s="211"/>
      <c r="H637" s="211"/>
      <c r="I637" s="211"/>
      <c r="J637" s="212"/>
      <c r="K637"/>
      <c r="L637" s="210"/>
      <c r="M637" s="211"/>
      <c r="N637" s="211"/>
      <c r="O637" s="211"/>
      <c r="P637" s="211"/>
      <c r="Q637" s="211"/>
      <c r="R637" s="212"/>
      <c r="T637" s="210"/>
      <c r="U637" s="211"/>
      <c r="V637" s="211"/>
      <c r="W637" s="211"/>
      <c r="X637" s="211"/>
      <c r="Y637" s="211"/>
      <c r="Z637" s="212"/>
    </row>
    <row r="638" spans="1:26" ht="18" customHeight="1" hidden="1">
      <c r="A638" s="140"/>
      <c r="B638" s="140"/>
      <c r="D638" s="185" t="s">
        <v>260</v>
      </c>
      <c r="E638" s="186"/>
      <c r="F638" s="186"/>
      <c r="G638" s="186"/>
      <c r="H638" s="186"/>
      <c r="I638" s="186"/>
      <c r="J638" s="187"/>
      <c r="K638"/>
      <c r="L638" s="188"/>
      <c r="M638" s="186"/>
      <c r="N638" s="186"/>
      <c r="O638" s="186"/>
      <c r="P638" s="186"/>
      <c r="Q638" s="186"/>
      <c r="R638" s="187"/>
      <c r="T638" s="188"/>
      <c r="U638" s="186"/>
      <c r="V638" s="186"/>
      <c r="W638" s="186"/>
      <c r="X638" s="186"/>
      <c r="Y638" s="186"/>
      <c r="Z638" s="187"/>
    </row>
    <row r="639" spans="1:26" ht="18" customHeight="1" hidden="1">
      <c r="A639" s="140"/>
      <c r="B639" s="140"/>
      <c r="D639" s="213" t="s">
        <v>261</v>
      </c>
      <c r="E639" s="130" t="str">
        <f>_xlfn.XLOOKUP(E625,CurrentPlans!B:B,CurrentPlans!AJ:AJ,"NA",0,1)</f>
        <v>NA</v>
      </c>
      <c r="F639" s="214"/>
      <c r="G639" s="214"/>
      <c r="H639" s="214"/>
      <c r="I639" s="130"/>
      <c r="J639" s="215"/>
      <c r="K639"/>
      <c r="L639" s="131" t="str">
        <f>_xlfn.XLOOKUP(L625,RenewalPlans!B:B,RenewalPlans!AM:AM,"NA",0,1)</f>
        <v>NA</v>
      </c>
      <c r="M639" s="214"/>
      <c r="N639" s="214"/>
      <c r="O639" s="214"/>
      <c r="P639" s="130"/>
      <c r="Q639" s="214"/>
      <c r="R639" s="215"/>
      <c r="T639" s="131" t="str">
        <f>_xlfn.XLOOKUP(T625,RenewalPlans!B:B,RenewalPlans!AM:AM,"NA",0,1)</f>
        <v>NA</v>
      </c>
      <c r="U639" s="214"/>
      <c r="V639" s="214"/>
      <c r="W639" s="214"/>
      <c r="X639" s="130"/>
      <c r="Y639" s="214"/>
      <c r="Z639" s="215"/>
    </row>
    <row r="640" spans="1:26" ht="18" customHeight="1" hidden="1">
      <c r="A640" s="140"/>
      <c r="B640" s="140"/>
      <c r="D640" s="198" t="s">
        <v>262</v>
      </c>
      <c r="E640" s="130" t="str">
        <f>_xlfn.XLOOKUP(E625,CurrentPlans!B:B,CurrentPlans!AM:AM,"NA",0,1)</f>
        <v>NA</v>
      </c>
      <c r="F640" s="200"/>
      <c r="G640" s="200"/>
      <c r="H640" s="200"/>
      <c r="I640" s="130"/>
      <c r="J640" s="201"/>
      <c r="K640"/>
      <c r="L640" s="131" t="str">
        <f>_xlfn.XLOOKUP(L625,RenewalPlans!B:B,RenewalPlans!AP:AP,"NA",0,1)</f>
        <v>NA</v>
      </c>
      <c r="M640" s="200"/>
      <c r="N640" s="200"/>
      <c r="O640" s="200"/>
      <c r="P640" s="130"/>
      <c r="Q640" s="200"/>
      <c r="R640" s="201"/>
      <c r="T640" s="131" t="str">
        <f>_xlfn.XLOOKUP(T625,RenewalPlans!B:B,RenewalPlans!AP:AP,"NA",0,1)</f>
        <v>NA</v>
      </c>
      <c r="U640" s="200"/>
      <c r="V640" s="200"/>
      <c r="W640" s="200"/>
      <c r="X640" s="130"/>
      <c r="Y640" s="200"/>
      <c r="Z640" s="201"/>
    </row>
    <row r="641" spans="1:26" ht="18" customHeight="1" hidden="1">
      <c r="A641" s="140"/>
      <c r="B641" s="140"/>
      <c r="D641" s="198" t="s">
        <v>263</v>
      </c>
      <c r="E641" s="130" t="str">
        <f>_xlfn.XLOOKUP(E625,CurrentPlans!B:B,CurrentPlans!AI:AI,"NA",0,1)</f>
        <v>NA</v>
      </c>
      <c r="F641" s="200"/>
      <c r="G641" s="200"/>
      <c r="H641" s="200"/>
      <c r="I641" s="130"/>
      <c r="J641" s="201"/>
      <c r="K641"/>
      <c r="L641" s="131" t="str">
        <f>_xlfn.XLOOKUP(L625,RenewalPlans!B:B,RenewalPlans!AL:AL,"NA",0,1)</f>
        <v>NA</v>
      </c>
      <c r="M641" s="200"/>
      <c r="N641" s="200"/>
      <c r="O641" s="200"/>
      <c r="P641" s="130"/>
      <c r="Q641" s="200"/>
      <c r="R641" s="201"/>
      <c r="T641" s="131" t="str">
        <f>_xlfn.XLOOKUP(T625,RenewalPlans!B:B,RenewalPlans!AL:AL,"NA",0,1)</f>
        <v>NA</v>
      </c>
      <c r="U641" s="200"/>
      <c r="V641" s="200"/>
      <c r="W641" s="200"/>
      <c r="X641" s="130"/>
      <c r="Y641" s="200"/>
      <c r="Z641" s="201"/>
    </row>
    <row r="642" spans="1:26" ht="18" customHeight="1" hidden="1">
      <c r="A642" s="140"/>
      <c r="B642" s="140"/>
      <c r="D642" s="198" t="s">
        <v>264</v>
      </c>
      <c r="E642" s="208" t="str">
        <f>_xlfn.XLOOKUP(E625,CurrentPlans!B:B,CurrentPlans!AN:AN,"NA",0,1)</f>
        <v>NA</v>
      </c>
      <c r="F642" s="200"/>
      <c r="G642" s="200"/>
      <c r="H642" s="200"/>
      <c r="I642" s="208"/>
      <c r="J642" s="201"/>
      <c r="K642"/>
      <c r="L642" s="209" t="str">
        <f>_xlfn.XLOOKUP(L625,RenewalPlans!B:B,RenewalPlans!AQ:AQ,"NA",0,1)</f>
        <v>NA</v>
      </c>
      <c r="M642" s="200"/>
      <c r="N642" s="200"/>
      <c r="O642" s="200"/>
      <c r="P642" s="208"/>
      <c r="Q642" s="200"/>
      <c r="R642" s="201"/>
      <c r="T642" s="209" t="str">
        <f>_xlfn.XLOOKUP(T625,RenewalPlans!B:B,RenewalPlans!AQ:AQ,"NA",0,1)</f>
        <v>NA</v>
      </c>
      <c r="U642" s="200"/>
      <c r="V642" s="200"/>
      <c r="W642" s="200"/>
      <c r="X642" s="208"/>
      <c r="Y642" s="200"/>
      <c r="Z642" s="201"/>
    </row>
    <row r="643" spans="1:26" ht="18" customHeight="1" hidden="1">
      <c r="A643" s="140"/>
      <c r="B643" s="140"/>
      <c r="D643" s="210"/>
      <c r="E643" s="211"/>
      <c r="F643" s="211"/>
      <c r="G643" s="211"/>
      <c r="H643" s="211"/>
      <c r="I643" s="211"/>
      <c r="J643" s="212"/>
      <c r="K643"/>
      <c r="L643" s="210"/>
      <c r="M643" s="211"/>
      <c r="N643" s="211"/>
      <c r="O643" s="211"/>
      <c r="P643" s="211"/>
      <c r="Q643" s="211"/>
      <c r="R643" s="212"/>
      <c r="T643" s="210"/>
      <c r="U643" s="211"/>
      <c r="V643" s="211"/>
      <c r="W643" s="211"/>
      <c r="X643" s="211"/>
      <c r="Y643" s="211"/>
      <c r="Z643" s="212"/>
    </row>
    <row r="644" spans="1:26" ht="18" customHeight="1" hidden="1">
      <c r="A644" s="140"/>
      <c r="B644" s="140"/>
      <c r="D644" s="185" t="s">
        <v>265</v>
      </c>
      <c r="E644" s="186"/>
      <c r="F644" s="186"/>
      <c r="G644" s="186"/>
      <c r="H644" s="186"/>
      <c r="I644" s="186"/>
      <c r="J644" s="187"/>
      <c r="K644"/>
      <c r="L644" s="188"/>
      <c r="M644" s="186"/>
      <c r="N644" s="186"/>
      <c r="O644" s="186"/>
      <c r="P644" s="186"/>
      <c r="Q644" s="186"/>
      <c r="R644" s="187"/>
      <c r="T644" s="188"/>
      <c r="U644" s="186"/>
      <c r="V644" s="186"/>
      <c r="W644" s="186"/>
      <c r="X644" s="186"/>
      <c r="Y644" s="186"/>
      <c r="Z644" s="187"/>
    </row>
    <row r="645" spans="1:26" ht="18" customHeight="1" hidden="1">
      <c r="A645" s="140"/>
      <c r="B645" s="140"/>
      <c r="D645" s="132" t="s">
        <v>266</v>
      </c>
      <c r="E645" s="133" t="str">
        <f>_xlfn.XLOOKUP(E625,CurrentPlans!B:B,CurrentPlans!AE:AE,"NA",0,1)</f>
        <v>NA</v>
      </c>
      <c r="F645" s="134"/>
      <c r="G645" s="134"/>
      <c r="H645" s="134"/>
      <c r="I645" s="133"/>
      <c r="J645" s="135"/>
      <c r="K645"/>
      <c r="L645" s="136" t="str">
        <f>_xlfn.XLOOKUP(L625,RenewalPlans!B:B,RenewalPlans!AH:AH,"NA",0,1)</f>
        <v>NA</v>
      </c>
      <c r="M645" s="134"/>
      <c r="N645" s="134"/>
      <c r="O645" s="134"/>
      <c r="P645" s="133"/>
      <c r="Q645" s="134"/>
      <c r="R645" s="135"/>
      <c r="T645" s="136" t="str">
        <f>_xlfn.XLOOKUP(T625,RenewalPlans!B:B,RenewalPlans!AH:AH,"NA",0,1)</f>
        <v>NA</v>
      </c>
      <c r="U645" s="134"/>
      <c r="V645" s="134"/>
      <c r="W645" s="134"/>
      <c r="X645" s="133"/>
      <c r="Y645" s="134"/>
      <c r="Z645" s="135"/>
    </row>
    <row r="646" spans="1:26" ht="18" customHeight="1" hidden="1">
      <c r="A646" s="140"/>
      <c r="B646" s="140"/>
      <c r="D646" s="120" t="s">
        <v>267</v>
      </c>
      <c r="E646" s="130" t="str">
        <f>_xlfn.XLOOKUP(E625,CurrentPlans!B:B,CurrentPlans!AF:AF,"NA",0,1)</f>
        <v>NA</v>
      </c>
      <c r="F646" s="122"/>
      <c r="G646" s="122"/>
      <c r="H646" s="122"/>
      <c r="I646" s="130"/>
      <c r="J646" s="123"/>
      <c r="K646"/>
      <c r="L646" s="131" t="str">
        <f>_xlfn.XLOOKUP(L625,RenewalPlans!B:B,RenewalPlans!AI:AI,"NA",0,1)</f>
        <v>NA</v>
      </c>
      <c r="M646" s="122"/>
      <c r="N646" s="122"/>
      <c r="O646" s="122"/>
      <c r="P646" s="130"/>
      <c r="Q646" s="122"/>
      <c r="R646" s="123"/>
      <c r="T646" s="131" t="str">
        <f>_xlfn.XLOOKUP(T625,RenewalPlans!B:B,RenewalPlans!AI:AI,"NA",0,1)</f>
        <v>NA</v>
      </c>
      <c r="U646" s="122"/>
      <c r="V646" s="122"/>
      <c r="W646" s="122"/>
      <c r="X646" s="130"/>
      <c r="Y646" s="122"/>
      <c r="Z646" s="123"/>
    </row>
    <row r="647" spans="1:26" ht="18" customHeight="1" hidden="1">
      <c r="A647" s="140"/>
      <c r="B647" s="140"/>
      <c r="D647" s="198" t="s">
        <v>268</v>
      </c>
      <c r="E647" s="130" t="str">
        <f>_xlfn.XLOOKUP(E625,CurrentPlans!B:B,CurrentPlans!AH:AH,"NA",0,1)</f>
        <v>NA</v>
      </c>
      <c r="F647" s="200"/>
      <c r="G647" s="200"/>
      <c r="H647" s="200"/>
      <c r="I647" s="130"/>
      <c r="J647" s="201"/>
      <c r="K647"/>
      <c r="L647" s="131" t="str">
        <f>_xlfn.XLOOKUP(L625,RenewalPlans!B:B,RenewalPlans!AK:AK,"NA",0,1)</f>
        <v>NA</v>
      </c>
      <c r="M647" s="200"/>
      <c r="N647" s="200"/>
      <c r="O647" s="200"/>
      <c r="P647" s="130"/>
      <c r="Q647" s="200"/>
      <c r="R647" s="201"/>
      <c r="T647" s="131" t="str">
        <f>_xlfn.XLOOKUP(T625,RenewalPlans!B:B,RenewalPlans!AK:AK,"NA",0,1)</f>
        <v>NA</v>
      </c>
      <c r="U647" s="200"/>
      <c r="V647" s="200"/>
      <c r="W647" s="200"/>
      <c r="X647" s="130"/>
      <c r="Y647" s="200"/>
      <c r="Z647" s="201"/>
    </row>
    <row r="648" spans="1:26" ht="18" customHeight="1" hidden="1">
      <c r="A648" s="140"/>
      <c r="B648" s="140"/>
      <c r="D648" s="198" t="s">
        <v>269</v>
      </c>
      <c r="E648" s="130" t="str">
        <f>_xlfn.XLOOKUP(E625,CurrentPlans!B:B,CurrentPlans!AG:AG,"NA",0,1)</f>
        <v>NA</v>
      </c>
      <c r="F648" s="200"/>
      <c r="G648" s="200"/>
      <c r="H648" s="200"/>
      <c r="I648" s="130"/>
      <c r="J648" s="201"/>
      <c r="K648"/>
      <c r="L648" s="131" t="str">
        <f>_xlfn.XLOOKUP(L625,RenewalPlans!B:B,RenewalPlans!AJ:AJ,"NA",0,1)</f>
        <v>NA</v>
      </c>
      <c r="M648" s="200"/>
      <c r="N648" s="200"/>
      <c r="O648" s="200"/>
      <c r="P648" s="130"/>
      <c r="Q648" s="200"/>
      <c r="R648" s="201"/>
      <c r="T648" s="131" t="str">
        <f>_xlfn.XLOOKUP(T625,RenewalPlans!B:B,RenewalPlans!AJ:AJ,"NA",0,1)</f>
        <v>NA</v>
      </c>
      <c r="U648" s="200"/>
      <c r="V648" s="200"/>
      <c r="W648" s="200"/>
      <c r="X648" s="130"/>
      <c r="Y648" s="200"/>
      <c r="Z648" s="201"/>
    </row>
    <row r="649" spans="1:26" ht="18" customHeight="1" hidden="1">
      <c r="A649" s="140"/>
      <c r="B649" s="140"/>
      <c r="D649" s="213" t="s">
        <v>270</v>
      </c>
      <c r="E649" s="216" t="str">
        <f>_xlfn.XLOOKUP(E625,CurrentPlans!B:B,CurrentPlans!AU:AU,"NA",0,1)</f>
        <v>NA</v>
      </c>
      <c r="F649" s="214"/>
      <c r="G649" s="214"/>
      <c r="H649" s="214"/>
      <c r="I649" s="217"/>
      <c r="J649" s="215"/>
      <c r="K649"/>
      <c r="L649" s="218" t="str">
        <f>_xlfn.XLOOKUP(L625,RenewalPlans!B:B,RenewalPlans!AX:AX,"NA",0,1)</f>
        <v>NA</v>
      </c>
      <c r="M649" s="214"/>
      <c r="N649" s="214"/>
      <c r="O649" s="214"/>
      <c r="P649" s="217"/>
      <c r="Q649" s="214"/>
      <c r="R649" s="215"/>
      <c r="T649" s="218" t="str">
        <f>_xlfn.XLOOKUP(T625,RenewalPlans!B:B,RenewalPlans!AX:AX,"NA",0,1)</f>
        <v>NA</v>
      </c>
      <c r="U649" s="214"/>
      <c r="V649" s="214"/>
      <c r="W649" s="214"/>
      <c r="X649" s="217"/>
      <c r="Y649" s="214"/>
      <c r="Z649" s="215"/>
    </row>
    <row r="650" spans="1:26" ht="18" customHeight="1" hidden="1">
      <c r="A650" s="140"/>
      <c r="B650" s="140"/>
      <c r="D650" s="213" t="s">
        <v>271</v>
      </c>
      <c r="E650" s="216" t="str">
        <f>_xlfn.XLOOKUP(E625,CurrentPlans!B:B,CurrentPlans!AT:AT,"NA",0,1)</f>
        <v>NA</v>
      </c>
      <c r="F650" s="214"/>
      <c r="G650" s="214"/>
      <c r="H650" s="214"/>
      <c r="I650" s="217"/>
      <c r="J650" s="215"/>
      <c r="K650"/>
      <c r="L650" s="218" t="str">
        <f>_xlfn.XLOOKUP(L625,RenewalPlans!B:B,RenewalPlans!AW:AW,"NA",0,1)</f>
        <v>NA</v>
      </c>
      <c r="M650" s="214"/>
      <c r="N650" s="214"/>
      <c r="O650" s="214"/>
      <c r="P650" s="217"/>
      <c r="Q650" s="214"/>
      <c r="R650" s="215"/>
      <c r="T650" s="218" t="str">
        <f>_xlfn.XLOOKUP(T625,RenewalPlans!B:B,RenewalPlans!AW:AW,"NA",0,1)</f>
        <v>NA</v>
      </c>
      <c r="U650" s="214"/>
      <c r="V650" s="214"/>
      <c r="W650" s="214"/>
      <c r="X650" s="217"/>
      <c r="Y650" s="214"/>
      <c r="Z650" s="215"/>
    </row>
    <row r="651" spans="1:26" ht="18" customHeight="1" hidden="1">
      <c r="A651" s="140"/>
      <c r="B651" s="140"/>
      <c r="D651" s="198" t="s">
        <v>272</v>
      </c>
      <c r="E651" s="130" t="str">
        <f>_xlfn.XLOOKUP(E625,CurrentPlans!B:B,CurrentPlans!AD:AD,"NA",0,1)</f>
        <v>NA</v>
      </c>
      <c r="F651" s="200"/>
      <c r="G651" s="200"/>
      <c r="H651" s="200"/>
      <c r="I651" s="130"/>
      <c r="J651" s="201"/>
      <c r="K651"/>
      <c r="L651" s="131" t="str">
        <f>_xlfn.XLOOKUP(L625,RenewalPlans!B:B,RenewalPlans!AG:AG,"NA",0,1)</f>
        <v>NA</v>
      </c>
      <c r="M651" s="200"/>
      <c r="N651" s="200"/>
      <c r="O651" s="200"/>
      <c r="P651" s="130"/>
      <c r="Q651" s="200"/>
      <c r="R651" s="201"/>
      <c r="T651" s="131" t="str">
        <f>_xlfn.XLOOKUP(T625,RenewalPlans!B:B,RenewalPlans!AG:AG,"NA",0,1)</f>
        <v>NA</v>
      </c>
      <c r="U651" s="200"/>
      <c r="V651" s="200"/>
      <c r="W651" s="200"/>
      <c r="X651" s="130"/>
      <c r="Y651" s="200"/>
      <c r="Z651" s="201"/>
    </row>
    <row r="652" spans="1:26" ht="18" customHeight="1" hidden="1">
      <c r="A652" s="140"/>
      <c r="B652" s="140"/>
      <c r="D652" s="198" t="s">
        <v>273</v>
      </c>
      <c r="E652" s="200"/>
      <c r="F652" s="200"/>
      <c r="G652" s="200"/>
      <c r="H652" s="200"/>
      <c r="I652" s="200"/>
      <c r="J652" s="201"/>
      <c r="K652"/>
      <c r="L652" s="198"/>
      <c r="M652" s="200"/>
      <c r="N652" s="200"/>
      <c r="O652" s="200"/>
      <c r="P652" s="200"/>
      <c r="Q652" s="200"/>
      <c r="R652" s="201"/>
      <c r="T652" s="198"/>
      <c r="U652" s="200"/>
      <c r="V652" s="200"/>
      <c r="W652" s="200"/>
      <c r="X652" s="200"/>
      <c r="Y652" s="200"/>
      <c r="Z652" s="201"/>
    </row>
    <row r="653" spans="1:26" ht="18" customHeight="1" hidden="1">
      <c r="A653" s="140"/>
      <c r="B653" s="140"/>
      <c r="D653" s="210"/>
      <c r="E653" s="211"/>
      <c r="F653" s="211"/>
      <c r="G653" s="211"/>
      <c r="H653" s="211"/>
      <c r="I653" s="211"/>
      <c r="J653" s="212"/>
      <c r="K653"/>
      <c r="L653" s="210"/>
      <c r="M653" s="211"/>
      <c r="N653" s="211"/>
      <c r="O653" s="211"/>
      <c r="P653" s="211"/>
      <c r="Q653" s="211"/>
      <c r="R653" s="212"/>
      <c r="T653" s="210"/>
      <c r="U653" s="211"/>
      <c r="V653" s="211"/>
      <c r="W653" s="211"/>
      <c r="X653" s="211"/>
      <c r="Y653" s="211"/>
      <c r="Z653" s="212"/>
    </row>
    <row r="654" spans="1:26" ht="18" customHeight="1" hidden="1">
      <c r="A654" s="140"/>
      <c r="B654" s="140"/>
      <c r="D654" s="219" t="s">
        <v>274</v>
      </c>
      <c r="E654" s="220"/>
      <c r="F654" s="220"/>
      <c r="G654" s="220"/>
      <c r="H654" s="220"/>
      <c r="I654" s="220"/>
      <c r="J654" s="221"/>
      <c r="K654"/>
      <c r="L654" s="222"/>
      <c r="M654" s="220"/>
      <c r="N654" s="220"/>
      <c r="O654" s="220"/>
      <c r="P654" s="220"/>
      <c r="Q654" s="220"/>
      <c r="R654" s="221"/>
      <c r="T654" s="222"/>
      <c r="U654" s="220"/>
      <c r="V654" s="220"/>
      <c r="W654" s="220"/>
      <c r="X654" s="220"/>
      <c r="Y654" s="220"/>
      <c r="Z654" s="221"/>
    </row>
    <row r="655" spans="1:26" ht="18" customHeight="1" hidden="1">
      <c r="A655" s="140"/>
      <c r="B655" s="140"/>
      <c r="D655" s="223" t="s">
        <v>250</v>
      </c>
      <c r="E655" s="205"/>
      <c r="F655" s="205"/>
      <c r="G655" s="205"/>
      <c r="H655" s="205"/>
      <c r="I655" s="205"/>
      <c r="J655" s="206"/>
      <c r="K655"/>
      <c r="L655" s="203"/>
      <c r="M655" s="205"/>
      <c r="N655" s="205"/>
      <c r="O655" s="205"/>
      <c r="P655" s="205"/>
      <c r="Q655" s="205"/>
      <c r="R655" s="206"/>
      <c r="T655" s="203"/>
      <c r="U655" s="205"/>
      <c r="V655" s="205"/>
      <c r="W655" s="205"/>
      <c r="X655" s="205"/>
      <c r="Y655" s="205"/>
      <c r="Z655" s="206"/>
    </row>
    <row r="656" spans="1:26" ht="18" customHeight="1" hidden="1">
      <c r="A656" s="140"/>
      <c r="B656" s="140"/>
      <c r="D656" s="198" t="s">
        <v>251</v>
      </c>
      <c r="E656" s="130" t="str">
        <f>_xlfn.XLOOKUP(E625,CurrentPlans!B:B,CurrentPlans!AP:AP,"NA",0,1)</f>
        <v>NA</v>
      </c>
      <c r="F656" s="200"/>
      <c r="G656" s="200"/>
      <c r="H656" s="200"/>
      <c r="I656" s="130"/>
      <c r="J656" s="201"/>
      <c r="K656"/>
      <c r="L656" s="131" t="str">
        <f>_xlfn.XLOOKUP(L625,RenewalPlans!B:B,RenewalPlans!AS:AS,"NA",0,1)</f>
        <v>NA</v>
      </c>
      <c r="M656" s="200"/>
      <c r="N656" s="200"/>
      <c r="O656" s="200"/>
      <c r="P656" s="130"/>
      <c r="Q656" s="200"/>
      <c r="R656" s="201"/>
      <c r="T656" s="131" t="str">
        <f>_xlfn.XLOOKUP(T625,RenewalPlans!B:B,RenewalPlans!AS:AS,"NA",0,1)</f>
        <v>NA</v>
      </c>
      <c r="U656" s="200"/>
      <c r="V656" s="200"/>
      <c r="W656" s="200"/>
      <c r="X656" s="130"/>
      <c r="Y656" s="200"/>
      <c r="Z656" s="201"/>
    </row>
    <row r="657" spans="1:26" ht="18" customHeight="1" hidden="1">
      <c r="A657" s="140"/>
      <c r="B657" s="140"/>
      <c r="D657" s="198" t="s">
        <v>252</v>
      </c>
      <c r="E657" s="130" t="str">
        <f>_xlfn.XLOOKUP(E625,CurrentPlans!B:B,CurrentPlans!AQ:AQ,"NA",0,1)</f>
        <v>NA</v>
      </c>
      <c r="F657" s="200"/>
      <c r="G657" s="200"/>
      <c r="H657" s="200"/>
      <c r="I657" s="130"/>
      <c r="J657" s="201"/>
      <c r="K657"/>
      <c r="L657" s="131" t="str">
        <f>_xlfn.XLOOKUP(L625,RenewalPlans!B:B,RenewalPlans!AT:AT,"NA",0,1)</f>
        <v>NA</v>
      </c>
      <c r="M657" s="200"/>
      <c r="N657" s="200"/>
      <c r="O657" s="200"/>
      <c r="P657" s="130"/>
      <c r="Q657" s="200"/>
      <c r="R657" s="201"/>
      <c r="T657" s="131" t="str">
        <f>_xlfn.XLOOKUP(T625,RenewalPlans!B:B,RenewalPlans!AT:AT,"NA",0,1)</f>
        <v>NA</v>
      </c>
      <c r="U657" s="200"/>
      <c r="V657" s="200"/>
      <c r="W657" s="200"/>
      <c r="X657" s="130"/>
      <c r="Y657" s="200"/>
      <c r="Z657" s="201"/>
    </row>
    <row r="658" spans="1:26" ht="18" customHeight="1" hidden="1">
      <c r="A658" s="140"/>
      <c r="B658" s="140"/>
      <c r="D658" s="120" t="s">
        <v>253</v>
      </c>
      <c r="E658" s="133" t="str">
        <f>_xlfn.XLOOKUP(E625,CurrentPlans!B:B,CurrentPlans!AO:AO,"NA",0,1)</f>
        <v>NA</v>
      </c>
      <c r="F658" s="122"/>
      <c r="G658" s="122"/>
      <c r="H658" s="122"/>
      <c r="I658" s="133"/>
      <c r="J658" s="123"/>
      <c r="K658"/>
      <c r="L658" s="136" t="str">
        <f>_xlfn.XLOOKUP(L625,RenewalPlans!B:B,RenewalPlans!AR:AR,"NA",0,1)</f>
        <v>NA</v>
      </c>
      <c r="M658" s="122"/>
      <c r="N658" s="122"/>
      <c r="O658" s="122"/>
      <c r="P658" s="133"/>
      <c r="Q658" s="122"/>
      <c r="R658" s="123"/>
      <c r="T658" s="136" t="str">
        <f>_xlfn.XLOOKUP(T625,RenewalPlans!B:B,RenewalPlans!AR:AR,"NA",0,1)</f>
        <v>NA</v>
      </c>
      <c r="U658" s="122"/>
      <c r="V658" s="122"/>
      <c r="W658" s="122"/>
      <c r="X658" s="133"/>
      <c r="Y658" s="122"/>
      <c r="Z658" s="123"/>
    </row>
    <row r="659" spans="1:26" ht="18" customHeight="1" hidden="1">
      <c r="A659" s="140"/>
      <c r="B659" s="140"/>
      <c r="D659" s="223" t="s">
        <v>254</v>
      </c>
      <c r="E659" s="205"/>
      <c r="F659" s="205"/>
      <c r="G659" s="205"/>
      <c r="H659" s="205"/>
      <c r="I659" s="205"/>
      <c r="J659" s="206"/>
      <c r="K659"/>
      <c r="L659" s="203"/>
      <c r="M659" s="205"/>
      <c r="N659" s="205"/>
      <c r="O659" s="205"/>
      <c r="P659" s="205"/>
      <c r="Q659" s="205"/>
      <c r="R659" s="206"/>
      <c r="T659" s="203"/>
      <c r="U659" s="205"/>
      <c r="V659" s="205"/>
      <c r="W659" s="205"/>
      <c r="X659" s="205"/>
      <c r="Y659" s="205"/>
      <c r="Z659" s="206"/>
    </row>
    <row r="660" spans="1:26" ht="18" customHeight="1" hidden="1">
      <c r="A660" s="140"/>
      <c r="B660" s="140"/>
      <c r="D660" s="198" t="s">
        <v>255</v>
      </c>
      <c r="E660" s="130" t="str">
        <f>_xlfn.XLOOKUP(E625,CurrentPlans!B:B,CurrentPlans!AR:AR,"NA",0,1)</f>
        <v>NA</v>
      </c>
      <c r="F660" s="200"/>
      <c r="G660" s="200"/>
      <c r="H660" s="200"/>
      <c r="I660" s="130"/>
      <c r="J660" s="201"/>
      <c r="K660"/>
      <c r="L660" s="131" t="str">
        <f>_xlfn.XLOOKUP(L625,RenewalPlans!B:B,RenewalPlans!AU:AU,"NA",0,1)</f>
        <v>NA</v>
      </c>
      <c r="M660" s="200"/>
      <c r="N660" s="200"/>
      <c r="O660" s="200"/>
      <c r="P660" s="130"/>
      <c r="Q660" s="200"/>
      <c r="R660" s="201"/>
      <c r="T660" s="131" t="str">
        <f>_xlfn.XLOOKUP(T625,RenewalPlans!B:B,RenewalPlans!AU:AU,"NA",0,1)</f>
        <v>NA</v>
      </c>
      <c r="U660" s="200"/>
      <c r="V660" s="200"/>
      <c r="W660" s="200"/>
      <c r="X660" s="130"/>
      <c r="Y660" s="200"/>
      <c r="Z660" s="201"/>
    </row>
    <row r="661" spans="1:26" ht="18" customHeight="1" hidden="1" thickBot="1">
      <c r="A661" s="140"/>
      <c r="B661" s="140"/>
      <c r="D661" s="224" t="s">
        <v>256</v>
      </c>
      <c r="E661" s="137" t="str">
        <f>_xlfn.XLOOKUP(E625,CurrentPlans!B:B,CurrentPlans!AS:AS,"NA",0,1)</f>
        <v>NA</v>
      </c>
      <c r="F661" s="225"/>
      <c r="G661" s="225"/>
      <c r="H661" s="225"/>
      <c r="I661" s="137"/>
      <c r="J661" s="226"/>
      <c r="K661"/>
      <c r="L661" s="138" t="str">
        <f>_xlfn.XLOOKUP(L625,RenewalPlans!B:B,RenewalPlans!AV:AV,"NA",0,1)</f>
        <v>NA</v>
      </c>
      <c r="M661" s="225"/>
      <c r="N661" s="225"/>
      <c r="O661" s="225"/>
      <c r="P661" s="137"/>
      <c r="Q661" s="225"/>
      <c r="R661" s="226"/>
      <c r="T661" s="138" t="str">
        <f>_xlfn.XLOOKUP(T625,RenewalPlans!B:B,RenewalPlans!AV:AV,"NA",0,1)</f>
        <v>NA</v>
      </c>
      <c r="U661" s="225"/>
      <c r="V661" s="225"/>
      <c r="W661" s="225"/>
      <c r="X661" s="137"/>
      <c r="Y661" s="225"/>
      <c r="Z661" s="226"/>
    </row>
    <row r="662" spans="1:27" ht="18" customHeight="1">
      <c r="A662" s="140"/>
      <c r="B662" s="140"/>
      <c r="D662" s="227"/>
      <c r="E662" s="176"/>
      <c r="F662" s="178"/>
      <c r="G662" s="179"/>
      <c r="H662" s="178"/>
      <c r="I662" s="176"/>
      <c r="J662" s="228"/>
      <c r="K662"/>
      <c r="L662" s="178"/>
      <c r="M662" s="176"/>
      <c r="N662" s="139"/>
      <c r="O662" s="178"/>
      <c r="P662" s="178"/>
      <c r="Q662" s="178"/>
      <c r="R662" s="228"/>
      <c r="T662" s="178"/>
      <c r="U662" s="176"/>
      <c r="V662" s="139"/>
      <c r="W662" s="178"/>
      <c r="X662" s="178"/>
      <c r="Y662" s="178"/>
      <c r="Z662" s="228"/>
      <c r="AA662"/>
    </row>
    <row r="663" spans="1:140" s="162" customFormat="1" ht="5.25" customHeight="1" thickBot="1">
      <c r="A663" s="140"/>
      <c r="B663" s="140"/>
      <c r="C663" s="141"/>
      <c r="D663" s="229"/>
      <c r="E663" s="229"/>
      <c r="F663" s="230"/>
      <c r="G663" s="231"/>
      <c r="H663" s="232"/>
      <c r="I663" s="233"/>
      <c r="J663" s="233"/>
      <c r="K663"/>
      <c r="L663" s="233"/>
      <c r="M663" s="233"/>
      <c r="N663" s="233"/>
      <c r="O663" s="233"/>
      <c r="P663" s="233"/>
      <c r="Q663" s="233"/>
      <c r="R663" s="233"/>
      <c r="S663" s="1"/>
      <c r="T663" s="233"/>
      <c r="U663" s="233"/>
      <c r="V663" s="233"/>
      <c r="W663" s="233"/>
      <c r="X663" s="233"/>
      <c r="Y663" s="233"/>
      <c r="Z663" s="23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row>
    <row r="664" spans="1:27" ht="38.25" customHeight="1" thickTop="1" thickBot="1">
      <c r="A664" s="153"/>
      <c r="B664" s="153"/>
      <c r="C664" s="234"/>
      <c r="D664" s="484" t="s">
        <v>288</v>
      </c>
      <c r="E664" s="485"/>
      <c r="F664" s="485"/>
      <c r="G664" s="485"/>
      <c r="H664" s="485"/>
      <c r="I664" s="485"/>
      <c r="J664" s="485"/>
      <c r="K664" s="485"/>
      <c r="L664" s="485"/>
      <c r="M664" s="485"/>
      <c r="N664" s="485"/>
      <c r="O664" s="485"/>
      <c r="P664" s="485"/>
      <c r="Q664" s="485"/>
      <c r="R664" s="486"/>
      <c r="S664" s="162"/>
      <c r="T664" s="235"/>
      <c r="U664" s="236"/>
      <c r="V664" s="236"/>
      <c r="W664" s="236"/>
      <c r="X664" s="236"/>
      <c r="Y664" s="236"/>
      <c r="Z664" s="236"/>
      <c r="AA664"/>
    </row>
    <row r="665" spans="1:27" ht="50.15" customHeight="1">
      <c r="A665" s="140">
        <v>1</v>
      </c>
      <c r="B665" s="140" t="str">
        <f>IF(A665&gt;Class5_CurrentDentalCount,"DELETE",Class5_CurrentDentalStart+A665)</f>
        <v>DELETE</v>
      </c>
      <c r="C665" s="164" t="s">
        <v>289</v>
      </c>
      <c r="D665" s="273" t="str">
        <f>IF(B665="Delete","",VLOOKUP(F665,BEGIN_CURRENT_DENTAL:END_CURRENT_DENTAL,3,FALSE))</f>
        <v/>
      </c>
      <c r="E665" s="165"/>
      <c r="F665" s="272" t="str" cm="1">
        <f t="array" ca="1" aca="1" ref="F665">IF(B665="Delete","",INDIRECT("CurrentPlans!A"&amp;B665,TRUE))</f>
        <v/>
      </c>
      <c r="G665" s="166"/>
      <c r="H665" s="167"/>
      <c r="I665" s="168"/>
      <c r="J665" s="169"/>
      <c r="K665"/>
      <c r="L665" s="274" t="str">
        <f ca="1">_xlfn.IFNA(VLOOKUP(F665,BEGIN_RENEWEDFROM_DENTAL:ROW_RenewDental_PlanID,3,FALSE),"SELECT PLAN")</f>
        <v>SELECT PLAN</v>
      </c>
      <c r="M665" s="170"/>
      <c r="N665" s="274" t="s">
        <v>237</v>
      </c>
      <c r="O665" s="171"/>
      <c r="P665" s="171"/>
      <c r="Q665" s="171"/>
      <c r="R665" s="169"/>
      <c r="T665" s="274" t="s">
        <v>38</v>
      </c>
      <c r="U665" s="170"/>
      <c r="V665" s="274" t="s">
        <v>237</v>
      </c>
      <c r="W665" s="171"/>
      <c r="X665" s="171"/>
      <c r="Y665" s="171"/>
      <c r="Z665" s="169"/>
      <c r="AA665"/>
    </row>
    <row r="666" spans="1:26" ht="18.75" customHeight="1">
      <c r="A666" s="140"/>
      <c r="B666" s="140"/>
      <c r="D666" s="172" t="s">
        <v>238</v>
      </c>
      <c r="E666" s="407" t="str">
        <f ca="1">_xlfn.IFNA(VLOOKUP(F665,BEGIN_CURRENT_DENTAL:END_CURRENT_DENTAL,CURRENT_COL_EO_count,FALSE),"")</f>
        <v/>
      </c>
      <c r="F666" s="408" t="str">
        <f ca="1">_xlfn.IFNA(VLOOKUP(F665,BEGIN_CURRENT_DENTAL:END_CURRENT_DENTAL,CURRENT_COL_EO,FALSE),"")</f>
        <v/>
      </c>
      <c r="G666" s="468" t="str">
        <f ca="1" t="shared" si="62" ref="G666:G669">IF(F666="","",H666/F666)</f>
        <v/>
      </c>
      <c r="H666" s="408" t="str">
        <f ca="1">_xlfn.IFNA(VLOOKUP(F665,BEGIN_CURRENT_DENTAL:END_CURRENT_DENTAL,CURRENT_COL_EOContrib,FALSE),"")</f>
        <v/>
      </c>
      <c r="I666" s="409" t="str">
        <f ca="1">IFERROR(F666-H666,"")</f>
        <v/>
      </c>
      <c r="J666" s="410" t="str">
        <f ca="1">IF(F666="","",H666*E666)</f>
        <v/>
      </c>
      <c r="K666" s="411"/>
      <c r="L666" s="408" t="str" cm="1">
        <f t="array" ca="1" aca="1" ref="L666">_xlfn.IFNA(VLOOKUP(INDIRECT("L"&amp;ROW()-1)&amp;"_"&amp;$D$12,BEGIN_Renew_Dental:END_RENEW_DENTAL,RENEW_COL_EO,FALSE),"")</f>
        <v/>
      </c>
      <c r="M666" s="412" t="str">
        <f ca="1">IF(E666="","",E666)</f>
        <v/>
      </c>
      <c r="N666" s="413"/>
      <c r="O666" s="414"/>
      <c r="P666" s="415" t="str">
        <f>IFERROR(IF($N665="Keep Contribution Same",H666,IF($N665="Enter Percentages",IF(N666="","",N666*L666),IF($N665="Keep Percentage Same",IF(G666="","",G666*L666),IF($N665="Enter Dollar Amount",IF(O666="","",O666),"")))),"")</f>
        <v/>
      </c>
      <c r="Q666" s="408" t="str">
        <f ca="1">IFERROR(L666-P666,"")</f>
        <v/>
      </c>
      <c r="R666" s="410" t="str">
        <f>IFERROR(IF(P666="","",M666*P666),"")</f>
        <v/>
      </c>
      <c r="S666" s="411"/>
      <c r="T666" s="408" t="str" cm="1">
        <f t="array" ca="1" aca="1" ref="T666">_xlfn.IFNA(VLOOKUP(INDIRECT("T"&amp;ROW()-1)&amp;"_"&amp;$D$12,BEGIN_Renew_Dental:END_RENEW_DENTAL,RENEW_COL_EO,FALSE),"")</f>
        <v/>
      </c>
      <c r="U666" s="412" t="str">
        <f ca="1">IF(E666="","",E666)</f>
        <v/>
      </c>
      <c r="V666" s="413"/>
      <c r="W666" s="414"/>
      <c r="X666" s="415" t="str">
        <f>IFERROR(IF($V665="Keep Contribution Same",H666,IF($V665="Enter Percentages",IF(V666="","",V666*T666),IF($V665="Keep Percentage Same",IF(G666="","",G666*T666),IF($V665="Enter Dollar Amount",IF(W666="","",W666),"")))),"")</f>
        <v/>
      </c>
      <c r="Y666" s="408" t="str">
        <f ca="1">IFERROR(T666-X666,"")</f>
        <v/>
      </c>
      <c r="Z666" s="410" t="str">
        <f>IFERROR(IF(X666="","",U666*X666),"")</f>
        <v/>
      </c>
    </row>
    <row r="667" spans="1:26" ht="18.75" customHeight="1">
      <c r="A667" s="140"/>
      <c r="B667" s="140"/>
      <c r="D667" s="172" t="s">
        <v>239</v>
      </c>
      <c r="E667" s="407" t="str">
        <f ca="1">_xlfn.IFNA(VLOOKUP(F665,BEGIN_CURRENT_DENTAL:END_CURRENT_DENTAL,CURRENT_COL_ES_count,FALSE),"")</f>
        <v/>
      </c>
      <c r="F667" s="408" t="str">
        <f ca="1">_xlfn.IFNA(VLOOKUP(F665,BEGIN_CURRENT_DENTAL:END_CURRENT_DENTAL,CURRENT_COL_ES,FALSE),"")</f>
        <v/>
      </c>
      <c r="G667" s="468" t="str">
        <f t="shared" ca="1" si="62"/>
        <v/>
      </c>
      <c r="H667" s="408" t="str">
        <f ca="1">_xlfn.IFNA(VLOOKUP(F665,BEGIN_CURRENT_DENTAL:END_CURRENT_DENTAL,CURRENT_COL_ESContrib,FALSE),"")</f>
        <v/>
      </c>
      <c r="I667" s="409" t="str">
        <f ca="1" t="shared" si="63" ref="I667:I669">IFERROR(F667-H667,"")</f>
        <v/>
      </c>
      <c r="J667" s="410" t="str">
        <f ca="1">IF(F667="","",H667*E667)</f>
        <v/>
      </c>
      <c r="K667" s="411"/>
      <c r="L667" s="408" t="str" cm="1">
        <f t="array" ca="1" aca="1" ref="L667">_xlfn.IFNA(VLOOKUP(INDIRECT("L"&amp;ROW()-2)&amp;"_"&amp;$D$12,BEGIN_Renew_Dental:END_RENEW_DENTAL,RENEW_COL_ES,FALSE),"")</f>
        <v/>
      </c>
      <c r="M667" s="412" t="str">
        <f ca="1">IF(E667="","",E667)</f>
        <v/>
      </c>
      <c r="N667" s="413"/>
      <c r="O667" s="414"/>
      <c r="P667" s="415" t="str">
        <f>IFERROR(IF($N665="Keep Contribution Same",H667,IF($N665="Enter Percentages",IF(N667="","",N667*L667),IF($N665="Keep Percentage Same",IF(G667="","",G667*L667),IF($N665="Enter Dollar Amount",IF(O667="","",O667),"")))),"")</f>
        <v/>
      </c>
      <c r="Q667" s="408" t="str">
        <f ca="1">IFERROR(L667-P667,"")</f>
        <v/>
      </c>
      <c r="R667" s="410" t="str">
        <f>IFERROR(IF(P667="","",M667*P667),"")</f>
        <v/>
      </c>
      <c r="S667" s="411"/>
      <c r="T667" s="408" t="str" cm="1">
        <f t="array" ca="1" aca="1" ref="T667">_xlfn.IFNA(VLOOKUP(INDIRECT("T"&amp;ROW()-2)&amp;"_"&amp;$D$12,BEGIN_Renew_Dental:END_RENEW_DENTAL,RENEW_COL_ES,FALSE),"")</f>
        <v/>
      </c>
      <c r="U667" s="412" t="str">
        <f ca="1" t="shared" si="64" ref="U667:U669">IF(E667="","",E667)</f>
        <v/>
      </c>
      <c r="V667" s="413"/>
      <c r="W667" s="414"/>
      <c r="X667" s="415" t="str">
        <f>IFERROR(IF($V665="Keep Contribution Same",H667,IF($V665="Enter Percentages",IF(V667="","",V667*T667),IF($V665="Keep Percentage Same",IF(G667="","",G667*T667),IF($V665="Enter Dollar Amount",IF(W667="","",W667),"")))),"")</f>
        <v/>
      </c>
      <c r="Y667" s="408" t="str">
        <f ca="1" t="shared" si="65" ref="Y667:Y669">IFERROR(T667-X667,"")</f>
        <v/>
      </c>
      <c r="Z667" s="410" t="str">
        <f t="shared" si="66" ref="Z667:Z669">IFERROR(IF(X667="","",U667*X667),"")</f>
        <v/>
      </c>
    </row>
    <row r="668" spans="1:26" ht="18.75" customHeight="1">
      <c r="A668" s="140"/>
      <c r="B668" s="140"/>
      <c r="D668" s="172" t="s">
        <v>240</v>
      </c>
      <c r="E668" s="407" t="str">
        <f ca="1">_xlfn.IFNA(VLOOKUP(F665,BEGIN_CURRENT_DENTAL:END_CURRENT_DENTAL,CURRENT_COL_EC_count,FALSE),"")</f>
        <v/>
      </c>
      <c r="F668" s="408" t="str">
        <f ca="1">_xlfn.IFNA(VLOOKUP(F665,BEGIN_CURRENT_DENTAL:END_CURRENT_DENTAL,CURRENT_COL_EC,FALSE),"")</f>
        <v/>
      </c>
      <c r="G668" s="468" t="str">
        <f t="shared" ca="1" si="62"/>
        <v/>
      </c>
      <c r="H668" s="408" t="str">
        <f ca="1">_xlfn.IFNA(VLOOKUP(F665,BEGIN_CURRENT_DENTAL:END_CURRENT_DENTAL,CURRENT_COL_ECContrib,FALSE),"")</f>
        <v/>
      </c>
      <c r="I668" s="409" t="str">
        <f t="shared" ca="1" si="63"/>
        <v/>
      </c>
      <c r="J668" s="410" t="str">
        <f ca="1">IF(F668="","",H668*E668)</f>
        <v/>
      </c>
      <c r="K668" s="411"/>
      <c r="L668" s="408" t="str" cm="1">
        <f t="array" ca="1" aca="1" ref="L668">_xlfn.IFNA(VLOOKUP(INDIRECT("L"&amp;ROW()-3)&amp;"_"&amp;$D$12,BEGIN_Renew_Dental:END_RENEW_DENTAL,RENEW_COL_EC,FALSE),"")</f>
        <v/>
      </c>
      <c r="M668" s="412" t="str">
        <f ca="1">IF(E668="","",E668)</f>
        <v/>
      </c>
      <c r="N668" s="413"/>
      <c r="O668" s="414"/>
      <c r="P668" s="415" t="str">
        <f>IFERROR(IF($N665="Keep Contribution Same",H668,IF($N665="Enter Percentages",IF(N668="","",N668*L668),IF($N665="Keep Percentage Same",IF(G668="","",G668*L668),IF($N665="Enter Dollar Amount",IF(O668="","",O668),"")))),"")</f>
        <v/>
      </c>
      <c r="Q668" s="408" t="str">
        <f ca="1">IFERROR(L668-P668,"")</f>
        <v/>
      </c>
      <c r="R668" s="410" t="str">
        <f>IFERROR(IF(P668="","",M668*P668),"")</f>
        <v/>
      </c>
      <c r="S668" s="411"/>
      <c r="T668" s="408" t="str" cm="1">
        <f t="array" ca="1" aca="1" ref="T668">_xlfn.IFNA(VLOOKUP(INDIRECT("T"&amp;ROW()-3)&amp;"_"&amp;$D$12,BEGIN_Renew_Dental:END_RENEW_DENTAL,RENEW_COL_EC,FALSE),"")</f>
        <v/>
      </c>
      <c r="U668" s="412" t="str">
        <f t="shared" ca="1" si="64"/>
        <v/>
      </c>
      <c r="V668" s="413"/>
      <c r="W668" s="414"/>
      <c r="X668" s="415" t="str">
        <f>IFERROR(IF($V665="Keep Contribution Same",H668,IF($V665="Enter Percentages",IF(V668="","",V668*T668),IF($V665="Keep Percentage Same",IF(G668="","",G668*T668),IF($V665="Enter Dollar Amount",IF(W668="","",W668),"")))),"")</f>
        <v/>
      </c>
      <c r="Y668" s="408" t="str">
        <f t="shared" ca="1" si="65"/>
        <v/>
      </c>
      <c r="Z668" s="410" t="str">
        <f t="shared" si="66"/>
        <v/>
      </c>
    </row>
    <row r="669" spans="1:26" ht="18.75" customHeight="1" thickBot="1">
      <c r="A669" s="140"/>
      <c r="B669" s="140"/>
      <c r="D669" s="174" t="s">
        <v>241</v>
      </c>
      <c r="E669" s="416" t="str">
        <f ca="1">_xlfn.IFNA(VLOOKUP(F665,BEGIN_CURRENT_DENTAL:END_CURRENT_DENTAL,CURRENT_COL_FAM_count,FALSE),"")</f>
        <v/>
      </c>
      <c r="F669" s="417" t="str">
        <f ca="1">_xlfn.IFNA(VLOOKUP(F665,BEGIN_CURRENT_DENTAL:END_CURRENT_DENTAL,CURRENT_COL_FAM,FALSE),"")</f>
        <v/>
      </c>
      <c r="G669" s="469" t="str">
        <f t="shared" ca="1" si="62"/>
        <v/>
      </c>
      <c r="H669" s="417" t="str">
        <f ca="1">_xlfn.IFNA(VLOOKUP(F665,BEGIN_CURRENT_DENTAL:END_CURRENT_DENTAL,CURRENT_COL_FAMContrib,FALSE),"")</f>
        <v/>
      </c>
      <c r="I669" s="418" t="str">
        <f t="shared" ca="1" si="63"/>
        <v/>
      </c>
      <c r="J669" s="419" t="str">
        <f ca="1">IF(F669="","",H669*E669)</f>
        <v/>
      </c>
      <c r="K669" s="411"/>
      <c r="L669" s="417" t="str" cm="1">
        <f t="array" ca="1" aca="1" ref="L669">_xlfn.IFNA(VLOOKUP(INDIRECT("L"&amp;ROW()-4)&amp;"_"&amp;$D$12,BEGIN_Renew_Dental:END_RENEW_DENTAL,RENEW_COL_FAM,FALSE),"")</f>
        <v/>
      </c>
      <c r="M669" s="423" t="str">
        <f ca="1">IF(E669="","",E669)</f>
        <v/>
      </c>
      <c r="N669" s="420"/>
      <c r="O669" s="421"/>
      <c r="P669" s="422" t="str">
        <f>IFERROR(IF($N665="Keep Contribution Same",H669,IF($N665="Enter Percentages",IF(N669="","",N669*L669),IF($N665="Keep Percentage Same",IF(G669="","",G669*L669),IF($N665="Enter Dollar Amount",IF(O669="","",O669),"")))),"")</f>
        <v/>
      </c>
      <c r="Q669" s="417" t="str">
        <f ca="1">IFERROR(L669-P669,"")</f>
        <v/>
      </c>
      <c r="R669" s="419" t="str">
        <f>IFERROR(IF(P669="","",M669*P669),"")</f>
        <v/>
      </c>
      <c r="S669" s="411"/>
      <c r="T669" s="417" t="str" cm="1">
        <f t="array" ca="1" aca="1" ref="T669">_xlfn.IFNA(VLOOKUP(INDIRECT("T"&amp;ROW()-4)&amp;"_"&amp;$D$12,BEGIN_Renew_Dental:END_RENEW_DENTAL,RENEW_COL_FAM,FALSE),"")</f>
        <v/>
      </c>
      <c r="U669" s="423" t="str">
        <f t="shared" ca="1" si="64"/>
        <v/>
      </c>
      <c r="V669" s="420"/>
      <c r="W669" s="421"/>
      <c r="X669" s="422" t="str">
        <f>IFERROR(IF($V665="Keep Contribution Same",H669,IF($V665="Enter Percentages",IF(V669="","",V669*T669),IF($V665="Keep Percentage Same",IF(G669="","",G669*T669),IF($V665="Enter Dollar Amount",IF(W669="","",W669),"")))),"")</f>
        <v/>
      </c>
      <c r="Y669" s="417" t="str">
        <f t="shared" ca="1" si="65"/>
        <v/>
      </c>
      <c r="Z669" s="419" t="str">
        <f t="shared" si="66"/>
        <v/>
      </c>
    </row>
    <row r="670" spans="1:26" ht="18.75" customHeight="1" thickTop="1">
      <c r="A670" s="140"/>
      <c r="B670" s="140"/>
      <c r="D670" s="175" t="s">
        <v>242</v>
      </c>
      <c r="E670" s="424"/>
      <c r="F670" s="427"/>
      <c r="G670" s="426"/>
      <c r="H670" s="427"/>
      <c r="I670" s="428"/>
      <c r="J670" s="429" t="str">
        <f ca="1">IFERROR(IF(J666="","",SUM(J666:J669)),0)</f>
        <v/>
      </c>
      <c r="K670" s="1"/>
      <c r="L670" s="424"/>
      <c r="M670" s="427"/>
      <c r="N670" s="426"/>
      <c r="O670" s="427"/>
      <c r="P670" s="431"/>
      <c r="Q670" s="432"/>
      <c r="R670" s="429" t="str">
        <f>IFERROR(IF(R666="","",SUM(R666:R669)),0)</f>
        <v/>
      </c>
      <c r="T670" s="424"/>
      <c r="U670" s="427"/>
      <c r="V670" s="426"/>
      <c r="W670" s="427"/>
      <c r="X670" s="431"/>
      <c r="Y670" s="432"/>
      <c r="Z670" s="429" t="str">
        <f>IFERROR(IF(Z666="","",SUM(Z666:Z669)),0)</f>
        <v/>
      </c>
    </row>
    <row r="671" spans="1:26" ht="18.75" customHeight="1">
      <c r="A671" s="140"/>
      <c r="B671" s="140"/>
      <c r="D671" s="177" t="s">
        <v>243</v>
      </c>
      <c r="E671" s="433"/>
      <c r="F671" s="436"/>
      <c r="G671" s="435"/>
      <c r="H671" s="436"/>
      <c r="I671" s="432"/>
      <c r="J671" s="437" t="str">
        <f ca="1">IF(J670="","",J670*12)</f>
        <v/>
      </c>
      <c r="K671" s="1"/>
      <c r="L671" s="433"/>
      <c r="M671" s="436"/>
      <c r="N671" s="435"/>
      <c r="O671" s="436"/>
      <c r="P671" s="432"/>
      <c r="Q671" s="432"/>
      <c r="R671" s="437" t="str">
        <f>IF(R670="","",R670*12)</f>
        <v/>
      </c>
      <c r="T671" s="433"/>
      <c r="U671" s="436"/>
      <c r="V671" s="435"/>
      <c r="W671" s="436"/>
      <c r="X671" s="432"/>
      <c r="Y671" s="432"/>
      <c r="Z671" s="437" t="str">
        <f>IF(Z670="","",Z670*12)</f>
        <v/>
      </c>
    </row>
    <row r="672" spans="1:26" ht="18.75" customHeight="1">
      <c r="A672" s="140"/>
      <c r="B672" s="140"/>
      <c r="D672" s="177" t="s">
        <v>244</v>
      </c>
      <c r="E672" s="433"/>
      <c r="F672" s="436"/>
      <c r="G672" s="435"/>
      <c r="H672" s="436"/>
      <c r="I672" s="432"/>
      <c r="J672" s="437"/>
      <c r="K672" s="1"/>
      <c r="L672" s="433"/>
      <c r="M672" s="436"/>
      <c r="N672" s="435"/>
      <c r="O672" s="436"/>
      <c r="P672" s="432"/>
      <c r="Q672" s="432"/>
      <c r="R672" s="437" t="str">
        <f ca="1">IFERROR(IF(J671="","",R671-J671),0)</f>
        <v/>
      </c>
      <c r="T672" s="433"/>
      <c r="U672" s="436"/>
      <c r="V672" s="435"/>
      <c r="W672" s="436"/>
      <c r="X672" s="432"/>
      <c r="Y672" s="432"/>
      <c r="Z672" s="437" t="str">
        <f>IFERROR(IF(R671="","",Z671-R671),0)</f>
        <v/>
      </c>
    </row>
    <row r="673" spans="1:26" ht="18" customHeight="1" thickBot="1">
      <c r="A673" s="140"/>
      <c r="B673" s="140"/>
      <c r="D673" s="180" t="s">
        <v>245</v>
      </c>
      <c r="E673" s="439"/>
      <c r="F673" s="440"/>
      <c r="G673" s="441"/>
      <c r="H673" s="440"/>
      <c r="I673" s="442"/>
      <c r="J673" s="437"/>
      <c r="K673" s="1"/>
      <c r="L673" s="439"/>
      <c r="M673" s="440"/>
      <c r="N673" s="441"/>
      <c r="O673" s="440"/>
      <c r="P673" s="445"/>
      <c r="Q673" s="445"/>
      <c r="R673" s="446" t="str">
        <f ca="1">IFERROR(IF(J671="","",(R671/J671)-1),0)</f>
        <v/>
      </c>
      <c r="T673" s="439"/>
      <c r="U673" s="440"/>
      <c r="V673" s="441"/>
      <c r="W673" s="440"/>
      <c r="X673" s="445"/>
      <c r="Y673" s="445"/>
      <c r="Z673" s="446" t="str">
        <f>IFERROR(IF(R671="","",(Z671/R671)-1),0)</f>
        <v/>
      </c>
    </row>
    <row r="674" spans="1:26" ht="5.25" customHeight="1" thickBot="1">
      <c r="A674" s="140"/>
      <c r="B674" s="140"/>
      <c r="D674" s="229"/>
      <c r="E674" s="454"/>
      <c r="F674" s="455"/>
      <c r="G674" s="456"/>
      <c r="H674" s="457"/>
      <c r="I674" s="458"/>
      <c r="J674" s="458"/>
      <c r="K674" s="1"/>
      <c r="L674" s="458"/>
      <c r="M674" s="458"/>
      <c r="N674" s="458"/>
      <c r="O674" s="458"/>
      <c r="P674" s="458"/>
      <c r="Q674" s="458"/>
      <c r="R674" s="458"/>
      <c r="T674" s="458"/>
      <c r="U674" s="458"/>
      <c r="V674" s="458"/>
      <c r="W674" s="458"/>
      <c r="X674" s="458"/>
      <c r="Y674" s="458"/>
      <c r="Z674" s="458"/>
    </row>
    <row r="675" spans="1:26" ht="50.15" customHeight="1">
      <c r="A675" s="140">
        <v>2</v>
      </c>
      <c r="B675" s="140" t="str">
        <f>IF(A675&gt;Class5_CurrentDentalCount,"DELETE",Class5_CurrentDentalStart+A675)</f>
        <v>DELETE</v>
      </c>
      <c r="C675" s="164" t="s">
        <v>290</v>
      </c>
      <c r="D675" s="273" t="str">
        <f>IF(B675="Delete","",VLOOKUP(F675,BEGIN_CURRENT_DENTAL:END_CURRENT_DENTAL,3,FALSE))</f>
        <v/>
      </c>
      <c r="E675" s="165"/>
      <c r="F675" s="272" t="str" cm="1">
        <f t="array" ca="1" aca="1" ref="F675">IF(B675="Delete","",INDIRECT("CurrentPlans!A"&amp;B675,TRUE))</f>
        <v/>
      </c>
      <c r="G675" s="166"/>
      <c r="H675" s="167"/>
      <c r="I675" s="168"/>
      <c r="J675" s="169"/>
      <c r="K675"/>
      <c r="L675" s="274" t="str">
        <f ca="1">_xlfn.IFNA(VLOOKUP(F675,BEGIN_RENEWEDFROM_DENTAL:ROW_RenewDental_PlanID,3,FALSE),"SELECT PLAN")</f>
        <v>SELECT PLAN</v>
      </c>
      <c r="M675" s="170"/>
      <c r="N675" s="274" t="s">
        <v>237</v>
      </c>
      <c r="O675" s="171"/>
      <c r="P675" s="171"/>
      <c r="Q675" s="171"/>
      <c r="R675" s="169"/>
      <c r="T675" s="274" t="s">
        <v>38</v>
      </c>
      <c r="U675" s="170"/>
      <c r="V675" s="274" t="s">
        <v>237</v>
      </c>
      <c r="W675" s="171"/>
      <c r="X675" s="171"/>
      <c r="Y675" s="171"/>
      <c r="Z675" s="169"/>
    </row>
    <row r="676" spans="1:26" ht="18.75" customHeight="1">
      <c r="A676" s="140"/>
      <c r="B676" s="140"/>
      <c r="D676" s="172" t="s">
        <v>238</v>
      </c>
      <c r="E676" s="407" t="str">
        <f ca="1">_xlfn.IFNA(VLOOKUP(F675,BEGIN_CURRENT_DENTAL:END_CURRENT_DENTAL,CURRENT_COL_EO_count,FALSE),"")</f>
        <v/>
      </c>
      <c r="F676" s="408" t="str">
        <f ca="1">_xlfn.IFNA(VLOOKUP(F675,BEGIN_CURRENT_DENTAL:END_CURRENT_DENTAL,CURRENT_COL_EO,FALSE),"")</f>
        <v/>
      </c>
      <c r="G676" s="468" t="str">
        <f ca="1" t="shared" si="67" ref="G676:G679">IF(F676="","",H676/F676)</f>
        <v/>
      </c>
      <c r="H676" s="408" t="str">
        <f ca="1">_xlfn.IFNA(VLOOKUP(F675,BEGIN_CURRENT_DENTAL:END_CURRENT_DENTAL,CURRENT_COL_EOContrib,FALSE),"")</f>
        <v/>
      </c>
      <c r="I676" s="409" t="str">
        <f ca="1">IFERROR(F676-H676,"")</f>
        <v/>
      </c>
      <c r="J676" s="410" t="str">
        <f ca="1">IF(F676="","",H676*E676)</f>
        <v/>
      </c>
      <c r="K676" s="411"/>
      <c r="L676" s="408" t="str" cm="1">
        <f t="array" ca="1" aca="1" ref="L676">_xlfn.IFNA(VLOOKUP(INDIRECT("L"&amp;ROW()-1)&amp;"_"&amp;$D$12,BEGIN_Renew_Dental:END_RENEW_DENTAL,RENEW_COL_EO,FALSE),"")</f>
        <v/>
      </c>
      <c r="M676" s="412" t="str">
        <f ca="1">IF(E676="","",E676)</f>
        <v/>
      </c>
      <c r="N676" s="413"/>
      <c r="O676" s="414"/>
      <c r="P676" s="415" t="str">
        <f>IFERROR(IF($N675="Keep Contribution Same",H676,IF($N675="Enter Percentages",IF(N676="","",N676*L676),IF($N675="Keep Percentage Same",IF(G676="","",G676*L676),IF($N675="Enter Dollar Amount",IF(O676="","",O676),"")))),"")</f>
        <v/>
      </c>
      <c r="Q676" s="408" t="str">
        <f ca="1">IFERROR(L676-P676,"")</f>
        <v/>
      </c>
      <c r="R676" s="410" t="str">
        <f>IFERROR(IF(P676="","",M676*P676),"")</f>
        <v/>
      </c>
      <c r="S676" s="411"/>
      <c r="T676" s="408" t="str" cm="1">
        <f t="array" ca="1" aca="1" ref="T676">_xlfn.IFNA(VLOOKUP(INDIRECT("T"&amp;ROW()-1)&amp;"_"&amp;$D$12,BEGIN_Renew_Dental:END_RENEW_DENTAL,RENEW_COL_EO,FALSE),"")</f>
        <v/>
      </c>
      <c r="U676" s="412" t="str">
        <f ca="1">IF(E676="","",E676)</f>
        <v/>
      </c>
      <c r="V676" s="413"/>
      <c r="W676" s="414"/>
      <c r="X676" s="415" t="str">
        <f>IFERROR(IF($V675="Keep Contribution Same",H676,IF($V675="Enter Percentages",IF(V676="","",V676*T676),IF($V675="Keep Percentage Same",IF(G676="","",G676*T676),IF($V675="Enter Dollar Amount",IF(W676="","",W676),"")))),"")</f>
        <v/>
      </c>
      <c r="Y676" s="408" t="str">
        <f ca="1">IFERROR(T676-X676,"")</f>
        <v/>
      </c>
      <c r="Z676" s="410" t="str">
        <f>IFERROR(IF(X676="","",U676*X676),"")</f>
        <v/>
      </c>
    </row>
    <row r="677" spans="1:26" ht="18.75" customHeight="1">
      <c r="A677" s="140"/>
      <c r="B677" s="140"/>
      <c r="D677" s="172" t="s">
        <v>239</v>
      </c>
      <c r="E677" s="407" t="str">
        <f ca="1">_xlfn.IFNA(VLOOKUP(F675,BEGIN_CURRENT_DENTAL:END_CURRENT_DENTAL,CURRENT_COL_ES_count,FALSE),"")</f>
        <v/>
      </c>
      <c r="F677" s="408" t="str">
        <f ca="1">_xlfn.IFNA(VLOOKUP(F675,BEGIN_CURRENT_DENTAL:END_CURRENT_DENTAL,CURRENT_COL_ES,FALSE),"")</f>
        <v/>
      </c>
      <c r="G677" s="468" t="str">
        <f t="shared" ca="1" si="67"/>
        <v/>
      </c>
      <c r="H677" s="408" t="str">
        <f ca="1">_xlfn.IFNA(VLOOKUP(F675,BEGIN_CURRENT_DENTAL:END_CURRENT_DENTAL,CURRENT_COL_ESContrib,FALSE),"")</f>
        <v/>
      </c>
      <c r="I677" s="409" t="str">
        <f ca="1" t="shared" si="68" ref="I677:I679">IFERROR(F677-H677,"")</f>
        <v/>
      </c>
      <c r="J677" s="410" t="str">
        <f ca="1">IF(F677="","",H677*E677)</f>
        <v/>
      </c>
      <c r="K677" s="411"/>
      <c r="L677" s="408" t="str" cm="1">
        <f t="array" ca="1" aca="1" ref="L677">_xlfn.IFNA(VLOOKUP(INDIRECT("L"&amp;ROW()-2)&amp;"_"&amp;$D$12,BEGIN_Renew_Dental:END_RENEW_DENTAL,RENEW_COL_ES,FALSE),"")</f>
        <v/>
      </c>
      <c r="M677" s="412" t="str">
        <f ca="1">IF(E677="","",E677)</f>
        <v/>
      </c>
      <c r="N677" s="413"/>
      <c r="O677" s="414"/>
      <c r="P677" s="415" t="str">
        <f>IFERROR(IF($N675="Keep Contribution Same",H677,IF($N675="Enter Percentages",IF(N677="","",N677*L677),IF($N675="Keep Percentage Same",IF(G677="","",G677*L677),IF($N675="Enter Dollar Amount",IF(O677="","",O677),"")))),"")</f>
        <v/>
      </c>
      <c r="Q677" s="408" t="str">
        <f ca="1">IFERROR(L677-P677,"")</f>
        <v/>
      </c>
      <c r="R677" s="410" t="str">
        <f>IFERROR(IF(P677="","",M677*P677),"")</f>
        <v/>
      </c>
      <c r="S677" s="411"/>
      <c r="T677" s="408" t="str" cm="1">
        <f t="array" ca="1" aca="1" ref="T677">_xlfn.IFNA(VLOOKUP(INDIRECT("T"&amp;ROW()-2)&amp;"_"&amp;$D$12,BEGIN_Renew_Dental:END_RENEW_DENTAL,RENEW_COL_ES,FALSE),"")</f>
        <v/>
      </c>
      <c r="U677" s="412" t="str">
        <f ca="1" t="shared" si="69" ref="U677:U679">IF(E677="","",E677)</f>
        <v/>
      </c>
      <c r="V677" s="413"/>
      <c r="W677" s="414"/>
      <c r="X677" s="415" t="str">
        <f>IFERROR(IF($V675="Keep Contribution Same",H677,IF($V675="Enter Percentages",IF(V677="","",V677*T677),IF($V675="Keep Percentage Same",IF(G677="","",G677*T677),IF($V675="Enter Dollar Amount",IF(W677="","",W677),"")))),"")</f>
        <v/>
      </c>
      <c r="Y677" s="408" t="str">
        <f ca="1" t="shared" si="70" ref="Y677:Y679">IFERROR(T677-X677,"")</f>
        <v/>
      </c>
      <c r="Z677" s="410" t="str">
        <f t="shared" si="71" ref="Z677:Z679">IFERROR(IF(X677="","",U677*X677),"")</f>
        <v/>
      </c>
    </row>
    <row r="678" spans="1:26" ht="18.75" customHeight="1">
      <c r="A678" s="140"/>
      <c r="B678" s="140"/>
      <c r="D678" s="172" t="s">
        <v>240</v>
      </c>
      <c r="E678" s="407" t="str">
        <f ca="1">_xlfn.IFNA(VLOOKUP(F675,BEGIN_CURRENT_DENTAL:END_CURRENT_DENTAL,CURRENT_COL_EC_count,FALSE),"")</f>
        <v/>
      </c>
      <c r="F678" s="408" t="str">
        <f ca="1">_xlfn.IFNA(VLOOKUP(F675,BEGIN_CURRENT_DENTAL:END_CURRENT_DENTAL,CURRENT_COL_EC,FALSE),"")</f>
        <v/>
      </c>
      <c r="G678" s="468" t="str">
        <f t="shared" ca="1" si="67"/>
        <v/>
      </c>
      <c r="H678" s="408" t="str">
        <f ca="1">_xlfn.IFNA(VLOOKUP(F675,BEGIN_CURRENT_DENTAL:END_CURRENT_DENTAL,CURRENT_COL_ECContrib,FALSE),"")</f>
        <v/>
      </c>
      <c r="I678" s="409" t="str">
        <f t="shared" ca="1" si="68"/>
        <v/>
      </c>
      <c r="J678" s="410" t="str">
        <f ca="1">IF(F678="","",H678*E678)</f>
        <v/>
      </c>
      <c r="K678" s="411"/>
      <c r="L678" s="408" t="str" cm="1">
        <f t="array" ca="1" aca="1" ref="L678">_xlfn.IFNA(VLOOKUP(INDIRECT("L"&amp;ROW()-3)&amp;"_"&amp;$D$12,BEGIN_Renew_Dental:END_RENEW_DENTAL,RENEW_COL_EC,FALSE),"")</f>
        <v/>
      </c>
      <c r="M678" s="412" t="str">
        <f ca="1">IF(E678="","",E678)</f>
        <v/>
      </c>
      <c r="N678" s="413"/>
      <c r="O678" s="414"/>
      <c r="P678" s="415" t="str">
        <f>IFERROR(IF($N675="Keep Contribution Same",H678,IF($N675="Enter Percentages",IF(N678="","",N678*L678),IF($N675="Keep Percentage Same",IF(G678="","",G678*L678),IF($N675="Enter Dollar Amount",IF(O678="","",O678),"")))),"")</f>
        <v/>
      </c>
      <c r="Q678" s="408" t="str">
        <f ca="1">IFERROR(L678-P678,"")</f>
        <v/>
      </c>
      <c r="R678" s="410" t="str">
        <f>IFERROR(IF(P678="","",M678*P678),"")</f>
        <v/>
      </c>
      <c r="S678" s="411"/>
      <c r="T678" s="408" t="str" cm="1">
        <f t="array" ca="1" aca="1" ref="T678">_xlfn.IFNA(VLOOKUP(INDIRECT("T"&amp;ROW()-3)&amp;"_"&amp;$D$12,BEGIN_Renew_Dental:END_RENEW_DENTAL,RENEW_COL_EC,FALSE),"")</f>
        <v/>
      </c>
      <c r="U678" s="412" t="str">
        <f t="shared" ca="1" si="69"/>
        <v/>
      </c>
      <c r="V678" s="413"/>
      <c r="W678" s="414"/>
      <c r="X678" s="415" t="str">
        <f>IFERROR(IF($V675="Keep Contribution Same",H678,IF($V675="Enter Percentages",IF(V678="","",V678*T678),IF($V675="Keep Percentage Same",IF(G678="","",G678*T678),IF($V675="Enter Dollar Amount",IF(W678="","",W678),"")))),"")</f>
        <v/>
      </c>
      <c r="Y678" s="408" t="str">
        <f t="shared" ca="1" si="70"/>
        <v/>
      </c>
      <c r="Z678" s="410" t="str">
        <f t="shared" si="71"/>
        <v/>
      </c>
    </row>
    <row r="679" spans="1:26" ht="18.75" customHeight="1" thickBot="1">
      <c r="A679" s="140"/>
      <c r="B679" s="140"/>
      <c r="D679" s="174" t="s">
        <v>241</v>
      </c>
      <c r="E679" s="416" t="str">
        <f ca="1">_xlfn.IFNA(VLOOKUP(F675,BEGIN_CURRENT_DENTAL:END_CURRENT_DENTAL,CURRENT_COL_FAM_count,FALSE),"")</f>
        <v/>
      </c>
      <c r="F679" s="417" t="str">
        <f ca="1">_xlfn.IFNA(VLOOKUP(F675,BEGIN_CURRENT_DENTAL:END_CURRENT_DENTAL,CURRENT_COL_FAM,FALSE),"")</f>
        <v/>
      </c>
      <c r="G679" s="469" t="str">
        <f t="shared" ca="1" si="67"/>
        <v/>
      </c>
      <c r="H679" s="417" t="str">
        <f ca="1">_xlfn.IFNA(VLOOKUP(F675,BEGIN_CURRENT_DENTAL:END_CURRENT_DENTAL,CURRENT_COL_FAMContrib,FALSE),"")</f>
        <v/>
      </c>
      <c r="I679" s="418" t="str">
        <f t="shared" ca="1" si="68"/>
        <v/>
      </c>
      <c r="J679" s="419" t="str">
        <f ca="1">IF(F679="","",H679*E679)</f>
        <v/>
      </c>
      <c r="K679" s="411"/>
      <c r="L679" s="417" t="str" cm="1">
        <f t="array" ca="1" aca="1" ref="L679">_xlfn.IFNA(VLOOKUP(INDIRECT("L"&amp;ROW()-4)&amp;"_"&amp;$D$12,BEGIN_Renew_Dental:END_RENEW_DENTAL,RENEW_COL_FAM,FALSE),"")</f>
        <v/>
      </c>
      <c r="M679" s="423" t="str">
        <f ca="1">IF(E679="","",E679)</f>
        <v/>
      </c>
      <c r="N679" s="420"/>
      <c r="O679" s="421"/>
      <c r="P679" s="422" t="str">
        <f>IFERROR(IF($N675="Keep Contribution Same",H679,IF($N675="Enter Percentages",IF(N679="","",N679*L679),IF($N675="Keep Percentage Same",IF(G679="","",G679*L679),IF($N675="Enter Dollar Amount",IF(O679="","",O679),"")))),"")</f>
        <v/>
      </c>
      <c r="Q679" s="417" t="str">
        <f ca="1">IFERROR(L679-P679,"")</f>
        <v/>
      </c>
      <c r="R679" s="419" t="str">
        <f>IFERROR(IF(P679="","",M679*P679),"")</f>
        <v/>
      </c>
      <c r="S679" s="411"/>
      <c r="T679" s="417" t="str" cm="1">
        <f t="array" ca="1" aca="1" ref="T679">_xlfn.IFNA(VLOOKUP(INDIRECT("T"&amp;ROW()-4)&amp;"_"&amp;$D$12,BEGIN_Renew_Dental:END_RENEW_DENTAL,RENEW_COL_FAM,FALSE),"")</f>
        <v/>
      </c>
      <c r="U679" s="423" t="str">
        <f t="shared" ca="1" si="69"/>
        <v/>
      </c>
      <c r="V679" s="420"/>
      <c r="W679" s="421"/>
      <c r="X679" s="422" t="str">
        <f>IFERROR(IF($V675="Keep Contribution Same",H679,IF($V675="Enter Percentages",IF(V679="","",V679*T679),IF($V675="Keep Percentage Same",IF(G679="","",G679*T679),IF($V675="Enter Dollar Amount",IF(W679="","",W679),"")))),"")</f>
        <v/>
      </c>
      <c r="Y679" s="417" t="str">
        <f t="shared" ca="1" si="70"/>
        <v/>
      </c>
      <c r="Z679" s="419" t="str">
        <f t="shared" si="71"/>
        <v/>
      </c>
    </row>
    <row r="680" spans="1:26" ht="18.75" customHeight="1" thickTop="1">
      <c r="A680" s="140"/>
      <c r="B680" s="140"/>
      <c r="D680" s="175" t="s">
        <v>242</v>
      </c>
      <c r="E680" s="424"/>
      <c r="F680" s="427"/>
      <c r="G680" s="426"/>
      <c r="H680" s="427"/>
      <c r="I680" s="428"/>
      <c r="J680" s="429" t="str">
        <f ca="1">IFERROR(IF(J676="","",SUM(J676:J679)),0)</f>
        <v/>
      </c>
      <c r="K680" s="1"/>
      <c r="L680" s="424"/>
      <c r="M680" s="427"/>
      <c r="N680" s="426"/>
      <c r="O680" s="427"/>
      <c r="P680" s="431"/>
      <c r="Q680" s="432"/>
      <c r="R680" s="429" t="str">
        <f>IFERROR(IF(R676="","",SUM(R676:R679)),0)</f>
        <v/>
      </c>
      <c r="T680" s="424"/>
      <c r="U680" s="427"/>
      <c r="V680" s="426"/>
      <c r="W680" s="427"/>
      <c r="X680" s="431"/>
      <c r="Y680" s="432"/>
      <c r="Z680" s="429" t="str">
        <f>IFERROR(IF(Z676="","",SUM(Z676:Z679)),0)</f>
        <v/>
      </c>
    </row>
    <row r="681" spans="1:26" ht="18" customHeight="1">
      <c r="A681" s="140"/>
      <c r="B681" s="140"/>
      <c r="D681" s="177" t="s">
        <v>243</v>
      </c>
      <c r="E681" s="433"/>
      <c r="F681" s="436"/>
      <c r="G681" s="435"/>
      <c r="H681" s="436"/>
      <c r="I681" s="432"/>
      <c r="J681" s="437" t="str">
        <f ca="1">IF(J680="","",J680*12)</f>
        <v/>
      </c>
      <c r="K681" s="1"/>
      <c r="L681" s="433"/>
      <c r="M681" s="436"/>
      <c r="N681" s="435"/>
      <c r="O681" s="436"/>
      <c r="P681" s="432"/>
      <c r="Q681" s="432"/>
      <c r="R681" s="437" t="str">
        <f>IF(R680="","",R680*12)</f>
        <v/>
      </c>
      <c r="T681" s="433"/>
      <c r="U681" s="436"/>
      <c r="V681" s="435"/>
      <c r="W681" s="436"/>
      <c r="X681" s="432"/>
      <c r="Y681" s="432"/>
      <c r="Z681" s="437" t="str">
        <f>IF(Z680="","",Z680*12)</f>
        <v/>
      </c>
    </row>
    <row r="682" spans="1:26" ht="18" customHeight="1">
      <c r="A682" s="140"/>
      <c r="B682" s="140"/>
      <c r="D682" s="177" t="s">
        <v>244</v>
      </c>
      <c r="E682" s="433"/>
      <c r="F682" s="436"/>
      <c r="G682" s="435"/>
      <c r="H682" s="436"/>
      <c r="I682" s="432"/>
      <c r="J682" s="437"/>
      <c r="K682" s="1"/>
      <c r="L682" s="433"/>
      <c r="M682" s="436"/>
      <c r="N682" s="435"/>
      <c r="O682" s="436"/>
      <c r="P682" s="432"/>
      <c r="Q682" s="432"/>
      <c r="R682" s="437" t="str">
        <f ca="1">IFERROR(IF(J681="","",R681-J681),0)</f>
        <v/>
      </c>
      <c r="T682" s="433"/>
      <c r="U682" s="436"/>
      <c r="V682" s="435"/>
      <c r="W682" s="436"/>
      <c r="X682" s="432"/>
      <c r="Y682" s="432"/>
      <c r="Z682" s="437" t="str">
        <f>IFERROR(IF(R681="","",Z681-R681),0)</f>
        <v/>
      </c>
    </row>
    <row r="683" spans="1:26" ht="18" customHeight="1" thickBot="1">
      <c r="A683" s="140"/>
      <c r="B683" s="140"/>
      <c r="D683" s="180" t="s">
        <v>245</v>
      </c>
      <c r="E683" s="439"/>
      <c r="F683" s="440"/>
      <c r="G683" s="441"/>
      <c r="H683" s="440"/>
      <c r="I683" s="442"/>
      <c r="J683" s="437"/>
      <c r="K683" s="1"/>
      <c r="L683" s="439"/>
      <c r="M683" s="440"/>
      <c r="N683" s="441"/>
      <c r="O683" s="440"/>
      <c r="P683" s="445"/>
      <c r="Q683" s="445"/>
      <c r="R683" s="446" t="str">
        <f ca="1">IFERROR(IF(J681="","",(R681/J681)-1),0)</f>
        <v/>
      </c>
      <c r="T683" s="439"/>
      <c r="U683" s="440"/>
      <c r="V683" s="441"/>
      <c r="W683" s="440"/>
      <c r="X683" s="445"/>
      <c r="Y683" s="445"/>
      <c r="Z683" s="446" t="str">
        <f>IFERROR(IF(R681="","",(Z681/R681)-1),0)</f>
        <v/>
      </c>
    </row>
    <row r="684" spans="1:26" ht="5.25" customHeight="1" thickBot="1">
      <c r="A684" s="140"/>
      <c r="B684" s="140"/>
      <c r="D684" s="229"/>
      <c r="E684" s="229"/>
      <c r="F684" s="230"/>
      <c r="G684" s="231"/>
      <c r="H684" s="232"/>
      <c r="I684" s="233"/>
      <c r="J684" s="233"/>
      <c r="K684"/>
      <c r="L684" s="233"/>
      <c r="M684" s="233"/>
      <c r="N684" s="233"/>
      <c r="O684" s="233"/>
      <c r="P684" s="233"/>
      <c r="Q684" s="233"/>
      <c r="R684" s="233"/>
      <c r="T684" s="233"/>
      <c r="U684" s="233"/>
      <c r="V684" s="233"/>
      <c r="W684" s="233"/>
      <c r="X684" s="233"/>
      <c r="Y684" s="233"/>
      <c r="Z684" s="233"/>
    </row>
    <row r="685" spans="1:26" ht="50.15" customHeight="1">
      <c r="A685" s="140">
        <v>3</v>
      </c>
      <c r="B685" s="140" t="str">
        <f>IF(A685&gt;Class5_CurrentDentalCount,"DELETE",Class5_CurrentDentalStart+A685)</f>
        <v>DELETE</v>
      </c>
      <c r="C685" s="164" t="s">
        <v>291</v>
      </c>
      <c r="D685" s="273" t="str">
        <f>IF(B685="Delete","",VLOOKUP(F685,BEGIN_CURRENT_DENTAL:END_CURRENT_DENTAL,3,FALSE))</f>
        <v/>
      </c>
      <c r="E685" s="165"/>
      <c r="F685" s="272" t="str" cm="1">
        <f t="array" ca="1" aca="1" ref="F685">IF(B685="Delete","",INDIRECT("CurrentPlans!A"&amp;B685,TRUE))</f>
        <v/>
      </c>
      <c r="G685" s="166"/>
      <c r="H685" s="167"/>
      <c r="I685" s="168"/>
      <c r="J685" s="169"/>
      <c r="K685"/>
      <c r="L685" s="274" t="str">
        <f ca="1">_xlfn.IFNA(VLOOKUP(F685,BEGIN_RENEWEDFROM_DENTAL:ROW_RenewDental_PlanID,3,FALSE),"SELECT PLAN")</f>
        <v>SELECT PLAN</v>
      </c>
      <c r="M685" s="170"/>
      <c r="N685" s="274" t="s">
        <v>237</v>
      </c>
      <c r="O685" s="171"/>
      <c r="P685" s="171"/>
      <c r="Q685" s="171"/>
      <c r="R685" s="169"/>
      <c r="T685" s="274" t="s">
        <v>38</v>
      </c>
      <c r="U685" s="170"/>
      <c r="V685" s="274" t="s">
        <v>237</v>
      </c>
      <c r="W685" s="171"/>
      <c r="X685" s="171"/>
      <c r="Y685" s="171"/>
      <c r="Z685" s="169"/>
    </row>
    <row r="686" spans="1:26" ht="18.75" customHeight="1">
      <c r="A686" s="140"/>
      <c r="B686" s="140"/>
      <c r="D686" s="172" t="s">
        <v>238</v>
      </c>
      <c r="E686" s="407" t="str">
        <f ca="1">_xlfn.IFNA(VLOOKUP(F685,BEGIN_CURRENT_DENTAL:END_CURRENT_DENTAL,CURRENT_COL_EO_count,FALSE),"")</f>
        <v/>
      </c>
      <c r="F686" s="408" t="str">
        <f ca="1">_xlfn.IFNA(VLOOKUP(F685,BEGIN_CURRENT_DENTAL:END_CURRENT_DENTAL,CURRENT_COL_EO,FALSE),"")</f>
        <v/>
      </c>
      <c r="G686" s="468" t="str">
        <f ca="1" t="shared" si="72" ref="G686:G689">IF(F686="","",H686/F686)</f>
        <v/>
      </c>
      <c r="H686" s="408" t="str">
        <f ca="1">_xlfn.IFNA(VLOOKUP(F685,BEGIN_CURRENT_DENTAL:END_CURRENT_DENTAL,CURRENT_COL_EOContrib,FALSE),"")</f>
        <v/>
      </c>
      <c r="I686" s="409" t="str">
        <f ca="1">IFERROR(F686-H686,"")</f>
        <v/>
      </c>
      <c r="J686" s="410" t="str">
        <f ca="1">IF(F686="","",H686*E686)</f>
        <v/>
      </c>
      <c r="K686" s="411"/>
      <c r="L686" s="408" t="str" cm="1">
        <f t="array" ca="1" aca="1" ref="L686">_xlfn.IFNA(VLOOKUP(INDIRECT("L"&amp;ROW()-1)&amp;"_"&amp;$D$12,BEGIN_Renew_Dental:END_RENEW_DENTAL,RENEW_COL_EO,FALSE),"")</f>
        <v/>
      </c>
      <c r="M686" s="412" t="str">
        <f ca="1">IF(E686="","",E686)</f>
        <v/>
      </c>
      <c r="N686" s="413"/>
      <c r="O686" s="414"/>
      <c r="P686" s="415" t="str">
        <f>IFERROR(IF($N685="Keep Contribution Same",H686,IF($N685="Enter Percentages",IF(N686="","",N686*L686),IF($N685="Keep Percentage Same",IF(G686="","",G686*L686),IF($N685="Enter Dollar Amount",IF(O686="","",O686),"")))),"")</f>
        <v/>
      </c>
      <c r="Q686" s="408" t="str">
        <f ca="1">IFERROR(L686-P686,"")</f>
        <v/>
      </c>
      <c r="R686" s="410" t="str">
        <f>IFERROR(IF(P686="","",M686*P686),"")</f>
        <v/>
      </c>
      <c r="S686" s="411"/>
      <c r="T686" s="408" t="str" cm="1">
        <f t="array" ca="1" aca="1" ref="T686">_xlfn.IFNA(VLOOKUP(INDIRECT("T"&amp;ROW()-1)&amp;"_"&amp;$D$12,BEGIN_Renew_Dental:END_RENEW_DENTAL,RENEW_COL_EO,FALSE),"")</f>
        <v/>
      </c>
      <c r="U686" s="412" t="str">
        <f ca="1">IF(E686="","",E686)</f>
        <v/>
      </c>
      <c r="V686" s="413"/>
      <c r="W686" s="414"/>
      <c r="X686" s="415" t="str">
        <f>IFERROR(IF($V685="Keep Contribution Same",H686,IF($V685="Enter Percentages",IF(V686="","",V686*T686),IF($V685="Keep Percentage Same",IF(G686="","",G686*T686),IF($V685="Enter Dollar Amount",IF(W686="","",W686),"")))),"")</f>
        <v/>
      </c>
      <c r="Y686" s="408" t="str">
        <f ca="1">IFERROR(T686-X686,"")</f>
        <v/>
      </c>
      <c r="Z686" s="410" t="str">
        <f>IFERROR(IF(X686="","",U686*X686),"")</f>
        <v/>
      </c>
    </row>
    <row r="687" spans="1:26" ht="18.75" customHeight="1">
      <c r="A687" s="140"/>
      <c r="B687" s="140"/>
      <c r="D687" s="172" t="s">
        <v>239</v>
      </c>
      <c r="E687" s="407" t="str">
        <f ca="1">_xlfn.IFNA(VLOOKUP(F685,BEGIN_CURRENT_DENTAL:END_CURRENT_DENTAL,CURRENT_COL_ES_count,FALSE),"")</f>
        <v/>
      </c>
      <c r="F687" s="408" t="str">
        <f ca="1">_xlfn.IFNA(VLOOKUP(F685,BEGIN_CURRENT_DENTAL:END_CURRENT_DENTAL,CURRENT_COL_ES,FALSE),"")</f>
        <v/>
      </c>
      <c r="G687" s="468" t="str">
        <f t="shared" ca="1" si="72"/>
        <v/>
      </c>
      <c r="H687" s="408" t="str">
        <f ca="1">_xlfn.IFNA(VLOOKUP(F685,BEGIN_CURRENT_DENTAL:END_CURRENT_DENTAL,CURRENT_COL_ESContrib,FALSE),"")</f>
        <v/>
      </c>
      <c r="I687" s="409" t="str">
        <f ca="1" t="shared" si="73" ref="I687:I689">IFERROR(F687-H687,"")</f>
        <v/>
      </c>
      <c r="J687" s="410" t="str">
        <f ca="1">IF(F687="","",H687*E687)</f>
        <v/>
      </c>
      <c r="K687" s="411"/>
      <c r="L687" s="408" t="str" cm="1">
        <f t="array" ca="1" aca="1" ref="L687">_xlfn.IFNA(VLOOKUP(INDIRECT("L"&amp;ROW()-2)&amp;"_"&amp;$D$12,BEGIN_Renew_Dental:END_RENEW_DENTAL,RENEW_COL_ES,FALSE),"")</f>
        <v/>
      </c>
      <c r="M687" s="412" t="str">
        <f ca="1">IF(E687="","",E687)</f>
        <v/>
      </c>
      <c r="N687" s="413"/>
      <c r="O687" s="414"/>
      <c r="P687" s="415" t="str">
        <f>IFERROR(IF($N685="Keep Contribution Same",H687,IF($N685="Enter Percentages",IF(N687="","",N687*L687),IF($N685="Keep Percentage Same",IF(G687="","",G687*L687),IF($N685="Enter Dollar Amount",IF(O687="","",O687),"")))),"")</f>
        <v/>
      </c>
      <c r="Q687" s="408" t="str">
        <f ca="1">IFERROR(L687-P687,"")</f>
        <v/>
      </c>
      <c r="R687" s="410" t="str">
        <f>IFERROR(IF(P687="","",M687*P687),"")</f>
        <v/>
      </c>
      <c r="S687" s="411"/>
      <c r="T687" s="408" t="str" cm="1">
        <f t="array" ca="1" aca="1" ref="T687">_xlfn.IFNA(VLOOKUP(INDIRECT("T"&amp;ROW()-2)&amp;"_"&amp;$D$12,BEGIN_Renew_Dental:END_RENEW_DENTAL,RENEW_COL_ES,FALSE),"")</f>
        <v/>
      </c>
      <c r="U687" s="412" t="str">
        <f ca="1" t="shared" si="74" ref="U687:U689">IF(E687="","",E687)</f>
        <v/>
      </c>
      <c r="V687" s="413"/>
      <c r="W687" s="414"/>
      <c r="X687" s="415" t="str">
        <f>IFERROR(IF($V685="Keep Contribution Same",H687,IF($V685="Enter Percentages",IF(V687="","",V687*T687),IF($V685="Keep Percentage Same",IF(G687="","",G687*T687),IF($V685="Enter Dollar Amount",IF(W687="","",W687),"")))),"")</f>
        <v/>
      </c>
      <c r="Y687" s="408" t="str">
        <f ca="1" t="shared" si="75" ref="Y687:Y689">IFERROR(T687-X687,"")</f>
        <v/>
      </c>
      <c r="Z687" s="410" t="str">
        <f t="shared" si="76" ref="Z687:Z689">IFERROR(IF(X687="","",U687*X687),"")</f>
        <v/>
      </c>
    </row>
    <row r="688" spans="1:26" ht="18.75" customHeight="1">
      <c r="A688" s="140"/>
      <c r="B688" s="140"/>
      <c r="D688" s="172" t="s">
        <v>240</v>
      </c>
      <c r="E688" s="407" t="str">
        <f ca="1">_xlfn.IFNA(VLOOKUP(F685,BEGIN_CURRENT_DENTAL:END_CURRENT_DENTAL,CURRENT_COL_EC_count,FALSE),"")</f>
        <v/>
      </c>
      <c r="F688" s="408" t="str">
        <f ca="1">_xlfn.IFNA(VLOOKUP(F685,BEGIN_CURRENT_DENTAL:END_CURRENT_DENTAL,CURRENT_COL_EC,FALSE),"")</f>
        <v/>
      </c>
      <c r="G688" s="468" t="str">
        <f t="shared" ca="1" si="72"/>
        <v/>
      </c>
      <c r="H688" s="408" t="str">
        <f ca="1">_xlfn.IFNA(VLOOKUP(F685,BEGIN_CURRENT_DENTAL:END_CURRENT_DENTAL,CURRENT_COL_ECContrib,FALSE),"")</f>
        <v/>
      </c>
      <c r="I688" s="409" t="str">
        <f t="shared" ca="1" si="73"/>
        <v/>
      </c>
      <c r="J688" s="410" t="str">
        <f ca="1">IF(F688="","",H688*E688)</f>
        <v/>
      </c>
      <c r="K688" s="411"/>
      <c r="L688" s="408" t="str" cm="1">
        <f t="array" ca="1" aca="1" ref="L688">_xlfn.IFNA(VLOOKUP(INDIRECT("L"&amp;ROW()-3)&amp;"_"&amp;$D$12,BEGIN_Renew_Dental:END_RENEW_DENTAL,RENEW_COL_EC,FALSE),"")</f>
        <v/>
      </c>
      <c r="M688" s="412" t="str">
        <f ca="1">IF(E688="","",E688)</f>
        <v/>
      </c>
      <c r="N688" s="413"/>
      <c r="O688" s="414"/>
      <c r="P688" s="415" t="str">
        <f>IFERROR(IF($N685="Keep Contribution Same",H688,IF($N685="Enter Percentages",IF(N688="","",N688*L688),IF($N685="Keep Percentage Same",IF(G688="","",G688*L688),IF($N685="Enter Dollar Amount",IF(O688="","",O688),"")))),"")</f>
        <v/>
      </c>
      <c r="Q688" s="408" t="str">
        <f ca="1">IFERROR(L688-P688,"")</f>
        <v/>
      </c>
      <c r="R688" s="410" t="str">
        <f>IFERROR(IF(P688="","",M688*P688),"")</f>
        <v/>
      </c>
      <c r="S688" s="411"/>
      <c r="T688" s="408" t="str" cm="1">
        <f t="array" ca="1" aca="1" ref="T688">_xlfn.IFNA(VLOOKUP(INDIRECT("T"&amp;ROW()-3)&amp;"_"&amp;$D$12,BEGIN_Renew_Dental:END_RENEW_DENTAL,RENEW_COL_EC,FALSE),"")</f>
        <v/>
      </c>
      <c r="U688" s="412" t="str">
        <f t="shared" ca="1" si="74"/>
        <v/>
      </c>
      <c r="V688" s="413"/>
      <c r="W688" s="414"/>
      <c r="X688" s="415" t="str">
        <f>IFERROR(IF($V685="Keep Contribution Same",H688,IF($V685="Enter Percentages",IF(V688="","",V688*T688),IF($V685="Keep Percentage Same",IF(G688="","",G688*T688),IF($V685="Enter Dollar Amount",IF(W688="","",W688),"")))),"")</f>
        <v/>
      </c>
      <c r="Y688" s="408" t="str">
        <f t="shared" ca="1" si="75"/>
        <v/>
      </c>
      <c r="Z688" s="410" t="str">
        <f t="shared" si="76"/>
        <v/>
      </c>
    </row>
    <row r="689" spans="1:26" ht="18.75" customHeight="1" thickBot="1">
      <c r="A689" s="140"/>
      <c r="B689" s="140"/>
      <c r="D689" s="174" t="s">
        <v>241</v>
      </c>
      <c r="E689" s="416" t="str">
        <f ca="1">_xlfn.IFNA(VLOOKUP(F685,BEGIN_CURRENT_DENTAL:END_CURRENT_DENTAL,CURRENT_COL_FAM_count,FALSE),"")</f>
        <v/>
      </c>
      <c r="F689" s="417" t="str">
        <f ca="1">_xlfn.IFNA(VLOOKUP(F685,BEGIN_CURRENT_DENTAL:END_CURRENT_DENTAL,CURRENT_COL_FAM,FALSE),"")</f>
        <v/>
      </c>
      <c r="G689" s="469" t="str">
        <f t="shared" ca="1" si="72"/>
        <v/>
      </c>
      <c r="H689" s="417" t="str">
        <f ca="1">_xlfn.IFNA(VLOOKUP(F685,BEGIN_CURRENT_DENTAL:END_CURRENT_DENTAL,CURRENT_COL_FAMContrib,FALSE),"")</f>
        <v/>
      </c>
      <c r="I689" s="418" t="str">
        <f t="shared" ca="1" si="73"/>
        <v/>
      </c>
      <c r="J689" s="419" t="str">
        <f ca="1">IF(F689="","",H689*E689)</f>
        <v/>
      </c>
      <c r="K689" s="411"/>
      <c r="L689" s="417" t="str" cm="1">
        <f t="array" ca="1" aca="1" ref="L689">_xlfn.IFNA(VLOOKUP(INDIRECT("L"&amp;ROW()-4)&amp;"_"&amp;$D$12,BEGIN_Renew_Dental:END_RENEW_DENTAL,RENEW_COL_FAM,FALSE),"")</f>
        <v/>
      </c>
      <c r="M689" s="423" t="str">
        <f ca="1">IF(E689="","",E689)</f>
        <v/>
      </c>
      <c r="N689" s="420"/>
      <c r="O689" s="421"/>
      <c r="P689" s="422" t="str">
        <f>IFERROR(IF($N685="Keep Contribution Same",H689,IF($N685="Enter Percentages",IF(N689="","",N689*L689),IF($N685="Keep Percentage Same",IF(G689="","",G689*L689),IF($N685="Enter Dollar Amount",IF(O689="","",O689),"")))),"")</f>
        <v/>
      </c>
      <c r="Q689" s="417" t="str">
        <f ca="1">IFERROR(L689-P689,"")</f>
        <v/>
      </c>
      <c r="R689" s="419" t="str">
        <f>IFERROR(IF(P689="","",M689*P689),"")</f>
        <v/>
      </c>
      <c r="S689" s="411"/>
      <c r="T689" s="417" t="str" cm="1">
        <f t="array" ca="1" aca="1" ref="T689">_xlfn.IFNA(VLOOKUP(INDIRECT("T"&amp;ROW()-4)&amp;"_"&amp;$D$12,BEGIN_Renew_Dental:END_RENEW_DENTAL,RENEW_COL_FAM,FALSE),"")</f>
        <v/>
      </c>
      <c r="U689" s="423" t="str">
        <f t="shared" ca="1" si="74"/>
        <v/>
      </c>
      <c r="V689" s="420"/>
      <c r="W689" s="421"/>
      <c r="X689" s="422" t="str">
        <f>IFERROR(IF($V685="Keep Contribution Same",H689,IF($V685="Enter Percentages",IF(V689="","",V689*T689),IF($V685="Keep Percentage Same",IF(G689="","",G689*T689),IF($V685="Enter Dollar Amount",IF(W689="","",W689),"")))),"")</f>
        <v/>
      </c>
      <c r="Y689" s="417" t="str">
        <f t="shared" ca="1" si="75"/>
        <v/>
      </c>
      <c r="Z689" s="419" t="str">
        <f t="shared" si="76"/>
        <v/>
      </c>
    </row>
    <row r="690" spans="1:26" ht="18.75" customHeight="1" thickTop="1">
      <c r="A690" s="140"/>
      <c r="B690" s="140"/>
      <c r="D690" s="175" t="s">
        <v>242</v>
      </c>
      <c r="E690" s="424"/>
      <c r="F690" s="427"/>
      <c r="G690" s="426"/>
      <c r="H690" s="427"/>
      <c r="I690" s="428"/>
      <c r="J690" s="429" t="str">
        <f ca="1">IFERROR(IF(J686="","",SUM(J686:J689)),0)</f>
        <v/>
      </c>
      <c r="K690" s="1"/>
      <c r="L690" s="424"/>
      <c r="M690" s="427"/>
      <c r="N690" s="426"/>
      <c r="O690" s="427"/>
      <c r="P690" s="431"/>
      <c r="Q690" s="432"/>
      <c r="R690" s="429" t="str">
        <f>IFERROR(IF(R686="","",SUM(R686:R689)),0)</f>
        <v/>
      </c>
      <c r="T690" s="424"/>
      <c r="U690" s="427"/>
      <c r="V690" s="426"/>
      <c r="W690" s="427"/>
      <c r="X690" s="431"/>
      <c r="Y690" s="432"/>
      <c r="Z690" s="429" t="str">
        <f>IFERROR(IF(Z686="","",SUM(Z686:Z689)),0)</f>
        <v/>
      </c>
    </row>
    <row r="691" spans="1:26" ht="18.75" customHeight="1">
      <c r="A691" s="140"/>
      <c r="B691" s="140"/>
      <c r="D691" s="177" t="s">
        <v>243</v>
      </c>
      <c r="E691" s="433"/>
      <c r="F691" s="436"/>
      <c r="G691" s="435"/>
      <c r="H691" s="436"/>
      <c r="I691" s="432"/>
      <c r="J691" s="437" t="str">
        <f ca="1">IF(J690="","",J690*12)</f>
        <v/>
      </c>
      <c r="K691" s="1"/>
      <c r="L691" s="433"/>
      <c r="M691" s="436"/>
      <c r="N691" s="435"/>
      <c r="O691" s="436"/>
      <c r="P691" s="432"/>
      <c r="Q691" s="432"/>
      <c r="R691" s="437" t="str">
        <f>IF(R690="","",R690*12)</f>
        <v/>
      </c>
      <c r="T691" s="433"/>
      <c r="U691" s="436"/>
      <c r="V691" s="435"/>
      <c r="W691" s="436"/>
      <c r="X691" s="432"/>
      <c r="Y691" s="432"/>
      <c r="Z691" s="437" t="str">
        <f>IF(Z690="","",Z690*12)</f>
        <v/>
      </c>
    </row>
    <row r="692" spans="1:26" ht="18" customHeight="1">
      <c r="A692" s="140"/>
      <c r="B692" s="140"/>
      <c r="D692" s="177" t="s">
        <v>244</v>
      </c>
      <c r="E692" s="433"/>
      <c r="F692" s="436"/>
      <c r="G692" s="435"/>
      <c r="H692" s="436"/>
      <c r="I692" s="432"/>
      <c r="J692" s="437"/>
      <c r="K692" s="1"/>
      <c r="L692" s="433"/>
      <c r="M692" s="436"/>
      <c r="N692" s="435"/>
      <c r="O692" s="436"/>
      <c r="P692" s="432"/>
      <c r="Q692" s="432"/>
      <c r="R692" s="437" t="str">
        <f ca="1">IFERROR(IF(J691="","",R691-J691),0)</f>
        <v/>
      </c>
      <c r="T692" s="433"/>
      <c r="U692" s="436"/>
      <c r="V692" s="435"/>
      <c r="W692" s="436"/>
      <c r="X692" s="432"/>
      <c r="Y692" s="432"/>
      <c r="Z692" s="437" t="str">
        <f>IFERROR(IF(R691="","",Z691-R691),0)</f>
        <v/>
      </c>
    </row>
    <row r="693" spans="1:26" ht="18" customHeight="1" thickBot="1">
      <c r="A693" s="140"/>
      <c r="B693" s="140"/>
      <c r="D693" s="180" t="s">
        <v>245</v>
      </c>
      <c r="E693" s="439"/>
      <c r="F693" s="440"/>
      <c r="G693" s="441"/>
      <c r="H693" s="440"/>
      <c r="I693" s="442"/>
      <c r="J693" s="437"/>
      <c r="K693" s="1"/>
      <c r="L693" s="439"/>
      <c r="M693" s="440"/>
      <c r="N693" s="441"/>
      <c r="O693" s="440"/>
      <c r="P693" s="445"/>
      <c r="Q693" s="445"/>
      <c r="R693" s="446" t="str">
        <f ca="1">IFERROR(IF(J691="","",(R691/J691)-1),0)</f>
        <v/>
      </c>
      <c r="T693" s="439"/>
      <c r="U693" s="440"/>
      <c r="V693" s="441"/>
      <c r="W693" s="440"/>
      <c r="X693" s="445"/>
      <c r="Y693" s="445"/>
      <c r="Z693" s="446" t="str">
        <f>IFERROR(IF(R691="","",(Z691/R691)-1),0)</f>
        <v/>
      </c>
    </row>
    <row r="694" spans="1:26" ht="5.25" customHeight="1" thickBot="1">
      <c r="A694" s="140"/>
      <c r="B694" s="140"/>
      <c r="D694" s="229"/>
      <c r="E694" s="229"/>
      <c r="F694" s="230"/>
      <c r="G694" s="231"/>
      <c r="H694" s="232"/>
      <c r="I694" s="233"/>
      <c r="J694" s="233"/>
      <c r="K694"/>
      <c r="L694" s="233"/>
      <c r="M694" s="233"/>
      <c r="N694" s="233"/>
      <c r="O694" s="233"/>
      <c r="P694" s="233"/>
      <c r="Q694" s="233"/>
      <c r="R694" s="233"/>
      <c r="T694" s="233"/>
      <c r="U694" s="233"/>
      <c r="V694" s="233"/>
      <c r="W694" s="233"/>
      <c r="X694" s="233"/>
      <c r="Y694" s="233"/>
      <c r="Z694" s="233"/>
    </row>
    <row r="695" spans="1:26" ht="50.15" customHeight="1">
      <c r="A695" s="140">
        <v>4</v>
      </c>
      <c r="B695" s="140" t="str">
        <f>IF(A695&gt;Class5_CurrentDentalCount,"DELETE",Class5_CurrentDentalStart+A695)</f>
        <v>DELETE</v>
      </c>
      <c r="C695" s="164" t="s">
        <v>292</v>
      </c>
      <c r="D695" s="273" t="str">
        <f>IF(B695="Delete","",VLOOKUP(F695,BEGIN_CURRENT_DENTAL:END_CURRENT_DENTAL,3,FALSE))</f>
        <v/>
      </c>
      <c r="E695" s="165"/>
      <c r="F695" s="272" t="str" cm="1">
        <f t="array" ca="1" aca="1" ref="F695">IF(B695="Delete","",INDIRECT("CurrentPlans!A"&amp;B695,TRUE))</f>
        <v/>
      </c>
      <c r="G695" s="166"/>
      <c r="H695" s="167"/>
      <c r="I695" s="168"/>
      <c r="J695" s="169"/>
      <c r="K695"/>
      <c r="L695" s="274" t="str">
        <f ca="1">_xlfn.IFNA(VLOOKUP(F695,BEGIN_RENEWEDFROM_DENTAL:ROW_RenewDental_PlanID,3,FALSE),"SELECT PLAN")</f>
        <v>SELECT PLAN</v>
      </c>
      <c r="M695" s="170"/>
      <c r="N695" s="274" t="s">
        <v>237</v>
      </c>
      <c r="O695" s="171"/>
      <c r="P695" s="171"/>
      <c r="Q695" s="171"/>
      <c r="R695" s="169"/>
      <c r="T695" s="274" t="s">
        <v>38</v>
      </c>
      <c r="U695" s="170"/>
      <c r="V695" s="274" t="s">
        <v>237</v>
      </c>
      <c r="W695" s="171"/>
      <c r="X695" s="171"/>
      <c r="Y695" s="171"/>
      <c r="Z695" s="169"/>
    </row>
    <row r="696" spans="1:26" ht="18.75" customHeight="1">
      <c r="A696" s="140"/>
      <c r="B696" s="140"/>
      <c r="D696" s="172" t="s">
        <v>238</v>
      </c>
      <c r="E696" s="407" t="str">
        <f ca="1">_xlfn.IFNA(VLOOKUP(F695,BEGIN_CURRENT_DENTAL:END_CURRENT_DENTAL,CURRENT_COL_EO_count,FALSE),"")</f>
        <v/>
      </c>
      <c r="F696" s="408" t="str">
        <f ca="1">_xlfn.IFNA(VLOOKUP(F695,BEGIN_CURRENT_DENTAL:END_CURRENT_DENTAL,CURRENT_COL_EO,FALSE),"")</f>
        <v/>
      </c>
      <c r="G696" s="468" t="str">
        <f ca="1" t="shared" si="77" ref="G696:G699">IF(F696="","",H696/F696)</f>
        <v/>
      </c>
      <c r="H696" s="408" t="str">
        <f ca="1">_xlfn.IFNA(VLOOKUP(F695,BEGIN_CURRENT_DENTAL:END_CURRENT_DENTAL,CURRENT_COL_EOContrib,FALSE),"")</f>
        <v/>
      </c>
      <c r="I696" s="409" t="str">
        <f ca="1">IFERROR(F696-H696,"")</f>
        <v/>
      </c>
      <c r="J696" s="410" t="str">
        <f ca="1">IF(F696="","",H696*E696)</f>
        <v/>
      </c>
      <c r="K696" s="411"/>
      <c r="L696" s="408" t="str" cm="1">
        <f t="array" ca="1" aca="1" ref="L696">_xlfn.IFNA(VLOOKUP(INDIRECT("L"&amp;ROW()-1)&amp;"_"&amp;$D$12,BEGIN_Renew_Dental:END_RENEW_DENTAL,RENEW_COL_EO,FALSE),"")</f>
        <v/>
      </c>
      <c r="M696" s="412" t="str">
        <f ca="1">IF(E696="","",E696)</f>
        <v/>
      </c>
      <c r="N696" s="413"/>
      <c r="O696" s="414"/>
      <c r="P696" s="415" t="str">
        <f>IFERROR(IF($N695="Keep Contribution Same",H696,IF($N695="Enter Percentages",IF(N696="","",N696*L696),IF($N695="Keep Percentage Same",IF(G696="","",G696*L696),IF($N695="Enter Dollar Amount",IF(O696="","",O696),"")))),"")</f>
        <v/>
      </c>
      <c r="Q696" s="408" t="str">
        <f ca="1">IFERROR(L696-P696,"")</f>
        <v/>
      </c>
      <c r="R696" s="410" t="str">
        <f>IFERROR(IF(P696="","",M696*P696),"")</f>
        <v/>
      </c>
      <c r="S696" s="411"/>
      <c r="T696" s="408" t="str" cm="1">
        <f t="array" ca="1" aca="1" ref="T696">_xlfn.IFNA(VLOOKUP(INDIRECT("T"&amp;ROW()-1)&amp;"_"&amp;$D$12,BEGIN_Renew_Dental:END_RENEW_DENTAL,RENEW_COL_EO,FALSE),"")</f>
        <v/>
      </c>
      <c r="U696" s="412" t="str">
        <f ca="1">IF(E696="","",E696)</f>
        <v/>
      </c>
      <c r="V696" s="413"/>
      <c r="W696" s="414"/>
      <c r="X696" s="415" t="str">
        <f>IFERROR(IF($V695="Keep Contribution Same",H696,IF($V695="Enter Percentages",IF(V696="","",V696*T696),IF($V695="Keep Percentage Same",IF(G696="","",G696*T696),IF($V695="Enter Dollar Amount",IF(W696="","",W696),"")))),"")</f>
        <v/>
      </c>
      <c r="Y696" s="408" t="str">
        <f ca="1">IFERROR(T696-X696,"")</f>
        <v/>
      </c>
      <c r="Z696" s="410" t="str">
        <f>IFERROR(IF(X696="","",U696*X696),"")</f>
        <v/>
      </c>
    </row>
    <row r="697" spans="1:26" ht="18.75" customHeight="1">
      <c r="A697" s="140"/>
      <c r="B697" s="140"/>
      <c r="D697" s="172" t="s">
        <v>239</v>
      </c>
      <c r="E697" s="407" t="str">
        <f ca="1">_xlfn.IFNA(VLOOKUP(F695,BEGIN_CURRENT_DENTAL:END_CURRENT_DENTAL,CURRENT_COL_ES_count,FALSE),"")</f>
        <v/>
      </c>
      <c r="F697" s="408" t="str">
        <f ca="1">_xlfn.IFNA(VLOOKUP(F695,BEGIN_CURRENT_DENTAL:END_CURRENT_DENTAL,CURRENT_COL_ES,FALSE),"")</f>
        <v/>
      </c>
      <c r="G697" s="468" t="str">
        <f t="shared" ca="1" si="77"/>
        <v/>
      </c>
      <c r="H697" s="408" t="str">
        <f ca="1">_xlfn.IFNA(VLOOKUP(F695,BEGIN_CURRENT_DENTAL:END_CURRENT_DENTAL,CURRENT_COL_ESContrib,FALSE),"")</f>
        <v/>
      </c>
      <c r="I697" s="409" t="str">
        <f ca="1" t="shared" si="78" ref="I697:I699">IFERROR(F697-H697,"")</f>
        <v/>
      </c>
      <c r="J697" s="410" t="str">
        <f ca="1">IF(F697="","",H697*E697)</f>
        <v/>
      </c>
      <c r="K697" s="411"/>
      <c r="L697" s="408" t="str" cm="1">
        <f t="array" ca="1" aca="1" ref="L697">_xlfn.IFNA(VLOOKUP(INDIRECT("L"&amp;ROW()-2)&amp;"_"&amp;$D$12,BEGIN_Renew_Dental:END_RENEW_DENTAL,RENEW_COL_ES,FALSE),"")</f>
        <v/>
      </c>
      <c r="M697" s="412" t="str">
        <f ca="1">IF(E697="","",E697)</f>
        <v/>
      </c>
      <c r="N697" s="413"/>
      <c r="O697" s="414"/>
      <c r="P697" s="415" t="str">
        <f>IFERROR(IF($N695="Keep Contribution Same",H697,IF($N695="Enter Percentages",IF(N697="","",N697*L697),IF($N695="Keep Percentage Same",IF(G697="","",G697*L697),IF($N695="Enter Dollar Amount",IF(O697="","",O697),"")))),"")</f>
        <v/>
      </c>
      <c r="Q697" s="408" t="str">
        <f ca="1">IFERROR(L697-P697,"")</f>
        <v/>
      </c>
      <c r="R697" s="410" t="str">
        <f>IFERROR(IF(P697="","",M697*P697),"")</f>
        <v/>
      </c>
      <c r="S697" s="411"/>
      <c r="T697" s="408" t="str" cm="1">
        <f t="array" ca="1" aca="1" ref="T697">_xlfn.IFNA(VLOOKUP(INDIRECT("T"&amp;ROW()-2)&amp;"_"&amp;$D$12,BEGIN_Renew_Dental:END_RENEW_DENTAL,RENEW_COL_ES,FALSE),"")</f>
        <v/>
      </c>
      <c r="U697" s="412" t="str">
        <f ca="1" t="shared" si="79" ref="U697:U699">IF(E697="","",E697)</f>
        <v/>
      </c>
      <c r="V697" s="413"/>
      <c r="W697" s="414"/>
      <c r="X697" s="415" t="str">
        <f>IFERROR(IF($V695="Keep Contribution Same",H697,IF($V695="Enter Percentages",IF(V697="","",V697*T697),IF($V695="Keep Percentage Same",IF(G697="","",G697*T697),IF($V695="Enter Dollar Amount",IF(W697="","",W697),"")))),"")</f>
        <v/>
      </c>
      <c r="Y697" s="408" t="str">
        <f ca="1" t="shared" si="80" ref="Y697:Y699">IFERROR(T697-X697,"")</f>
        <v/>
      </c>
      <c r="Z697" s="410" t="str">
        <f t="shared" si="81" ref="Z697:Z699">IFERROR(IF(X697="","",U697*X697),"")</f>
        <v/>
      </c>
    </row>
    <row r="698" spans="1:26" ht="18.75" customHeight="1">
      <c r="A698" s="140"/>
      <c r="B698" s="140"/>
      <c r="D698" s="172" t="s">
        <v>240</v>
      </c>
      <c r="E698" s="407" t="str">
        <f ca="1">_xlfn.IFNA(VLOOKUP(F695,BEGIN_CURRENT_DENTAL:END_CURRENT_DENTAL,CURRENT_COL_EC_count,FALSE),"")</f>
        <v/>
      </c>
      <c r="F698" s="408" t="str">
        <f ca="1">_xlfn.IFNA(VLOOKUP(F695,BEGIN_CURRENT_DENTAL:END_CURRENT_DENTAL,CURRENT_COL_EC,FALSE),"")</f>
        <v/>
      </c>
      <c r="G698" s="468" t="str">
        <f t="shared" ca="1" si="77"/>
        <v/>
      </c>
      <c r="H698" s="408" t="str">
        <f ca="1">_xlfn.IFNA(VLOOKUP(F695,BEGIN_CURRENT_DENTAL:END_CURRENT_DENTAL,CURRENT_COL_ECContrib,FALSE),"")</f>
        <v/>
      </c>
      <c r="I698" s="409" t="str">
        <f t="shared" ca="1" si="78"/>
        <v/>
      </c>
      <c r="J698" s="410" t="str">
        <f ca="1">IF(F698="","",H698*E698)</f>
        <v/>
      </c>
      <c r="K698" s="411"/>
      <c r="L698" s="408" t="str" cm="1">
        <f t="array" ca="1" aca="1" ref="L698">_xlfn.IFNA(VLOOKUP(INDIRECT("L"&amp;ROW()-3)&amp;"_"&amp;$D$12,BEGIN_Renew_Dental:END_RENEW_DENTAL,RENEW_COL_EC,FALSE),"")</f>
        <v/>
      </c>
      <c r="M698" s="412" t="str">
        <f ca="1">IF(E698="","",E698)</f>
        <v/>
      </c>
      <c r="N698" s="413"/>
      <c r="O698" s="414"/>
      <c r="P698" s="415" t="str">
        <f>IFERROR(IF($N695="Keep Contribution Same",H698,IF($N695="Enter Percentages",IF(N698="","",N698*L698),IF($N695="Keep Percentage Same",IF(G698="","",G698*L698),IF($N695="Enter Dollar Amount",IF(O698="","",O698),"")))),"")</f>
        <v/>
      </c>
      <c r="Q698" s="408" t="str">
        <f ca="1">IFERROR(L698-P698,"")</f>
        <v/>
      </c>
      <c r="R698" s="410" t="str">
        <f>IFERROR(IF(P698="","",M698*P698),"")</f>
        <v/>
      </c>
      <c r="S698" s="411"/>
      <c r="T698" s="408" t="str" cm="1">
        <f t="array" ca="1" aca="1" ref="T698">_xlfn.IFNA(VLOOKUP(INDIRECT("T"&amp;ROW()-3)&amp;"_"&amp;$D$12,BEGIN_Renew_Dental:END_RENEW_DENTAL,RENEW_COL_EC,FALSE),"")</f>
        <v/>
      </c>
      <c r="U698" s="412" t="str">
        <f t="shared" ca="1" si="79"/>
        <v/>
      </c>
      <c r="V698" s="413"/>
      <c r="W698" s="414"/>
      <c r="X698" s="415" t="str">
        <f>IFERROR(IF($V695="Keep Contribution Same",H698,IF($V695="Enter Percentages",IF(V698="","",V698*T698),IF($V695="Keep Percentage Same",IF(G698="","",G698*T698),IF($V695="Enter Dollar Amount",IF(W698="","",W698),"")))),"")</f>
        <v/>
      </c>
      <c r="Y698" s="408" t="str">
        <f t="shared" ca="1" si="80"/>
        <v/>
      </c>
      <c r="Z698" s="410" t="str">
        <f t="shared" si="81"/>
        <v/>
      </c>
    </row>
    <row r="699" spans="1:26" ht="18.75" customHeight="1" thickBot="1">
      <c r="A699" s="140"/>
      <c r="B699" s="140"/>
      <c r="D699" s="174" t="s">
        <v>241</v>
      </c>
      <c r="E699" s="416" t="str">
        <f ca="1">_xlfn.IFNA(VLOOKUP(F695,BEGIN_CURRENT_DENTAL:END_CURRENT_DENTAL,CURRENT_COL_FAM_count,FALSE),"")</f>
        <v/>
      </c>
      <c r="F699" s="417" t="str">
        <f ca="1">_xlfn.IFNA(VLOOKUP(F695,BEGIN_CURRENT_DENTAL:END_CURRENT_DENTAL,CURRENT_COL_FAM,FALSE),"")</f>
        <v/>
      </c>
      <c r="G699" s="469" t="str">
        <f t="shared" ca="1" si="77"/>
        <v/>
      </c>
      <c r="H699" s="417" t="str">
        <f ca="1">_xlfn.IFNA(VLOOKUP(F695,BEGIN_CURRENT_DENTAL:END_CURRENT_DENTAL,CURRENT_COL_FAMContrib,FALSE),"")</f>
        <v/>
      </c>
      <c r="I699" s="418" t="str">
        <f t="shared" ca="1" si="78"/>
        <v/>
      </c>
      <c r="J699" s="419" t="str">
        <f ca="1">IF(F699="","",H699*E699)</f>
        <v/>
      </c>
      <c r="K699" s="411"/>
      <c r="L699" s="417" t="str" cm="1">
        <f t="array" ca="1" aca="1" ref="L699">_xlfn.IFNA(VLOOKUP(INDIRECT("L"&amp;ROW()-4)&amp;"_"&amp;$D$12,BEGIN_Renew_Dental:END_RENEW_DENTAL,RENEW_COL_FAM,FALSE),"")</f>
        <v/>
      </c>
      <c r="M699" s="423" t="str">
        <f ca="1">IF(E699="","",E699)</f>
        <v/>
      </c>
      <c r="N699" s="420"/>
      <c r="O699" s="421"/>
      <c r="P699" s="422" t="str">
        <f>IFERROR(IF($N695="Keep Contribution Same",H699,IF($N695="Enter Percentages",IF(N699="","",N699*L699),IF($N695="Keep Percentage Same",IF(G699="","",G699*L699),IF($N695="Enter Dollar Amount",IF(O699="","",O699),"")))),"")</f>
        <v/>
      </c>
      <c r="Q699" s="417" t="str">
        <f ca="1">IFERROR(L699-P699,"")</f>
        <v/>
      </c>
      <c r="R699" s="419" t="str">
        <f>IFERROR(IF(P699="","",M699*P699),"")</f>
        <v/>
      </c>
      <c r="S699" s="411"/>
      <c r="T699" s="417" t="str" cm="1">
        <f t="array" ca="1" aca="1" ref="T699">_xlfn.IFNA(VLOOKUP(INDIRECT("T"&amp;ROW()-4)&amp;"_"&amp;$D$12,BEGIN_Renew_Dental:END_RENEW_DENTAL,RENEW_COL_FAM,FALSE),"")</f>
        <v/>
      </c>
      <c r="U699" s="423" t="str">
        <f t="shared" ca="1" si="79"/>
        <v/>
      </c>
      <c r="V699" s="420"/>
      <c r="W699" s="421"/>
      <c r="X699" s="422" t="str">
        <f>IFERROR(IF($V695="Keep Contribution Same",H699,IF($V695="Enter Percentages",IF(V699="","",V699*T699),IF($V695="Keep Percentage Same",IF(G699="","",G699*T699),IF($V695="Enter Dollar Amount",IF(W699="","",W699),"")))),"")</f>
        <v/>
      </c>
      <c r="Y699" s="417" t="str">
        <f t="shared" ca="1" si="80"/>
        <v/>
      </c>
      <c r="Z699" s="419" t="str">
        <f t="shared" si="81"/>
        <v/>
      </c>
    </row>
    <row r="700" spans="1:26" ht="18.75" customHeight="1" thickTop="1">
      <c r="A700" s="140"/>
      <c r="B700" s="140"/>
      <c r="D700" s="175" t="s">
        <v>242</v>
      </c>
      <c r="E700" s="424"/>
      <c r="F700" s="427"/>
      <c r="G700" s="426"/>
      <c r="H700" s="427"/>
      <c r="I700" s="428"/>
      <c r="J700" s="429" t="str">
        <f ca="1">IFERROR(IF(J696="","",SUM(J696:J699)),0)</f>
        <v/>
      </c>
      <c r="K700" s="1"/>
      <c r="L700" s="424"/>
      <c r="M700" s="427"/>
      <c r="N700" s="426"/>
      <c r="O700" s="427"/>
      <c r="P700" s="431"/>
      <c r="Q700" s="432"/>
      <c r="R700" s="429" t="str">
        <f>IFERROR(IF(R696="","",SUM(R696:R699)),0)</f>
        <v/>
      </c>
      <c r="T700" s="424"/>
      <c r="U700" s="427"/>
      <c r="V700" s="426"/>
      <c r="W700" s="427"/>
      <c r="X700" s="431"/>
      <c r="Y700" s="432"/>
      <c r="Z700" s="429" t="str">
        <f>IFERROR(IF(Z696="","",SUM(Z696:Z699)),0)</f>
        <v/>
      </c>
    </row>
    <row r="701" spans="1:26" ht="18.75" customHeight="1">
      <c r="A701" s="140"/>
      <c r="B701" s="140"/>
      <c r="D701" s="177" t="s">
        <v>243</v>
      </c>
      <c r="E701" s="433"/>
      <c r="F701" s="436"/>
      <c r="G701" s="435"/>
      <c r="H701" s="436"/>
      <c r="I701" s="432"/>
      <c r="J701" s="437" t="str">
        <f ca="1">IF(J700="","",J700*12)</f>
        <v/>
      </c>
      <c r="K701" s="1"/>
      <c r="L701" s="433"/>
      <c r="M701" s="436"/>
      <c r="N701" s="435"/>
      <c r="O701" s="436"/>
      <c r="P701" s="432"/>
      <c r="Q701" s="432"/>
      <c r="R701" s="437" t="str">
        <f>IF(R700="","",R700*12)</f>
        <v/>
      </c>
      <c r="T701" s="433"/>
      <c r="U701" s="436"/>
      <c r="V701" s="435"/>
      <c r="W701" s="436"/>
      <c r="X701" s="432"/>
      <c r="Y701" s="432"/>
      <c r="Z701" s="437" t="str">
        <f>IF(Z700="","",Z700*12)</f>
        <v/>
      </c>
    </row>
    <row r="702" spans="1:26" ht="18" customHeight="1">
      <c r="A702" s="140"/>
      <c r="B702" s="140"/>
      <c r="D702" s="177" t="s">
        <v>244</v>
      </c>
      <c r="E702" s="433"/>
      <c r="F702" s="436"/>
      <c r="G702" s="435"/>
      <c r="H702" s="436"/>
      <c r="I702" s="432"/>
      <c r="J702" s="437"/>
      <c r="K702" s="1"/>
      <c r="L702" s="433"/>
      <c r="M702" s="436"/>
      <c r="N702" s="435"/>
      <c r="O702" s="436"/>
      <c r="P702" s="432"/>
      <c r="Q702" s="432"/>
      <c r="R702" s="437" t="str">
        <f ca="1">IFERROR(IF(J701="","",R701-J701),0)</f>
        <v/>
      </c>
      <c r="T702" s="433"/>
      <c r="U702" s="436"/>
      <c r="V702" s="435"/>
      <c r="W702" s="436"/>
      <c r="X702" s="432"/>
      <c r="Y702" s="432"/>
      <c r="Z702" s="437" t="str">
        <f>IFERROR(IF(R701="","",Z701-R701),0)</f>
        <v/>
      </c>
    </row>
    <row r="703" spans="1:26" ht="18" customHeight="1" thickBot="1">
      <c r="A703" s="140"/>
      <c r="B703" s="140"/>
      <c r="D703" s="180" t="s">
        <v>245</v>
      </c>
      <c r="E703" s="439"/>
      <c r="F703" s="440"/>
      <c r="G703" s="441"/>
      <c r="H703" s="440"/>
      <c r="I703" s="442"/>
      <c r="J703" s="437"/>
      <c r="K703" s="1"/>
      <c r="L703" s="439"/>
      <c r="M703" s="440"/>
      <c r="N703" s="441"/>
      <c r="O703" s="440"/>
      <c r="P703" s="445"/>
      <c r="Q703" s="445"/>
      <c r="R703" s="446" t="str">
        <f ca="1">IFERROR(IF(J701="","",(R701/J701)-1),0)</f>
        <v/>
      </c>
      <c r="T703" s="439"/>
      <c r="U703" s="440"/>
      <c r="V703" s="441"/>
      <c r="W703" s="440"/>
      <c r="X703" s="445"/>
      <c r="Y703" s="445"/>
      <c r="Z703" s="446" t="str">
        <f>IFERROR(IF(R701="","",(Z701/R701)-1),0)</f>
        <v/>
      </c>
    </row>
    <row r="704" spans="1:26" ht="5.25" customHeight="1" thickBot="1">
      <c r="A704" s="140"/>
      <c r="B704" s="140"/>
      <c r="D704" s="229"/>
      <c r="E704" s="229"/>
      <c r="F704" s="230"/>
      <c r="G704" s="231"/>
      <c r="H704" s="232"/>
      <c r="I704" s="233"/>
      <c r="J704" s="233"/>
      <c r="K704"/>
      <c r="L704" s="233"/>
      <c r="M704" s="233"/>
      <c r="N704" s="233"/>
      <c r="O704" s="233"/>
      <c r="P704" s="233"/>
      <c r="Q704" s="233"/>
      <c r="R704" s="233"/>
      <c r="T704" s="233"/>
      <c r="U704" s="233"/>
      <c r="V704" s="233"/>
      <c r="W704" s="233"/>
      <c r="X704" s="233"/>
      <c r="Y704" s="233"/>
      <c r="Z704" s="233"/>
    </row>
    <row r="705" spans="1:26" ht="50.15" customHeight="1">
      <c r="A705" s="140">
        <v>5</v>
      </c>
      <c r="B705" s="140" t="str">
        <f>IF(A705&gt;Class5_CurrentDentalCount,"DELETE",Class5_CurrentDentalStart+A705)</f>
        <v>DELETE</v>
      </c>
      <c r="C705" s="164" t="s">
        <v>293</v>
      </c>
      <c r="D705" s="273" t="str">
        <f>IF(B705="Delete","",VLOOKUP(F705,BEGIN_CURRENT_DENTAL:END_CURRENT_DENTAL,3,FALSE))</f>
        <v/>
      </c>
      <c r="E705" s="165"/>
      <c r="F705" s="272" t="str" cm="1">
        <f t="array" ca="1" aca="1" ref="F705">IF(B705="Delete","",INDIRECT("CurrentPlans!A"&amp;B705,TRUE))</f>
        <v/>
      </c>
      <c r="G705" s="166"/>
      <c r="H705" s="167"/>
      <c r="I705" s="168"/>
      <c r="J705" s="169"/>
      <c r="K705"/>
      <c r="L705" s="274" t="str">
        <f ca="1">_xlfn.IFNA(VLOOKUP(F705,BEGIN_RENEWEDFROM_DENTAL:ROW_RenewDental_PlanID,3,FALSE),"SELECT PLAN")</f>
        <v>SELECT PLAN</v>
      </c>
      <c r="M705" s="170"/>
      <c r="N705" s="274" t="s">
        <v>237</v>
      </c>
      <c r="O705" s="171"/>
      <c r="P705" s="171"/>
      <c r="Q705" s="171"/>
      <c r="R705" s="169"/>
      <c r="T705" s="274" t="s">
        <v>38</v>
      </c>
      <c r="U705" s="170"/>
      <c r="V705" s="274" t="s">
        <v>237</v>
      </c>
      <c r="W705" s="171"/>
      <c r="X705" s="171"/>
      <c r="Y705" s="171"/>
      <c r="Z705" s="169"/>
    </row>
    <row r="706" spans="1:26" ht="18.75" customHeight="1">
      <c r="A706" s="140"/>
      <c r="B706" s="140"/>
      <c r="D706" s="172" t="s">
        <v>238</v>
      </c>
      <c r="E706" s="407" t="str">
        <f ca="1">_xlfn.IFNA(VLOOKUP(F705,BEGIN_CURRENT_DENTAL:END_CURRENT_DENTAL,CURRENT_COL_EO_count,FALSE),"")</f>
        <v/>
      </c>
      <c r="F706" s="408" t="str">
        <f ca="1">_xlfn.IFNA(VLOOKUP(F705,BEGIN_CURRENT_DENTAL:END_CURRENT_DENTAL,CURRENT_COL_EO,FALSE),"")</f>
        <v/>
      </c>
      <c r="G706" s="468" t="str">
        <f ca="1" t="shared" si="82" ref="G706:G709">IF(F706="","",H706/F706)</f>
        <v/>
      </c>
      <c r="H706" s="408" t="str">
        <f ca="1">_xlfn.IFNA(VLOOKUP(F705,BEGIN_CURRENT_DENTAL:END_CURRENT_DENTAL,CURRENT_COL_EOContrib,FALSE),"")</f>
        <v/>
      </c>
      <c r="I706" s="409" t="str">
        <f ca="1">IFERROR(F706-H706,"")</f>
        <v/>
      </c>
      <c r="J706" s="410" t="str">
        <f ca="1">IF(F706="","",H706*E706)</f>
        <v/>
      </c>
      <c r="K706" s="411"/>
      <c r="L706" s="408" t="str" cm="1">
        <f t="array" ca="1" aca="1" ref="L706">_xlfn.IFNA(VLOOKUP(INDIRECT("L"&amp;ROW()-1)&amp;"_"&amp;$D$12,BEGIN_Renew_Dental:END_RENEW_DENTAL,RENEW_COL_EO,FALSE),"")</f>
        <v/>
      </c>
      <c r="M706" s="412" t="str">
        <f ca="1">IF(E706="","",E706)</f>
        <v/>
      </c>
      <c r="N706" s="413"/>
      <c r="O706" s="414"/>
      <c r="P706" s="415" t="str">
        <f>IFERROR(IF($N705="Keep Contribution Same",H706,IF($N705="Enter Percentages",IF(N706="","",N706*L706),IF($N705="Keep Percentage Same",IF(G706="","",G706*L706),IF($N705="Enter Dollar Amount",IF(O706="","",O706),"")))),"")</f>
        <v/>
      </c>
      <c r="Q706" s="408" t="str">
        <f ca="1">IFERROR(L706-P706,"")</f>
        <v/>
      </c>
      <c r="R706" s="410" t="str">
        <f>IFERROR(IF(P706="","",M706*P706),"")</f>
        <v/>
      </c>
      <c r="S706" s="411"/>
      <c r="T706" s="408" t="str" cm="1">
        <f t="array" ca="1" aca="1" ref="T706">_xlfn.IFNA(VLOOKUP(INDIRECT("T"&amp;ROW()-1)&amp;"_"&amp;$D$12,BEGIN_Renew_Dental:END_RENEW_DENTAL,RENEW_COL_EO,FALSE),"")</f>
        <v/>
      </c>
      <c r="U706" s="412" t="str">
        <f ca="1">IF(E706="","",E706)</f>
        <v/>
      </c>
      <c r="V706" s="413"/>
      <c r="W706" s="414"/>
      <c r="X706" s="415" t="str">
        <f>IFERROR(IF($V705="Keep Contribution Same",H706,IF($V705="Enter Percentages",IF(V706="","",V706*T706),IF($V705="Keep Percentage Same",IF(G706="","",G706*T706),IF($V705="Enter Dollar Amount",IF(W706="","",W706),"")))),"")</f>
        <v/>
      </c>
      <c r="Y706" s="408" t="str">
        <f ca="1">IFERROR(T706-X706,"")</f>
        <v/>
      </c>
      <c r="Z706" s="410" t="str">
        <f>IFERROR(IF(X706="","",U706*X706),"")</f>
        <v/>
      </c>
    </row>
    <row r="707" spans="1:26" ht="18.75" customHeight="1">
      <c r="A707" s="140"/>
      <c r="B707" s="140"/>
      <c r="D707" s="172" t="s">
        <v>239</v>
      </c>
      <c r="E707" s="407" t="str">
        <f ca="1">_xlfn.IFNA(VLOOKUP(F705,BEGIN_CURRENT_DENTAL:END_CURRENT_DENTAL,CURRENT_COL_ES_count,FALSE),"")</f>
        <v/>
      </c>
      <c r="F707" s="408" t="str">
        <f ca="1">_xlfn.IFNA(VLOOKUP(F705,BEGIN_CURRENT_DENTAL:END_CURRENT_DENTAL,CURRENT_COL_ES,FALSE),"")</f>
        <v/>
      </c>
      <c r="G707" s="468" t="str">
        <f t="shared" ca="1" si="82"/>
        <v/>
      </c>
      <c r="H707" s="408" t="str">
        <f ca="1">_xlfn.IFNA(VLOOKUP(F705,BEGIN_CURRENT_DENTAL:END_CURRENT_DENTAL,CURRENT_COL_ESContrib,FALSE),"")</f>
        <v/>
      </c>
      <c r="I707" s="409" t="str">
        <f ca="1" t="shared" si="83" ref="I707:I709">IFERROR(F707-H707,"")</f>
        <v/>
      </c>
      <c r="J707" s="410" t="str">
        <f ca="1">IF(F707="","",H707*E707)</f>
        <v/>
      </c>
      <c r="K707" s="411"/>
      <c r="L707" s="408" t="str" cm="1">
        <f t="array" ca="1" aca="1" ref="L707">_xlfn.IFNA(VLOOKUP(INDIRECT("L"&amp;ROW()-2)&amp;"_"&amp;$D$12,BEGIN_Renew_Dental:END_RENEW_DENTAL,RENEW_COL_ES,FALSE),"")</f>
        <v/>
      </c>
      <c r="M707" s="412" t="str">
        <f ca="1">IF(E707="","",E707)</f>
        <v/>
      </c>
      <c r="N707" s="413"/>
      <c r="O707" s="414"/>
      <c r="P707" s="415" t="str">
        <f>IFERROR(IF($N705="Keep Contribution Same",H707,IF($N705="Enter Percentages",IF(N707="","",N707*L707),IF($N705="Keep Percentage Same",IF(G707="","",G707*L707),IF($N705="Enter Dollar Amount",IF(O707="","",O707),"")))),"")</f>
        <v/>
      </c>
      <c r="Q707" s="408" t="str">
        <f ca="1">IFERROR(L707-P707,"")</f>
        <v/>
      </c>
      <c r="R707" s="410" t="str">
        <f>IFERROR(IF(P707="","",M707*P707),"")</f>
        <v/>
      </c>
      <c r="S707" s="411"/>
      <c r="T707" s="408" t="str" cm="1">
        <f t="array" ca="1" aca="1" ref="T707">_xlfn.IFNA(VLOOKUP(INDIRECT("T"&amp;ROW()-2)&amp;"_"&amp;$D$12,BEGIN_Renew_Dental:END_RENEW_DENTAL,RENEW_COL_ES,FALSE),"")</f>
        <v/>
      </c>
      <c r="U707" s="412" t="str">
        <f ca="1" t="shared" si="84" ref="U707:U709">IF(E707="","",E707)</f>
        <v/>
      </c>
      <c r="V707" s="413"/>
      <c r="W707" s="414"/>
      <c r="X707" s="415" t="str">
        <f>IFERROR(IF($V705="Keep Contribution Same",H707,IF($V705="Enter Percentages",IF(V707="","",V707*T707),IF($V705="Keep Percentage Same",IF(G707="","",G707*T707),IF($V705="Enter Dollar Amount",IF(W707="","",W707),"")))),"")</f>
        <v/>
      </c>
      <c r="Y707" s="408" t="str">
        <f ca="1" t="shared" si="85" ref="Y707:Y709">IFERROR(T707-X707,"")</f>
        <v/>
      </c>
      <c r="Z707" s="410" t="str">
        <f t="shared" si="86" ref="Z707:Z709">IFERROR(IF(X707="","",U707*X707),"")</f>
        <v/>
      </c>
    </row>
    <row r="708" spans="1:26" ht="18.75" customHeight="1">
      <c r="A708" s="140"/>
      <c r="B708" s="140"/>
      <c r="D708" s="172" t="s">
        <v>240</v>
      </c>
      <c r="E708" s="407" t="str">
        <f ca="1">_xlfn.IFNA(VLOOKUP(F705,BEGIN_CURRENT_DENTAL:END_CURRENT_DENTAL,CURRENT_COL_EC_count,FALSE),"")</f>
        <v/>
      </c>
      <c r="F708" s="408" t="str">
        <f ca="1">_xlfn.IFNA(VLOOKUP(F705,BEGIN_CURRENT_DENTAL:END_CURRENT_DENTAL,CURRENT_COL_EC,FALSE),"")</f>
        <v/>
      </c>
      <c r="G708" s="468" t="str">
        <f t="shared" ca="1" si="82"/>
        <v/>
      </c>
      <c r="H708" s="408" t="str">
        <f ca="1">_xlfn.IFNA(VLOOKUP(F705,BEGIN_CURRENT_DENTAL:END_CURRENT_DENTAL,CURRENT_COL_ECContrib,FALSE),"")</f>
        <v/>
      </c>
      <c r="I708" s="409" t="str">
        <f t="shared" ca="1" si="83"/>
        <v/>
      </c>
      <c r="J708" s="410" t="str">
        <f ca="1">IF(F708="","",H708*E708)</f>
        <v/>
      </c>
      <c r="K708" s="411"/>
      <c r="L708" s="408" t="str" cm="1">
        <f t="array" ca="1" aca="1" ref="L708">_xlfn.IFNA(VLOOKUP(INDIRECT("L"&amp;ROW()-3)&amp;"_"&amp;$D$12,BEGIN_Renew_Dental:END_RENEW_DENTAL,RENEW_COL_EC,FALSE),"")</f>
        <v/>
      </c>
      <c r="M708" s="412" t="str">
        <f ca="1">IF(E708="","",E708)</f>
        <v/>
      </c>
      <c r="N708" s="413"/>
      <c r="O708" s="414"/>
      <c r="P708" s="415" t="str">
        <f>IFERROR(IF($N705="Keep Contribution Same",H708,IF($N705="Enter Percentages",IF(N708="","",N708*L708),IF($N705="Keep Percentage Same",IF(G708="","",G708*L708),IF($N705="Enter Dollar Amount",IF(O708="","",O708),"")))),"")</f>
        <v/>
      </c>
      <c r="Q708" s="408" t="str">
        <f ca="1">IFERROR(L708-P708,"")</f>
        <v/>
      </c>
      <c r="R708" s="410" t="str">
        <f>IFERROR(IF(P708="","",M708*P708),"")</f>
        <v/>
      </c>
      <c r="S708" s="411"/>
      <c r="T708" s="408" t="str" cm="1">
        <f t="array" ca="1" aca="1" ref="T708">_xlfn.IFNA(VLOOKUP(INDIRECT("T"&amp;ROW()-3)&amp;"_"&amp;$D$12,BEGIN_Renew_Dental:END_RENEW_DENTAL,RENEW_COL_EC,FALSE),"")</f>
        <v/>
      </c>
      <c r="U708" s="412" t="str">
        <f t="shared" ca="1" si="84"/>
        <v/>
      </c>
      <c r="V708" s="413"/>
      <c r="W708" s="414"/>
      <c r="X708" s="415" t="str">
        <f>IFERROR(IF($V705="Keep Contribution Same",H708,IF($V705="Enter Percentages",IF(V708="","",V708*T708),IF($V705="Keep Percentage Same",IF(G708="","",G708*T708),IF($V705="Enter Dollar Amount",IF(W708="","",W708),"")))),"")</f>
        <v/>
      </c>
      <c r="Y708" s="408" t="str">
        <f t="shared" ca="1" si="85"/>
        <v/>
      </c>
      <c r="Z708" s="410" t="str">
        <f t="shared" si="86"/>
        <v/>
      </c>
    </row>
    <row r="709" spans="1:26" ht="18.75" customHeight="1" thickBot="1">
      <c r="A709" s="140"/>
      <c r="B709" s="140"/>
      <c r="D709" s="174" t="s">
        <v>241</v>
      </c>
      <c r="E709" s="416" t="str">
        <f ca="1">_xlfn.IFNA(VLOOKUP(F705,BEGIN_CURRENT_DENTAL:END_CURRENT_DENTAL,CURRENT_COL_FAM_count,FALSE),"")</f>
        <v/>
      </c>
      <c r="F709" s="417" t="str">
        <f ca="1">_xlfn.IFNA(VLOOKUP(F705,BEGIN_CURRENT_DENTAL:END_CURRENT_DENTAL,CURRENT_COL_FAM,FALSE),"")</f>
        <v/>
      </c>
      <c r="G709" s="469" t="str">
        <f t="shared" ca="1" si="82"/>
        <v/>
      </c>
      <c r="H709" s="417" t="str">
        <f ca="1">_xlfn.IFNA(VLOOKUP(F705,BEGIN_CURRENT_DENTAL:END_CURRENT_DENTAL,CURRENT_COL_FAMContrib,FALSE),"")</f>
        <v/>
      </c>
      <c r="I709" s="418" t="str">
        <f t="shared" ca="1" si="83"/>
        <v/>
      </c>
      <c r="J709" s="419" t="str">
        <f ca="1">IF(F709="","",H709*E709)</f>
        <v/>
      </c>
      <c r="K709" s="411"/>
      <c r="L709" s="417" t="str" cm="1">
        <f t="array" ca="1" aca="1" ref="L709">_xlfn.IFNA(VLOOKUP(INDIRECT("L"&amp;ROW()-4)&amp;"_"&amp;$D$12,BEGIN_Renew_Dental:END_RENEW_DENTAL,RENEW_COL_FAM,FALSE),"")</f>
        <v/>
      </c>
      <c r="M709" s="423" t="str">
        <f ca="1">IF(E709="","",E709)</f>
        <v/>
      </c>
      <c r="N709" s="420"/>
      <c r="O709" s="421"/>
      <c r="P709" s="422" t="str">
        <f>IFERROR(IF($N705="Keep Contribution Same",H709,IF($N705="Enter Percentages",IF(N709="","",N709*L709),IF($N705="Keep Percentage Same",IF(G709="","",G709*L709),IF($N705="Enter Dollar Amount",IF(O709="","",O709),"")))),"")</f>
        <v/>
      </c>
      <c r="Q709" s="417" t="str">
        <f ca="1">IFERROR(L709-P709,"")</f>
        <v/>
      </c>
      <c r="R709" s="419" t="str">
        <f>IFERROR(IF(P709="","",M709*P709),"")</f>
        <v/>
      </c>
      <c r="S709" s="411"/>
      <c r="T709" s="417" t="str" cm="1">
        <f t="array" ca="1" aca="1" ref="T709">_xlfn.IFNA(VLOOKUP(INDIRECT("T"&amp;ROW()-4)&amp;"_"&amp;$D$12,BEGIN_Renew_Dental:END_RENEW_DENTAL,RENEW_COL_FAM,FALSE),"")</f>
        <v/>
      </c>
      <c r="U709" s="423" t="str">
        <f t="shared" ca="1" si="84"/>
        <v/>
      </c>
      <c r="V709" s="420"/>
      <c r="W709" s="421"/>
      <c r="X709" s="422" t="str">
        <f>IFERROR(IF($V705="Keep Contribution Same",H709,IF($V705="Enter Percentages",IF(V709="","",V709*T709),IF($V705="Keep Percentage Same",IF(G709="","",G709*T709),IF($V705="Enter Dollar Amount",IF(W709="","",W709),"")))),"")</f>
        <v/>
      </c>
      <c r="Y709" s="417" t="str">
        <f t="shared" ca="1" si="85"/>
        <v/>
      </c>
      <c r="Z709" s="419" t="str">
        <f t="shared" si="86"/>
        <v/>
      </c>
    </row>
    <row r="710" spans="1:26" ht="18.75" customHeight="1" thickTop="1">
      <c r="A710" s="140"/>
      <c r="B710" s="140"/>
      <c r="D710" s="175" t="s">
        <v>242</v>
      </c>
      <c r="E710" s="424"/>
      <c r="F710" s="427"/>
      <c r="G710" s="426"/>
      <c r="H710" s="427"/>
      <c r="I710" s="428"/>
      <c r="J710" s="429" t="str">
        <f ca="1">IFERROR(IF(J706="","",SUM(J706:J709)),0)</f>
        <v/>
      </c>
      <c r="K710" s="1"/>
      <c r="L710" s="424"/>
      <c r="M710" s="427"/>
      <c r="N710" s="426"/>
      <c r="O710" s="427"/>
      <c r="P710" s="431"/>
      <c r="Q710" s="432"/>
      <c r="R710" s="429" t="str">
        <f>IFERROR(IF(R706="","",SUM(R706:R709)),0)</f>
        <v/>
      </c>
      <c r="T710" s="424"/>
      <c r="U710" s="427"/>
      <c r="V710" s="426"/>
      <c r="W710" s="427"/>
      <c r="X710" s="431"/>
      <c r="Y710" s="432"/>
      <c r="Z710" s="429" t="str">
        <f>IFERROR(IF(Z706="","",SUM(Z706:Z709)),0)</f>
        <v/>
      </c>
    </row>
    <row r="711" spans="1:26" ht="18.75" customHeight="1">
      <c r="A711" s="140"/>
      <c r="B711" s="140"/>
      <c r="D711" s="177" t="s">
        <v>243</v>
      </c>
      <c r="E711" s="433"/>
      <c r="F711" s="436"/>
      <c r="G711" s="435"/>
      <c r="H711" s="436"/>
      <c r="I711" s="432"/>
      <c r="J711" s="437" t="str">
        <f ca="1">IF(J710="","",J710*12)</f>
        <v/>
      </c>
      <c r="K711" s="1"/>
      <c r="L711" s="433"/>
      <c r="M711" s="436"/>
      <c r="N711" s="435"/>
      <c r="O711" s="436"/>
      <c r="P711" s="432"/>
      <c r="Q711" s="432"/>
      <c r="R711" s="437" t="str">
        <f>IF(R710="","",R710*12)</f>
        <v/>
      </c>
      <c r="T711" s="433"/>
      <c r="U711" s="436"/>
      <c r="V711" s="435"/>
      <c r="W711" s="436"/>
      <c r="X711" s="432"/>
      <c r="Y711" s="432"/>
      <c r="Z711" s="437" t="str">
        <f>IF(Z710="","",Z710*12)</f>
        <v/>
      </c>
    </row>
    <row r="712" spans="1:26" ht="18" customHeight="1">
      <c r="A712" s="140"/>
      <c r="B712" s="140"/>
      <c r="D712" s="177" t="s">
        <v>244</v>
      </c>
      <c r="E712" s="433"/>
      <c r="F712" s="436"/>
      <c r="G712" s="435"/>
      <c r="H712" s="436"/>
      <c r="I712" s="432"/>
      <c r="J712" s="437"/>
      <c r="K712" s="1"/>
      <c r="L712" s="433"/>
      <c r="M712" s="436"/>
      <c r="N712" s="435"/>
      <c r="O712" s="436"/>
      <c r="P712" s="432"/>
      <c r="Q712" s="432"/>
      <c r="R712" s="437" t="str">
        <f ca="1">IFERROR(IF(J711="","",R711-J711),0)</f>
        <v/>
      </c>
      <c r="T712" s="433"/>
      <c r="U712" s="436"/>
      <c r="V712" s="435"/>
      <c r="W712" s="436"/>
      <c r="X712" s="432"/>
      <c r="Y712" s="432"/>
      <c r="Z712" s="437" t="str">
        <f>IFERROR(IF(R711="","",Z711-R711),0)</f>
        <v/>
      </c>
    </row>
    <row r="713" spans="1:26" ht="18" customHeight="1" thickBot="1">
      <c r="A713" s="140"/>
      <c r="B713" s="140"/>
      <c r="D713" s="180" t="s">
        <v>245</v>
      </c>
      <c r="E713" s="439"/>
      <c r="F713" s="440"/>
      <c r="G713" s="441"/>
      <c r="H713" s="440"/>
      <c r="I713" s="442"/>
      <c r="J713" s="437"/>
      <c r="K713" s="1"/>
      <c r="L713" s="439"/>
      <c r="M713" s="440"/>
      <c r="N713" s="441"/>
      <c r="O713" s="440"/>
      <c r="P713" s="445"/>
      <c r="Q713" s="445"/>
      <c r="R713" s="446" t="str">
        <f ca="1">IFERROR(IF(J711="","",(R711/J711)-1),0)</f>
        <v/>
      </c>
      <c r="T713" s="439"/>
      <c r="U713" s="440"/>
      <c r="V713" s="441"/>
      <c r="W713" s="440"/>
      <c r="X713" s="445"/>
      <c r="Y713" s="445"/>
      <c r="Z713" s="446" t="str">
        <f>IFERROR(IF(R711="","",(Z711/R711)-1),0)</f>
        <v/>
      </c>
    </row>
    <row r="714" spans="1:26" ht="5.25" customHeight="1" thickBot="1">
      <c r="A714" s="140"/>
      <c r="B714" s="140"/>
      <c r="D714" s="229"/>
      <c r="E714" s="229"/>
      <c r="F714" s="230"/>
      <c r="G714" s="231"/>
      <c r="H714" s="232"/>
      <c r="I714" s="233"/>
      <c r="J714" s="233"/>
      <c r="K714"/>
      <c r="L714" s="233"/>
      <c r="M714" s="233"/>
      <c r="N714" s="233"/>
      <c r="O714" s="233"/>
      <c r="P714" s="233"/>
      <c r="Q714" s="233"/>
      <c r="R714" s="233"/>
      <c r="T714" s="233"/>
      <c r="U714" s="233"/>
      <c r="V714" s="233"/>
      <c r="W714" s="233"/>
      <c r="X714" s="233"/>
      <c r="Y714" s="233"/>
      <c r="Z714" s="233"/>
    </row>
    <row r="715" spans="1:26" ht="50.15" customHeight="1">
      <c r="A715" s="140"/>
      <c r="B715" s="140"/>
      <c r="C715" s="164" t="s">
        <v>294</v>
      </c>
      <c r="D715" s="275" t="s">
        <v>285</v>
      </c>
      <c r="E715" s="165"/>
      <c r="F715" s="272"/>
      <c r="G715" s="166"/>
      <c r="H715" s="167"/>
      <c r="I715" s="168"/>
      <c r="J715" s="169"/>
      <c r="K715"/>
      <c r="L715" s="274" t="s">
        <v>38</v>
      </c>
      <c r="M715" s="170"/>
      <c r="N715" s="274" t="s">
        <v>237</v>
      </c>
      <c r="O715" s="171"/>
      <c r="P715" s="171"/>
      <c r="Q715" s="171"/>
      <c r="R715" s="169"/>
      <c r="T715" s="274" t="s">
        <v>38</v>
      </c>
      <c r="U715" s="170"/>
      <c r="V715" s="274" t="s">
        <v>237</v>
      </c>
      <c r="W715" s="171"/>
      <c r="X715" s="171"/>
      <c r="Y715" s="171"/>
      <c r="Z715" s="169"/>
    </row>
    <row r="716" spans="1:26" ht="18.75" customHeight="1">
      <c r="A716" s="140"/>
      <c r="B716" s="140"/>
      <c r="D716" s="172" t="s">
        <v>238</v>
      </c>
      <c r="E716" s="407"/>
      <c r="F716" s="449"/>
      <c r="G716" s="470"/>
      <c r="H716" s="449"/>
      <c r="I716" s="450"/>
      <c r="J716" s="410"/>
      <c r="K716" s="411"/>
      <c r="L716" s="408" t="str" cm="1">
        <f t="array" ca="1" aca="1" ref="L716">_xlfn.IFNA(VLOOKUP(INDIRECT("L"&amp;ROW()-1)&amp;"_"&amp;$D$12,BEGIN_Renew_Dental:END_RENEW_DENTAL,RENEW_COL_EO,FALSE),"")</f>
        <v/>
      </c>
      <c r="M716" s="412" t="str">
        <f>IF(E716="","",E716)</f>
        <v/>
      </c>
      <c r="N716" s="413"/>
      <c r="O716" s="414"/>
      <c r="P716" s="415" t="str">
        <f>IFERROR(IF($N715="Keep Contribution Same",H716,IF($N715="Enter Percentages",IF(N716="","",N716*L716),IF($N715="Keep Percentage Same",IF(G716="","",G716*L716),IF($N715="Enter Dollar Amount",IF(O716="","",O716),"")))),"")</f>
        <v/>
      </c>
      <c r="Q716" s="408" t="str">
        <f>IFERROR(R716-P716,"")</f>
        <v/>
      </c>
      <c r="R716" s="410" t="str">
        <f>IFERROR(IF(P716="","",M716*P716),"")</f>
        <v/>
      </c>
      <c r="S716" s="411"/>
      <c r="T716" s="408" t="str" cm="1">
        <f t="array" ca="1" aca="1" ref="T716">_xlfn.IFNA(VLOOKUP(INDIRECT("T"&amp;ROW()-1)&amp;"_"&amp;$D$12,BEGIN_Renew_Dental:END_RENEW_DENTAL,RENEW_COL_EO,FALSE),"")</f>
        <v/>
      </c>
      <c r="U716" s="412" t="str">
        <f>IF(E716="","",E716)</f>
        <v/>
      </c>
      <c r="V716" s="413"/>
      <c r="W716" s="414"/>
      <c r="X716" s="415" t="str">
        <f>IFERROR(IF($V715="Keep Contribution Same",H716,IF($V715="Enter Percentages",IF(V716="","",V716*T716),IF($V715="Keep Percentage Same",IF(G716="","",G716*T716),IF($V715="Enter Dollar Amount",IF(W716="","",W716),"")))),"")</f>
        <v/>
      </c>
      <c r="Y716" s="408" t="str">
        <f ca="1">IFERROR(T716-X716,"")</f>
        <v/>
      </c>
      <c r="Z716" s="410" t="str">
        <f>IFERROR(IF(X716="","",U716*X716),"")</f>
        <v/>
      </c>
    </row>
    <row r="717" spans="1:26" ht="18.75" customHeight="1">
      <c r="A717" s="140"/>
      <c r="B717" s="140"/>
      <c r="D717" s="172" t="s">
        <v>239</v>
      </c>
      <c r="E717" s="407"/>
      <c r="F717" s="449"/>
      <c r="G717" s="470"/>
      <c r="H717" s="449"/>
      <c r="I717" s="450"/>
      <c r="J717" s="410"/>
      <c r="K717" s="411"/>
      <c r="L717" s="408" t="str" cm="1">
        <f t="array" ca="1" aca="1" ref="L717">_xlfn.IFNA(VLOOKUP(INDIRECT("L"&amp;ROW()-2)&amp;"_"&amp;$D$12,BEGIN_Renew_Dental:END_RENEW_DENTAL,RENEW_COL_ES,FALSE),"")</f>
        <v/>
      </c>
      <c r="M717" s="412" t="str">
        <f>IF(E717="","",E717)</f>
        <v/>
      </c>
      <c r="N717" s="413"/>
      <c r="O717" s="414"/>
      <c r="P717" s="415" t="str">
        <f>IFERROR(IF($N715="Keep Contribution Same",H717,IF($N715="Enter Percentages",IF(N717="","",N717*L717),IF($N715="Keep Percentage Same",IF(G717="","",G717*L717),IF($N715="Enter Dollar Amount",IF(O717="","",O717),"")))),"")</f>
        <v/>
      </c>
      <c r="Q717" s="408" t="str">
        <f t="shared" si="87" ref="Q717">IFERROR(R717-P717,"")</f>
        <v/>
      </c>
      <c r="R717" s="410" t="str">
        <f>IFERROR(IF(P717="","",M717*P717),"")</f>
        <v/>
      </c>
      <c r="S717" s="411"/>
      <c r="T717" s="408" t="str" cm="1">
        <f t="array" ca="1" aca="1" ref="T717">_xlfn.IFNA(VLOOKUP(INDIRECT("T"&amp;ROW()-2)&amp;"_"&amp;$D$12,BEGIN_Renew_Dental:END_RENEW_DENTAL,RENEW_COL_ES,FALSE),"")</f>
        <v/>
      </c>
      <c r="U717" s="412" t="str">
        <f t="shared" si="88" ref="U717:U719">IF(E717="","",E717)</f>
        <v/>
      </c>
      <c r="V717" s="413"/>
      <c r="W717" s="414"/>
      <c r="X717" s="415" t="str">
        <f>IFERROR(IF($V715="Keep Contribution Same",H717,IF($V715="Enter Percentages",IF(V717="","",V717*T717),IF($V715="Keep Percentage Same",IF(G717="","",G717*T717),IF($V715="Enter Dollar Amount",IF(W717="","",W717),"")))),"")</f>
        <v/>
      </c>
      <c r="Y717" s="408" t="str">
        <f ca="1" t="shared" si="89" ref="Y717:Y719">IFERROR(T717-X717,"")</f>
        <v/>
      </c>
      <c r="Z717" s="410" t="str">
        <f t="shared" si="90" ref="Z717:Z719">IFERROR(IF(X717="","",U717*X717),"")</f>
        <v/>
      </c>
    </row>
    <row r="718" spans="1:26" ht="18.75" customHeight="1">
      <c r="A718" s="140"/>
      <c r="B718" s="140"/>
      <c r="D718" s="172" t="s">
        <v>240</v>
      </c>
      <c r="E718" s="407"/>
      <c r="F718" s="449"/>
      <c r="G718" s="470"/>
      <c r="H718" s="449"/>
      <c r="I718" s="450"/>
      <c r="J718" s="410"/>
      <c r="K718" s="411"/>
      <c r="L718" s="408" t="str" cm="1">
        <f t="array" ca="1" aca="1" ref="L718">_xlfn.IFNA(VLOOKUP(INDIRECT("L"&amp;ROW()-3)&amp;"_"&amp;$D$12,BEGIN_Renew_Dental:END_RENEW_DENTAL,RENEW_COL_EC,FALSE),"")</f>
        <v/>
      </c>
      <c r="M718" s="412" t="str">
        <f>IF(E718="","",E718)</f>
        <v/>
      </c>
      <c r="N718" s="413"/>
      <c r="O718" s="414"/>
      <c r="P718" s="415" t="str">
        <f>IFERROR(IF($N715="Keep Contribution Same",H718,IF($N715="Enter Percentages",IF(N718="","",N718*L718),IF($N715="Keep Percentage Same",IF(G718="","",G718*L718),IF($N715="Enter Dollar Amount",IF(O718="","",O718),"")))),"")</f>
        <v/>
      </c>
      <c r="Q718" s="408" t="str">
        <f>IFERROR(R718-P718,"")</f>
        <v/>
      </c>
      <c r="R718" s="410" t="str">
        <f>IFERROR(IF(P718="","",M718*P718),"")</f>
        <v/>
      </c>
      <c r="S718" s="411"/>
      <c r="T718" s="408" t="str" cm="1">
        <f t="array" ca="1" aca="1" ref="T718">_xlfn.IFNA(VLOOKUP(INDIRECT("T"&amp;ROW()-3)&amp;"_"&amp;$D$12,BEGIN_Renew_Dental:END_RENEW_DENTAL,RENEW_COL_EC,FALSE),"")</f>
        <v/>
      </c>
      <c r="U718" s="412" t="str">
        <f t="shared" si="88"/>
        <v/>
      </c>
      <c r="V718" s="413"/>
      <c r="W718" s="414"/>
      <c r="X718" s="415" t="str">
        <f>IFERROR(IF($V715="Keep Contribution Same",H718,IF($V715="Enter Percentages",IF(V718="","",V718*T718),IF($V715="Keep Percentage Same",IF(G718="","",G718*T718),IF($V715="Enter Dollar Amount",IF(W718="","",W718),"")))),"")</f>
        <v/>
      </c>
      <c r="Y718" s="408" t="str">
        <f t="shared" ca="1" si="89"/>
        <v/>
      </c>
      <c r="Z718" s="410" t="str">
        <f t="shared" si="90"/>
        <v/>
      </c>
    </row>
    <row r="719" spans="1:26" ht="18.75" customHeight="1" thickBot="1">
      <c r="A719" s="140"/>
      <c r="B719" s="140"/>
      <c r="D719" s="174" t="s">
        <v>241</v>
      </c>
      <c r="E719" s="416"/>
      <c r="F719" s="451"/>
      <c r="G719" s="471"/>
      <c r="H719" s="451"/>
      <c r="I719" s="452"/>
      <c r="J719" s="419"/>
      <c r="K719" s="411"/>
      <c r="L719" s="417" t="str" cm="1">
        <f t="array" ca="1" aca="1" ref="L719">_xlfn.IFNA(VLOOKUP(INDIRECT("L"&amp;ROW()-4)&amp;"_"&amp;$D$12,BEGIN_Renew_Dental:END_RENEW_DENTAL,RENEW_COL_FAM,FALSE),"")</f>
        <v/>
      </c>
      <c r="M719" s="423" t="str">
        <f>IF(E719="","",E719)</f>
        <v/>
      </c>
      <c r="N719" s="420"/>
      <c r="O719" s="421"/>
      <c r="P719" s="422" t="str">
        <f>IFERROR(IF($N715="Keep Contribution Same",H719,IF($N715="Enter Percentages",IF(N719="","",N719*L719),IF($N715="Keep Percentage Same",IF(G719="","",G719*L719),IF($N715="Enter Dollar Amount",IF(O719="","",O719),"")))),"")</f>
        <v/>
      </c>
      <c r="Q719" s="417" t="str">
        <f>IFERROR(R719-P719,"")</f>
        <v/>
      </c>
      <c r="R719" s="419" t="str">
        <f>IFERROR(IF(P719="","",M719*P719),"")</f>
        <v/>
      </c>
      <c r="S719" s="411"/>
      <c r="T719" s="417" t="str" cm="1">
        <f t="array" ca="1" aca="1" ref="T719">_xlfn.IFNA(VLOOKUP(INDIRECT("T"&amp;ROW()-4)&amp;"_"&amp;$D$12,BEGIN_Renew_Dental:END_RENEW_DENTAL,RENEW_COL_FAM,FALSE),"")</f>
        <v/>
      </c>
      <c r="U719" s="423" t="str">
        <f t="shared" si="88"/>
        <v/>
      </c>
      <c r="V719" s="420"/>
      <c r="W719" s="421"/>
      <c r="X719" s="422" t="str">
        <f>IFERROR(IF($V715="Keep Contribution Same",H719,IF($V715="Enter Percentages",IF(V719="","",V719*T719),IF($V715="Keep Percentage Same",IF(G719="","",G719*T719),IF($V715="Enter Dollar Amount",IF(W719="","",W719),"")))),"")</f>
        <v/>
      </c>
      <c r="Y719" s="417" t="str">
        <f t="shared" ca="1" si="89"/>
        <v/>
      </c>
      <c r="Z719" s="419" t="str">
        <f t="shared" si="90"/>
        <v/>
      </c>
    </row>
    <row r="720" spans="1:26" ht="18.75" customHeight="1" thickTop="1">
      <c r="A720" s="140"/>
      <c r="B720" s="140"/>
      <c r="D720" s="175" t="s">
        <v>329</v>
      </c>
      <c r="E720" s="424"/>
      <c r="F720" s="427"/>
      <c r="G720" s="426"/>
      <c r="H720" s="427"/>
      <c r="I720" s="428"/>
      <c r="J720" s="429" t="str">
        <f>IFERROR(IF(J716="","",SUM(J716:J719)),0)</f>
        <v/>
      </c>
      <c r="K720" s="1"/>
      <c r="L720" s="424"/>
      <c r="M720" s="427"/>
      <c r="N720" s="426"/>
      <c r="O720" s="427"/>
      <c r="P720" s="431"/>
      <c r="Q720" s="432"/>
      <c r="R720" s="429" t="str">
        <f>IFERROR(IF(R716="","",SUM(R716:R719)),0)</f>
        <v/>
      </c>
      <c r="T720" s="424"/>
      <c r="U720" s="427"/>
      <c r="V720" s="426"/>
      <c r="W720" s="427"/>
      <c r="X720" s="431"/>
      <c r="Y720" s="432"/>
      <c r="Z720" s="429" t="str">
        <f>IFERROR(IF(Z716="","",SUM(Z716:Z719)),0)</f>
        <v/>
      </c>
    </row>
    <row r="721" spans="1:26" ht="18.75" customHeight="1">
      <c r="A721" s="140"/>
      <c r="B721" s="140"/>
      <c r="D721" s="177" t="s">
        <v>243</v>
      </c>
      <c r="E721" s="433"/>
      <c r="F721" s="436"/>
      <c r="G721" s="435"/>
      <c r="H721" s="436"/>
      <c r="I721" s="432"/>
      <c r="J721" s="437" t="str">
        <f>IF(J720="","",J720*12)</f>
        <v/>
      </c>
      <c r="K721" s="1"/>
      <c r="L721" s="433"/>
      <c r="M721" s="436"/>
      <c r="N721" s="435"/>
      <c r="O721" s="436"/>
      <c r="P721" s="432"/>
      <c r="Q721" s="432"/>
      <c r="R721" s="437" t="str">
        <f>IF(R720="","",R720*12)</f>
        <v/>
      </c>
      <c r="T721" s="433"/>
      <c r="U721" s="436"/>
      <c r="V721" s="435"/>
      <c r="W721" s="436"/>
      <c r="X721" s="432"/>
      <c r="Y721" s="432"/>
      <c r="Z721" s="437" t="str">
        <f>IF(Z720="","",Z720*12)</f>
        <v/>
      </c>
    </row>
    <row r="722" spans="1:26" ht="18" customHeight="1">
      <c r="A722" s="140"/>
      <c r="B722" s="140"/>
      <c r="D722" s="177" t="s">
        <v>244</v>
      </c>
      <c r="E722" s="433"/>
      <c r="F722" s="436"/>
      <c r="G722" s="435"/>
      <c r="H722" s="436"/>
      <c r="I722" s="432"/>
      <c r="J722" s="437" t="str">
        <f>IFERROR(IF(J721="","",R721-J721),0)</f>
        <v/>
      </c>
      <c r="K722" s="1"/>
      <c r="L722" s="433"/>
      <c r="M722" s="436"/>
      <c r="N722" s="435"/>
      <c r="O722" s="436"/>
      <c r="P722" s="432"/>
      <c r="Q722" s="432"/>
      <c r="R722" s="437" t="str">
        <f>IFERROR(IF(J721="","",R721-J721),0)</f>
        <v/>
      </c>
      <c r="T722" s="433"/>
      <c r="U722" s="436"/>
      <c r="V722" s="435"/>
      <c r="W722" s="436"/>
      <c r="X722" s="432"/>
      <c r="Y722" s="432"/>
      <c r="Z722" s="437" t="str">
        <f>IFERROR(IF(R721="","",Z721-R721),0)</f>
        <v/>
      </c>
    </row>
    <row r="723" spans="1:26" ht="18" customHeight="1" thickBot="1">
      <c r="A723" s="140"/>
      <c r="B723" s="140"/>
      <c r="D723" s="180" t="s">
        <v>245</v>
      </c>
      <c r="E723" s="439"/>
      <c r="F723" s="440"/>
      <c r="G723" s="441"/>
      <c r="H723" s="440"/>
      <c r="I723" s="442"/>
      <c r="J723" s="437" t="str">
        <f>IFERROR(IF(J721="","",(R721/J721)-1),0)</f>
        <v/>
      </c>
      <c r="K723" s="1"/>
      <c r="L723" s="439"/>
      <c r="M723" s="440"/>
      <c r="N723" s="441"/>
      <c r="O723" s="440"/>
      <c r="P723" s="445"/>
      <c r="Q723" s="445"/>
      <c r="R723" s="446" t="str">
        <f>IFERROR(IF(J721="","",(R721/J721)-1),0)</f>
        <v/>
      </c>
      <c r="T723" s="439"/>
      <c r="U723" s="440"/>
      <c r="V723" s="441"/>
      <c r="W723" s="440"/>
      <c r="X723" s="445"/>
      <c r="Y723" s="445"/>
      <c r="Z723" s="446" t="str">
        <f>IFERROR(IF(R721="","",(Z721/R721)-1),0)</f>
        <v/>
      </c>
    </row>
    <row r="724" spans="1:26" ht="5.25" customHeight="1" thickBot="1">
      <c r="A724" s="140"/>
      <c r="B724" s="140"/>
      <c r="D724" s="229"/>
      <c r="E724" s="229"/>
      <c r="F724" s="230"/>
      <c r="G724" s="231"/>
      <c r="H724" s="232"/>
      <c r="I724" s="233"/>
      <c r="J724" s="233"/>
      <c r="K724"/>
      <c r="L724" s="233"/>
      <c r="M724" s="233"/>
      <c r="N724" s="233"/>
      <c r="O724" s="233"/>
      <c r="P724" s="233"/>
      <c r="Q724" s="233"/>
      <c r="R724" s="233"/>
      <c r="T724" s="233"/>
      <c r="U724" s="233"/>
      <c r="V724" s="233"/>
      <c r="W724" s="233"/>
      <c r="X724" s="233"/>
      <c r="Y724" s="233"/>
      <c r="Z724" s="233"/>
    </row>
    <row r="725" spans="1:26" ht="50.15" customHeight="1">
      <c r="A725" s="140"/>
      <c r="B725" s="140"/>
      <c r="C725" s="164" t="s">
        <v>295</v>
      </c>
      <c r="D725" s="275" t="s">
        <v>285</v>
      </c>
      <c r="E725" s="165"/>
      <c r="F725" s="272"/>
      <c r="G725" s="166"/>
      <c r="H725" s="167"/>
      <c r="I725" s="168"/>
      <c r="J725" s="169"/>
      <c r="K725"/>
      <c r="L725" s="274" t="s">
        <v>38</v>
      </c>
      <c r="M725" s="170"/>
      <c r="N725" s="274" t="s">
        <v>237</v>
      </c>
      <c r="O725" s="171"/>
      <c r="P725" s="171"/>
      <c r="Q725" s="171"/>
      <c r="R725" s="169"/>
      <c r="T725" s="274" t="s">
        <v>38</v>
      </c>
      <c r="U725" s="170"/>
      <c r="V725" s="274" t="s">
        <v>237</v>
      </c>
      <c r="W725" s="171"/>
      <c r="X725" s="171"/>
      <c r="Y725" s="171"/>
      <c r="Z725" s="169"/>
    </row>
    <row r="726" spans="1:26" ht="18.75" customHeight="1">
      <c r="A726" s="140"/>
      <c r="B726" s="140"/>
      <c r="D726" s="172" t="s">
        <v>238</v>
      </c>
      <c r="E726" s="407"/>
      <c r="F726" s="449"/>
      <c r="G726" s="470"/>
      <c r="H726" s="449"/>
      <c r="I726" s="450"/>
      <c r="J726" s="410"/>
      <c r="K726" s="411"/>
      <c r="L726" s="408" t="str" cm="1">
        <f t="array" ca="1" aca="1" ref="L726">_xlfn.IFNA(VLOOKUP(INDIRECT("L"&amp;ROW()-1)&amp;"_"&amp;$D$12,BEGIN_Renew_Dental:END_RENEW_DENTAL,RENEW_COL_EO,FALSE),"")</f>
        <v/>
      </c>
      <c r="M726" s="412" t="str">
        <f>IF(E726="","",E726)</f>
        <v/>
      </c>
      <c r="N726" s="413"/>
      <c r="O726" s="414"/>
      <c r="P726" s="415" t="str">
        <f>IFERROR(IF($N725="Keep Contribution Same",H726,IF($N725="Enter Percentages",IF(N726="","",N726*L726),IF($N725="Keep Percentage Same",IF(G726="","",G726*L726),IF($N725="Enter Dollar Amount",IF(O726="","",O726),"")))),"")</f>
        <v/>
      </c>
      <c r="Q726" s="408" t="str">
        <f>IFERROR(R726-P726,"")</f>
        <v/>
      </c>
      <c r="R726" s="410" t="str">
        <f>IFERROR(IF(P726="","",M726*P726),"")</f>
        <v/>
      </c>
      <c r="S726" s="411"/>
      <c r="T726" s="408" t="str" cm="1">
        <f t="array" ca="1" aca="1" ref="T726">_xlfn.IFNA(VLOOKUP(INDIRECT("T"&amp;ROW()-1)&amp;"_"&amp;$D$12,BEGIN_Renew_Dental:END_RENEW_DENTAL,RENEW_COL_EO,FALSE),"")</f>
        <v/>
      </c>
      <c r="U726" s="412" t="str">
        <f>IF(E726="","",E726)</f>
        <v/>
      </c>
      <c r="V726" s="413"/>
      <c r="W726" s="414"/>
      <c r="X726" s="415" t="str">
        <f>IFERROR(IF($V725="Keep Contribution Same",H726,IF($V725="Enter Percentages",IF(V726="","",V726*T726),IF($V725="Keep Percentage Same",IF(G726="","",G726*T726),IF($V725="Enter Dollar Amount",IF(W726="","",W726),"")))),"")</f>
        <v/>
      </c>
      <c r="Y726" s="408" t="str">
        <f ca="1">IFERROR(T726-X726,"")</f>
        <v/>
      </c>
      <c r="Z726" s="410" t="str">
        <f>IFERROR(IF(X726="","",U726*X726),"")</f>
        <v/>
      </c>
    </row>
    <row r="727" spans="1:26" ht="18.75" customHeight="1">
      <c r="A727" s="140"/>
      <c r="B727" s="140"/>
      <c r="D727" s="172" t="s">
        <v>239</v>
      </c>
      <c r="E727" s="407"/>
      <c r="F727" s="449"/>
      <c r="G727" s="470"/>
      <c r="H727" s="449"/>
      <c r="I727" s="450"/>
      <c r="J727" s="410"/>
      <c r="K727" s="411"/>
      <c r="L727" s="408" t="str" cm="1">
        <f t="array" ca="1" aca="1" ref="L727">_xlfn.IFNA(VLOOKUP(INDIRECT("L"&amp;ROW()-2)&amp;"_"&amp;$D$12,BEGIN_Renew_Dental:END_RENEW_DENTAL,RENEW_COL_ES,FALSE),"")</f>
        <v/>
      </c>
      <c r="M727" s="412" t="str">
        <f>IF(E727="","",E727)</f>
        <v/>
      </c>
      <c r="N727" s="413"/>
      <c r="O727" s="414"/>
      <c r="P727" s="415" t="str">
        <f>IFERROR(IF($N725="Keep Contribution Same",H727,IF($N725="Enter Percentages",IF(N727="","",N727*L727),IF($N725="Keep Percentage Same",IF(G727="","",G727*L727),IF($N725="Enter Dollar Amount",IF(O727="","",O727),"")))),"")</f>
        <v/>
      </c>
      <c r="Q727" s="408" t="str">
        <f t="shared" si="91" ref="Q727">IFERROR(R727-P727,"")</f>
        <v/>
      </c>
      <c r="R727" s="410" t="str">
        <f>IFERROR(IF(P727="","",M727*P727),"")</f>
        <v/>
      </c>
      <c r="S727" s="411"/>
      <c r="T727" s="408" t="str" cm="1">
        <f t="array" ca="1" aca="1" ref="T727">_xlfn.IFNA(VLOOKUP(INDIRECT("T"&amp;ROW()-2)&amp;"_"&amp;$D$12,BEGIN_Renew_Dental:END_RENEW_DENTAL,RENEW_COL_ES,FALSE),"")</f>
        <v/>
      </c>
      <c r="U727" s="412" t="str">
        <f t="shared" si="92" ref="U727:U729">IF(E727="","",E727)</f>
        <v/>
      </c>
      <c r="V727" s="413"/>
      <c r="W727" s="414"/>
      <c r="X727" s="415" t="str">
        <f>IFERROR(IF($V725="Keep Contribution Same",H727,IF($V725="Enter Percentages",IF(V727="","",V727*T727),IF($V725="Keep Percentage Same",IF(G727="","",G727*T727),IF($V725="Enter Dollar Amount",IF(W727="","",W727),"")))),"")</f>
        <v/>
      </c>
      <c r="Y727" s="408" t="str">
        <f ca="1" t="shared" si="93" ref="Y727:Y729">IFERROR(T727-X727,"")</f>
        <v/>
      </c>
      <c r="Z727" s="410" t="str">
        <f t="shared" si="94" ref="Z727:Z729">IFERROR(IF(X727="","",U727*X727),"")</f>
        <v/>
      </c>
    </row>
    <row r="728" spans="1:26" ht="18.75" customHeight="1">
      <c r="A728" s="140"/>
      <c r="B728" s="140"/>
      <c r="D728" s="172" t="s">
        <v>240</v>
      </c>
      <c r="E728" s="407"/>
      <c r="F728" s="449"/>
      <c r="G728" s="470"/>
      <c r="H728" s="449"/>
      <c r="I728" s="450"/>
      <c r="J728" s="410"/>
      <c r="K728" s="411"/>
      <c r="L728" s="408" t="str" cm="1">
        <f t="array" ca="1" aca="1" ref="L728">_xlfn.IFNA(VLOOKUP(INDIRECT("L"&amp;ROW()-3)&amp;"_"&amp;$D$12,BEGIN_Renew_Dental:END_RENEW_DENTAL,RENEW_COL_EC,FALSE),"")</f>
        <v/>
      </c>
      <c r="M728" s="412" t="str">
        <f>IF(E728="","",E728)</f>
        <v/>
      </c>
      <c r="N728" s="413"/>
      <c r="O728" s="414"/>
      <c r="P728" s="415" t="str">
        <f>IFERROR(IF($N725="Keep Contribution Same",H728,IF($N725="Enter Percentages",IF(N728="","",N728*L728),IF($N725="Keep Percentage Same",IF(G728="","",G728*L728),IF($N725="Enter Dollar Amount",IF(O728="","",O728),"")))),"")</f>
        <v/>
      </c>
      <c r="Q728" s="408" t="str">
        <f>IFERROR(R728-P728,"")</f>
        <v/>
      </c>
      <c r="R728" s="410" t="str">
        <f>IFERROR(IF(P728="","",M728*P728),"")</f>
        <v/>
      </c>
      <c r="S728" s="411"/>
      <c r="T728" s="408" t="str" cm="1">
        <f t="array" ca="1" aca="1" ref="T728">_xlfn.IFNA(VLOOKUP(INDIRECT("T"&amp;ROW()-3)&amp;"_"&amp;$D$12,BEGIN_Renew_Dental:END_RENEW_DENTAL,RENEW_COL_EC,FALSE),"")</f>
        <v/>
      </c>
      <c r="U728" s="412" t="str">
        <f t="shared" si="92"/>
        <v/>
      </c>
      <c r="V728" s="413"/>
      <c r="W728" s="414"/>
      <c r="X728" s="415" t="str">
        <f>IFERROR(IF($V725="Keep Contribution Same",H728,IF($V725="Enter Percentages",IF(V728="","",V728*T728),IF($V725="Keep Percentage Same",IF(G728="","",G728*T728),IF($V725="Enter Dollar Amount",IF(W728="","",W728),"")))),"")</f>
        <v/>
      </c>
      <c r="Y728" s="408" t="str">
        <f t="shared" ca="1" si="93"/>
        <v/>
      </c>
      <c r="Z728" s="410" t="str">
        <f t="shared" si="94"/>
        <v/>
      </c>
    </row>
    <row r="729" spans="1:26" ht="18.75" customHeight="1" thickBot="1">
      <c r="A729" s="140"/>
      <c r="B729" s="140"/>
      <c r="D729" s="174" t="s">
        <v>241</v>
      </c>
      <c r="E729" s="416"/>
      <c r="F729" s="451"/>
      <c r="G729" s="471"/>
      <c r="H729" s="451"/>
      <c r="I729" s="452"/>
      <c r="J729" s="419"/>
      <c r="K729" s="411"/>
      <c r="L729" s="417" t="str" cm="1">
        <f t="array" ca="1" aca="1" ref="L729">_xlfn.IFNA(VLOOKUP(INDIRECT("L"&amp;ROW()-4)&amp;"_"&amp;$D$12,BEGIN_Renew_Dental:END_RENEW_DENTAL,RENEW_COL_FAM,FALSE),"")</f>
        <v/>
      </c>
      <c r="M729" s="423" t="str">
        <f>IF(E729="","",E729)</f>
        <v/>
      </c>
      <c r="N729" s="420"/>
      <c r="O729" s="421"/>
      <c r="P729" s="422" t="str">
        <f>IFERROR(IF($N725="Keep Contribution Same",H729,IF($N725="Enter Percentages",IF(N729="","",N729*L729),IF($N725="Keep Percentage Same",IF(G729="","",G729*L729),IF($N725="Enter Dollar Amount",IF(O729="","",O729),"")))),"")</f>
        <v/>
      </c>
      <c r="Q729" s="417" t="str">
        <f>IFERROR(R729-P729,"")</f>
        <v/>
      </c>
      <c r="R729" s="419" t="str">
        <f>IFERROR(IF(P729="","",M729*P729),"")</f>
        <v/>
      </c>
      <c r="S729" s="411"/>
      <c r="T729" s="417" t="str" cm="1">
        <f t="array" ca="1" aca="1" ref="T729">_xlfn.IFNA(VLOOKUP(INDIRECT("T"&amp;ROW()-4)&amp;"_"&amp;$D$12,BEGIN_Renew_Dental:END_RENEW_DENTAL,RENEW_COL_FAM,FALSE),"")</f>
        <v/>
      </c>
      <c r="U729" s="423" t="str">
        <f t="shared" si="92"/>
        <v/>
      </c>
      <c r="V729" s="420"/>
      <c r="W729" s="421"/>
      <c r="X729" s="422" t="str">
        <f>IFERROR(IF($V725="Keep Contribution Same",H729,IF($V725="Enter Percentages",IF(V729="","",V729*T729),IF($V725="Keep Percentage Same",IF(G729="","",G729*T729),IF($V725="Enter Dollar Amount",IF(W729="","",W729),"")))),"")</f>
        <v/>
      </c>
      <c r="Y729" s="417" t="str">
        <f t="shared" ca="1" si="93"/>
        <v/>
      </c>
      <c r="Z729" s="419" t="str">
        <f t="shared" si="94"/>
        <v/>
      </c>
    </row>
    <row r="730" spans="1:26" ht="18.75" customHeight="1" thickTop="1">
      <c r="A730" s="140"/>
      <c r="B730" s="140"/>
      <c r="D730" s="175" t="s">
        <v>329</v>
      </c>
      <c r="E730" s="424"/>
      <c r="F730" s="427"/>
      <c r="G730" s="426"/>
      <c r="H730" s="427"/>
      <c r="I730" s="428"/>
      <c r="J730" s="429" t="str">
        <f>IFERROR(IF(J726="","",SUM(J726:J729)),0)</f>
        <v/>
      </c>
      <c r="K730" s="1"/>
      <c r="L730" s="424"/>
      <c r="M730" s="427"/>
      <c r="N730" s="426"/>
      <c r="O730" s="427"/>
      <c r="P730" s="431"/>
      <c r="Q730" s="432"/>
      <c r="R730" s="429" t="str">
        <f>IFERROR(IF(R726="","",SUM(R726:R729)),0)</f>
        <v/>
      </c>
      <c r="T730" s="424"/>
      <c r="U730" s="427"/>
      <c r="V730" s="426"/>
      <c r="W730" s="427"/>
      <c r="X730" s="431"/>
      <c r="Y730" s="432"/>
      <c r="Z730" s="429" t="str">
        <f>IFERROR(IF(Z726="","",SUM(Z726:Z729)),0)</f>
        <v/>
      </c>
    </row>
    <row r="731" spans="1:26" ht="18.75" customHeight="1">
      <c r="A731" s="140"/>
      <c r="B731" s="140"/>
      <c r="D731" s="177" t="s">
        <v>243</v>
      </c>
      <c r="E731" s="433"/>
      <c r="F731" s="436"/>
      <c r="G731" s="435"/>
      <c r="H731" s="436"/>
      <c r="I731" s="432"/>
      <c r="J731" s="437" t="str">
        <f>IF(J730="","",J730*12)</f>
        <v/>
      </c>
      <c r="K731" s="1"/>
      <c r="L731" s="433"/>
      <c r="M731" s="436"/>
      <c r="N731" s="435"/>
      <c r="O731" s="436"/>
      <c r="P731" s="432"/>
      <c r="Q731" s="432"/>
      <c r="R731" s="437" t="str">
        <f>IF(R730="","",R730*12)</f>
        <v/>
      </c>
      <c r="T731" s="433"/>
      <c r="U731" s="436"/>
      <c r="V731" s="435"/>
      <c r="W731" s="436"/>
      <c r="X731" s="432"/>
      <c r="Y731" s="432"/>
      <c r="Z731" s="437" t="str">
        <f>IF(Z730="","",Z730*12)</f>
        <v/>
      </c>
    </row>
    <row r="732" spans="1:26" ht="18" customHeight="1">
      <c r="A732" s="140"/>
      <c r="B732" s="140"/>
      <c r="D732" s="177" t="s">
        <v>244</v>
      </c>
      <c r="E732" s="433"/>
      <c r="F732" s="436"/>
      <c r="G732" s="435"/>
      <c r="H732" s="436"/>
      <c r="I732" s="432"/>
      <c r="J732" s="437" t="str">
        <f>IFERROR(IF(J731="","",R731-J731),0)</f>
        <v/>
      </c>
      <c r="K732" s="1"/>
      <c r="L732" s="433"/>
      <c r="M732" s="436"/>
      <c r="N732" s="435"/>
      <c r="O732" s="436"/>
      <c r="P732" s="432"/>
      <c r="Q732" s="432"/>
      <c r="R732" s="437" t="str">
        <f>IFERROR(IF(J731="","",R731-J731),0)</f>
        <v/>
      </c>
      <c r="T732" s="433"/>
      <c r="U732" s="436"/>
      <c r="V732" s="435"/>
      <c r="W732" s="436"/>
      <c r="X732" s="432"/>
      <c r="Y732" s="432"/>
      <c r="Z732" s="437" t="str">
        <f>IFERROR(IF(R731="","",Z731-R731),0)</f>
        <v/>
      </c>
    </row>
    <row r="733" spans="1:26" ht="18" customHeight="1" thickBot="1">
      <c r="A733" s="140"/>
      <c r="B733" s="140"/>
      <c r="D733" s="180" t="s">
        <v>245</v>
      </c>
      <c r="E733" s="439"/>
      <c r="F733" s="440"/>
      <c r="G733" s="441"/>
      <c r="H733" s="440"/>
      <c r="I733" s="442"/>
      <c r="J733" s="437" t="str">
        <f>IFERROR(IF(J731="","",(R731/J731)-1),0)</f>
        <v/>
      </c>
      <c r="K733" s="1"/>
      <c r="L733" s="439"/>
      <c r="M733" s="440"/>
      <c r="N733" s="441"/>
      <c r="O733" s="440"/>
      <c r="P733" s="445"/>
      <c r="Q733" s="445"/>
      <c r="R733" s="446" t="str">
        <f>IFERROR(IF(J731="","",(R731/J731)-1),0)</f>
        <v/>
      </c>
      <c r="T733" s="439"/>
      <c r="U733" s="440"/>
      <c r="V733" s="441"/>
      <c r="W733" s="440"/>
      <c r="X733" s="445"/>
      <c r="Y733" s="445"/>
      <c r="Z733" s="446" t="str">
        <f>IFERROR(IF(R731="","",(Z731/R731)-1),0)</f>
        <v/>
      </c>
    </row>
    <row r="734" spans="1:26" ht="5.25" customHeight="1" thickBot="1">
      <c r="A734" s="140"/>
      <c r="B734" s="140"/>
      <c r="D734" s="229"/>
      <c r="E734" s="229"/>
      <c r="F734" s="230"/>
      <c r="G734" s="231"/>
      <c r="H734" s="232"/>
      <c r="I734" s="233"/>
      <c r="J734" s="233"/>
      <c r="K734"/>
      <c r="L734" s="233"/>
      <c r="M734" s="233"/>
      <c r="N734" s="233"/>
      <c r="O734" s="233"/>
      <c r="P734" s="233"/>
      <c r="Q734" s="233"/>
      <c r="R734" s="233"/>
      <c r="T734" s="233"/>
      <c r="U734" s="233"/>
      <c r="V734" s="233"/>
      <c r="W734" s="233"/>
      <c r="X734" s="233"/>
      <c r="Y734" s="233"/>
      <c r="Z734" s="233"/>
    </row>
    <row r="735" spans="1:26" ht="50.15" customHeight="1">
      <c r="A735" s="140"/>
      <c r="B735" s="140"/>
      <c r="C735" s="164" t="s">
        <v>296</v>
      </c>
      <c r="D735" s="275" t="s">
        <v>285</v>
      </c>
      <c r="E735" s="165"/>
      <c r="F735" s="272"/>
      <c r="G735" s="166"/>
      <c r="H735" s="167"/>
      <c r="I735" s="168"/>
      <c r="J735" s="169"/>
      <c r="K735"/>
      <c r="L735" s="274" t="s">
        <v>38</v>
      </c>
      <c r="M735" s="170"/>
      <c r="N735" s="274" t="s">
        <v>237</v>
      </c>
      <c r="O735" s="171"/>
      <c r="P735" s="171"/>
      <c r="Q735" s="171"/>
      <c r="R735" s="169"/>
      <c r="T735" s="274" t="s">
        <v>38</v>
      </c>
      <c r="U735" s="170"/>
      <c r="V735" s="274" t="s">
        <v>237</v>
      </c>
      <c r="W735" s="171"/>
      <c r="X735" s="171"/>
      <c r="Y735" s="171"/>
      <c r="Z735" s="169"/>
    </row>
    <row r="736" spans="1:26" ht="18.75" customHeight="1">
      <c r="A736" s="140"/>
      <c r="B736" s="140"/>
      <c r="D736" s="172" t="s">
        <v>238</v>
      </c>
      <c r="E736" s="407"/>
      <c r="F736" s="449"/>
      <c r="G736" s="470"/>
      <c r="H736" s="449"/>
      <c r="I736" s="450"/>
      <c r="J736" s="410"/>
      <c r="K736" s="411"/>
      <c r="L736" s="408" t="str" cm="1">
        <f t="array" ca="1" aca="1" ref="L736">_xlfn.IFNA(VLOOKUP(INDIRECT("L"&amp;ROW()-1)&amp;"_"&amp;$D$12,BEGIN_Renew_Dental:END_RENEW_DENTAL,RENEW_COL_EO,FALSE),"")</f>
        <v/>
      </c>
      <c r="M736" s="412" t="str">
        <f>IF(E736="","",E736)</f>
        <v/>
      </c>
      <c r="N736" s="413"/>
      <c r="O736" s="414"/>
      <c r="P736" s="415" t="str">
        <f>IFERROR(IF($N735="Keep Contribution Same",H736,IF($N735="Enter Percentages",IF(N736="","",N736*L736),IF($N735="Keep Percentage Same",IF(G736="","",G736*L736),IF($N735="Enter Dollar Amount",IF(O736="","",O736),"")))),"")</f>
        <v/>
      </c>
      <c r="Q736" s="408" t="str">
        <f>IFERROR(R736-P736,"")</f>
        <v/>
      </c>
      <c r="R736" s="410" t="str">
        <f>IFERROR(IF(P736="","",M736*P736),"")</f>
        <v/>
      </c>
      <c r="S736" s="411"/>
      <c r="T736" s="408" t="str" cm="1">
        <f t="array" ca="1" aca="1" ref="T736">_xlfn.IFNA(VLOOKUP(INDIRECT("T"&amp;ROW()-1)&amp;"_"&amp;$D$12,BEGIN_Renew_Dental:END_RENEW_DENTAL,RENEW_COL_EO,FALSE),"")</f>
        <v/>
      </c>
      <c r="U736" s="412" t="str">
        <f>IF(E736="","",E736)</f>
        <v/>
      </c>
      <c r="V736" s="413"/>
      <c r="W736" s="414"/>
      <c r="X736" s="415" t="str">
        <f>IFERROR(IF($V735="Keep Contribution Same",H736,IF($V735="Enter Percentages",IF(V736="","",V736*T736),IF($V735="Keep Percentage Same",IF(G736="","",G736*T736),IF($V735="Enter Dollar Amount",IF(W736="","",W736),"")))),"")</f>
        <v/>
      </c>
      <c r="Y736" s="408" t="str">
        <f ca="1">IFERROR(T736-X736,"")</f>
        <v/>
      </c>
      <c r="Z736" s="410" t="str">
        <f>IFERROR(IF(X736="","",U736*X736),"")</f>
        <v/>
      </c>
    </row>
    <row r="737" spans="1:26" ht="18.75" customHeight="1">
      <c r="A737" s="140"/>
      <c r="B737" s="140"/>
      <c r="D737" s="172" t="s">
        <v>239</v>
      </c>
      <c r="E737" s="407"/>
      <c r="F737" s="449"/>
      <c r="G737" s="470"/>
      <c r="H737" s="449"/>
      <c r="I737" s="450"/>
      <c r="J737" s="410"/>
      <c r="K737" s="411"/>
      <c r="L737" s="408" t="str" cm="1">
        <f t="array" ca="1" aca="1" ref="L737">_xlfn.IFNA(VLOOKUP(INDIRECT("L"&amp;ROW()-2)&amp;"_"&amp;$D$12,BEGIN_Renew_Dental:END_RENEW_DENTAL,RENEW_COL_ES,FALSE),"")</f>
        <v/>
      </c>
      <c r="M737" s="412" t="str">
        <f>IF(E737="","",E737)</f>
        <v/>
      </c>
      <c r="N737" s="413"/>
      <c r="O737" s="414"/>
      <c r="P737" s="415" t="str">
        <f>IFERROR(IF($N735="Keep Contribution Same",H737,IF($N735="Enter Percentages",IF(N737="","",N737*L737),IF($N735="Keep Percentage Same",IF(G737="","",G737*L737),IF($N735="Enter Dollar Amount",IF(O737="","",O737),"")))),"")</f>
        <v/>
      </c>
      <c r="Q737" s="408" t="str">
        <f t="shared" si="95" ref="Q737">IFERROR(R737-P737,"")</f>
        <v/>
      </c>
      <c r="R737" s="410" t="str">
        <f>IFERROR(IF(P737="","",M737*P737),"")</f>
        <v/>
      </c>
      <c r="S737" s="411"/>
      <c r="T737" s="408" t="str" cm="1">
        <f t="array" ca="1" aca="1" ref="T737">_xlfn.IFNA(VLOOKUP(INDIRECT("T"&amp;ROW()-2)&amp;"_"&amp;$D$12,BEGIN_Renew_Dental:END_RENEW_DENTAL,RENEW_COL_ES,FALSE),"")</f>
        <v/>
      </c>
      <c r="U737" s="412" t="str">
        <f t="shared" si="96" ref="U737:U739">IF(E737="","",E737)</f>
        <v/>
      </c>
      <c r="V737" s="413"/>
      <c r="W737" s="414"/>
      <c r="X737" s="415" t="str">
        <f>IFERROR(IF($V735="Keep Contribution Same",H737,IF($V735="Enter Percentages",IF(V737="","",V737*T737),IF($V735="Keep Percentage Same",IF(G737="","",G737*T737),IF($V735="Enter Dollar Amount",IF(W737="","",W737),"")))),"")</f>
        <v/>
      </c>
      <c r="Y737" s="408" t="str">
        <f ca="1" t="shared" si="97" ref="Y737:Y739">IFERROR(T737-X737,"")</f>
        <v/>
      </c>
      <c r="Z737" s="410" t="str">
        <f t="shared" si="98" ref="Z737:Z739">IFERROR(IF(X737="","",U737*X737),"")</f>
        <v/>
      </c>
    </row>
    <row r="738" spans="1:26" ht="18.75" customHeight="1">
      <c r="A738" s="140"/>
      <c r="B738" s="140"/>
      <c r="D738" s="172" t="s">
        <v>240</v>
      </c>
      <c r="E738" s="407"/>
      <c r="F738" s="449"/>
      <c r="G738" s="470"/>
      <c r="H738" s="449"/>
      <c r="I738" s="450"/>
      <c r="J738" s="410"/>
      <c r="K738" s="411"/>
      <c r="L738" s="408" t="str" cm="1">
        <f t="array" ca="1" aca="1" ref="L738">_xlfn.IFNA(VLOOKUP(INDIRECT("L"&amp;ROW()-3)&amp;"_"&amp;$D$12,BEGIN_Renew_Dental:END_RENEW_DENTAL,RENEW_COL_EC,FALSE),"")</f>
        <v/>
      </c>
      <c r="M738" s="412" t="str">
        <f>IF(E738="","",E738)</f>
        <v/>
      </c>
      <c r="N738" s="413"/>
      <c r="O738" s="414"/>
      <c r="P738" s="415" t="str">
        <f>IFERROR(IF($N735="Keep Contribution Same",H738,IF($N735="Enter Percentages",IF(N738="","",N738*L738),IF($N735="Keep Percentage Same",IF(G738="","",G738*L738),IF($N735="Enter Dollar Amount",IF(O738="","",O738),"")))),"")</f>
        <v/>
      </c>
      <c r="Q738" s="408" t="str">
        <f>IFERROR(R738-P738,"")</f>
        <v/>
      </c>
      <c r="R738" s="410" t="str">
        <f>IFERROR(IF(P738="","",M738*P738),"")</f>
        <v/>
      </c>
      <c r="S738" s="411"/>
      <c r="T738" s="408" t="str" cm="1">
        <f t="array" ca="1" aca="1" ref="T738">_xlfn.IFNA(VLOOKUP(INDIRECT("T"&amp;ROW()-3)&amp;"_"&amp;$D$12,BEGIN_Renew_Dental:END_RENEW_DENTAL,RENEW_COL_EC,FALSE),"")</f>
        <v/>
      </c>
      <c r="U738" s="412" t="str">
        <f t="shared" si="96"/>
        <v/>
      </c>
      <c r="V738" s="413"/>
      <c r="W738" s="414"/>
      <c r="X738" s="415" t="str">
        <f>IFERROR(IF($V735="Keep Contribution Same",H738,IF($V735="Enter Percentages",IF(V738="","",V738*T738),IF($V735="Keep Percentage Same",IF(G738="","",G738*T738),IF($V735="Enter Dollar Amount",IF(W738="","",W738),"")))),"")</f>
        <v/>
      </c>
      <c r="Y738" s="408" t="str">
        <f t="shared" ca="1" si="97"/>
        <v/>
      </c>
      <c r="Z738" s="410" t="str">
        <f t="shared" si="98"/>
        <v/>
      </c>
    </row>
    <row r="739" spans="1:26" ht="18.75" customHeight="1" thickBot="1">
      <c r="A739" s="140"/>
      <c r="B739" s="140"/>
      <c r="D739" s="174" t="s">
        <v>241</v>
      </c>
      <c r="E739" s="416"/>
      <c r="F739" s="451"/>
      <c r="G739" s="471"/>
      <c r="H739" s="451"/>
      <c r="I739" s="452"/>
      <c r="J739" s="419"/>
      <c r="K739" s="411"/>
      <c r="L739" s="417" t="str" cm="1">
        <f t="array" ca="1" aca="1" ref="L739">_xlfn.IFNA(VLOOKUP(INDIRECT("L"&amp;ROW()-4)&amp;"_"&amp;$D$12,BEGIN_Renew_Dental:END_RENEW_DENTAL,RENEW_COL_FAM,FALSE),"")</f>
        <v/>
      </c>
      <c r="M739" s="423" t="str">
        <f>IF(E739="","",E739)</f>
        <v/>
      </c>
      <c r="N739" s="420"/>
      <c r="O739" s="421"/>
      <c r="P739" s="422" t="str">
        <f>IFERROR(IF($N735="Keep Contribution Same",H739,IF($N735="Enter Percentages",IF(N739="","",N739*L739),IF($N735="Keep Percentage Same",IF(G739="","",G739*L739),IF($N735="Enter Dollar Amount",IF(O739="","",O739),"")))),"")</f>
        <v/>
      </c>
      <c r="Q739" s="417" t="str">
        <f>IFERROR(R739-P739,"")</f>
        <v/>
      </c>
      <c r="R739" s="419" t="str">
        <f>IFERROR(IF(P739="","",M739*P739),"")</f>
        <v/>
      </c>
      <c r="S739" s="411"/>
      <c r="T739" s="417" t="str" cm="1">
        <f t="array" ca="1" aca="1" ref="T739">_xlfn.IFNA(VLOOKUP(INDIRECT("T"&amp;ROW()-4)&amp;"_"&amp;$D$12,BEGIN_Renew_Dental:END_RENEW_DENTAL,RENEW_COL_FAM,FALSE),"")</f>
        <v/>
      </c>
      <c r="U739" s="423" t="str">
        <f t="shared" si="96"/>
        <v/>
      </c>
      <c r="V739" s="420"/>
      <c r="W739" s="421"/>
      <c r="X739" s="422" t="str">
        <f>IFERROR(IF($V735="Keep Contribution Same",H739,IF($V735="Enter Percentages",IF(V739="","",V739*T739),IF($V735="Keep Percentage Same",IF(G739="","",G739*T739),IF($V735="Enter Dollar Amount",IF(W739="","",W739),"")))),"")</f>
        <v/>
      </c>
      <c r="Y739" s="417" t="str">
        <f t="shared" ca="1" si="97"/>
        <v/>
      </c>
      <c r="Z739" s="419" t="str">
        <f t="shared" si="98"/>
        <v/>
      </c>
    </row>
    <row r="740" spans="1:26" ht="18.75" customHeight="1" thickTop="1">
      <c r="A740" s="140"/>
      <c r="B740" s="140"/>
      <c r="D740" s="175" t="s">
        <v>329</v>
      </c>
      <c r="E740" s="424"/>
      <c r="F740" s="427"/>
      <c r="G740" s="426"/>
      <c r="H740" s="427"/>
      <c r="I740" s="428"/>
      <c r="J740" s="429" t="str">
        <f>IFERROR(IF(J736="","",SUM(J736:J739)),0)</f>
        <v/>
      </c>
      <c r="K740" s="1"/>
      <c r="L740" s="424"/>
      <c r="M740" s="427"/>
      <c r="N740" s="426"/>
      <c r="O740" s="427"/>
      <c r="P740" s="431"/>
      <c r="Q740" s="432"/>
      <c r="R740" s="429" t="str">
        <f>IFERROR(IF(R736="","",SUM(R736:R739)),0)</f>
        <v/>
      </c>
      <c r="T740" s="424"/>
      <c r="U740" s="427"/>
      <c r="V740" s="426"/>
      <c r="W740" s="427"/>
      <c r="X740" s="431"/>
      <c r="Y740" s="432"/>
      <c r="Z740" s="429" t="str">
        <f>IFERROR(IF(Z736="","",SUM(Z736:Z739)),0)</f>
        <v/>
      </c>
    </row>
    <row r="741" spans="1:26" ht="18.75" customHeight="1">
      <c r="A741" s="140"/>
      <c r="B741" s="140"/>
      <c r="D741" s="177" t="s">
        <v>243</v>
      </c>
      <c r="E741" s="433"/>
      <c r="F741" s="436"/>
      <c r="G741" s="435"/>
      <c r="H741" s="436"/>
      <c r="I741" s="432"/>
      <c r="J741" s="437" t="str">
        <f>IF(J740="","",J740*12)</f>
        <v/>
      </c>
      <c r="K741" s="1"/>
      <c r="L741" s="433"/>
      <c r="M741" s="436"/>
      <c r="N741" s="435"/>
      <c r="O741" s="436"/>
      <c r="P741" s="432"/>
      <c r="Q741" s="432"/>
      <c r="R741" s="437" t="str">
        <f>IF(R740="","",R740*12)</f>
        <v/>
      </c>
      <c r="T741" s="433"/>
      <c r="U741" s="436"/>
      <c r="V741" s="435"/>
      <c r="W741" s="436"/>
      <c r="X741" s="432"/>
      <c r="Y741" s="432"/>
      <c r="Z741" s="437" t="str">
        <f>IF(Z740="","",Z740*12)</f>
        <v/>
      </c>
    </row>
    <row r="742" spans="1:26" ht="18" customHeight="1">
      <c r="A742" s="140"/>
      <c r="B742" s="140"/>
      <c r="D742" s="177" t="s">
        <v>244</v>
      </c>
      <c r="E742" s="433"/>
      <c r="F742" s="436"/>
      <c r="G742" s="435"/>
      <c r="H742" s="436"/>
      <c r="I742" s="432"/>
      <c r="J742" s="437" t="str">
        <f>IFERROR(IF(J741="","",R741-J741),0)</f>
        <v/>
      </c>
      <c r="K742" s="1"/>
      <c r="L742" s="433"/>
      <c r="M742" s="436"/>
      <c r="N742" s="435"/>
      <c r="O742" s="436"/>
      <c r="P742" s="432"/>
      <c r="Q742" s="432"/>
      <c r="R742" s="437" t="str">
        <f>IFERROR(IF(J741="","",R741-J741),0)</f>
        <v/>
      </c>
      <c r="T742" s="433"/>
      <c r="U742" s="436"/>
      <c r="V742" s="435"/>
      <c r="W742" s="436"/>
      <c r="X742" s="432"/>
      <c r="Y742" s="432"/>
      <c r="Z742" s="437" t="str">
        <f>IFERROR(IF(R741="","",Z741-R741),0)</f>
        <v/>
      </c>
    </row>
    <row r="743" spans="1:26" ht="18" customHeight="1" thickBot="1">
      <c r="A743" s="140"/>
      <c r="B743" s="140"/>
      <c r="D743" s="180" t="s">
        <v>245</v>
      </c>
      <c r="E743" s="439"/>
      <c r="F743" s="440"/>
      <c r="G743" s="441"/>
      <c r="H743" s="440"/>
      <c r="I743" s="442"/>
      <c r="J743" s="437" t="str">
        <f>IFERROR(IF(J741="","",(R741/J741)-1),0)</f>
        <v/>
      </c>
      <c r="K743" s="1"/>
      <c r="L743" s="439"/>
      <c r="M743" s="440"/>
      <c r="N743" s="441"/>
      <c r="O743" s="440"/>
      <c r="P743" s="445"/>
      <c r="Q743" s="445"/>
      <c r="R743" s="446" t="str">
        <f>IFERROR(IF(J741="","",(R741/J741)-1),0)</f>
        <v/>
      </c>
      <c r="T743" s="439"/>
      <c r="U743" s="440"/>
      <c r="V743" s="441"/>
      <c r="W743" s="440"/>
      <c r="X743" s="445"/>
      <c r="Y743" s="445"/>
      <c r="Z743" s="446" t="str">
        <f>IFERROR(IF(R741="","",(Z741/R741)-1),0)</f>
        <v/>
      </c>
    </row>
    <row r="744" spans="1:26" ht="5.25" customHeight="1" thickBot="1">
      <c r="A744" s="140"/>
      <c r="B744" s="140"/>
      <c r="D744" s="229"/>
      <c r="E744" s="229"/>
      <c r="F744" s="230"/>
      <c r="G744" s="231"/>
      <c r="H744" s="232"/>
      <c r="I744" s="233"/>
      <c r="J744" s="233"/>
      <c r="K744"/>
      <c r="L744" s="233"/>
      <c r="M744" s="233"/>
      <c r="N744" s="233"/>
      <c r="O744" s="233"/>
      <c r="P744" s="233"/>
      <c r="Q744" s="233"/>
      <c r="R744" s="233"/>
      <c r="T744" s="233"/>
      <c r="U744" s="233"/>
      <c r="V744" s="233"/>
      <c r="W744" s="233"/>
      <c r="X744" s="233"/>
      <c r="Y744" s="233"/>
      <c r="Z744" s="233"/>
    </row>
    <row r="745" spans="1:26" ht="50.15" customHeight="1">
      <c r="A745" s="140"/>
      <c r="B745" s="140"/>
      <c r="C745" s="164" t="s">
        <v>297</v>
      </c>
      <c r="D745" s="275" t="s">
        <v>285</v>
      </c>
      <c r="E745" s="165"/>
      <c r="F745" s="272"/>
      <c r="G745" s="166"/>
      <c r="H745" s="167"/>
      <c r="I745" s="168"/>
      <c r="J745" s="169"/>
      <c r="K745"/>
      <c r="L745" s="274" t="s">
        <v>38</v>
      </c>
      <c r="M745" s="170"/>
      <c r="N745" s="274" t="s">
        <v>237</v>
      </c>
      <c r="O745" s="171"/>
      <c r="P745" s="171"/>
      <c r="Q745" s="171"/>
      <c r="R745" s="169"/>
      <c r="T745" s="274" t="s">
        <v>38</v>
      </c>
      <c r="U745" s="170"/>
      <c r="V745" s="274" t="s">
        <v>237</v>
      </c>
      <c r="W745" s="171"/>
      <c r="X745" s="171"/>
      <c r="Y745" s="171"/>
      <c r="Z745" s="169"/>
    </row>
    <row r="746" spans="1:26" ht="18.75" customHeight="1">
      <c r="A746" s="140"/>
      <c r="B746" s="140"/>
      <c r="D746" s="172" t="s">
        <v>238</v>
      </c>
      <c r="E746" s="407"/>
      <c r="F746" s="449"/>
      <c r="G746" s="470"/>
      <c r="H746" s="449"/>
      <c r="I746" s="450"/>
      <c r="J746" s="410"/>
      <c r="K746" s="411"/>
      <c r="L746" s="408" t="str" cm="1">
        <f t="array" ca="1" aca="1" ref="L746">_xlfn.IFNA(VLOOKUP(INDIRECT("L"&amp;ROW()-1)&amp;"_"&amp;$D$12,BEGIN_Renew_Dental:END_RENEW_DENTAL,RENEW_COL_EO,FALSE),"")</f>
        <v/>
      </c>
      <c r="M746" s="412" t="str">
        <f>IF(E746="","",E746)</f>
        <v/>
      </c>
      <c r="N746" s="413"/>
      <c r="O746" s="414"/>
      <c r="P746" s="415" t="str">
        <f>IFERROR(IF($N745="Keep Contribution Same",H746,IF($N745="Enter Percentages",IF(N746="","",N746*L746),IF($N745="Keep Percentage Same",IF(G746="","",G746*L746),IF($N745="Enter Dollar Amount",IF(O746="","",O746),"")))),"")</f>
        <v/>
      </c>
      <c r="Q746" s="408" t="str">
        <f>IFERROR(R746-P746,"")</f>
        <v/>
      </c>
      <c r="R746" s="410" t="str">
        <f>IFERROR(IF(P746="","",M746*P746),"")</f>
        <v/>
      </c>
      <c r="S746" s="411"/>
      <c r="T746" s="408" t="str" cm="1">
        <f t="array" ca="1" aca="1" ref="T746">_xlfn.IFNA(VLOOKUP(INDIRECT("T"&amp;ROW()-1)&amp;"_"&amp;$D$12,BEGIN_Renew_Dental:END_RENEW_DENTAL,RENEW_COL_EO,FALSE),"")</f>
        <v/>
      </c>
      <c r="U746" s="412" t="str">
        <f>IF(E746="","",E746)</f>
        <v/>
      </c>
      <c r="V746" s="413"/>
      <c r="W746" s="414"/>
      <c r="X746" s="415" t="str">
        <f>IFERROR(IF($V745="Keep Contribution Same",H746,IF($V745="Enter Percentages",IF(V746="","",V746*T746),IF($V745="Keep Percentage Same",IF(G746="","",G746*T746),IF($V745="Enter Dollar Amount",IF(W746="","",W746),"")))),"")</f>
        <v/>
      </c>
      <c r="Y746" s="408" t="str">
        <f ca="1">IFERROR(T746-X746,"")</f>
        <v/>
      </c>
      <c r="Z746" s="410" t="str">
        <f>IFERROR(IF(X746="","",U746*X746),"")</f>
        <v/>
      </c>
    </row>
    <row r="747" spans="1:26" ht="18.75" customHeight="1">
      <c r="A747" s="140"/>
      <c r="B747" s="140"/>
      <c r="D747" s="172" t="s">
        <v>239</v>
      </c>
      <c r="E747" s="407"/>
      <c r="F747" s="449"/>
      <c r="G747" s="470"/>
      <c r="H747" s="449"/>
      <c r="I747" s="450"/>
      <c r="J747" s="410"/>
      <c r="K747" s="411"/>
      <c r="L747" s="408" t="str" cm="1">
        <f t="array" ca="1" aca="1" ref="L747">_xlfn.IFNA(VLOOKUP(INDIRECT("L"&amp;ROW()-2)&amp;"_"&amp;$D$12,BEGIN_Renew_Dental:END_RENEW_DENTAL,RENEW_COL_ES,FALSE),"")</f>
        <v/>
      </c>
      <c r="M747" s="412" t="str">
        <f>IF(E747="","",E747)</f>
        <v/>
      </c>
      <c r="N747" s="413"/>
      <c r="O747" s="414"/>
      <c r="P747" s="415" t="str">
        <f>IFERROR(IF($N745="Keep Contribution Same",H747,IF($N745="Enter Percentages",IF(N747="","",N747*L747),IF($N745="Keep Percentage Same",IF(G747="","",G747*L747),IF($N745="Enter Dollar Amount",IF(O747="","",O747),"")))),"")</f>
        <v/>
      </c>
      <c r="Q747" s="408" t="str">
        <f t="shared" si="99" ref="Q747">IFERROR(R747-P747,"")</f>
        <v/>
      </c>
      <c r="R747" s="410" t="str">
        <f>IFERROR(IF(P747="","",M747*P747),"")</f>
        <v/>
      </c>
      <c r="S747" s="411"/>
      <c r="T747" s="408" t="str" cm="1">
        <f t="array" ca="1" aca="1" ref="T747">_xlfn.IFNA(VLOOKUP(INDIRECT("T"&amp;ROW()-2)&amp;"_"&amp;$D$12,BEGIN_Renew_Dental:END_RENEW_DENTAL,RENEW_COL_ES,FALSE),"")</f>
        <v/>
      </c>
      <c r="U747" s="412" t="str">
        <f t="shared" si="100" ref="U747:U749">IF(E747="","",E747)</f>
        <v/>
      </c>
      <c r="V747" s="413"/>
      <c r="W747" s="414"/>
      <c r="X747" s="415" t="str">
        <f>IFERROR(IF($V745="Keep Contribution Same",H747,IF($V745="Enter Percentages",IF(V747="","",V747*T747),IF($V745="Keep Percentage Same",IF(G747="","",G747*T747),IF($V745="Enter Dollar Amount",IF(W747="","",W747),"")))),"")</f>
        <v/>
      </c>
      <c r="Y747" s="408" t="str">
        <f ca="1" t="shared" si="101" ref="Y747:Y749">IFERROR(T747-X747,"")</f>
        <v/>
      </c>
      <c r="Z747" s="410" t="str">
        <f t="shared" si="102" ref="Z747:Z749">IFERROR(IF(X747="","",U747*X747),"")</f>
        <v/>
      </c>
    </row>
    <row r="748" spans="1:26" ht="18.75" customHeight="1">
      <c r="A748" s="140"/>
      <c r="B748" s="140"/>
      <c r="D748" s="172" t="s">
        <v>240</v>
      </c>
      <c r="E748" s="407"/>
      <c r="F748" s="449"/>
      <c r="G748" s="470"/>
      <c r="H748" s="449"/>
      <c r="I748" s="450"/>
      <c r="J748" s="410"/>
      <c r="K748" s="411"/>
      <c r="L748" s="408" t="str" cm="1">
        <f t="array" ca="1" aca="1" ref="L748">_xlfn.IFNA(VLOOKUP(INDIRECT("L"&amp;ROW()-3)&amp;"_"&amp;$D$12,BEGIN_Renew_Dental:END_RENEW_DENTAL,RENEW_COL_EC,FALSE),"")</f>
        <v/>
      </c>
      <c r="M748" s="412" t="str">
        <f>IF(E748="","",E748)</f>
        <v/>
      </c>
      <c r="N748" s="413"/>
      <c r="O748" s="414"/>
      <c r="P748" s="415" t="str">
        <f>IFERROR(IF($N745="Keep Contribution Same",H748,IF($N745="Enter Percentages",IF(N748="","",N748*L748),IF($N745="Keep Percentage Same",IF(G748="","",G748*L748),IF($N745="Enter Dollar Amount",IF(O748="","",O748),"")))),"")</f>
        <v/>
      </c>
      <c r="Q748" s="408" t="str">
        <f>IFERROR(R748-P748,"")</f>
        <v/>
      </c>
      <c r="R748" s="410" t="str">
        <f>IFERROR(IF(P748="","",M748*P748),"")</f>
        <v/>
      </c>
      <c r="S748" s="411"/>
      <c r="T748" s="408" t="str" cm="1">
        <f t="array" ca="1" aca="1" ref="T748">_xlfn.IFNA(VLOOKUP(INDIRECT("T"&amp;ROW()-3)&amp;"_"&amp;$D$12,BEGIN_Renew_Dental:END_RENEW_DENTAL,RENEW_COL_EC,FALSE),"")</f>
        <v/>
      </c>
      <c r="U748" s="412" t="str">
        <f t="shared" si="100"/>
        <v/>
      </c>
      <c r="V748" s="413"/>
      <c r="W748" s="414"/>
      <c r="X748" s="415" t="str">
        <f>IFERROR(IF($V745="Keep Contribution Same",H748,IF($V745="Enter Percentages",IF(V748="","",V748*T748),IF($V745="Keep Percentage Same",IF(G748="","",G748*T748),IF($V745="Enter Dollar Amount",IF(W748="","",W748),"")))),"")</f>
        <v/>
      </c>
      <c r="Y748" s="408" t="str">
        <f t="shared" ca="1" si="101"/>
        <v/>
      </c>
      <c r="Z748" s="410" t="str">
        <f t="shared" si="102"/>
        <v/>
      </c>
    </row>
    <row r="749" spans="1:26" ht="18.75" customHeight="1" thickBot="1">
      <c r="A749" s="140"/>
      <c r="B749" s="140"/>
      <c r="D749" s="174" t="s">
        <v>241</v>
      </c>
      <c r="E749" s="416"/>
      <c r="F749" s="451"/>
      <c r="G749" s="471"/>
      <c r="H749" s="451"/>
      <c r="I749" s="452"/>
      <c r="J749" s="419"/>
      <c r="K749" s="411"/>
      <c r="L749" s="417" t="str" cm="1">
        <f t="array" ca="1" aca="1" ref="L749">_xlfn.IFNA(VLOOKUP(INDIRECT("L"&amp;ROW()-4)&amp;"_"&amp;$D$12,BEGIN_Renew_Dental:END_RENEW_DENTAL,RENEW_COL_FAM,FALSE),"")</f>
        <v/>
      </c>
      <c r="M749" s="423" t="str">
        <f>IF(E749="","",E749)</f>
        <v/>
      </c>
      <c r="N749" s="420"/>
      <c r="O749" s="421"/>
      <c r="P749" s="422" t="str">
        <f>IFERROR(IF($N745="Keep Contribution Same",H749,IF($N745="Enter Percentages",IF(N749="","",N749*L749),IF($N745="Keep Percentage Same",IF(G749="","",G749*L749),IF($N745="Enter Dollar Amount",IF(O749="","",O749),"")))),"")</f>
        <v/>
      </c>
      <c r="Q749" s="417" t="str">
        <f>IFERROR(R749-P749,"")</f>
        <v/>
      </c>
      <c r="R749" s="419" t="str">
        <f>IFERROR(IF(P749="","",M749*P749),"")</f>
        <v/>
      </c>
      <c r="S749" s="411"/>
      <c r="T749" s="417" t="str" cm="1">
        <f t="array" ca="1" aca="1" ref="T749">_xlfn.IFNA(VLOOKUP(INDIRECT("T"&amp;ROW()-4)&amp;"_"&amp;$D$12,BEGIN_Renew_Dental:END_RENEW_DENTAL,RENEW_COL_FAM,FALSE),"")</f>
        <v/>
      </c>
      <c r="U749" s="423" t="str">
        <f t="shared" si="100"/>
        <v/>
      </c>
      <c r="V749" s="420"/>
      <c r="W749" s="421"/>
      <c r="X749" s="422" t="str">
        <f>IFERROR(IF($V745="Keep Contribution Same",H749,IF($V745="Enter Percentages",IF(V749="","",V749*T749),IF($V745="Keep Percentage Same",IF(G749="","",G749*T749),IF($V745="Enter Dollar Amount",IF(W749="","",W749),"")))),"")</f>
        <v/>
      </c>
      <c r="Y749" s="417" t="str">
        <f t="shared" ca="1" si="101"/>
        <v/>
      </c>
      <c r="Z749" s="419" t="str">
        <f t="shared" si="102"/>
        <v/>
      </c>
    </row>
    <row r="750" spans="1:26" ht="18.75" customHeight="1" thickTop="1">
      <c r="A750" s="140"/>
      <c r="B750" s="140"/>
      <c r="D750" s="175" t="s">
        <v>329</v>
      </c>
      <c r="E750" s="424"/>
      <c r="F750" s="427"/>
      <c r="G750" s="426"/>
      <c r="H750" s="427"/>
      <c r="I750" s="428"/>
      <c r="J750" s="429" t="str">
        <f>IFERROR(IF(J746="","",SUM(J746:J749)),0)</f>
        <v/>
      </c>
      <c r="K750" s="1"/>
      <c r="L750" s="424"/>
      <c r="M750" s="427"/>
      <c r="N750" s="426"/>
      <c r="O750" s="427"/>
      <c r="P750" s="431"/>
      <c r="Q750" s="432"/>
      <c r="R750" s="429" t="str">
        <f>IFERROR(IF(R746="","",SUM(R746:R749)),0)</f>
        <v/>
      </c>
      <c r="T750" s="424"/>
      <c r="U750" s="427"/>
      <c r="V750" s="426"/>
      <c r="W750" s="427"/>
      <c r="X750" s="431"/>
      <c r="Y750" s="432"/>
      <c r="Z750" s="429" t="str">
        <f>IFERROR(IF(Z746="","",SUM(Z746:Z749)),0)</f>
        <v/>
      </c>
    </row>
    <row r="751" spans="1:26" ht="18.75" customHeight="1">
      <c r="A751" s="140"/>
      <c r="B751" s="140"/>
      <c r="D751" s="177" t="s">
        <v>243</v>
      </c>
      <c r="E751" s="433"/>
      <c r="F751" s="436"/>
      <c r="G751" s="435"/>
      <c r="H751" s="436"/>
      <c r="I751" s="432"/>
      <c r="J751" s="437" t="str">
        <f>IF(J750="","",J750*12)</f>
        <v/>
      </c>
      <c r="K751" s="1"/>
      <c r="L751" s="433"/>
      <c r="M751" s="436"/>
      <c r="N751" s="435"/>
      <c r="O751" s="436"/>
      <c r="P751" s="432"/>
      <c r="Q751" s="432"/>
      <c r="R751" s="437" t="str">
        <f>IF(R750="","",R750*12)</f>
        <v/>
      </c>
      <c r="T751" s="433"/>
      <c r="U751" s="436"/>
      <c r="V751" s="435"/>
      <c r="W751" s="436"/>
      <c r="X751" s="432"/>
      <c r="Y751" s="432"/>
      <c r="Z751" s="437" t="str">
        <f>IF(Z750="","",Z750*12)</f>
        <v/>
      </c>
    </row>
    <row r="752" spans="1:26" ht="18" customHeight="1">
      <c r="A752" s="140"/>
      <c r="B752" s="140"/>
      <c r="D752" s="177" t="s">
        <v>244</v>
      </c>
      <c r="E752" s="433"/>
      <c r="F752" s="436"/>
      <c r="G752" s="435"/>
      <c r="H752" s="436"/>
      <c r="I752" s="432"/>
      <c r="J752" s="437" t="str">
        <f>IFERROR(IF(J751="","",R751-J751),0)</f>
        <v/>
      </c>
      <c r="K752" s="1"/>
      <c r="L752" s="433"/>
      <c r="M752" s="436"/>
      <c r="N752" s="435"/>
      <c r="O752" s="436"/>
      <c r="P752" s="432"/>
      <c r="Q752" s="432"/>
      <c r="R752" s="437" t="str">
        <f>IFERROR(IF(J751="","",R751-J751),0)</f>
        <v/>
      </c>
      <c r="T752" s="433"/>
      <c r="U752" s="436"/>
      <c r="V752" s="435"/>
      <c r="W752" s="436"/>
      <c r="X752" s="432"/>
      <c r="Y752" s="432"/>
      <c r="Z752" s="437" t="str">
        <f>IFERROR(IF(R751="","",Z751-R751),0)</f>
        <v/>
      </c>
    </row>
    <row r="753" spans="1:26" ht="18" customHeight="1" thickBot="1">
      <c r="A753" s="140"/>
      <c r="B753" s="140"/>
      <c r="D753" s="180" t="s">
        <v>245</v>
      </c>
      <c r="E753" s="439"/>
      <c r="F753" s="440"/>
      <c r="G753" s="441"/>
      <c r="H753" s="440"/>
      <c r="I753" s="442"/>
      <c r="J753" s="437" t="str">
        <f>IFERROR(IF(J751="","",(R751/J751)-1),0)</f>
        <v/>
      </c>
      <c r="K753" s="1"/>
      <c r="L753" s="439"/>
      <c r="M753" s="440"/>
      <c r="N753" s="441"/>
      <c r="O753" s="440"/>
      <c r="P753" s="445"/>
      <c r="Q753" s="445"/>
      <c r="R753" s="446" t="str">
        <f>IFERROR(IF(J751="","",(R751/J751)-1),0)</f>
        <v/>
      </c>
      <c r="T753" s="439"/>
      <c r="U753" s="440"/>
      <c r="V753" s="441"/>
      <c r="W753" s="440"/>
      <c r="X753" s="445"/>
      <c r="Y753" s="445"/>
      <c r="Z753" s="446" t="str">
        <f>IFERROR(IF(R751="","",(Z751/R751)-1),0)</f>
        <v/>
      </c>
    </row>
    <row r="754" spans="1:26" ht="5.25" customHeight="1" thickBot="1">
      <c r="A754" s="140"/>
      <c r="B754" s="140"/>
      <c r="D754" s="229"/>
      <c r="E754" s="229"/>
      <c r="F754" s="230"/>
      <c r="G754" s="231"/>
      <c r="H754" s="232"/>
      <c r="I754" s="233"/>
      <c r="J754" s="233"/>
      <c r="K754"/>
      <c r="L754" s="233"/>
      <c r="M754" s="233"/>
      <c r="N754" s="233"/>
      <c r="O754" s="233"/>
      <c r="P754" s="233"/>
      <c r="Q754" s="233"/>
      <c r="R754" s="233"/>
      <c r="T754" s="233"/>
      <c r="U754" s="233"/>
      <c r="V754" s="233"/>
      <c r="W754" s="233"/>
      <c r="X754" s="233"/>
      <c r="Y754" s="233"/>
      <c r="Z754" s="233"/>
    </row>
    <row r="755" spans="1:26" ht="50.15" customHeight="1">
      <c r="A755" s="140"/>
      <c r="B755" s="140"/>
      <c r="C755" s="164" t="s">
        <v>298</v>
      </c>
      <c r="D755" s="275" t="s">
        <v>285</v>
      </c>
      <c r="E755" s="165"/>
      <c r="F755" s="272"/>
      <c r="G755" s="166"/>
      <c r="H755" s="167"/>
      <c r="I755" s="168"/>
      <c r="J755" s="169"/>
      <c r="K755"/>
      <c r="L755" s="274" t="s">
        <v>38</v>
      </c>
      <c r="M755" s="170"/>
      <c r="N755" s="274" t="s">
        <v>237</v>
      </c>
      <c r="O755" s="171"/>
      <c r="P755" s="171"/>
      <c r="Q755" s="171"/>
      <c r="R755" s="169"/>
      <c r="T755" s="274" t="s">
        <v>38</v>
      </c>
      <c r="U755" s="170"/>
      <c r="V755" s="274" t="s">
        <v>237</v>
      </c>
      <c r="W755" s="171"/>
      <c r="X755" s="171"/>
      <c r="Y755" s="171"/>
      <c r="Z755" s="169"/>
    </row>
    <row r="756" spans="1:26" ht="18.75" customHeight="1">
      <c r="A756" s="140"/>
      <c r="B756" s="140"/>
      <c r="D756" s="172" t="s">
        <v>238</v>
      </c>
      <c r="E756" s="407"/>
      <c r="F756" s="449"/>
      <c r="G756" s="470"/>
      <c r="H756" s="449"/>
      <c r="I756" s="450"/>
      <c r="J756" s="410"/>
      <c r="K756" s="411"/>
      <c r="L756" s="408" t="str" cm="1">
        <f t="array" ca="1" aca="1" ref="L756">_xlfn.IFNA(VLOOKUP(INDIRECT("L"&amp;ROW()-1)&amp;"_"&amp;$D$12,BEGIN_Renew_Dental:END_RENEW_DENTAL,RENEW_COL_EO,FALSE),"")</f>
        <v/>
      </c>
      <c r="M756" s="412" t="str">
        <f>IF(E756="","",E756)</f>
        <v/>
      </c>
      <c r="N756" s="413"/>
      <c r="O756" s="414"/>
      <c r="P756" s="415" t="str">
        <f>IFERROR(IF($N755="Keep Contribution Same",H756,IF($N755="Enter Percentages",IF(N756="","",N756*L756),IF($N755="Keep Percentage Same",IF(G756="","",G756*L756),IF($N755="Enter Dollar Amount",IF(O756="","",O756),"")))),"")</f>
        <v/>
      </c>
      <c r="Q756" s="408" t="str">
        <f>IFERROR(R756-P756,"")</f>
        <v/>
      </c>
      <c r="R756" s="410" t="str">
        <f>IFERROR(IF(P756="","",M756*P756),"")</f>
        <v/>
      </c>
      <c r="S756" s="411"/>
      <c r="T756" s="408" t="str" cm="1">
        <f t="array" ca="1" aca="1" ref="T756">_xlfn.IFNA(VLOOKUP(INDIRECT("T"&amp;ROW()-1)&amp;"_"&amp;$D$12,BEGIN_Renew_Dental:END_RENEW_DENTAL,RENEW_COL_EO,FALSE),"")</f>
        <v/>
      </c>
      <c r="U756" s="412" t="str">
        <f>IF(E756="","",E756)</f>
        <v/>
      </c>
      <c r="V756" s="413"/>
      <c r="W756" s="414"/>
      <c r="X756" s="415" t="str">
        <f>IFERROR(IF($V755="Keep Contribution Same",H756,IF($V755="Enter Percentages",IF(V756="","",V756*T756),IF($V755="Keep Percentage Same",IF(G756="","",G756*T756),IF($V755="Enter Dollar Amount",IF(W756="","",W756),"")))),"")</f>
        <v/>
      </c>
      <c r="Y756" s="408" t="str">
        <f ca="1">IFERROR(T756-X756,"")</f>
        <v/>
      </c>
      <c r="Z756" s="410" t="str">
        <f>IFERROR(IF(X756="","",U756*X756),"")</f>
        <v/>
      </c>
    </row>
    <row r="757" spans="1:26" ht="18.75" customHeight="1">
      <c r="A757" s="140"/>
      <c r="B757" s="140"/>
      <c r="D757" s="172" t="s">
        <v>239</v>
      </c>
      <c r="E757" s="407"/>
      <c r="F757" s="449"/>
      <c r="G757" s="470"/>
      <c r="H757" s="449"/>
      <c r="I757" s="450"/>
      <c r="J757" s="410"/>
      <c r="K757" s="411"/>
      <c r="L757" s="408" t="str" cm="1">
        <f t="array" ca="1" aca="1" ref="L757">_xlfn.IFNA(VLOOKUP(INDIRECT("L"&amp;ROW()-2)&amp;"_"&amp;$D$12,BEGIN_Renew_Dental:END_RENEW_DENTAL,RENEW_COL_ES,FALSE),"")</f>
        <v/>
      </c>
      <c r="M757" s="412" t="str">
        <f>IF(E757="","",E757)</f>
        <v/>
      </c>
      <c r="N757" s="413"/>
      <c r="O757" s="414"/>
      <c r="P757" s="415" t="str">
        <f>IFERROR(IF($N755="Keep Contribution Same",H757,IF($N755="Enter Percentages",IF(N757="","",N757*L757),IF($N755="Keep Percentage Same",IF(G757="","",G757*L757),IF($N755="Enter Dollar Amount",IF(O757="","",O757),"")))),"")</f>
        <v/>
      </c>
      <c r="Q757" s="408" t="str">
        <f t="shared" si="103" ref="Q757">IFERROR(R757-P757,"")</f>
        <v/>
      </c>
      <c r="R757" s="410" t="str">
        <f>IFERROR(IF(P757="","",M757*P757),"")</f>
        <v/>
      </c>
      <c r="S757" s="411"/>
      <c r="T757" s="408" t="str" cm="1">
        <f t="array" ca="1" aca="1" ref="T757">_xlfn.IFNA(VLOOKUP(INDIRECT("T"&amp;ROW()-2)&amp;"_"&amp;$D$12,BEGIN_Renew_Dental:END_RENEW_DENTAL,RENEW_COL_ES,FALSE),"")</f>
        <v/>
      </c>
      <c r="U757" s="412" t="str">
        <f t="shared" si="104" ref="U757:U759">IF(E757="","",E757)</f>
        <v/>
      </c>
      <c r="V757" s="413"/>
      <c r="W757" s="414"/>
      <c r="X757" s="415" t="str">
        <f>IFERROR(IF($V755="Keep Contribution Same",H757,IF($V755="Enter Percentages",IF(V757="","",V757*T757),IF($V755="Keep Percentage Same",IF(G757="","",G757*T757),IF($V755="Enter Dollar Amount",IF(W757="","",W757),"")))),"")</f>
        <v/>
      </c>
      <c r="Y757" s="408" t="str">
        <f ca="1" t="shared" si="105" ref="Y757:Y759">IFERROR(T757-X757,"")</f>
        <v/>
      </c>
      <c r="Z757" s="410" t="str">
        <f t="shared" si="106" ref="Z757:Z759">IFERROR(IF(X757="","",U757*X757),"")</f>
        <v/>
      </c>
    </row>
    <row r="758" spans="1:26" ht="18.75" customHeight="1">
      <c r="A758" s="140"/>
      <c r="B758" s="140"/>
      <c r="D758" s="172" t="s">
        <v>240</v>
      </c>
      <c r="E758" s="407"/>
      <c r="F758" s="449"/>
      <c r="G758" s="470"/>
      <c r="H758" s="449"/>
      <c r="I758" s="450"/>
      <c r="J758" s="410"/>
      <c r="K758" s="411"/>
      <c r="L758" s="408" t="str" cm="1">
        <f t="array" ca="1" aca="1" ref="L758">_xlfn.IFNA(VLOOKUP(INDIRECT("L"&amp;ROW()-3)&amp;"_"&amp;$D$12,BEGIN_Renew_Dental:END_RENEW_DENTAL,RENEW_COL_EC,FALSE),"")</f>
        <v/>
      </c>
      <c r="M758" s="412" t="str">
        <f>IF(E758="","",E758)</f>
        <v/>
      </c>
      <c r="N758" s="413"/>
      <c r="O758" s="414"/>
      <c r="P758" s="415" t="str">
        <f>IFERROR(IF($N755="Keep Contribution Same",H758,IF($N755="Enter Percentages",IF(N758="","",N758*L758),IF($N755="Keep Percentage Same",IF(G758="","",G758*L758),IF($N755="Enter Dollar Amount",IF(O758="","",O758),"")))),"")</f>
        <v/>
      </c>
      <c r="Q758" s="408" t="str">
        <f>IFERROR(R758-P758,"")</f>
        <v/>
      </c>
      <c r="R758" s="410" t="str">
        <f>IFERROR(IF(P758="","",M758*P758),"")</f>
        <v/>
      </c>
      <c r="S758" s="411"/>
      <c r="T758" s="408" t="str" cm="1">
        <f t="array" ca="1" aca="1" ref="T758">_xlfn.IFNA(VLOOKUP(INDIRECT("T"&amp;ROW()-3)&amp;"_"&amp;$D$12,BEGIN_Renew_Dental:END_RENEW_DENTAL,RENEW_COL_EC,FALSE),"")</f>
        <v/>
      </c>
      <c r="U758" s="412" t="str">
        <f t="shared" si="104"/>
        <v/>
      </c>
      <c r="V758" s="413"/>
      <c r="W758" s="414"/>
      <c r="X758" s="415" t="str">
        <f>IFERROR(IF($V755="Keep Contribution Same",H758,IF($V755="Enter Percentages",IF(V758="","",V758*T758),IF($V755="Keep Percentage Same",IF(G758="","",G758*T758),IF($V755="Enter Dollar Amount",IF(W758="","",W758),"")))),"")</f>
        <v/>
      </c>
      <c r="Y758" s="408" t="str">
        <f t="shared" ca="1" si="105"/>
        <v/>
      </c>
      <c r="Z758" s="410" t="str">
        <f t="shared" si="106"/>
        <v/>
      </c>
    </row>
    <row r="759" spans="1:26" ht="18.75" customHeight="1" thickBot="1">
      <c r="A759" s="140"/>
      <c r="B759" s="140"/>
      <c r="D759" s="174" t="s">
        <v>241</v>
      </c>
      <c r="E759" s="416"/>
      <c r="F759" s="451"/>
      <c r="G759" s="471"/>
      <c r="H759" s="451"/>
      <c r="I759" s="452"/>
      <c r="J759" s="419"/>
      <c r="K759" s="411"/>
      <c r="L759" s="417" t="str" cm="1">
        <f t="array" ca="1" aca="1" ref="L759">_xlfn.IFNA(VLOOKUP(INDIRECT("L"&amp;ROW()-4)&amp;"_"&amp;$D$12,BEGIN_Renew_Dental:END_RENEW_DENTAL,RENEW_COL_FAM,FALSE),"")</f>
        <v/>
      </c>
      <c r="M759" s="423" t="str">
        <f>IF(E759="","",E759)</f>
        <v/>
      </c>
      <c r="N759" s="420"/>
      <c r="O759" s="421"/>
      <c r="P759" s="422" t="str">
        <f>IFERROR(IF($N755="Keep Contribution Same",H759,IF($N755="Enter Percentages",IF(N759="","",N759*L759),IF($N755="Keep Percentage Same",IF(G759="","",G759*L759),IF($N755="Enter Dollar Amount",IF(O759="","",O759),"")))),"")</f>
        <v/>
      </c>
      <c r="Q759" s="417" t="str">
        <f>IFERROR(R759-P759,"")</f>
        <v/>
      </c>
      <c r="R759" s="419" t="str">
        <f>IFERROR(IF(P759="","",M759*P759),"")</f>
        <v/>
      </c>
      <c r="S759" s="411"/>
      <c r="T759" s="417" t="str" cm="1">
        <f t="array" ca="1" aca="1" ref="T759">_xlfn.IFNA(VLOOKUP(INDIRECT("T"&amp;ROW()-4)&amp;"_"&amp;$D$12,BEGIN_Renew_Dental:END_RENEW_DENTAL,RENEW_COL_FAM,FALSE),"")</f>
        <v/>
      </c>
      <c r="U759" s="423" t="str">
        <f t="shared" si="104"/>
        <v/>
      </c>
      <c r="V759" s="420"/>
      <c r="W759" s="421"/>
      <c r="X759" s="422" t="str">
        <f>IFERROR(IF($V755="Keep Contribution Same",H759,IF($V755="Enter Percentages",IF(V759="","",V759*T759),IF($V755="Keep Percentage Same",IF(G759="","",G759*T759),IF($V755="Enter Dollar Amount",IF(W759="","",W759),"")))),"")</f>
        <v/>
      </c>
      <c r="Y759" s="417" t="str">
        <f t="shared" ca="1" si="105"/>
        <v/>
      </c>
      <c r="Z759" s="419" t="str">
        <f t="shared" si="106"/>
        <v/>
      </c>
    </row>
    <row r="760" spans="1:26" ht="18.75" customHeight="1" thickTop="1">
      <c r="A760" s="140"/>
      <c r="B760" s="140"/>
      <c r="D760" s="175" t="s">
        <v>329</v>
      </c>
      <c r="E760" s="424"/>
      <c r="F760" s="427"/>
      <c r="G760" s="426"/>
      <c r="H760" s="427"/>
      <c r="I760" s="428"/>
      <c r="J760" s="429" t="str">
        <f>IFERROR(IF(J756="","",SUM(J756:J759)),0)</f>
        <v/>
      </c>
      <c r="K760" s="1"/>
      <c r="L760" s="424"/>
      <c r="M760" s="427"/>
      <c r="N760" s="426"/>
      <c r="O760" s="427"/>
      <c r="P760" s="431"/>
      <c r="Q760" s="432"/>
      <c r="R760" s="429" t="str">
        <f>IFERROR(IF(R756="","",SUM(R756:R759)),0)</f>
        <v/>
      </c>
      <c r="T760" s="424"/>
      <c r="U760" s="427"/>
      <c r="V760" s="426"/>
      <c r="W760" s="427"/>
      <c r="X760" s="431"/>
      <c r="Y760" s="432"/>
      <c r="Z760" s="429" t="str">
        <f>IFERROR(IF(Z756="","",SUM(Z756:Z759)),0)</f>
        <v/>
      </c>
    </row>
    <row r="761" spans="1:26" ht="18.75" customHeight="1">
      <c r="A761" s="140"/>
      <c r="B761" s="140"/>
      <c r="D761" s="177" t="s">
        <v>243</v>
      </c>
      <c r="E761" s="433"/>
      <c r="F761" s="436"/>
      <c r="G761" s="435"/>
      <c r="H761" s="436"/>
      <c r="I761" s="432"/>
      <c r="J761" s="437" t="str">
        <f>IF(J760="","",J760*12)</f>
        <v/>
      </c>
      <c r="K761" s="1"/>
      <c r="L761" s="433"/>
      <c r="M761" s="436"/>
      <c r="N761" s="435"/>
      <c r="O761" s="436"/>
      <c r="P761" s="432"/>
      <c r="Q761" s="432"/>
      <c r="R761" s="437" t="str">
        <f>IF(R760="","",R760*12)</f>
        <v/>
      </c>
      <c r="T761" s="433"/>
      <c r="U761" s="436"/>
      <c r="V761" s="435"/>
      <c r="W761" s="436"/>
      <c r="X761" s="432"/>
      <c r="Y761" s="432"/>
      <c r="Z761" s="437" t="str">
        <f>IF(Z760="","",Z760*12)</f>
        <v/>
      </c>
    </row>
    <row r="762" spans="1:26" ht="18" customHeight="1">
      <c r="A762" s="140"/>
      <c r="B762" s="140"/>
      <c r="D762" s="177" t="s">
        <v>244</v>
      </c>
      <c r="E762" s="433"/>
      <c r="F762" s="436"/>
      <c r="G762" s="435"/>
      <c r="H762" s="436"/>
      <c r="I762" s="432"/>
      <c r="J762" s="437" t="str">
        <f>IFERROR(IF(J761="","",R761-J761),0)</f>
        <v/>
      </c>
      <c r="K762" s="1"/>
      <c r="L762" s="433"/>
      <c r="M762" s="436"/>
      <c r="N762" s="435"/>
      <c r="O762" s="436"/>
      <c r="P762" s="432"/>
      <c r="Q762" s="432"/>
      <c r="R762" s="437" t="str">
        <f>IFERROR(IF(J761="","",R761-J761),0)</f>
        <v/>
      </c>
      <c r="T762" s="433"/>
      <c r="U762" s="436"/>
      <c r="V762" s="435"/>
      <c r="W762" s="436"/>
      <c r="X762" s="432"/>
      <c r="Y762" s="432"/>
      <c r="Z762" s="437" t="str">
        <f>IFERROR(IF(R761="","",Z761-R761),0)</f>
        <v/>
      </c>
    </row>
    <row r="763" spans="1:26" ht="18" customHeight="1" thickBot="1">
      <c r="A763" s="140"/>
      <c r="B763" s="140"/>
      <c r="D763" s="180" t="s">
        <v>245</v>
      </c>
      <c r="E763" s="439"/>
      <c r="F763" s="440"/>
      <c r="G763" s="441"/>
      <c r="H763" s="440"/>
      <c r="I763" s="442"/>
      <c r="J763" s="437" t="str">
        <f>IFERROR(IF(J761="","",(R761/J761)-1),0)</f>
        <v/>
      </c>
      <c r="K763" s="1"/>
      <c r="L763" s="439"/>
      <c r="M763" s="440"/>
      <c r="N763" s="441"/>
      <c r="O763" s="440"/>
      <c r="P763" s="445"/>
      <c r="Q763" s="445"/>
      <c r="R763" s="446" t="str">
        <f>IFERROR(IF(J761="","",(R761/J761)-1),0)</f>
        <v/>
      </c>
      <c r="T763" s="439"/>
      <c r="U763" s="440"/>
      <c r="V763" s="441"/>
      <c r="W763" s="440"/>
      <c r="X763" s="445"/>
      <c r="Y763" s="445"/>
      <c r="Z763" s="446" t="str">
        <f>IFERROR(IF(R761="","",(Z761/R761)-1),0)</f>
        <v/>
      </c>
    </row>
    <row r="764" spans="1:140" s="162" customFormat="1" ht="5.25" customHeight="1" thickBot="1">
      <c r="A764" s="140"/>
      <c r="B764" s="140"/>
      <c r="C764" s="141"/>
      <c r="D764" s="229"/>
      <c r="E764" s="229"/>
      <c r="F764" s="230"/>
      <c r="G764" s="231"/>
      <c r="H764" s="232"/>
      <c r="I764" s="233"/>
      <c r="J764" s="233"/>
      <c r="K764"/>
      <c r="L764" s="233"/>
      <c r="M764" s="233"/>
      <c r="N764" s="233"/>
      <c r="O764" s="233"/>
      <c r="P764" s="233"/>
      <c r="Q764" s="233"/>
      <c r="R764" s="233"/>
      <c r="S764" s="1"/>
      <c r="T764" s="233"/>
      <c r="U764" s="233"/>
      <c r="V764" s="233"/>
      <c r="W764" s="233"/>
      <c r="X764" s="233"/>
      <c r="Y764" s="233"/>
      <c r="Z764" s="233"/>
      <c r="AA764" s="1"/>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row>
    <row r="765" spans="1:27" ht="38.25" customHeight="1" thickTop="1" thickBot="1">
      <c r="A765" s="153"/>
      <c r="B765" s="153"/>
      <c r="C765" s="234"/>
      <c r="D765" s="484" t="s">
        <v>299</v>
      </c>
      <c r="E765" s="485"/>
      <c r="F765" s="485"/>
      <c r="G765" s="485"/>
      <c r="H765" s="485"/>
      <c r="I765" s="485"/>
      <c r="J765" s="485"/>
      <c r="K765" s="485"/>
      <c r="L765" s="485"/>
      <c r="M765" s="485"/>
      <c r="N765" s="485"/>
      <c r="O765" s="485"/>
      <c r="P765" s="485"/>
      <c r="Q765" s="485"/>
      <c r="R765" s="486"/>
      <c r="S765" s="162"/>
      <c r="T765" s="163"/>
      <c r="U765" s="163"/>
      <c r="V765" s="163"/>
      <c r="W765" s="163"/>
      <c r="X765" s="163"/>
      <c r="Y765" s="163"/>
      <c r="Z765" s="163"/>
      <c r="AA765" s="162"/>
    </row>
    <row r="766" spans="1:26" ht="50.15" customHeight="1">
      <c r="A766" s="140">
        <v>1</v>
      </c>
      <c r="B766" s="140" t="str">
        <f>IF(A766&gt;Class5_CurrentVisionCount,"DELETE",Class5_CurrentVisionStart+A766)</f>
        <v>DELETE</v>
      </c>
      <c r="C766" s="164" t="s">
        <v>300</v>
      </c>
      <c r="D766" s="273" t="str">
        <f>IF(B766="Delete","",VLOOKUP(F766,BEGIN_CURRENT_VISION:END_CURRENT_VISION,3,FALSE))</f>
        <v/>
      </c>
      <c r="E766" s="165"/>
      <c r="F766" s="272" t="str" cm="1">
        <f t="array" ca="1" aca="1" ref="F766">IF(B766="Delete","",INDIRECT("CurrentPlans!A"&amp;B766,TRUE))</f>
        <v/>
      </c>
      <c r="G766" s="166"/>
      <c r="H766" s="167"/>
      <c r="I766" s="168"/>
      <c r="J766" s="169"/>
      <c r="K766"/>
      <c r="L766" s="274" t="str">
        <f ca="1">_xlfn.IFNA(VLOOKUP(F766,BEGIN_RENEWEDFROM_DENTAL:ROW_RenewDental_PlanID,3,FALSE),"SELECT PLAN")</f>
        <v>SELECT PLAN</v>
      </c>
      <c r="M766" s="170"/>
      <c r="N766" s="274" t="s">
        <v>237</v>
      </c>
      <c r="O766" s="171"/>
      <c r="P766" s="171"/>
      <c r="Q766" s="171"/>
      <c r="R766" s="169"/>
      <c r="T766" s="274" t="s">
        <v>38</v>
      </c>
      <c r="U766" s="170"/>
      <c r="V766" s="274" t="s">
        <v>237</v>
      </c>
      <c r="W766" s="171"/>
      <c r="X766" s="171"/>
      <c r="Y766" s="171"/>
      <c r="Z766" s="169"/>
    </row>
    <row r="767" spans="1:26" ht="18.75" customHeight="1">
      <c r="A767" s="140"/>
      <c r="B767" s="140"/>
      <c r="D767" s="172" t="s">
        <v>238</v>
      </c>
      <c r="E767" s="407" t="str">
        <f ca="1">_xlfn.IFNA(VLOOKUP(F766,BEGIN_CURRENT_VISION:END_CURRENT_VISION,CURRENT_COL_EO_count,FALSE),"")</f>
        <v/>
      </c>
      <c r="F767" s="408" t="str">
        <f ca="1">_xlfn.IFNA(VLOOKUP(F766,BEGIN_CURRENT_VISION:END_CURRENT_VISION,CURRENT_COL_EO,FALSE),"")</f>
        <v/>
      </c>
      <c r="G767" s="468" t="str">
        <f ca="1" t="shared" si="107" ref="G767:G770">IF(F767="","",H767/F767)</f>
        <v/>
      </c>
      <c r="H767" s="408" t="str">
        <f ca="1">_xlfn.IFNA(VLOOKUP(F766,BEGIN_CURRENT_VISION:END_CURRENT_VISION,CURRENT_COL_EOContrib,FALSE),"")</f>
        <v/>
      </c>
      <c r="I767" s="409" t="str">
        <f ca="1">IFERROR(F767-H767,"")</f>
        <v/>
      </c>
      <c r="J767" s="410" t="str">
        <f ca="1">IF(F767="","",H767*E767)</f>
        <v/>
      </c>
      <c r="K767" s="411"/>
      <c r="L767" s="408" t="str" cm="1">
        <f t="array" ca="1" aca="1" ref="L767">_xlfn.IFNA(VLOOKUP(INDIRECT("L"&amp;ROW()-1)&amp;"_"&amp;$D$12,BEGIN_Renew_Vision:END_RENEW_VISION,RENEW_COL_EO,FALSE),"")</f>
        <v/>
      </c>
      <c r="M767" s="412" t="str">
        <f ca="1">IF(E767="","",E767)</f>
        <v/>
      </c>
      <c r="N767" s="413"/>
      <c r="O767" s="414"/>
      <c r="P767" s="415" t="str">
        <f>IFERROR(IF($N766="Keep Contribution Same",H767,IF($N766="Enter Percentages",IF(N767="","",N767*L767),IF($N766="Keep Percentage Same",IF(G767="","",G767*L767),IF($N766="Enter Dollar Amount",IF(O767="","",O767),"")))),"")</f>
        <v/>
      </c>
      <c r="Q767" s="408" t="str">
        <f ca="1">IFERROR(L767-P767,"")</f>
        <v/>
      </c>
      <c r="R767" s="410" t="str">
        <f>IFERROR(IF(P767="","",M767*P767),"")</f>
        <v/>
      </c>
      <c r="S767" s="411"/>
      <c r="T767" s="408" t="str" cm="1">
        <f t="array" ca="1" aca="1" ref="T767">_xlfn.IFNA(VLOOKUP(INDIRECT("T"&amp;ROW()-1)&amp;"_"&amp;$D$12,BEGIN_Renew_Vision:END_RENEW_VISION,RENEW_COL_EO,FALSE),"")</f>
        <v/>
      </c>
      <c r="U767" s="412" t="str">
        <f ca="1">IF(E767="","",E767)</f>
        <v/>
      </c>
      <c r="V767" s="413"/>
      <c r="W767" s="414"/>
      <c r="X767" s="415" t="str">
        <f>IFERROR(IF($V766="Keep Contribution Same",H767,IF($V766="Enter Percentages",IF(V767="","",V767*T767),IF($V766="Keep Percentage Same",IF(G767="","",G767*T767),IF($V766="Enter Dollar Amount",IF(W767="","",W767),"")))),"")</f>
        <v/>
      </c>
      <c r="Y767" s="408" t="str">
        <f ca="1">IFERROR(T767-X767,"")</f>
        <v/>
      </c>
      <c r="Z767" s="410" t="str">
        <f>IFERROR(IF(X767="","",U767*X767),"")</f>
        <v/>
      </c>
    </row>
    <row r="768" spans="1:26" ht="18.75" customHeight="1">
      <c r="A768" s="140"/>
      <c r="B768" s="140"/>
      <c r="D768" s="172" t="s">
        <v>239</v>
      </c>
      <c r="E768" s="407" t="str">
        <f ca="1">_xlfn.IFNA(VLOOKUP(F766,BEGIN_CURRENT_VISION:END_CURRENT_VISION,CURRENT_COL_ES_count,FALSE),"")</f>
        <v/>
      </c>
      <c r="F768" s="408" t="str">
        <f ca="1">_xlfn.IFNA(VLOOKUP(F766,BEGIN_CURRENT_VISION:END_CURRENT_VISION,CURRENT_COL_ES,FALSE),"")</f>
        <v/>
      </c>
      <c r="G768" s="468" t="str">
        <f t="shared" ca="1" si="107"/>
        <v/>
      </c>
      <c r="H768" s="408" t="str">
        <f ca="1">_xlfn.IFNA(VLOOKUP(F766,BEGIN_CURRENT_VISION:END_CURRENT_VISION,CURRENT_COL_ESContrib,FALSE),"")</f>
        <v/>
      </c>
      <c r="I768" s="409" t="str">
        <f ca="1" t="shared" si="108" ref="I768:I770">IFERROR(F768-H768,"")</f>
        <v/>
      </c>
      <c r="J768" s="410" t="str">
        <f ca="1" t="shared" si="109" ref="J768:J770">IF(F768="","",H768*E768)</f>
        <v/>
      </c>
      <c r="K768" s="411"/>
      <c r="L768" s="408" t="str" cm="1">
        <f t="array" ca="1" aca="1" ref="L768">_xlfn.IFNA(VLOOKUP(INDIRECT("L"&amp;ROW()-2)&amp;"_"&amp;$D$12,BEGIN_Renew_Vision:END_RENEW_VISION,RENEW_COL_ES,FALSE),"")</f>
        <v/>
      </c>
      <c r="M768" s="412" t="str">
        <f ca="1">IF(E768="","",E768)</f>
        <v/>
      </c>
      <c r="N768" s="413"/>
      <c r="O768" s="414"/>
      <c r="P768" s="415" t="str">
        <f>IFERROR(IF($N766="Keep Contribution Same",H768,IF($N766="Enter Percentages",IF(N768="","",N768*L768),IF($N766="Keep Percentage Same",IF(G768="","",G768*L768),IF($N766="Enter Dollar Amount",IF(O768="","",O768),"")))),"")</f>
        <v/>
      </c>
      <c r="Q768" s="408" t="str">
        <f ca="1" t="shared" si="110" ref="Q768:Q770">IFERROR(L768-P768,"")</f>
        <v/>
      </c>
      <c r="R768" s="410" t="str">
        <f>IFERROR(IF(P768="","",M768*P768),"")</f>
        <v/>
      </c>
      <c r="S768" s="411"/>
      <c r="T768" s="408" t="str" cm="1">
        <f t="array" ca="1" aca="1" ref="T768">_xlfn.IFNA(VLOOKUP(INDIRECT("T"&amp;ROW()-2)&amp;"_"&amp;$D$12,BEGIN_Renew_Vision:END_RENEW_VISION,RENEW_COL_ES,FALSE),"")</f>
        <v/>
      </c>
      <c r="U768" s="412" t="str">
        <f ca="1" t="shared" si="111" ref="U768:U770">IF(E768="","",E768)</f>
        <v/>
      </c>
      <c r="V768" s="413"/>
      <c r="W768" s="414"/>
      <c r="X768" s="415" t="str">
        <f>IFERROR(IF($V766="Keep Contribution Same",H768,IF($V766="Enter Percentages",IF(V768="","",V768*T768),IF($V766="Keep Percentage Same",IF(G768="","",G768*T768),IF($V766="Enter Dollar Amount",IF(W768="","",W768),"")))),"")</f>
        <v/>
      </c>
      <c r="Y768" s="408" t="str">
        <f ca="1" t="shared" si="112" ref="Y768:Y770">IFERROR(T768-X768,"")</f>
        <v/>
      </c>
      <c r="Z768" s="410" t="str">
        <f t="shared" si="113" ref="Z768:Z770">IFERROR(IF(X768="","",U768*X768),"")</f>
        <v/>
      </c>
    </row>
    <row r="769" spans="1:26" ht="18.75" customHeight="1">
      <c r="A769" s="140"/>
      <c r="B769" s="140"/>
      <c r="D769" s="172" t="s">
        <v>240</v>
      </c>
      <c r="E769" s="407" t="str">
        <f ca="1">_xlfn.IFNA(VLOOKUP(F766,BEGIN_CURRENT_VISION:END_CURRENT_VISION,CURRENT_COL_EC_count,FALSE),"")</f>
        <v/>
      </c>
      <c r="F769" s="408" t="str">
        <f ca="1">_xlfn.IFNA(VLOOKUP(F766,BEGIN_CURRENT_VISION:END_CURRENT_VISION,CURRENT_COL_EC,FALSE),"")</f>
        <v/>
      </c>
      <c r="G769" s="468" t="str">
        <f t="shared" ca="1" si="107"/>
        <v/>
      </c>
      <c r="H769" s="408" t="str">
        <f ca="1">_xlfn.IFNA(VLOOKUP(F766,BEGIN_CURRENT_VISION:END_CURRENT_VISION,CURRENT_COL_ECContrib,FALSE),"")</f>
        <v/>
      </c>
      <c r="I769" s="409" t="str">
        <f t="shared" ca="1" si="108"/>
        <v/>
      </c>
      <c r="J769" s="410" t="str">
        <f t="shared" ca="1" si="109"/>
        <v/>
      </c>
      <c r="K769" s="411"/>
      <c r="L769" s="408" t="str" cm="1">
        <f t="array" ca="1" aca="1" ref="L769">_xlfn.IFNA(VLOOKUP(INDIRECT("L"&amp;ROW()-3)&amp;"_"&amp;$D$12,BEGIN_Renew_Vision:END_RENEW_VISION,RENEW_COL_EC,FALSE),"")</f>
        <v/>
      </c>
      <c r="M769" s="412" t="str">
        <f ca="1">IF(E769="","",E769)</f>
        <v/>
      </c>
      <c r="N769" s="413"/>
      <c r="O769" s="414"/>
      <c r="P769" s="415" t="str">
        <f>IFERROR(IF($N766="Keep Contribution Same",H769,IF($N766="Enter Percentages",IF(N769="","",N769*L769),IF($N766="Keep Percentage Same",IF(G769="","",G769*L769),IF($N766="Enter Dollar Amount",IF(O769="","",O769),"")))),"")</f>
        <v/>
      </c>
      <c r="Q769" s="408" t="str">
        <f t="shared" ca="1" si="110"/>
        <v/>
      </c>
      <c r="R769" s="410" t="str">
        <f>IFERROR(IF(P769="","",M769*P769),"")</f>
        <v/>
      </c>
      <c r="S769" s="411"/>
      <c r="T769" s="408" t="str" cm="1">
        <f t="array" ca="1" aca="1" ref="T769">_xlfn.IFNA(VLOOKUP(INDIRECT("T"&amp;ROW()-3)&amp;"_"&amp;$D$12,BEGIN_Renew_Vision:END_RENEW_VISION,RENEW_COL_EC,FALSE),"")</f>
        <v/>
      </c>
      <c r="U769" s="412" t="str">
        <f t="shared" ca="1" si="111"/>
        <v/>
      </c>
      <c r="V769" s="413"/>
      <c r="W769" s="414"/>
      <c r="X769" s="415" t="str">
        <f>IFERROR(IF($V766="Keep Contribution Same",H769,IF($V766="Enter Percentages",IF(V769="","",V769*T769),IF($V766="Keep Percentage Same",IF(G769="","",G769*T769),IF($V766="Enter Dollar Amount",IF(W769="","",W769),"")))),"")</f>
        <v/>
      </c>
      <c r="Y769" s="408" t="str">
        <f t="shared" ca="1" si="112"/>
        <v/>
      </c>
      <c r="Z769" s="410" t="str">
        <f t="shared" si="113"/>
        <v/>
      </c>
    </row>
    <row r="770" spans="1:26" ht="18.75" customHeight="1" thickBot="1">
      <c r="A770" s="140"/>
      <c r="B770" s="140"/>
      <c r="D770" s="174" t="s">
        <v>241</v>
      </c>
      <c r="E770" s="416" t="str">
        <f ca="1">_xlfn.IFNA(VLOOKUP(F766,BEGIN_CURRENT_VISION:END_CURRENT_VISION,CURRENT_COL_FAM_count,FALSE),"")</f>
        <v/>
      </c>
      <c r="F770" s="417" t="str">
        <f ca="1">_xlfn.IFNA(VLOOKUP(F766,BEGIN_CURRENT_VISION:END_CURRENT_VISION,CURRENT_COL_FAM,FALSE),"")</f>
        <v/>
      </c>
      <c r="G770" s="469" t="str">
        <f t="shared" ca="1" si="107"/>
        <v/>
      </c>
      <c r="H770" s="417" t="str">
        <f ca="1">_xlfn.IFNA(VLOOKUP(F766,BEGIN_CURRENT_VISION:END_CURRENT_VISION,CURRENT_COL_FAMContrib,FALSE),"")</f>
        <v/>
      </c>
      <c r="I770" s="409" t="str">
        <f t="shared" ca="1" si="108"/>
        <v/>
      </c>
      <c r="J770" s="410" t="str">
        <f t="shared" ca="1" si="109"/>
        <v/>
      </c>
      <c r="K770" s="411"/>
      <c r="L770" s="417" t="str" cm="1">
        <f t="array" ca="1" aca="1" ref="L770">_xlfn.IFNA(VLOOKUP(INDIRECT("L"&amp;ROW()-4)&amp;"_"&amp;$D$12,BEGIN_Renew_Vision:END_RENEW_VISION,RENEW_COL_FAM,FALSE),"")</f>
        <v/>
      </c>
      <c r="M770" s="423" t="str">
        <f ca="1">IF(E770="","",E770)</f>
        <v/>
      </c>
      <c r="N770" s="420"/>
      <c r="O770" s="421"/>
      <c r="P770" s="422" t="str">
        <f>IFERROR(IF($N766="Keep Contribution Same",H770,IF($N766="Enter Percentages",IF(N770="","",N770*L770),IF($N766="Keep Percentage Same",IF(G770="","",G770*L770),IF($N766="Enter Dollar Amount",IF(O770="","",O770),"")))),"")</f>
        <v/>
      </c>
      <c r="Q770" s="417" t="str">
        <f t="shared" ca="1" si="110"/>
        <v/>
      </c>
      <c r="R770" s="419" t="str">
        <f>IFERROR(IF(P770="","",M770*P770),"")</f>
        <v/>
      </c>
      <c r="S770" s="411"/>
      <c r="T770" s="417" t="str" cm="1">
        <f t="array" ca="1" aca="1" ref="T770">_xlfn.IFNA(VLOOKUP(INDIRECT("T"&amp;ROW()-4)&amp;"_"&amp;$D$12,BEGIN_Renew_Vision:END_RENEW_VISION,RENEW_COL_FAM,FALSE),"")</f>
        <v/>
      </c>
      <c r="U770" s="423" t="str">
        <f t="shared" ca="1" si="111"/>
        <v/>
      </c>
      <c r="V770" s="420"/>
      <c r="W770" s="421"/>
      <c r="X770" s="422" t="str">
        <f>IFERROR(IF($V766="Keep Contribution Same",H770,IF($V766="Enter Percentages",IF(V770="","",V770*T770),IF($V766="Keep Percentage Same",IF(G770="","",G770*T770),IF($V766="Enter Dollar Amount",IF(W770="","",W770),"")))),"")</f>
        <v/>
      </c>
      <c r="Y770" s="417" t="str">
        <f t="shared" ca="1" si="112"/>
        <v/>
      </c>
      <c r="Z770" s="419" t="str">
        <f t="shared" si="113"/>
        <v/>
      </c>
    </row>
    <row r="771" spans="1:26" ht="18.75" customHeight="1" thickTop="1">
      <c r="A771" s="140"/>
      <c r="B771" s="140"/>
      <c r="D771" s="175" t="s">
        <v>329</v>
      </c>
      <c r="E771" s="424"/>
      <c r="F771" s="427"/>
      <c r="G771" s="426"/>
      <c r="H771" s="427"/>
      <c r="I771" s="428"/>
      <c r="J771" s="429" t="str">
        <f ca="1">IFERROR(IF(J767="","",SUM(J767:J770)),0)</f>
        <v/>
      </c>
      <c r="K771" s="1"/>
      <c r="L771" s="424"/>
      <c r="M771" s="427"/>
      <c r="N771" s="426"/>
      <c r="O771" s="427"/>
      <c r="P771" s="431"/>
      <c r="Q771" s="432"/>
      <c r="R771" s="429" t="str">
        <f>IFERROR(IF(R767="","",SUM(R767:R770)),0)</f>
        <v/>
      </c>
      <c r="T771" s="424"/>
      <c r="U771" s="427"/>
      <c r="V771" s="426"/>
      <c r="W771" s="427"/>
      <c r="X771" s="431"/>
      <c r="Y771" s="432"/>
      <c r="Z771" s="429" t="str">
        <f>IFERROR(IF(Z767="","",SUM(Z767:Z770)),0)</f>
        <v/>
      </c>
    </row>
    <row r="772" spans="1:26" ht="18.75" customHeight="1">
      <c r="A772" s="140"/>
      <c r="B772" s="140"/>
      <c r="D772" s="177" t="s">
        <v>243</v>
      </c>
      <c r="E772" s="433"/>
      <c r="F772" s="436"/>
      <c r="G772" s="435"/>
      <c r="H772" s="436"/>
      <c r="I772" s="432"/>
      <c r="J772" s="437" t="str">
        <f ca="1">IF(J771="","",J771*12)</f>
        <v/>
      </c>
      <c r="K772" s="1"/>
      <c r="L772" s="433"/>
      <c r="M772" s="436"/>
      <c r="N772" s="435"/>
      <c r="O772" s="436"/>
      <c r="P772" s="432"/>
      <c r="Q772" s="432"/>
      <c r="R772" s="437" t="str">
        <f>IF(R771="","",R771*12)</f>
        <v/>
      </c>
      <c r="T772" s="433"/>
      <c r="U772" s="436"/>
      <c r="V772" s="435"/>
      <c r="W772" s="436"/>
      <c r="X772" s="432"/>
      <c r="Y772" s="432"/>
      <c r="Z772" s="437" t="str">
        <f>IF(Z771="","",Z771*12)</f>
        <v/>
      </c>
    </row>
    <row r="773" spans="1:26" ht="18" customHeight="1">
      <c r="A773" s="140"/>
      <c r="B773" s="140"/>
      <c r="D773" s="177" t="s">
        <v>244</v>
      </c>
      <c r="E773" s="433"/>
      <c r="F773" s="436"/>
      <c r="G773" s="435"/>
      <c r="H773" s="436"/>
      <c r="I773" s="432"/>
      <c r="J773" s="437" t="str">
        <f ca="1">IFERROR(IF(J772="","",R772-J772),0)</f>
        <v/>
      </c>
      <c r="K773" s="1"/>
      <c r="L773" s="433"/>
      <c r="M773" s="436"/>
      <c r="N773" s="435"/>
      <c r="O773" s="436"/>
      <c r="P773" s="432"/>
      <c r="Q773" s="432"/>
      <c r="R773" s="437" t="str">
        <f ca="1">IFERROR(IF(J772="","",R772-J772),0)</f>
        <v/>
      </c>
      <c r="T773" s="433"/>
      <c r="U773" s="436"/>
      <c r="V773" s="435"/>
      <c r="W773" s="436"/>
      <c r="X773" s="432"/>
      <c r="Y773" s="432"/>
      <c r="Z773" s="437" t="str">
        <f>IFERROR(IF(R772="","",Z772-R772),0)</f>
        <v/>
      </c>
    </row>
    <row r="774" spans="1:26" ht="18" customHeight="1" thickBot="1">
      <c r="A774" s="140"/>
      <c r="B774" s="140"/>
      <c r="D774" s="180" t="s">
        <v>245</v>
      </c>
      <c r="E774" s="439"/>
      <c r="F774" s="440"/>
      <c r="G774" s="441"/>
      <c r="H774" s="440"/>
      <c r="I774" s="442"/>
      <c r="J774" s="437" t="str">
        <f ca="1">IFERROR(IF(J772="","",(R772/J772)-1),0)</f>
        <v/>
      </c>
      <c r="K774" s="1"/>
      <c r="L774" s="439"/>
      <c r="M774" s="440"/>
      <c r="N774" s="441"/>
      <c r="O774" s="440"/>
      <c r="P774" s="445"/>
      <c r="Q774" s="445"/>
      <c r="R774" s="446" t="str">
        <f ca="1">IFERROR(IF(J772="","",(R772/J772)-1),0)</f>
        <v/>
      </c>
      <c r="T774" s="439"/>
      <c r="U774" s="440"/>
      <c r="V774" s="441"/>
      <c r="W774" s="440"/>
      <c r="X774" s="445"/>
      <c r="Y774" s="445"/>
      <c r="Z774" s="446" t="str">
        <f>IFERROR(IF(R772="","",(Z772/R772)-1),0)</f>
        <v/>
      </c>
    </row>
    <row r="775" spans="1:26" ht="5.25" customHeight="1" thickBot="1">
      <c r="A775" s="140"/>
      <c r="B775" s="140"/>
      <c r="D775" s="229"/>
      <c r="E775" s="229"/>
      <c r="F775" s="230"/>
      <c r="G775" s="231"/>
      <c r="H775" s="232"/>
      <c r="I775" s="233"/>
      <c r="J775" s="233"/>
      <c r="K775"/>
      <c r="L775" s="233"/>
      <c r="M775" s="233"/>
      <c r="N775" s="233"/>
      <c r="O775" s="233"/>
      <c r="P775" s="233"/>
      <c r="Q775" s="233"/>
      <c r="R775" s="233"/>
      <c r="T775" s="233"/>
      <c r="U775" s="233"/>
      <c r="V775" s="233"/>
      <c r="W775" s="233"/>
      <c r="X775" s="233"/>
      <c r="Y775" s="233"/>
      <c r="Z775" s="233"/>
    </row>
    <row r="776" spans="1:26" ht="50.15" customHeight="1">
      <c r="A776" s="140">
        <v>2</v>
      </c>
      <c r="B776" s="140" t="str">
        <f>IF(A776&gt;Class5_CurrentVisionCount,"DELETE",Class5_CurrentVisionStart+A776)</f>
        <v>DELETE</v>
      </c>
      <c r="C776" s="164" t="s">
        <v>301</v>
      </c>
      <c r="D776" s="273" t="str">
        <f>IF(B776="Delete","",VLOOKUP(F776,BEGIN_CURRENT_VISION:END_CURRENT_VISION,3,FALSE))</f>
        <v/>
      </c>
      <c r="E776" s="165"/>
      <c r="F776" s="272" t="str" cm="1">
        <f t="array" ca="1" aca="1" ref="F776">IF(B776="Delete","",INDIRECT("CurrentPlans!A"&amp;B776,TRUE))</f>
        <v/>
      </c>
      <c r="G776" s="166"/>
      <c r="H776" s="167"/>
      <c r="I776" s="168"/>
      <c r="J776" s="169"/>
      <c r="K776"/>
      <c r="L776" s="274" t="str">
        <f ca="1">_xlfn.IFNA(VLOOKUP(F776,BEGIN_RENEWEDFROM_DENTAL:ROW_RenewDental_PlanID,3,FALSE),"SELECT PLAN")</f>
        <v>SELECT PLAN</v>
      </c>
      <c r="M776" s="170"/>
      <c r="N776" s="274" t="s">
        <v>237</v>
      </c>
      <c r="O776" s="171"/>
      <c r="P776" s="171"/>
      <c r="Q776" s="171"/>
      <c r="R776" s="169"/>
      <c r="T776" s="274" t="s">
        <v>38</v>
      </c>
      <c r="U776" s="170"/>
      <c r="V776" s="274" t="s">
        <v>237</v>
      </c>
      <c r="W776" s="171"/>
      <c r="X776" s="171"/>
      <c r="Y776" s="171"/>
      <c r="Z776" s="169"/>
    </row>
    <row r="777" spans="1:26" ht="18.75" customHeight="1">
      <c r="A777" s="140"/>
      <c r="B777" s="140"/>
      <c r="D777" s="172" t="s">
        <v>238</v>
      </c>
      <c r="E777" s="407" t="str">
        <f ca="1">_xlfn.IFNA(VLOOKUP(F776,BEGIN_CURRENT_VISION:END_CURRENT_VISION,CURRENT_COL_EO_count,FALSE),"")</f>
        <v/>
      </c>
      <c r="F777" s="408" t="str">
        <f ca="1">_xlfn.IFNA(VLOOKUP(F776,BEGIN_CURRENT_VISION:END_CURRENT_VISION,CURRENT_COL_EO,FALSE),"")</f>
        <v/>
      </c>
      <c r="G777" s="468" t="str">
        <f ca="1" t="shared" si="114" ref="G777:G780">IF(F777="","",H777/F777)</f>
        <v/>
      </c>
      <c r="H777" s="408" t="str">
        <f ca="1">_xlfn.IFNA(VLOOKUP(F776,BEGIN_CURRENT_VISION:END_CURRENT_VISION,CURRENT_COL_EOContrib,FALSE),"")</f>
        <v/>
      </c>
      <c r="I777" s="409" t="str">
        <f ca="1">IFERROR(F777-H777,"")</f>
        <v/>
      </c>
      <c r="J777" s="410" t="str">
        <f ca="1">IF(F777="","",H777*E777)</f>
        <v/>
      </c>
      <c r="K777" s="411"/>
      <c r="L777" s="408" t="str" cm="1">
        <f t="array" ca="1" aca="1" ref="L777">_xlfn.IFNA(VLOOKUP(INDIRECT("L"&amp;ROW()-1)&amp;"_"&amp;$D$12,BEGIN_Renew_Vision:END_RENEW_VISION,RENEW_COL_EO,FALSE),"")</f>
        <v/>
      </c>
      <c r="M777" s="412" t="str">
        <f ca="1">IF(E777="","",E777)</f>
        <v/>
      </c>
      <c r="N777" s="413"/>
      <c r="O777" s="414"/>
      <c r="P777" s="415" t="str">
        <f>IFERROR(IF($N776="Keep Contribution Same",H777,IF($N776="Enter Percentages",IF(N777="","",N777*L777),IF($N776="Keep Percentage Same",IF(G777="","",G777*L777),IF($N776="Enter Dollar Amount",IF(O777="","",O777),"")))),"")</f>
        <v/>
      </c>
      <c r="Q777" s="408" t="str">
        <f ca="1">IFERROR(L777-P777,"")</f>
        <v/>
      </c>
      <c r="R777" s="410" t="str">
        <f>IFERROR(IF(P777="","",M777*P777),"")</f>
        <v/>
      </c>
      <c r="S777" s="411"/>
      <c r="T777" s="408" t="str" cm="1">
        <f t="array" ca="1" aca="1" ref="T777">_xlfn.IFNA(VLOOKUP(INDIRECT("T"&amp;ROW()-1)&amp;"_"&amp;$D$12,BEGIN_Renew_Vision:END_RENEW_VISION,RENEW_COL_EO,FALSE),"")</f>
        <v/>
      </c>
      <c r="U777" s="412" t="str">
        <f ca="1">IF(E777="","",E777)</f>
        <v/>
      </c>
      <c r="V777" s="413"/>
      <c r="W777" s="414"/>
      <c r="X777" s="415" t="str">
        <f>IFERROR(IF($V776="Keep Contribution Same",H777,IF($V776="Enter Percentages",IF(V777="","",V777*T777),IF($V776="Keep Percentage Same",IF(G777="","",G777*T777),IF($V776="Enter Dollar Amount",IF(W777="","",W777),"")))),"")</f>
        <v/>
      </c>
      <c r="Y777" s="408" t="str">
        <f ca="1">IFERROR(T777-X777,"")</f>
        <v/>
      </c>
      <c r="Z777" s="410" t="str">
        <f>IFERROR(IF(X777="","",U777*X777),"")</f>
        <v/>
      </c>
    </row>
    <row r="778" spans="1:26" ht="18.75" customHeight="1">
      <c r="A778" s="140"/>
      <c r="B778" s="140"/>
      <c r="D778" s="172" t="s">
        <v>239</v>
      </c>
      <c r="E778" s="407" t="str">
        <f ca="1">_xlfn.IFNA(VLOOKUP(F776,BEGIN_CURRENT_VISION:END_CURRENT_VISION,CURRENT_COL_ES_count,FALSE),"")</f>
        <v/>
      </c>
      <c r="F778" s="408" t="str">
        <f ca="1">_xlfn.IFNA(VLOOKUP(F776,BEGIN_CURRENT_VISION:END_CURRENT_VISION,CURRENT_COL_ES,FALSE),"")</f>
        <v/>
      </c>
      <c r="G778" s="468" t="str">
        <f t="shared" ca="1" si="114"/>
        <v/>
      </c>
      <c r="H778" s="408" t="str">
        <f ca="1">_xlfn.IFNA(VLOOKUP(F776,BEGIN_CURRENT_VISION:END_CURRENT_VISION,CURRENT_COL_ESContrib,FALSE),"")</f>
        <v/>
      </c>
      <c r="I778" s="409" t="str">
        <f ca="1" t="shared" si="115" ref="I778:I780">IFERROR(F778-H778,"")</f>
        <v/>
      </c>
      <c r="J778" s="410" t="str">
        <f ca="1" t="shared" si="116" ref="J778:J780">IF(F778="","",H778*E778)</f>
        <v/>
      </c>
      <c r="K778" s="411"/>
      <c r="L778" s="408" t="str" cm="1">
        <f t="array" ca="1" aca="1" ref="L778">_xlfn.IFNA(VLOOKUP(INDIRECT("L"&amp;ROW()-2)&amp;"_"&amp;$D$12,BEGIN_Renew_Vision:END_RENEW_VISION,RENEW_COL_ES,FALSE),"")</f>
        <v/>
      </c>
      <c r="M778" s="412" t="str">
        <f ca="1">IF(E778="","",E778)</f>
        <v/>
      </c>
      <c r="N778" s="413"/>
      <c r="O778" s="414"/>
      <c r="P778" s="415" t="str">
        <f>IFERROR(IF($N776="Keep Contribution Same",H778,IF($N776="Enter Percentages",IF(N778="","",N778*L778),IF($N776="Keep Percentage Same",IF(G778="","",G778*L778),IF($N776="Enter Dollar Amount",IF(O778="","",O778),"")))),"")</f>
        <v/>
      </c>
      <c r="Q778" s="408" t="str">
        <f ca="1" t="shared" si="117" ref="Q778:Q780">IFERROR(L778-P778,"")</f>
        <v/>
      </c>
      <c r="R778" s="410" t="str">
        <f>IFERROR(IF(P778="","",M778*P778),"")</f>
        <v/>
      </c>
      <c r="S778" s="411"/>
      <c r="T778" s="408" t="str" cm="1">
        <f t="array" ca="1" aca="1" ref="T778">_xlfn.IFNA(VLOOKUP(INDIRECT("T"&amp;ROW()-2)&amp;"_"&amp;$D$12,BEGIN_Renew_Vision:END_RENEW_VISION,RENEW_COL_ES,FALSE),"")</f>
        <v/>
      </c>
      <c r="U778" s="412" t="str">
        <f ca="1" t="shared" si="118" ref="U778:U780">IF(E778="","",E778)</f>
        <v/>
      </c>
      <c r="V778" s="413"/>
      <c r="W778" s="414"/>
      <c r="X778" s="415" t="str">
        <f>IFERROR(IF($V776="Keep Contribution Same",H778,IF($V776="Enter Percentages",IF(V778="","",V778*T778),IF($V776="Keep Percentage Same",IF(G778="","",G778*T778),IF($V776="Enter Dollar Amount",IF(W778="","",W778),"")))),"")</f>
        <v/>
      </c>
      <c r="Y778" s="408" t="str">
        <f ca="1" t="shared" si="119" ref="Y778:Y780">IFERROR(T778-X778,"")</f>
        <v/>
      </c>
      <c r="Z778" s="410" t="str">
        <f t="shared" si="120" ref="Z778:Z780">IFERROR(IF(X778="","",U778*X778),"")</f>
        <v/>
      </c>
    </row>
    <row r="779" spans="1:26" ht="18.75" customHeight="1">
      <c r="A779" s="140"/>
      <c r="B779" s="140"/>
      <c r="D779" s="172" t="s">
        <v>240</v>
      </c>
      <c r="E779" s="407" t="str">
        <f ca="1">_xlfn.IFNA(VLOOKUP(F776,BEGIN_CURRENT_VISION:END_CURRENT_VISION,CURRENT_COL_EC_count,FALSE),"")</f>
        <v/>
      </c>
      <c r="F779" s="408" t="str">
        <f ca="1">_xlfn.IFNA(VLOOKUP(F776,BEGIN_CURRENT_VISION:END_CURRENT_VISION,CURRENT_COL_EC,FALSE),"")</f>
        <v/>
      </c>
      <c r="G779" s="468" t="str">
        <f t="shared" ca="1" si="114"/>
        <v/>
      </c>
      <c r="H779" s="408" t="str">
        <f ca="1">_xlfn.IFNA(VLOOKUP(F776,BEGIN_CURRENT_VISION:END_CURRENT_VISION,CURRENT_COL_ECContrib,FALSE),"")</f>
        <v/>
      </c>
      <c r="I779" s="409" t="str">
        <f t="shared" ca="1" si="115"/>
        <v/>
      </c>
      <c r="J779" s="410" t="str">
        <f t="shared" ca="1" si="116"/>
        <v/>
      </c>
      <c r="K779" s="411"/>
      <c r="L779" s="408" t="str" cm="1">
        <f t="array" ca="1" aca="1" ref="L779">_xlfn.IFNA(VLOOKUP(INDIRECT("L"&amp;ROW()-3)&amp;"_"&amp;$D$12,BEGIN_Renew_Vision:END_RENEW_VISION,RENEW_COL_EC,FALSE),"")</f>
        <v/>
      </c>
      <c r="M779" s="412" t="str">
        <f ca="1">IF(E779="","",E779)</f>
        <v/>
      </c>
      <c r="N779" s="413"/>
      <c r="O779" s="414"/>
      <c r="P779" s="415" t="str">
        <f>IFERROR(IF($N776="Keep Contribution Same",H779,IF($N776="Enter Percentages",IF(N779="","",N779*L779),IF($N776="Keep Percentage Same",IF(G779="","",G779*L779),IF($N776="Enter Dollar Amount",IF(O779="","",O779),"")))),"")</f>
        <v/>
      </c>
      <c r="Q779" s="408" t="str">
        <f t="shared" ca="1" si="117"/>
        <v/>
      </c>
      <c r="R779" s="410" t="str">
        <f>IFERROR(IF(P779="","",M779*P779),"")</f>
        <v/>
      </c>
      <c r="S779" s="411"/>
      <c r="T779" s="408" t="str" cm="1">
        <f t="array" ca="1" aca="1" ref="T779">_xlfn.IFNA(VLOOKUP(INDIRECT("T"&amp;ROW()-3)&amp;"_"&amp;$D$12,BEGIN_Renew_Vision:END_RENEW_VISION,RENEW_COL_EC,FALSE),"")</f>
        <v/>
      </c>
      <c r="U779" s="412" t="str">
        <f t="shared" ca="1" si="118"/>
        <v/>
      </c>
      <c r="V779" s="413"/>
      <c r="W779" s="414"/>
      <c r="X779" s="415" t="str">
        <f>IFERROR(IF($V776="Keep Contribution Same",H779,IF($V776="Enter Percentages",IF(V779="","",V779*T779),IF($V776="Keep Percentage Same",IF(G779="","",G779*T779),IF($V776="Enter Dollar Amount",IF(W779="","",W779),"")))),"")</f>
        <v/>
      </c>
      <c r="Y779" s="408" t="str">
        <f t="shared" ca="1" si="119"/>
        <v/>
      </c>
      <c r="Z779" s="410" t="str">
        <f t="shared" si="120"/>
        <v/>
      </c>
    </row>
    <row r="780" spans="1:26" ht="18.75" customHeight="1" thickBot="1">
      <c r="A780" s="140"/>
      <c r="B780" s="140"/>
      <c r="D780" s="174" t="s">
        <v>241</v>
      </c>
      <c r="E780" s="416" t="str">
        <f ca="1">_xlfn.IFNA(VLOOKUP(F776,BEGIN_CURRENT_VISION:END_CURRENT_VISION,CURRENT_COL_FAM_count,FALSE),"")</f>
        <v/>
      </c>
      <c r="F780" s="417" t="str">
        <f ca="1">_xlfn.IFNA(VLOOKUP(F776,BEGIN_CURRENT_VISION:END_CURRENT_VISION,CURRENT_COL_FAM,FALSE),"")</f>
        <v/>
      </c>
      <c r="G780" s="469" t="str">
        <f t="shared" ca="1" si="114"/>
        <v/>
      </c>
      <c r="H780" s="417" t="str">
        <f ca="1">_xlfn.IFNA(VLOOKUP(F776,BEGIN_CURRENT_VISION:END_CURRENT_VISION,CURRENT_COL_FAMContrib,FALSE),"")</f>
        <v/>
      </c>
      <c r="I780" s="409" t="str">
        <f t="shared" ca="1" si="115"/>
        <v/>
      </c>
      <c r="J780" s="410" t="str">
        <f t="shared" ca="1" si="116"/>
        <v/>
      </c>
      <c r="K780" s="411"/>
      <c r="L780" s="417" t="str" cm="1">
        <f t="array" ca="1" aca="1" ref="L780">_xlfn.IFNA(VLOOKUP(INDIRECT("L"&amp;ROW()-4)&amp;"_"&amp;$D$12,BEGIN_Renew_Vision:END_RENEW_VISION,RENEW_COL_FAM,FALSE),"")</f>
        <v/>
      </c>
      <c r="M780" s="423" t="str">
        <f ca="1">IF(E780="","",E780)</f>
        <v/>
      </c>
      <c r="N780" s="420"/>
      <c r="O780" s="421"/>
      <c r="P780" s="422" t="str">
        <f>IFERROR(IF($N776="Keep Contribution Same",H780,IF($N776="Enter Percentages",IF(N780="","",N780*L780),IF($N776="Keep Percentage Same",IF(G780="","",G780*L780),IF($N776="Enter Dollar Amount",IF(O780="","",O780),"")))),"")</f>
        <v/>
      </c>
      <c r="Q780" s="417" t="str">
        <f t="shared" ca="1" si="117"/>
        <v/>
      </c>
      <c r="R780" s="419" t="str">
        <f>IFERROR(IF(P780="","",M780*P780),"")</f>
        <v/>
      </c>
      <c r="S780" s="411"/>
      <c r="T780" s="417" t="str" cm="1">
        <f t="array" ca="1" aca="1" ref="T780">_xlfn.IFNA(VLOOKUP(INDIRECT("T"&amp;ROW()-4)&amp;"_"&amp;$D$12,BEGIN_Renew_Vision:END_RENEW_VISION,RENEW_COL_FAM,FALSE),"")</f>
        <v/>
      </c>
      <c r="U780" s="423" t="str">
        <f t="shared" ca="1" si="118"/>
        <v/>
      </c>
      <c r="V780" s="420"/>
      <c r="W780" s="421"/>
      <c r="X780" s="422" t="str">
        <f>IFERROR(IF($V776="Keep Contribution Same",H780,IF($V776="Enter Percentages",IF(V780="","",V780*T780),IF($V776="Keep Percentage Same",IF(G780="","",G780*T780),IF($V776="Enter Dollar Amount",IF(W780="","",W780),"")))),"")</f>
        <v/>
      </c>
      <c r="Y780" s="417" t="str">
        <f t="shared" ca="1" si="119"/>
        <v/>
      </c>
      <c r="Z780" s="419" t="str">
        <f t="shared" si="120"/>
        <v/>
      </c>
    </row>
    <row r="781" spans="1:26" ht="18.75" customHeight="1" thickTop="1">
      <c r="A781" s="140"/>
      <c r="B781" s="140"/>
      <c r="D781" s="175" t="s">
        <v>329</v>
      </c>
      <c r="E781" s="424"/>
      <c r="F781" s="427"/>
      <c r="G781" s="426"/>
      <c r="H781" s="427"/>
      <c r="I781" s="428"/>
      <c r="J781" s="429" t="str">
        <f ca="1">IFERROR(IF(J777="","",SUM(J777:J780)),0)</f>
        <v/>
      </c>
      <c r="K781" s="1"/>
      <c r="L781" s="424"/>
      <c r="M781" s="427"/>
      <c r="N781" s="426"/>
      <c r="O781" s="427"/>
      <c r="P781" s="431"/>
      <c r="Q781" s="432"/>
      <c r="R781" s="429" t="str">
        <f>IFERROR(IF(R777="","",SUM(R777:R780)),0)</f>
        <v/>
      </c>
      <c r="T781" s="424"/>
      <c r="U781" s="427"/>
      <c r="V781" s="426"/>
      <c r="W781" s="427"/>
      <c r="X781" s="431"/>
      <c r="Y781" s="432"/>
      <c r="Z781" s="429" t="str">
        <f>IFERROR(IF(Z777="","",SUM(Z777:Z780)),0)</f>
        <v/>
      </c>
    </row>
    <row r="782" spans="1:26" ht="18.75" customHeight="1">
      <c r="A782" s="140"/>
      <c r="B782" s="140"/>
      <c r="D782" s="177" t="s">
        <v>243</v>
      </c>
      <c r="E782" s="433"/>
      <c r="F782" s="436"/>
      <c r="G782" s="435"/>
      <c r="H782" s="436"/>
      <c r="I782" s="432"/>
      <c r="J782" s="437" t="str">
        <f ca="1">IF(J781="","",J781*12)</f>
        <v/>
      </c>
      <c r="K782" s="1"/>
      <c r="L782" s="433"/>
      <c r="M782" s="436"/>
      <c r="N782" s="435"/>
      <c r="O782" s="436"/>
      <c r="P782" s="432"/>
      <c r="Q782" s="432"/>
      <c r="R782" s="437" t="str">
        <f>IF(R781="","",R781*12)</f>
        <v/>
      </c>
      <c r="T782" s="433"/>
      <c r="U782" s="436"/>
      <c r="V782" s="435"/>
      <c r="W782" s="436"/>
      <c r="X782" s="432"/>
      <c r="Y782" s="432"/>
      <c r="Z782" s="437" t="str">
        <f>IF(Z781="","",Z781*12)</f>
        <v/>
      </c>
    </row>
    <row r="783" spans="1:26" ht="18" customHeight="1">
      <c r="A783" s="140"/>
      <c r="B783" s="140"/>
      <c r="D783" s="177" t="s">
        <v>244</v>
      </c>
      <c r="E783" s="433"/>
      <c r="F783" s="436"/>
      <c r="G783" s="435"/>
      <c r="H783" s="436"/>
      <c r="I783" s="432"/>
      <c r="J783" s="437" t="str">
        <f ca="1">IFERROR(IF(J782="","",R782-J782),0)</f>
        <v/>
      </c>
      <c r="K783" s="1"/>
      <c r="L783" s="433"/>
      <c r="M783" s="436"/>
      <c r="N783" s="435"/>
      <c r="O783" s="436"/>
      <c r="P783" s="432"/>
      <c r="Q783" s="432"/>
      <c r="R783" s="437" t="str">
        <f ca="1">IFERROR(IF(J782="","",R782-J782),0)</f>
        <v/>
      </c>
      <c r="T783" s="433"/>
      <c r="U783" s="436"/>
      <c r="V783" s="435"/>
      <c r="W783" s="436"/>
      <c r="X783" s="432"/>
      <c r="Y783" s="432"/>
      <c r="Z783" s="437" t="str">
        <f>IFERROR(IF(R782="","",Z782-R782),0)</f>
        <v/>
      </c>
    </row>
    <row r="784" spans="1:26" ht="18" customHeight="1" thickBot="1">
      <c r="A784" s="140"/>
      <c r="B784" s="140"/>
      <c r="D784" s="180" t="s">
        <v>245</v>
      </c>
      <c r="E784" s="439"/>
      <c r="F784" s="440"/>
      <c r="G784" s="441"/>
      <c r="H784" s="440"/>
      <c r="I784" s="442"/>
      <c r="J784" s="437" t="str">
        <f ca="1">IFERROR(IF(J782="","",(R782/J782)-1),0)</f>
        <v/>
      </c>
      <c r="K784" s="1"/>
      <c r="L784" s="439"/>
      <c r="M784" s="440"/>
      <c r="N784" s="441"/>
      <c r="O784" s="440"/>
      <c r="P784" s="445"/>
      <c r="Q784" s="445"/>
      <c r="R784" s="446" t="str">
        <f ca="1">IFERROR(IF(J782="","",(R782/J782)-1),0)</f>
        <v/>
      </c>
      <c r="T784" s="439"/>
      <c r="U784" s="440"/>
      <c r="V784" s="441"/>
      <c r="W784" s="440"/>
      <c r="X784" s="445"/>
      <c r="Y784" s="445"/>
      <c r="Z784" s="446" t="str">
        <f>IFERROR(IF(R782="","",(Z782/R782)-1),0)</f>
        <v/>
      </c>
    </row>
    <row r="785" spans="1:26" ht="5.25" customHeight="1" thickBot="1">
      <c r="A785" s="140"/>
      <c r="B785" s="140"/>
      <c r="D785" s="229"/>
      <c r="E785" s="229"/>
      <c r="F785" s="230"/>
      <c r="G785" s="231"/>
      <c r="H785" s="232"/>
      <c r="I785" s="233"/>
      <c r="J785" s="233"/>
      <c r="K785"/>
      <c r="L785" s="233"/>
      <c r="M785" s="233"/>
      <c r="N785" s="233"/>
      <c r="O785" s="233"/>
      <c r="P785" s="233"/>
      <c r="Q785" s="233"/>
      <c r="R785" s="233"/>
      <c r="T785" s="233"/>
      <c r="U785" s="233"/>
      <c r="V785" s="233"/>
      <c r="W785" s="233"/>
      <c r="X785" s="233"/>
      <c r="Y785" s="233"/>
      <c r="Z785" s="233"/>
    </row>
    <row r="786" spans="1:26" ht="50.15" customHeight="1">
      <c r="A786" s="140">
        <v>3</v>
      </c>
      <c r="B786" s="140" t="str">
        <f>IF(A786&gt;Class5_CurrentVisionCount,"DELETE",Class5_CurrentVisionStart+A786)</f>
        <v>DELETE</v>
      </c>
      <c r="C786" s="164" t="s">
        <v>302</v>
      </c>
      <c r="D786" s="273" t="str">
        <f>IF(B786="Delete","",VLOOKUP(F786,BEGIN_CURRENT_VISION:END_CURRENT_VISION,3,FALSE))</f>
        <v/>
      </c>
      <c r="E786" s="165"/>
      <c r="F786" s="272" t="str" cm="1">
        <f t="array" ca="1" aca="1" ref="F786">IF(B786="Delete","",INDIRECT("CurrentPlans!A"&amp;B786,TRUE))</f>
        <v/>
      </c>
      <c r="G786" s="166"/>
      <c r="H786" s="167"/>
      <c r="I786" s="168"/>
      <c r="J786" s="169"/>
      <c r="K786"/>
      <c r="L786" s="274" t="str">
        <f ca="1">_xlfn.IFNA(VLOOKUP(F786,BEGIN_RENEWEDFROM_DENTAL:ROW_RenewDental_PlanID,3,FALSE),"SELECT PLAN")</f>
        <v>SELECT PLAN</v>
      </c>
      <c r="M786" s="170"/>
      <c r="N786" s="274" t="s">
        <v>237</v>
      </c>
      <c r="O786" s="171"/>
      <c r="P786" s="171"/>
      <c r="Q786" s="171"/>
      <c r="R786" s="169"/>
      <c r="T786" s="274" t="s">
        <v>38</v>
      </c>
      <c r="U786" s="170"/>
      <c r="V786" s="274" t="s">
        <v>237</v>
      </c>
      <c r="W786" s="171"/>
      <c r="X786" s="171"/>
      <c r="Y786" s="171"/>
      <c r="Z786" s="169"/>
    </row>
    <row r="787" spans="1:26" ht="18.75" customHeight="1">
      <c r="A787" s="140"/>
      <c r="B787" s="140"/>
      <c r="D787" s="172" t="s">
        <v>238</v>
      </c>
      <c r="E787" s="407" t="str">
        <f ca="1">_xlfn.IFNA(VLOOKUP(F786,BEGIN_CURRENT_VISION:END_CURRENT_VISION,CURRENT_COL_EO_count,FALSE),"")</f>
        <v/>
      </c>
      <c r="F787" s="408" t="str">
        <f ca="1">_xlfn.IFNA(VLOOKUP(F786,BEGIN_CURRENT_VISION:END_CURRENT_VISION,CURRENT_COL_EO,FALSE),"")</f>
        <v/>
      </c>
      <c r="G787" s="468" t="str">
        <f ca="1" t="shared" si="121" ref="G787:G790">IF(F787="","",H787/F787)</f>
        <v/>
      </c>
      <c r="H787" s="408" t="str">
        <f ca="1">_xlfn.IFNA(VLOOKUP(F786,BEGIN_CURRENT_VISION:END_CURRENT_VISION,CURRENT_COL_EOContrib,FALSE),"")</f>
        <v/>
      </c>
      <c r="I787" s="409" t="str">
        <f ca="1">IFERROR(F787-H787,"")</f>
        <v/>
      </c>
      <c r="J787" s="410" t="str">
        <f ca="1">IF(F787="","",H787*E787)</f>
        <v/>
      </c>
      <c r="K787" s="411"/>
      <c r="L787" s="408" t="str" cm="1">
        <f t="array" ca="1" aca="1" ref="L787">_xlfn.IFNA(VLOOKUP(INDIRECT("L"&amp;ROW()-1)&amp;"_"&amp;$D$12,BEGIN_Renew_Vision:END_RENEW_VISION,RENEW_COL_EO,FALSE),"")</f>
        <v/>
      </c>
      <c r="M787" s="412" t="str">
        <f ca="1">IF(E787="","",E787)</f>
        <v/>
      </c>
      <c r="N787" s="413"/>
      <c r="O787" s="414"/>
      <c r="P787" s="415" t="str">
        <f>IFERROR(IF($N786="Keep Contribution Same",H787,IF($N786="Enter Percentages",IF(N787="","",N787*L787),IF($N786="Keep Percentage Same",IF(G787="","",G787*L787),IF($N786="Enter Dollar Amount",IF(O787="","",O787),"")))),"")</f>
        <v/>
      </c>
      <c r="Q787" s="408" t="str">
        <f ca="1">IFERROR(L787-P787,"")</f>
        <v/>
      </c>
      <c r="R787" s="410" t="str">
        <f>IFERROR(IF(P787="","",M787*P787),"")</f>
        <v/>
      </c>
      <c r="S787" s="411"/>
      <c r="T787" s="408" t="str" cm="1">
        <f t="array" ca="1" aca="1" ref="T787">_xlfn.IFNA(VLOOKUP(INDIRECT("T"&amp;ROW()-1)&amp;"_"&amp;$D$12,BEGIN_Renew_Vision:END_RENEW_VISION,RENEW_COL_EO,FALSE),"")</f>
        <v/>
      </c>
      <c r="U787" s="412" t="str">
        <f ca="1">IF(E787="","",E787)</f>
        <v/>
      </c>
      <c r="V787" s="413"/>
      <c r="W787" s="414"/>
      <c r="X787" s="415" t="str">
        <f>IFERROR(IF($V786="Keep Contribution Same",H787,IF($V786="Enter Percentages",IF(V787="","",V787*T787),IF($V786="Keep Percentage Same",IF(G787="","",G787*T787),IF($V786="Enter Dollar Amount",IF(W787="","",W787),"")))),"")</f>
        <v/>
      </c>
      <c r="Y787" s="408" t="str">
        <f ca="1">IFERROR(T787-X787,"")</f>
        <v/>
      </c>
      <c r="Z787" s="410" t="str">
        <f>IFERROR(IF(X787="","",U787*X787),"")</f>
        <v/>
      </c>
    </row>
    <row r="788" spans="1:26" ht="18.75" customHeight="1">
      <c r="A788" s="140"/>
      <c r="B788" s="140"/>
      <c r="D788" s="172" t="s">
        <v>239</v>
      </c>
      <c r="E788" s="407" t="str">
        <f ca="1">_xlfn.IFNA(VLOOKUP(F786,BEGIN_CURRENT_VISION:END_CURRENT_VISION,CURRENT_COL_ES_count,FALSE),"")</f>
        <v/>
      </c>
      <c r="F788" s="408" t="str">
        <f ca="1">_xlfn.IFNA(VLOOKUP(F786,BEGIN_CURRENT_VISION:END_CURRENT_VISION,CURRENT_COL_ES,FALSE),"")</f>
        <v/>
      </c>
      <c r="G788" s="468" t="str">
        <f t="shared" ca="1" si="121"/>
        <v/>
      </c>
      <c r="H788" s="408" t="str">
        <f ca="1">_xlfn.IFNA(VLOOKUP(F786,BEGIN_CURRENT_VISION:END_CURRENT_VISION,CURRENT_COL_ESContrib,FALSE),"")</f>
        <v/>
      </c>
      <c r="I788" s="409" t="str">
        <f ca="1" t="shared" si="122" ref="I788:I790">IFERROR(F788-H788,"")</f>
        <v/>
      </c>
      <c r="J788" s="410" t="str">
        <f ca="1" t="shared" si="123" ref="J788:J790">IF(F788="","",H788*E788)</f>
        <v/>
      </c>
      <c r="K788" s="411"/>
      <c r="L788" s="408" t="str" cm="1">
        <f t="array" ca="1" aca="1" ref="L788">_xlfn.IFNA(VLOOKUP(INDIRECT("L"&amp;ROW()-2)&amp;"_"&amp;$D$12,BEGIN_Renew_Vision:END_RENEW_VISION,RENEW_COL_ES,FALSE),"")</f>
        <v/>
      </c>
      <c r="M788" s="412" t="str">
        <f ca="1">IF(E788="","",E788)</f>
        <v/>
      </c>
      <c r="N788" s="413"/>
      <c r="O788" s="414"/>
      <c r="P788" s="415" t="str">
        <f>IFERROR(IF($N786="Keep Contribution Same",H788,IF($N786="Enter Percentages",IF(N788="","",N788*L788),IF($N786="Keep Percentage Same",IF(G788="","",G788*L788),IF($N786="Enter Dollar Amount",IF(O788="","",O788),"")))),"")</f>
        <v/>
      </c>
      <c r="Q788" s="408" t="str">
        <f ca="1" t="shared" si="124" ref="Q788:Q790">IFERROR(L788-P788,"")</f>
        <v/>
      </c>
      <c r="R788" s="410" t="str">
        <f>IFERROR(IF(P788="","",M788*P788),"")</f>
        <v/>
      </c>
      <c r="S788" s="411"/>
      <c r="T788" s="408" t="str" cm="1">
        <f t="array" ca="1" aca="1" ref="T788">_xlfn.IFNA(VLOOKUP(INDIRECT("T"&amp;ROW()-2)&amp;"_"&amp;$D$12,BEGIN_Renew_Vision:END_RENEW_VISION,RENEW_COL_ES,FALSE),"")</f>
        <v/>
      </c>
      <c r="U788" s="412" t="str">
        <f ca="1" t="shared" si="125" ref="U788:U790">IF(E788="","",E788)</f>
        <v/>
      </c>
      <c r="V788" s="413"/>
      <c r="W788" s="414"/>
      <c r="X788" s="415" t="str">
        <f>IFERROR(IF($V786="Keep Contribution Same",H788,IF($V786="Enter Percentages",IF(V788="","",V788*T788),IF($V786="Keep Percentage Same",IF(G788="","",G788*T788),IF($V786="Enter Dollar Amount",IF(W788="","",W788),"")))),"")</f>
        <v/>
      </c>
      <c r="Y788" s="408" t="str">
        <f ca="1" t="shared" si="126" ref="Y788:Y790">IFERROR(T788-X788,"")</f>
        <v/>
      </c>
      <c r="Z788" s="410" t="str">
        <f t="shared" si="127" ref="Z788:Z790">IFERROR(IF(X788="","",U788*X788),"")</f>
        <v/>
      </c>
    </row>
    <row r="789" spans="1:26" ht="18.75" customHeight="1">
      <c r="A789" s="140"/>
      <c r="B789" s="140"/>
      <c r="D789" s="172" t="s">
        <v>240</v>
      </c>
      <c r="E789" s="407" t="str">
        <f ca="1">_xlfn.IFNA(VLOOKUP(F786,BEGIN_CURRENT_VISION:END_CURRENT_VISION,CURRENT_COL_EC_count,FALSE),"")</f>
        <v/>
      </c>
      <c r="F789" s="408" t="str">
        <f ca="1">_xlfn.IFNA(VLOOKUP(F786,BEGIN_CURRENT_VISION:END_CURRENT_VISION,CURRENT_COL_EC,FALSE),"")</f>
        <v/>
      </c>
      <c r="G789" s="468" t="str">
        <f t="shared" ca="1" si="121"/>
        <v/>
      </c>
      <c r="H789" s="408" t="str">
        <f ca="1">_xlfn.IFNA(VLOOKUP(F786,BEGIN_CURRENT_VISION:END_CURRENT_VISION,CURRENT_COL_ECContrib,FALSE),"")</f>
        <v/>
      </c>
      <c r="I789" s="409" t="str">
        <f t="shared" ca="1" si="122"/>
        <v/>
      </c>
      <c r="J789" s="410" t="str">
        <f t="shared" ca="1" si="123"/>
        <v/>
      </c>
      <c r="K789" s="411"/>
      <c r="L789" s="408" t="str" cm="1">
        <f t="array" ca="1" aca="1" ref="L789">_xlfn.IFNA(VLOOKUP(INDIRECT("L"&amp;ROW()-3)&amp;"_"&amp;$D$12,BEGIN_Renew_Vision:END_RENEW_VISION,RENEW_COL_EC,FALSE),"")</f>
        <v/>
      </c>
      <c r="M789" s="412" t="str">
        <f ca="1">IF(E789="","",E789)</f>
        <v/>
      </c>
      <c r="N789" s="413"/>
      <c r="O789" s="414"/>
      <c r="P789" s="415" t="str">
        <f>IFERROR(IF($N786="Keep Contribution Same",H789,IF($N786="Enter Percentages",IF(N789="","",N789*L789),IF($N786="Keep Percentage Same",IF(G789="","",G789*L789),IF($N786="Enter Dollar Amount",IF(O789="","",O789),"")))),"")</f>
        <v/>
      </c>
      <c r="Q789" s="408" t="str">
        <f t="shared" ca="1" si="124"/>
        <v/>
      </c>
      <c r="R789" s="410" t="str">
        <f>IFERROR(IF(P789="","",M789*P789),"")</f>
        <v/>
      </c>
      <c r="S789" s="411"/>
      <c r="T789" s="408" t="str" cm="1">
        <f t="array" ca="1" aca="1" ref="T789">_xlfn.IFNA(VLOOKUP(INDIRECT("T"&amp;ROW()-3)&amp;"_"&amp;$D$12,BEGIN_Renew_Vision:END_RENEW_VISION,RENEW_COL_EC,FALSE),"")</f>
        <v/>
      </c>
      <c r="U789" s="412" t="str">
        <f t="shared" ca="1" si="125"/>
        <v/>
      </c>
      <c r="V789" s="413"/>
      <c r="W789" s="414"/>
      <c r="X789" s="415" t="str">
        <f>IFERROR(IF($V786="Keep Contribution Same",H789,IF($V786="Enter Percentages",IF(V789="","",V789*T789),IF($V786="Keep Percentage Same",IF(G789="","",G789*T789),IF($V786="Enter Dollar Amount",IF(W789="","",W789),"")))),"")</f>
        <v/>
      </c>
      <c r="Y789" s="408" t="str">
        <f t="shared" ca="1" si="126"/>
        <v/>
      </c>
      <c r="Z789" s="410" t="str">
        <f t="shared" si="127"/>
        <v/>
      </c>
    </row>
    <row r="790" spans="1:26" ht="18.75" customHeight="1" thickBot="1">
      <c r="A790" s="140"/>
      <c r="B790" s="140"/>
      <c r="D790" s="174" t="s">
        <v>241</v>
      </c>
      <c r="E790" s="416" t="str">
        <f ca="1">_xlfn.IFNA(VLOOKUP(F786,BEGIN_CURRENT_VISION:END_CURRENT_VISION,CURRENT_COL_FAM_count,FALSE),"")</f>
        <v/>
      </c>
      <c r="F790" s="417" t="str">
        <f ca="1">_xlfn.IFNA(VLOOKUP(F786,BEGIN_CURRENT_VISION:END_CURRENT_VISION,CURRENT_COL_FAM,FALSE),"")</f>
        <v/>
      </c>
      <c r="G790" s="469" t="str">
        <f t="shared" ca="1" si="121"/>
        <v/>
      </c>
      <c r="H790" s="417" t="str">
        <f ca="1">_xlfn.IFNA(VLOOKUP(F786,BEGIN_CURRENT_VISION:END_CURRENT_VISION,CURRENT_COL_FAMContrib,FALSE),"")</f>
        <v/>
      </c>
      <c r="I790" s="409" t="str">
        <f t="shared" ca="1" si="122"/>
        <v/>
      </c>
      <c r="J790" s="410" t="str">
        <f t="shared" ca="1" si="123"/>
        <v/>
      </c>
      <c r="K790" s="411"/>
      <c r="L790" s="417" t="str" cm="1">
        <f t="array" ca="1" aca="1" ref="L790">_xlfn.IFNA(VLOOKUP(INDIRECT("L"&amp;ROW()-4)&amp;"_"&amp;$D$12,BEGIN_Renew_Vision:END_RENEW_VISION,RENEW_COL_FAM,FALSE),"")</f>
        <v/>
      </c>
      <c r="M790" s="423" t="str">
        <f ca="1">IF(E790="","",E790)</f>
        <v/>
      </c>
      <c r="N790" s="420"/>
      <c r="O790" s="421"/>
      <c r="P790" s="422" t="str">
        <f>IFERROR(IF($N786="Keep Contribution Same",H790,IF($N786="Enter Percentages",IF(N790="","",N790*L790),IF($N786="Keep Percentage Same",IF(G790="","",G790*L790),IF($N786="Enter Dollar Amount",IF(O790="","",O790),"")))),"")</f>
        <v/>
      </c>
      <c r="Q790" s="417" t="str">
        <f t="shared" ca="1" si="124"/>
        <v/>
      </c>
      <c r="R790" s="419" t="str">
        <f>IFERROR(IF(P790="","",M790*P790),"")</f>
        <v/>
      </c>
      <c r="S790" s="411"/>
      <c r="T790" s="417" t="str" cm="1">
        <f t="array" ca="1" aca="1" ref="T790">_xlfn.IFNA(VLOOKUP(INDIRECT("T"&amp;ROW()-4)&amp;"_"&amp;$D$12,BEGIN_Renew_Vision:END_RENEW_VISION,RENEW_COL_FAM,FALSE),"")</f>
        <v/>
      </c>
      <c r="U790" s="423" t="str">
        <f t="shared" ca="1" si="125"/>
        <v/>
      </c>
      <c r="V790" s="420"/>
      <c r="W790" s="421"/>
      <c r="X790" s="422" t="str">
        <f>IFERROR(IF($V786="Keep Contribution Same",H790,IF($V786="Enter Percentages",IF(V790="","",V790*T790),IF($V786="Keep Percentage Same",IF(G790="","",G790*T790),IF($V786="Enter Dollar Amount",IF(W790="","",W790),"")))),"")</f>
        <v/>
      </c>
      <c r="Y790" s="417" t="str">
        <f t="shared" ca="1" si="126"/>
        <v/>
      </c>
      <c r="Z790" s="419" t="str">
        <f t="shared" si="127"/>
        <v/>
      </c>
    </row>
    <row r="791" spans="1:26" ht="18.75" customHeight="1" thickTop="1">
      <c r="A791" s="140"/>
      <c r="B791" s="140"/>
      <c r="D791" s="175" t="s">
        <v>329</v>
      </c>
      <c r="E791" s="424"/>
      <c r="F791" s="427"/>
      <c r="G791" s="426"/>
      <c r="H791" s="427"/>
      <c r="I791" s="428"/>
      <c r="J791" s="429" t="str">
        <f ca="1">IFERROR(IF(J787="","",SUM(J787:J790)),0)</f>
        <v/>
      </c>
      <c r="K791" s="1"/>
      <c r="L791" s="424"/>
      <c r="M791" s="427"/>
      <c r="N791" s="426"/>
      <c r="O791" s="427"/>
      <c r="P791" s="431"/>
      <c r="Q791" s="432"/>
      <c r="R791" s="429" t="str">
        <f>IFERROR(IF(R787="","",SUM(R787:R790)),0)</f>
        <v/>
      </c>
      <c r="T791" s="424"/>
      <c r="U791" s="427"/>
      <c r="V791" s="426"/>
      <c r="W791" s="427"/>
      <c r="X791" s="431"/>
      <c r="Y791" s="432"/>
      <c r="Z791" s="429" t="str">
        <f>IFERROR(IF(Z787="","",SUM(Z787:Z790)),0)</f>
        <v/>
      </c>
    </row>
    <row r="792" spans="1:26" ht="18.75" customHeight="1">
      <c r="A792" s="140"/>
      <c r="B792" s="140"/>
      <c r="D792" s="177" t="s">
        <v>243</v>
      </c>
      <c r="E792" s="433"/>
      <c r="F792" s="436"/>
      <c r="G792" s="435"/>
      <c r="H792" s="436"/>
      <c r="I792" s="432"/>
      <c r="J792" s="437" t="str">
        <f ca="1">IF(J791="","",J791*12)</f>
        <v/>
      </c>
      <c r="K792" s="1"/>
      <c r="L792" s="433"/>
      <c r="M792" s="436"/>
      <c r="N792" s="435"/>
      <c r="O792" s="436"/>
      <c r="P792" s="432"/>
      <c r="Q792" s="432"/>
      <c r="R792" s="437" t="str">
        <f>IF(R791="","",R791*12)</f>
        <v/>
      </c>
      <c r="T792" s="433"/>
      <c r="U792" s="436"/>
      <c r="V792" s="435"/>
      <c r="W792" s="436"/>
      <c r="X792" s="432"/>
      <c r="Y792" s="432"/>
      <c r="Z792" s="437" t="str">
        <f>IF(Z791="","",Z791*12)</f>
        <v/>
      </c>
    </row>
    <row r="793" spans="1:26" ht="18" customHeight="1">
      <c r="A793" s="140"/>
      <c r="B793" s="140"/>
      <c r="D793" s="177" t="s">
        <v>244</v>
      </c>
      <c r="E793" s="433"/>
      <c r="F793" s="436"/>
      <c r="G793" s="435"/>
      <c r="H793" s="436"/>
      <c r="I793" s="432"/>
      <c r="J793" s="437" t="str">
        <f ca="1">IFERROR(IF(J792="","",R792-J792),0)</f>
        <v/>
      </c>
      <c r="K793" s="1"/>
      <c r="L793" s="433"/>
      <c r="M793" s="436"/>
      <c r="N793" s="435"/>
      <c r="O793" s="436"/>
      <c r="P793" s="432"/>
      <c r="Q793" s="432"/>
      <c r="R793" s="437" t="str">
        <f ca="1">IFERROR(IF(J792="","",R792-J792),0)</f>
        <v/>
      </c>
      <c r="T793" s="433"/>
      <c r="U793" s="436"/>
      <c r="V793" s="435"/>
      <c r="W793" s="436"/>
      <c r="X793" s="432"/>
      <c r="Y793" s="432"/>
      <c r="Z793" s="437" t="str">
        <f>IFERROR(IF(R792="","",Z792-R792),0)</f>
        <v/>
      </c>
    </row>
    <row r="794" spans="1:26" ht="18" customHeight="1" thickBot="1">
      <c r="A794" s="140"/>
      <c r="B794" s="140"/>
      <c r="D794" s="180" t="s">
        <v>245</v>
      </c>
      <c r="E794" s="439"/>
      <c r="F794" s="440"/>
      <c r="G794" s="441"/>
      <c r="H794" s="440"/>
      <c r="I794" s="442"/>
      <c r="J794" s="437" t="str">
        <f ca="1">IFERROR(IF(J792="","",(R792/J792)-1),0)</f>
        <v/>
      </c>
      <c r="K794" s="1"/>
      <c r="L794" s="439"/>
      <c r="M794" s="440"/>
      <c r="N794" s="441"/>
      <c r="O794" s="440"/>
      <c r="P794" s="445"/>
      <c r="Q794" s="445"/>
      <c r="R794" s="446" t="str">
        <f ca="1">IFERROR(IF(J792="","",(R792/J792)-1),0)</f>
        <v/>
      </c>
      <c r="T794" s="439"/>
      <c r="U794" s="440"/>
      <c r="V794" s="441"/>
      <c r="W794" s="440"/>
      <c r="X794" s="445"/>
      <c r="Y794" s="445"/>
      <c r="Z794" s="446" t="str">
        <f>IFERROR(IF(R792="","",(Z792/R792)-1),0)</f>
        <v/>
      </c>
    </row>
    <row r="795" spans="1:26" ht="5.25" customHeight="1" thickBot="1">
      <c r="A795" s="140"/>
      <c r="B795" s="140"/>
      <c r="D795" s="229"/>
      <c r="E795" s="229"/>
      <c r="F795" s="230"/>
      <c r="G795" s="231"/>
      <c r="H795" s="232"/>
      <c r="I795" s="233"/>
      <c r="J795" s="233"/>
      <c r="K795"/>
      <c r="L795" s="233"/>
      <c r="M795" s="233"/>
      <c r="N795" s="233"/>
      <c r="O795" s="233"/>
      <c r="P795" s="233"/>
      <c r="Q795" s="233"/>
      <c r="R795" s="233"/>
      <c r="T795" s="233"/>
      <c r="U795" s="233"/>
      <c r="V795" s="233"/>
      <c r="W795" s="233"/>
      <c r="X795" s="233"/>
      <c r="Y795" s="233"/>
      <c r="Z795" s="233"/>
    </row>
    <row r="796" spans="1:26" ht="50.15" customHeight="1">
      <c r="A796" s="140">
        <v>4</v>
      </c>
      <c r="B796" s="140" t="str">
        <f>IF(A796&gt;Class5_CurrentVisionCount,"DELETE",Class5_CurrentVisionStart+A796)</f>
        <v>DELETE</v>
      </c>
      <c r="C796" s="164" t="s">
        <v>303</v>
      </c>
      <c r="D796" s="273" t="str">
        <f>IF(B796="Delete","",VLOOKUP(F796,BEGIN_CURRENT_VISION:END_CURRENT_VISION,3,FALSE))</f>
        <v/>
      </c>
      <c r="E796" s="165"/>
      <c r="F796" s="272" t="str" cm="1">
        <f t="array" ca="1" aca="1" ref="F796">IF(B796="Delete","",INDIRECT("CurrentPlans!A"&amp;B796,TRUE))</f>
        <v/>
      </c>
      <c r="G796" s="166"/>
      <c r="H796" s="167"/>
      <c r="I796" s="168"/>
      <c r="J796" s="169"/>
      <c r="K796"/>
      <c r="L796" s="274" t="str">
        <f ca="1">_xlfn.IFNA(VLOOKUP(F796,BEGIN_RENEWEDFROM_DENTAL:ROW_RenewDental_PlanID,3,FALSE),"SELECT PLAN")</f>
        <v>SELECT PLAN</v>
      </c>
      <c r="M796" s="170"/>
      <c r="N796" s="274" t="s">
        <v>237</v>
      </c>
      <c r="O796" s="171"/>
      <c r="P796" s="171"/>
      <c r="Q796" s="171"/>
      <c r="R796" s="169"/>
      <c r="T796" s="274" t="s">
        <v>38</v>
      </c>
      <c r="U796" s="170"/>
      <c r="V796" s="274" t="s">
        <v>237</v>
      </c>
      <c r="W796" s="171"/>
      <c r="X796" s="171"/>
      <c r="Y796" s="171"/>
      <c r="Z796" s="169"/>
    </row>
    <row r="797" spans="1:26" ht="18.75" customHeight="1">
      <c r="A797" s="140"/>
      <c r="B797" s="140"/>
      <c r="D797" s="172" t="s">
        <v>238</v>
      </c>
      <c r="E797" s="407" t="str">
        <f ca="1">_xlfn.IFNA(VLOOKUP(F796,BEGIN_CURRENT_VISION:END_CURRENT_VISION,CURRENT_COL_EO_count,FALSE),"")</f>
        <v/>
      </c>
      <c r="F797" s="408" t="str">
        <f ca="1">_xlfn.IFNA(VLOOKUP(F796,BEGIN_CURRENT_VISION:END_CURRENT_VISION,CURRENT_COL_EO,FALSE),"")</f>
        <v/>
      </c>
      <c r="G797" s="468" t="str">
        <f ca="1" t="shared" si="128" ref="G797:G800">IF(F797="","",H797/F797)</f>
        <v/>
      </c>
      <c r="H797" s="408" t="str">
        <f ca="1">_xlfn.IFNA(VLOOKUP(F796,BEGIN_CURRENT_VISION:END_CURRENT_VISION,CURRENT_COL_EOContrib,FALSE),"")</f>
        <v/>
      </c>
      <c r="I797" s="409" t="str">
        <f ca="1">IFERROR(F797-H797,"")</f>
        <v/>
      </c>
      <c r="J797" s="410" t="str">
        <f ca="1">IF(F797="","",H797*E797)</f>
        <v/>
      </c>
      <c r="K797" s="411"/>
      <c r="L797" s="408" t="str" cm="1">
        <f t="array" ca="1" aca="1" ref="L797">_xlfn.IFNA(VLOOKUP(INDIRECT("L"&amp;ROW()-1)&amp;"_"&amp;$D$12,BEGIN_Renew_Vision:END_RENEW_VISION,RENEW_COL_EO,FALSE),"")</f>
        <v/>
      </c>
      <c r="M797" s="412" t="str">
        <f ca="1">IF(E797="","",E797)</f>
        <v/>
      </c>
      <c r="N797" s="413"/>
      <c r="O797" s="414"/>
      <c r="P797" s="415" t="str">
        <f>IFERROR(IF($N796="Keep Contribution Same",H797,IF($N796="Enter Percentages",IF(N797="","",N797*L797),IF($N796="Keep Percentage Same",IF(G797="","",G797*L797),IF($N796="Enter Dollar Amount",IF(O797="","",O797),"")))),"")</f>
        <v/>
      </c>
      <c r="Q797" s="408" t="str">
        <f ca="1">IFERROR(L797-P797,"")</f>
        <v/>
      </c>
      <c r="R797" s="410" t="str">
        <f>IFERROR(IF(P797="","",M797*P797),"")</f>
        <v/>
      </c>
      <c r="S797" s="411"/>
      <c r="T797" s="408" t="str" cm="1">
        <f t="array" ca="1" aca="1" ref="T797">_xlfn.IFNA(VLOOKUP(INDIRECT("T"&amp;ROW()-1)&amp;"_"&amp;$D$12,BEGIN_Renew_Vision:END_RENEW_VISION,RENEW_COL_EO,FALSE),"")</f>
        <v/>
      </c>
      <c r="U797" s="412" t="str">
        <f ca="1">IF(E797="","",E797)</f>
        <v/>
      </c>
      <c r="V797" s="413"/>
      <c r="W797" s="414"/>
      <c r="X797" s="415" t="str">
        <f>IFERROR(IF($V796="Keep Contribution Same",H797,IF($V796="Enter Percentages",IF(V797="","",V797*T797),IF($V796="Keep Percentage Same",IF(G797="","",G797*T797),IF($V796="Enter Dollar Amount",IF(W797="","",W797),"")))),"")</f>
        <v/>
      </c>
      <c r="Y797" s="408" t="str">
        <f ca="1">IFERROR(T797-X797,"")</f>
        <v/>
      </c>
      <c r="Z797" s="410" t="str">
        <f>IFERROR(IF(X797="","",U797*X797),"")</f>
        <v/>
      </c>
    </row>
    <row r="798" spans="1:26" ht="18.75" customHeight="1">
      <c r="A798" s="140"/>
      <c r="B798" s="140"/>
      <c r="D798" s="172" t="s">
        <v>239</v>
      </c>
      <c r="E798" s="407" t="str">
        <f ca="1">_xlfn.IFNA(VLOOKUP(F796,BEGIN_CURRENT_VISION:END_CURRENT_VISION,CURRENT_COL_ES_count,FALSE),"")</f>
        <v/>
      </c>
      <c r="F798" s="408" t="str">
        <f ca="1">_xlfn.IFNA(VLOOKUP(F796,BEGIN_CURRENT_VISION:END_CURRENT_VISION,CURRENT_COL_ES,FALSE),"")</f>
        <v/>
      </c>
      <c r="G798" s="468" t="str">
        <f t="shared" ca="1" si="128"/>
        <v/>
      </c>
      <c r="H798" s="408" t="str">
        <f ca="1">_xlfn.IFNA(VLOOKUP(F796,BEGIN_CURRENT_VISION:END_CURRENT_VISION,CURRENT_COL_ESContrib,FALSE),"")</f>
        <v/>
      </c>
      <c r="I798" s="409" t="str">
        <f ca="1" t="shared" si="129" ref="I798:I800">IFERROR(F798-H798,"")</f>
        <v/>
      </c>
      <c r="J798" s="410" t="str">
        <f ca="1" t="shared" si="130" ref="J798:J800">IF(F798="","",H798*E798)</f>
        <v/>
      </c>
      <c r="K798" s="411"/>
      <c r="L798" s="408" t="str" cm="1">
        <f t="array" ca="1" aca="1" ref="L798">_xlfn.IFNA(VLOOKUP(INDIRECT("L"&amp;ROW()-2)&amp;"_"&amp;$D$12,BEGIN_Renew_Vision:END_RENEW_VISION,RENEW_COL_ES,FALSE),"")</f>
        <v/>
      </c>
      <c r="M798" s="412" t="str">
        <f ca="1">IF(E798="","",E798)</f>
        <v/>
      </c>
      <c r="N798" s="413"/>
      <c r="O798" s="414"/>
      <c r="P798" s="415" t="str">
        <f>IFERROR(IF($N796="Keep Contribution Same",H798,IF($N796="Enter Percentages",IF(N798="","",N798*L798),IF($N796="Keep Percentage Same",IF(G798="","",G798*L798),IF($N796="Enter Dollar Amount",IF(O798="","",O798),"")))),"")</f>
        <v/>
      </c>
      <c r="Q798" s="408" t="str">
        <f ca="1" t="shared" si="131" ref="Q798:Q800">IFERROR(L798-P798,"")</f>
        <v/>
      </c>
      <c r="R798" s="410" t="str">
        <f>IFERROR(IF(P798="","",M798*P798),"")</f>
        <v/>
      </c>
      <c r="S798" s="411"/>
      <c r="T798" s="408" t="str" cm="1">
        <f t="array" ca="1" aca="1" ref="T798">_xlfn.IFNA(VLOOKUP(INDIRECT("T"&amp;ROW()-2)&amp;"_"&amp;$D$12,BEGIN_Renew_Vision:END_RENEW_VISION,RENEW_COL_ES,FALSE),"")</f>
        <v/>
      </c>
      <c r="U798" s="412" t="str">
        <f ca="1" t="shared" si="132" ref="U798:U800">IF(E798="","",E798)</f>
        <v/>
      </c>
      <c r="V798" s="413"/>
      <c r="W798" s="414"/>
      <c r="X798" s="415" t="str">
        <f>IFERROR(IF($V796="Keep Contribution Same",H798,IF($V796="Enter Percentages",IF(V798="","",V798*T798),IF($V796="Keep Percentage Same",IF(G798="","",G798*T798),IF($V796="Enter Dollar Amount",IF(W798="","",W798),"")))),"")</f>
        <v/>
      </c>
      <c r="Y798" s="408" t="str">
        <f ca="1" t="shared" si="133" ref="Y798:Y800">IFERROR(T798-X798,"")</f>
        <v/>
      </c>
      <c r="Z798" s="410" t="str">
        <f t="shared" si="134" ref="Z798:Z800">IFERROR(IF(X798="","",U798*X798),"")</f>
        <v/>
      </c>
    </row>
    <row r="799" spans="1:26" ht="18.75" customHeight="1">
      <c r="A799" s="140"/>
      <c r="B799" s="140"/>
      <c r="D799" s="172" t="s">
        <v>240</v>
      </c>
      <c r="E799" s="407" t="str">
        <f ca="1">_xlfn.IFNA(VLOOKUP(F796,BEGIN_CURRENT_VISION:END_CURRENT_VISION,CURRENT_COL_EC_count,FALSE),"")</f>
        <v/>
      </c>
      <c r="F799" s="408" t="str">
        <f ca="1">_xlfn.IFNA(VLOOKUP(F796,BEGIN_CURRENT_VISION:END_CURRENT_VISION,CURRENT_COL_EC,FALSE),"")</f>
        <v/>
      </c>
      <c r="G799" s="468" t="str">
        <f t="shared" ca="1" si="128"/>
        <v/>
      </c>
      <c r="H799" s="408" t="str">
        <f ca="1">_xlfn.IFNA(VLOOKUP(F796,BEGIN_CURRENT_VISION:END_CURRENT_VISION,CURRENT_COL_ECContrib,FALSE),"")</f>
        <v/>
      </c>
      <c r="I799" s="409" t="str">
        <f t="shared" ca="1" si="129"/>
        <v/>
      </c>
      <c r="J799" s="410" t="str">
        <f t="shared" ca="1" si="130"/>
        <v/>
      </c>
      <c r="K799" s="411"/>
      <c r="L799" s="408" t="str" cm="1">
        <f t="array" ca="1" aca="1" ref="L799">_xlfn.IFNA(VLOOKUP(INDIRECT("L"&amp;ROW()-3)&amp;"_"&amp;$D$12,BEGIN_Renew_Vision:END_RENEW_VISION,RENEW_COL_EC,FALSE),"")</f>
        <v/>
      </c>
      <c r="M799" s="412" t="str">
        <f ca="1">IF(E799="","",E799)</f>
        <v/>
      </c>
      <c r="N799" s="413"/>
      <c r="O799" s="414"/>
      <c r="P799" s="415" t="str">
        <f>IFERROR(IF($N796="Keep Contribution Same",H799,IF($N796="Enter Percentages",IF(N799="","",N799*L799),IF($N796="Keep Percentage Same",IF(G799="","",G799*L799),IF($N796="Enter Dollar Amount",IF(O799="","",O799),"")))),"")</f>
        <v/>
      </c>
      <c r="Q799" s="408" t="str">
        <f t="shared" ca="1" si="131"/>
        <v/>
      </c>
      <c r="R799" s="410" t="str">
        <f>IFERROR(IF(P799="","",M799*P799),"")</f>
        <v/>
      </c>
      <c r="S799" s="411"/>
      <c r="T799" s="408" t="str" cm="1">
        <f t="array" ca="1" aca="1" ref="T799">_xlfn.IFNA(VLOOKUP(INDIRECT("T"&amp;ROW()-3)&amp;"_"&amp;$D$12,BEGIN_Renew_Vision:END_RENEW_VISION,RENEW_COL_EC,FALSE),"")</f>
        <v/>
      </c>
      <c r="U799" s="412" t="str">
        <f t="shared" ca="1" si="132"/>
        <v/>
      </c>
      <c r="V799" s="413"/>
      <c r="W799" s="414"/>
      <c r="X799" s="415" t="str">
        <f>IFERROR(IF($V796="Keep Contribution Same",H799,IF($V796="Enter Percentages",IF(V799="","",V799*T799),IF($V796="Keep Percentage Same",IF(G799="","",G799*T799),IF($V796="Enter Dollar Amount",IF(W799="","",W799),"")))),"")</f>
        <v/>
      </c>
      <c r="Y799" s="408" t="str">
        <f t="shared" ca="1" si="133"/>
        <v/>
      </c>
      <c r="Z799" s="410" t="str">
        <f t="shared" si="134"/>
        <v/>
      </c>
    </row>
    <row r="800" spans="1:26" ht="18.75" customHeight="1" thickBot="1">
      <c r="A800" s="140"/>
      <c r="B800" s="140"/>
      <c r="D800" s="174" t="s">
        <v>241</v>
      </c>
      <c r="E800" s="416" t="str">
        <f ca="1">_xlfn.IFNA(VLOOKUP(F796,BEGIN_CURRENT_VISION:END_CURRENT_VISION,CURRENT_COL_FAM_count,FALSE),"")</f>
        <v/>
      </c>
      <c r="F800" s="417" t="str">
        <f ca="1">_xlfn.IFNA(VLOOKUP(F796,BEGIN_CURRENT_VISION:END_CURRENT_VISION,CURRENT_COL_FAM,FALSE),"")</f>
        <v/>
      </c>
      <c r="G800" s="469" t="str">
        <f t="shared" ca="1" si="128"/>
        <v/>
      </c>
      <c r="H800" s="417" t="str">
        <f ca="1">_xlfn.IFNA(VLOOKUP(F796,BEGIN_CURRENT_VISION:END_CURRENT_VISION,CURRENT_COL_FAMContrib,FALSE),"")</f>
        <v/>
      </c>
      <c r="I800" s="409" t="str">
        <f t="shared" ca="1" si="129"/>
        <v/>
      </c>
      <c r="J800" s="410" t="str">
        <f t="shared" ca="1" si="130"/>
        <v/>
      </c>
      <c r="K800" s="411"/>
      <c r="L800" s="417" t="str" cm="1">
        <f t="array" ca="1" aca="1" ref="L800">_xlfn.IFNA(VLOOKUP(INDIRECT("L"&amp;ROW()-4)&amp;"_"&amp;$D$12,BEGIN_Renew_Vision:END_RENEW_VISION,RENEW_COL_FAM,FALSE),"")</f>
        <v/>
      </c>
      <c r="M800" s="423" t="str">
        <f ca="1">IF(E800="","",E800)</f>
        <v/>
      </c>
      <c r="N800" s="420"/>
      <c r="O800" s="421"/>
      <c r="P800" s="422" t="str">
        <f>IFERROR(IF($N796="Keep Contribution Same",H800,IF($N796="Enter Percentages",IF(N800="","",N800*L800),IF($N796="Keep Percentage Same",IF(G800="","",G800*L800),IF($N796="Enter Dollar Amount",IF(O800="","",O800),"")))),"")</f>
        <v/>
      </c>
      <c r="Q800" s="417" t="str">
        <f t="shared" ca="1" si="131"/>
        <v/>
      </c>
      <c r="R800" s="419" t="str">
        <f>IFERROR(IF(P800="","",M800*P800),"")</f>
        <v/>
      </c>
      <c r="S800" s="411"/>
      <c r="T800" s="417" t="str" cm="1">
        <f t="array" ca="1" aca="1" ref="T800">_xlfn.IFNA(VLOOKUP(INDIRECT("T"&amp;ROW()-4)&amp;"_"&amp;$D$12,BEGIN_Renew_Vision:END_RENEW_VISION,RENEW_COL_FAM,FALSE),"")</f>
        <v/>
      </c>
      <c r="U800" s="423" t="str">
        <f t="shared" ca="1" si="132"/>
        <v/>
      </c>
      <c r="V800" s="420"/>
      <c r="W800" s="421"/>
      <c r="X800" s="422" t="str">
        <f>IFERROR(IF($V796="Keep Contribution Same",H800,IF($V796="Enter Percentages",IF(V800="","",V800*T800),IF($V796="Keep Percentage Same",IF(G800="","",G800*T800),IF($V796="Enter Dollar Amount",IF(W800="","",W800),"")))),"")</f>
        <v/>
      </c>
      <c r="Y800" s="417" t="str">
        <f t="shared" ca="1" si="133"/>
        <v/>
      </c>
      <c r="Z800" s="419" t="str">
        <f t="shared" si="134"/>
        <v/>
      </c>
    </row>
    <row r="801" spans="1:26" ht="18.75" customHeight="1" thickTop="1">
      <c r="A801" s="140"/>
      <c r="B801" s="140"/>
      <c r="D801" s="175" t="s">
        <v>329</v>
      </c>
      <c r="E801" s="424"/>
      <c r="F801" s="427"/>
      <c r="G801" s="426"/>
      <c r="H801" s="427"/>
      <c r="I801" s="428"/>
      <c r="J801" s="429" t="str">
        <f ca="1">IFERROR(IF(J797="","",SUM(J797:J800)),0)</f>
        <v/>
      </c>
      <c r="K801" s="1"/>
      <c r="L801" s="424"/>
      <c r="M801" s="427"/>
      <c r="N801" s="426"/>
      <c r="O801" s="427"/>
      <c r="P801" s="431"/>
      <c r="Q801" s="432"/>
      <c r="R801" s="429" t="str">
        <f>IFERROR(IF(R797="","",SUM(R797:R800)),0)</f>
        <v/>
      </c>
      <c r="T801" s="424"/>
      <c r="U801" s="427"/>
      <c r="V801" s="426"/>
      <c r="W801" s="427"/>
      <c r="X801" s="431"/>
      <c r="Y801" s="432"/>
      <c r="Z801" s="429" t="str">
        <f>IFERROR(IF(Z797="","",SUM(Z797:Z800)),0)</f>
        <v/>
      </c>
    </row>
    <row r="802" spans="1:26" ht="18.75" customHeight="1">
      <c r="A802" s="140"/>
      <c r="B802" s="140"/>
      <c r="D802" s="177" t="s">
        <v>243</v>
      </c>
      <c r="E802" s="433"/>
      <c r="F802" s="436"/>
      <c r="G802" s="435"/>
      <c r="H802" s="436"/>
      <c r="I802" s="432"/>
      <c r="J802" s="437" t="str">
        <f ca="1">IF(J801="","",J801*12)</f>
        <v/>
      </c>
      <c r="K802" s="1"/>
      <c r="L802" s="433"/>
      <c r="M802" s="436"/>
      <c r="N802" s="435"/>
      <c r="O802" s="436"/>
      <c r="P802" s="432"/>
      <c r="Q802" s="432"/>
      <c r="R802" s="437" t="str">
        <f>IF(R801="","",R801*12)</f>
        <v/>
      </c>
      <c r="T802" s="433"/>
      <c r="U802" s="436"/>
      <c r="V802" s="435"/>
      <c r="W802" s="436"/>
      <c r="X802" s="432"/>
      <c r="Y802" s="432"/>
      <c r="Z802" s="437" t="str">
        <f>IF(Z801="","",Z801*12)</f>
        <v/>
      </c>
    </row>
    <row r="803" spans="1:26" ht="18" customHeight="1">
      <c r="A803" s="140"/>
      <c r="B803" s="140"/>
      <c r="D803" s="177" t="s">
        <v>244</v>
      </c>
      <c r="E803" s="433"/>
      <c r="F803" s="436"/>
      <c r="G803" s="435"/>
      <c r="H803" s="436"/>
      <c r="I803" s="432"/>
      <c r="J803" s="437" t="str">
        <f ca="1">IFERROR(IF(J802="","",R802-J802),0)</f>
        <v/>
      </c>
      <c r="K803" s="1"/>
      <c r="L803" s="433"/>
      <c r="M803" s="436"/>
      <c r="N803" s="435"/>
      <c r="O803" s="436"/>
      <c r="P803" s="432"/>
      <c r="Q803" s="432"/>
      <c r="R803" s="437" t="str">
        <f ca="1">IFERROR(IF(J802="","",R802-J802),0)</f>
        <v/>
      </c>
      <c r="T803" s="433"/>
      <c r="U803" s="436"/>
      <c r="V803" s="435"/>
      <c r="W803" s="436"/>
      <c r="X803" s="432"/>
      <c r="Y803" s="432"/>
      <c r="Z803" s="437" t="str">
        <f>IFERROR(IF(R802="","",Z802-R802),0)</f>
        <v/>
      </c>
    </row>
    <row r="804" spans="1:26" ht="18" customHeight="1" thickBot="1">
      <c r="A804" s="140"/>
      <c r="B804" s="140"/>
      <c r="D804" s="180" t="s">
        <v>245</v>
      </c>
      <c r="E804" s="439"/>
      <c r="F804" s="440"/>
      <c r="G804" s="441"/>
      <c r="H804" s="440"/>
      <c r="I804" s="442"/>
      <c r="J804" s="437" t="str">
        <f ca="1">IFERROR(IF(J802="","",(R802/J802)-1),0)</f>
        <v/>
      </c>
      <c r="K804" s="1"/>
      <c r="L804" s="439"/>
      <c r="M804" s="440"/>
      <c r="N804" s="441"/>
      <c r="O804" s="440"/>
      <c r="P804" s="445"/>
      <c r="Q804" s="445"/>
      <c r="R804" s="446" t="str">
        <f ca="1">IFERROR(IF(J802="","",(R802/J802)-1),0)</f>
        <v/>
      </c>
      <c r="T804" s="439"/>
      <c r="U804" s="440"/>
      <c r="V804" s="441"/>
      <c r="W804" s="440"/>
      <c r="X804" s="445"/>
      <c r="Y804" s="445"/>
      <c r="Z804" s="446" t="str">
        <f>IFERROR(IF(R802="","",(Z802/R802)-1),0)</f>
        <v/>
      </c>
    </row>
    <row r="805" spans="1:26" ht="5.25" customHeight="1" thickBot="1">
      <c r="A805" s="140"/>
      <c r="B805" s="140"/>
      <c r="D805" s="229"/>
      <c r="E805" s="229"/>
      <c r="F805" s="230"/>
      <c r="G805" s="231"/>
      <c r="H805" s="232"/>
      <c r="I805" s="233"/>
      <c r="J805" s="233"/>
      <c r="K805"/>
      <c r="L805" s="233"/>
      <c r="M805" s="233"/>
      <c r="N805" s="233"/>
      <c r="O805" s="233"/>
      <c r="P805" s="233"/>
      <c r="Q805" s="233"/>
      <c r="R805" s="233"/>
      <c r="T805" s="233"/>
      <c r="U805" s="233"/>
      <c r="V805" s="233"/>
      <c r="W805" s="233"/>
      <c r="X805" s="233"/>
      <c r="Y805" s="233"/>
      <c r="Z805" s="233"/>
    </row>
    <row r="806" spans="1:26" ht="50.15" customHeight="1">
      <c r="A806" s="140">
        <v>5</v>
      </c>
      <c r="B806" s="140" t="str">
        <f>IF(A806&gt;Class5_CurrentVisionCount,"DELETE",Class5_CurrentVisionStart+A806)</f>
        <v>DELETE</v>
      </c>
      <c r="C806" s="164" t="s">
        <v>304</v>
      </c>
      <c r="D806" s="273" t="str">
        <f>IF(B806="Delete","",VLOOKUP(F806,BEGIN_CURRENT_VISION:END_CURRENT_VISION,3,FALSE))</f>
        <v/>
      </c>
      <c r="E806" s="165"/>
      <c r="F806" s="272" t="str" cm="1">
        <f t="array" ca="1" aca="1" ref="F806">IF(B806="Delete","",INDIRECT("CurrentPlans!A"&amp;B806,TRUE))</f>
        <v/>
      </c>
      <c r="G806" s="166"/>
      <c r="H806" s="167"/>
      <c r="I806" s="168"/>
      <c r="J806" s="169"/>
      <c r="K806"/>
      <c r="L806" s="274" t="str">
        <f ca="1">_xlfn.IFNA(VLOOKUP(F806,BEGIN_RENEWEDFROM_DENTAL:ROW_RenewDental_PlanID,3,FALSE),"SELECT PLAN")</f>
        <v>SELECT PLAN</v>
      </c>
      <c r="M806" s="170"/>
      <c r="N806" s="274" t="s">
        <v>237</v>
      </c>
      <c r="O806" s="171"/>
      <c r="P806" s="171"/>
      <c r="Q806" s="171"/>
      <c r="R806" s="169"/>
      <c r="T806" s="274" t="s">
        <v>38</v>
      </c>
      <c r="U806" s="170"/>
      <c r="V806" s="274" t="s">
        <v>237</v>
      </c>
      <c r="W806" s="171"/>
      <c r="X806" s="171"/>
      <c r="Y806" s="171"/>
      <c r="Z806" s="169"/>
    </row>
    <row r="807" spans="1:26" ht="18.75" customHeight="1">
      <c r="A807" s="140"/>
      <c r="B807" s="140"/>
      <c r="D807" s="172" t="s">
        <v>238</v>
      </c>
      <c r="E807" s="407" t="str">
        <f ca="1">_xlfn.IFNA(VLOOKUP(F806,BEGIN_CURRENT_VISION:END_CURRENT_VISION,CURRENT_COL_EO_count,FALSE),"")</f>
        <v/>
      </c>
      <c r="F807" s="408" t="str">
        <f ca="1">_xlfn.IFNA(VLOOKUP(F806,BEGIN_CURRENT_VISION:END_CURRENT_VISION,CURRENT_COL_EO,FALSE),"")</f>
        <v/>
      </c>
      <c r="G807" s="468" t="str">
        <f ca="1" t="shared" si="135" ref="G807:G810">IF(F807="","",H807/F807)</f>
        <v/>
      </c>
      <c r="H807" s="408" t="str">
        <f ca="1">_xlfn.IFNA(VLOOKUP(F806,BEGIN_CURRENT_VISION:END_CURRENT_VISION,CURRENT_COL_EOContrib,FALSE),"")</f>
        <v/>
      </c>
      <c r="I807" s="409" t="str">
        <f ca="1">IFERROR(F807-H807,"")</f>
        <v/>
      </c>
      <c r="J807" s="410" t="str">
        <f ca="1">IF(F807="","",H807*E807)</f>
        <v/>
      </c>
      <c r="K807" s="411"/>
      <c r="L807" s="408" t="str" cm="1">
        <f t="array" ca="1" aca="1" ref="L807">_xlfn.IFNA(VLOOKUP(INDIRECT("L"&amp;ROW()-1)&amp;"_"&amp;$D$12,BEGIN_Renew_Vision:END_RENEW_VISION,RENEW_COL_EO,FALSE),"")</f>
        <v/>
      </c>
      <c r="M807" s="412" t="str">
        <f ca="1">IF(E807="","",E807)</f>
        <v/>
      </c>
      <c r="N807" s="413"/>
      <c r="O807" s="414"/>
      <c r="P807" s="415" t="str">
        <f>IFERROR(IF($N806="Keep Contribution Same",H807,IF($N806="Enter Percentages",IF(N807="","",N807*L807),IF($N806="Keep Percentage Same",IF(G807="","",G807*L807),IF($N806="Enter Dollar Amount",IF(O807="","",O807),"")))),"")</f>
        <v/>
      </c>
      <c r="Q807" s="408" t="str">
        <f ca="1">IFERROR(L807-P807,"")</f>
        <v/>
      </c>
      <c r="R807" s="410" t="str">
        <f>IFERROR(IF(P807="","",M807*P807),"")</f>
        <v/>
      </c>
      <c r="S807" s="411"/>
      <c r="T807" s="408" t="str" cm="1">
        <f t="array" ca="1" aca="1" ref="T807">_xlfn.IFNA(VLOOKUP(INDIRECT("T"&amp;ROW()-1)&amp;"_"&amp;$D$12,BEGIN_Renew_Vision:END_RENEW_VISION,RENEW_COL_EO,FALSE),"")</f>
        <v/>
      </c>
      <c r="U807" s="412" t="str">
        <f ca="1">IF(E807="","",E807)</f>
        <v/>
      </c>
      <c r="V807" s="413"/>
      <c r="W807" s="414"/>
      <c r="X807" s="415" t="str">
        <f>IFERROR(IF($V806="Keep Contribution Same",H807,IF($V806="Enter Percentages",IF(V807="","",V807*T807),IF($V806="Keep Percentage Same",IF(G807="","",G807*T807),IF($V806="Enter Dollar Amount",IF(W807="","",W807),"")))),"")</f>
        <v/>
      </c>
      <c r="Y807" s="408" t="str">
        <f ca="1">IFERROR(T807-X807,"")</f>
        <v/>
      </c>
      <c r="Z807" s="410" t="str">
        <f>IFERROR(IF(X807="","",U807*X807),"")</f>
        <v/>
      </c>
    </row>
    <row r="808" spans="1:26" ht="18.75" customHeight="1">
      <c r="A808" s="140"/>
      <c r="B808" s="140"/>
      <c r="D808" s="172" t="s">
        <v>239</v>
      </c>
      <c r="E808" s="407" t="str">
        <f ca="1">_xlfn.IFNA(VLOOKUP(F806,BEGIN_CURRENT_VISION:END_CURRENT_VISION,CURRENT_COL_ES_count,FALSE),"")</f>
        <v/>
      </c>
      <c r="F808" s="408" t="str">
        <f ca="1">_xlfn.IFNA(VLOOKUP(F806,BEGIN_CURRENT_VISION:END_CURRENT_VISION,CURRENT_COL_ES,FALSE),"")</f>
        <v/>
      </c>
      <c r="G808" s="468" t="str">
        <f t="shared" ca="1" si="135"/>
        <v/>
      </c>
      <c r="H808" s="408" t="str">
        <f ca="1">_xlfn.IFNA(VLOOKUP(F806,BEGIN_CURRENT_VISION:END_CURRENT_VISION,CURRENT_COL_ESContrib,FALSE),"")</f>
        <v/>
      </c>
      <c r="I808" s="409" t="str">
        <f ca="1" t="shared" si="136" ref="I808:I810">IFERROR(F808-H808,"")</f>
        <v/>
      </c>
      <c r="J808" s="410" t="str">
        <f ca="1" t="shared" si="137" ref="J808:J810">IF(F808="","",H808*E808)</f>
        <v/>
      </c>
      <c r="K808" s="411"/>
      <c r="L808" s="408" t="str" cm="1">
        <f t="array" ca="1" aca="1" ref="L808">_xlfn.IFNA(VLOOKUP(INDIRECT("L"&amp;ROW()-2)&amp;"_"&amp;$D$12,BEGIN_Renew_Vision:END_RENEW_VISION,RENEW_COL_ES,FALSE),"")</f>
        <v/>
      </c>
      <c r="M808" s="412" t="str">
        <f ca="1">IF(E808="","",E808)</f>
        <v/>
      </c>
      <c r="N808" s="413"/>
      <c r="O808" s="414"/>
      <c r="P808" s="415" t="str">
        <f>IFERROR(IF($N806="Keep Contribution Same",H808,IF($N806="Enter Percentages",IF(N808="","",N808*L808),IF($N806="Keep Percentage Same",IF(G808="","",G808*L808),IF($N806="Enter Dollar Amount",IF(O808="","",O808),"")))),"")</f>
        <v/>
      </c>
      <c r="Q808" s="408" t="str">
        <f ca="1" t="shared" si="138" ref="Q808:Q810">IFERROR(L808-P808,"")</f>
        <v/>
      </c>
      <c r="R808" s="410" t="str">
        <f>IFERROR(IF(P808="","",M808*P808),"")</f>
        <v/>
      </c>
      <c r="S808" s="411"/>
      <c r="T808" s="408" t="str" cm="1">
        <f t="array" ca="1" aca="1" ref="T808">_xlfn.IFNA(VLOOKUP(INDIRECT("T"&amp;ROW()-2)&amp;"_"&amp;$D$12,BEGIN_Renew_Vision:END_RENEW_VISION,RENEW_COL_ES,FALSE),"")</f>
        <v/>
      </c>
      <c r="U808" s="412" t="str">
        <f ca="1" t="shared" si="139" ref="U808:U810">IF(E808="","",E808)</f>
        <v/>
      </c>
      <c r="V808" s="413"/>
      <c r="W808" s="414"/>
      <c r="X808" s="415" t="str">
        <f>IFERROR(IF($V806="Keep Contribution Same",H808,IF($V806="Enter Percentages",IF(V808="","",V808*T808),IF($V806="Keep Percentage Same",IF(G808="","",G808*T808),IF($V806="Enter Dollar Amount",IF(W808="","",W808),"")))),"")</f>
        <v/>
      </c>
      <c r="Y808" s="408" t="str">
        <f ca="1" t="shared" si="140" ref="Y808:Y810">IFERROR(T808-X808,"")</f>
        <v/>
      </c>
      <c r="Z808" s="410" t="str">
        <f t="shared" si="141" ref="Z808:Z810">IFERROR(IF(X808="","",U808*X808),"")</f>
        <v/>
      </c>
    </row>
    <row r="809" spans="1:26" ht="18.75" customHeight="1">
      <c r="A809" s="140"/>
      <c r="B809" s="140"/>
      <c r="D809" s="172" t="s">
        <v>240</v>
      </c>
      <c r="E809" s="407" t="str">
        <f ca="1">_xlfn.IFNA(VLOOKUP(F806,BEGIN_CURRENT_VISION:END_CURRENT_VISION,CURRENT_COL_EC_count,FALSE),"")</f>
        <v/>
      </c>
      <c r="F809" s="408" t="str">
        <f ca="1">_xlfn.IFNA(VLOOKUP(F806,BEGIN_CURRENT_VISION:END_CURRENT_VISION,CURRENT_COL_EC,FALSE),"")</f>
        <v/>
      </c>
      <c r="G809" s="468" t="str">
        <f t="shared" ca="1" si="135"/>
        <v/>
      </c>
      <c r="H809" s="408" t="str">
        <f ca="1">_xlfn.IFNA(VLOOKUP(F806,BEGIN_CURRENT_VISION:END_CURRENT_VISION,CURRENT_COL_ECContrib,FALSE),"")</f>
        <v/>
      </c>
      <c r="I809" s="409" t="str">
        <f t="shared" ca="1" si="136"/>
        <v/>
      </c>
      <c r="J809" s="410" t="str">
        <f t="shared" ca="1" si="137"/>
        <v/>
      </c>
      <c r="K809" s="411"/>
      <c r="L809" s="408" t="str" cm="1">
        <f t="array" ca="1" aca="1" ref="L809">_xlfn.IFNA(VLOOKUP(INDIRECT("L"&amp;ROW()-3)&amp;"_"&amp;$D$12,BEGIN_Renew_Vision:END_RENEW_VISION,RENEW_COL_EC,FALSE),"")</f>
        <v/>
      </c>
      <c r="M809" s="412" t="str">
        <f ca="1">IF(E809="","",E809)</f>
        <v/>
      </c>
      <c r="N809" s="413"/>
      <c r="O809" s="414"/>
      <c r="P809" s="415" t="str">
        <f>IFERROR(IF($N806="Keep Contribution Same",H809,IF($N806="Enter Percentages",IF(N809="","",N809*L809),IF($N806="Keep Percentage Same",IF(G809="","",G809*L809),IF($N806="Enter Dollar Amount",IF(O809="","",O809),"")))),"")</f>
        <v/>
      </c>
      <c r="Q809" s="408" t="str">
        <f t="shared" ca="1" si="138"/>
        <v/>
      </c>
      <c r="R809" s="410" t="str">
        <f>IFERROR(IF(P809="","",M809*P809),"")</f>
        <v/>
      </c>
      <c r="S809" s="411"/>
      <c r="T809" s="408" t="str" cm="1">
        <f t="array" ca="1" aca="1" ref="T809">_xlfn.IFNA(VLOOKUP(INDIRECT("T"&amp;ROW()-3)&amp;"_"&amp;$D$12,BEGIN_Renew_Vision:END_RENEW_VISION,RENEW_COL_EC,FALSE),"")</f>
        <v/>
      </c>
      <c r="U809" s="412" t="str">
        <f t="shared" ca="1" si="139"/>
        <v/>
      </c>
      <c r="V809" s="413"/>
      <c r="W809" s="414"/>
      <c r="X809" s="415" t="str">
        <f>IFERROR(IF($V806="Keep Contribution Same",H809,IF($V806="Enter Percentages",IF(V809="","",V809*T809),IF($V806="Keep Percentage Same",IF(G809="","",G809*T809),IF($V806="Enter Dollar Amount",IF(W809="","",W809),"")))),"")</f>
        <v/>
      </c>
      <c r="Y809" s="408" t="str">
        <f t="shared" ca="1" si="140"/>
        <v/>
      </c>
      <c r="Z809" s="410" t="str">
        <f t="shared" si="141"/>
        <v/>
      </c>
    </row>
    <row r="810" spans="1:26" ht="18.75" customHeight="1" thickBot="1">
      <c r="A810" s="140"/>
      <c r="B810" s="140"/>
      <c r="D810" s="174" t="s">
        <v>241</v>
      </c>
      <c r="E810" s="416" t="str">
        <f ca="1">_xlfn.IFNA(VLOOKUP(F806,BEGIN_CURRENT_VISION:END_CURRENT_VISION,CURRENT_COL_FAM_count,FALSE),"")</f>
        <v/>
      </c>
      <c r="F810" s="417" t="str">
        <f ca="1">_xlfn.IFNA(VLOOKUP(F806,BEGIN_CURRENT_VISION:END_CURRENT_VISION,CURRENT_COL_FAM,FALSE),"")</f>
        <v/>
      </c>
      <c r="G810" s="469" t="str">
        <f t="shared" ca="1" si="135"/>
        <v/>
      </c>
      <c r="H810" s="417" t="str">
        <f ca="1">_xlfn.IFNA(VLOOKUP(F806,BEGIN_CURRENT_VISION:END_CURRENT_VISION,CURRENT_COL_FAMContrib,FALSE),"")</f>
        <v/>
      </c>
      <c r="I810" s="409" t="str">
        <f t="shared" ca="1" si="136"/>
        <v/>
      </c>
      <c r="J810" s="410" t="str">
        <f t="shared" ca="1" si="137"/>
        <v/>
      </c>
      <c r="K810" s="411"/>
      <c r="L810" s="417" t="str" cm="1">
        <f t="array" ca="1" aca="1" ref="L810">_xlfn.IFNA(VLOOKUP(INDIRECT("L"&amp;ROW()-4)&amp;"_"&amp;$D$12,BEGIN_Renew_Vision:END_RENEW_VISION,RENEW_COL_FAM,FALSE),"")</f>
        <v/>
      </c>
      <c r="M810" s="423" t="str">
        <f ca="1">IF(E810="","",E810)</f>
        <v/>
      </c>
      <c r="N810" s="420"/>
      <c r="O810" s="421"/>
      <c r="P810" s="422" t="str">
        <f>IFERROR(IF($N806="Keep Contribution Same",H810,IF($N806="Enter Percentages",IF(N810="","",N810*L810),IF($N806="Keep Percentage Same",IF(G810="","",G810*L810),IF($N806="Enter Dollar Amount",IF(O810="","",O810),"")))),"")</f>
        <v/>
      </c>
      <c r="Q810" s="417" t="str">
        <f t="shared" ca="1" si="138"/>
        <v/>
      </c>
      <c r="R810" s="419" t="str">
        <f>IFERROR(IF(P810="","",M810*P810),"")</f>
        <v/>
      </c>
      <c r="S810" s="411"/>
      <c r="T810" s="417" t="str" cm="1">
        <f t="array" ca="1" aca="1" ref="T810">_xlfn.IFNA(VLOOKUP(INDIRECT("T"&amp;ROW()-4)&amp;"_"&amp;$D$12,BEGIN_Renew_Vision:END_RENEW_VISION,RENEW_COL_FAM,FALSE),"")</f>
        <v/>
      </c>
      <c r="U810" s="423" t="str">
        <f t="shared" ca="1" si="139"/>
        <v/>
      </c>
      <c r="V810" s="420"/>
      <c r="W810" s="421"/>
      <c r="X810" s="422" t="str">
        <f>IFERROR(IF($V806="Keep Contribution Same",H810,IF($V806="Enter Percentages",IF(V810="","",V810*T810),IF($V806="Keep Percentage Same",IF(G810="","",G810*T810),IF($V806="Enter Dollar Amount",IF(W810="","",W810),"")))),"")</f>
        <v/>
      </c>
      <c r="Y810" s="417" t="str">
        <f t="shared" ca="1" si="140"/>
        <v/>
      </c>
      <c r="Z810" s="419" t="str">
        <f t="shared" si="141"/>
        <v/>
      </c>
    </row>
    <row r="811" spans="1:26" ht="18.75" customHeight="1" thickTop="1">
      <c r="A811" s="140"/>
      <c r="B811" s="140"/>
      <c r="D811" s="175" t="s">
        <v>329</v>
      </c>
      <c r="E811" s="424"/>
      <c r="F811" s="427"/>
      <c r="G811" s="426"/>
      <c r="H811" s="427"/>
      <c r="I811" s="428"/>
      <c r="J811" s="429" t="str">
        <f ca="1">IFERROR(IF(J807="","",SUM(J807:J810)),0)</f>
        <v/>
      </c>
      <c r="K811" s="1"/>
      <c r="L811" s="424"/>
      <c r="M811" s="427"/>
      <c r="N811" s="426"/>
      <c r="O811" s="427"/>
      <c r="P811" s="431"/>
      <c r="Q811" s="432"/>
      <c r="R811" s="429" t="str">
        <f>IFERROR(IF(R807="","",SUM(R807:R810)),0)</f>
        <v/>
      </c>
      <c r="T811" s="424"/>
      <c r="U811" s="427"/>
      <c r="V811" s="426"/>
      <c r="W811" s="427"/>
      <c r="X811" s="431"/>
      <c r="Y811" s="432"/>
      <c r="Z811" s="429" t="str">
        <f>IFERROR(IF(Z807="","",SUM(Z807:Z810)),0)</f>
        <v/>
      </c>
    </row>
    <row r="812" spans="1:26" ht="18.75" customHeight="1">
      <c r="A812" s="140"/>
      <c r="B812" s="140"/>
      <c r="D812" s="177" t="s">
        <v>243</v>
      </c>
      <c r="E812" s="433"/>
      <c r="F812" s="436"/>
      <c r="G812" s="435"/>
      <c r="H812" s="436"/>
      <c r="I812" s="432"/>
      <c r="J812" s="437" t="str">
        <f ca="1">IF(J811="","",J811*12)</f>
        <v/>
      </c>
      <c r="K812" s="1"/>
      <c r="L812" s="433"/>
      <c r="M812" s="436"/>
      <c r="N812" s="435"/>
      <c r="O812" s="436"/>
      <c r="P812" s="432"/>
      <c r="Q812" s="432"/>
      <c r="R812" s="437" t="str">
        <f>IF(R811="","",R811*12)</f>
        <v/>
      </c>
      <c r="T812" s="433"/>
      <c r="U812" s="436"/>
      <c r="V812" s="435"/>
      <c r="W812" s="436"/>
      <c r="X812" s="432"/>
      <c r="Y812" s="432"/>
      <c r="Z812" s="437" t="str">
        <f>IF(Z811="","",Z811*12)</f>
        <v/>
      </c>
    </row>
    <row r="813" spans="1:26" ht="18" customHeight="1">
      <c r="A813" s="140"/>
      <c r="B813" s="140"/>
      <c r="D813" s="177" t="s">
        <v>244</v>
      </c>
      <c r="E813" s="433"/>
      <c r="F813" s="436"/>
      <c r="G813" s="435"/>
      <c r="H813" s="436"/>
      <c r="I813" s="432"/>
      <c r="J813" s="437" t="str">
        <f ca="1">IFERROR(IF(J812="","",R812-J812),0)</f>
        <v/>
      </c>
      <c r="K813" s="1"/>
      <c r="L813" s="433"/>
      <c r="M813" s="436"/>
      <c r="N813" s="435"/>
      <c r="O813" s="436"/>
      <c r="P813" s="432"/>
      <c r="Q813" s="432"/>
      <c r="R813" s="437" t="str">
        <f ca="1">IFERROR(IF(J812="","",R812-J812),0)</f>
        <v/>
      </c>
      <c r="T813" s="433"/>
      <c r="U813" s="436"/>
      <c r="V813" s="435"/>
      <c r="W813" s="436"/>
      <c r="X813" s="432"/>
      <c r="Y813" s="432"/>
      <c r="Z813" s="437" t="str">
        <f>IFERROR(IF(R812="","",Z812-R812),0)</f>
        <v/>
      </c>
    </row>
    <row r="814" spans="1:26" ht="18" customHeight="1" thickBot="1">
      <c r="A814" s="140"/>
      <c r="B814" s="140"/>
      <c r="D814" s="180" t="s">
        <v>245</v>
      </c>
      <c r="E814" s="439"/>
      <c r="F814" s="440"/>
      <c r="G814" s="441"/>
      <c r="H814" s="440"/>
      <c r="I814" s="442"/>
      <c r="J814" s="437" t="str">
        <f ca="1">IFERROR(IF(J812="","",(R812/J812)-1),0)</f>
        <v/>
      </c>
      <c r="K814" s="1"/>
      <c r="L814" s="439"/>
      <c r="M814" s="440"/>
      <c r="N814" s="441"/>
      <c r="O814" s="440"/>
      <c r="P814" s="445"/>
      <c r="Q814" s="445"/>
      <c r="R814" s="446" t="str">
        <f ca="1">IFERROR(IF(J812="","",(R812/J812)-1),0)</f>
        <v/>
      </c>
      <c r="T814" s="439"/>
      <c r="U814" s="440"/>
      <c r="V814" s="441"/>
      <c r="W814" s="440"/>
      <c r="X814" s="445"/>
      <c r="Y814" s="445"/>
      <c r="Z814" s="446" t="str">
        <f>IFERROR(IF(R812="","",(Z812/R812)-1),0)</f>
        <v/>
      </c>
    </row>
    <row r="815" spans="1:26" ht="5.25" customHeight="1" thickBot="1">
      <c r="A815" s="140"/>
      <c r="B815" s="140"/>
      <c r="D815" s="229"/>
      <c r="E815" s="229"/>
      <c r="F815" s="230"/>
      <c r="G815" s="231"/>
      <c r="H815" s="232"/>
      <c r="I815" s="233"/>
      <c r="J815" s="233"/>
      <c r="K815"/>
      <c r="L815" s="233"/>
      <c r="M815" s="233"/>
      <c r="N815" s="233"/>
      <c r="O815" s="233"/>
      <c r="P815" s="233"/>
      <c r="Q815" s="233"/>
      <c r="R815" s="233"/>
      <c r="T815" s="233"/>
      <c r="U815" s="233"/>
      <c r="V815" s="233"/>
      <c r="W815" s="233"/>
      <c r="X815" s="233"/>
      <c r="Y815" s="233"/>
      <c r="Z815" s="233"/>
    </row>
    <row r="816" spans="1:26" ht="50.15" customHeight="1">
      <c r="A816" s="140"/>
      <c r="B816" s="140"/>
      <c r="C816" s="164" t="s">
        <v>305</v>
      </c>
      <c r="D816" s="275" t="s">
        <v>285</v>
      </c>
      <c r="E816" s="165"/>
      <c r="F816" s="272"/>
      <c r="G816" s="166"/>
      <c r="H816" s="167"/>
      <c r="I816" s="168"/>
      <c r="J816" s="169"/>
      <c r="K816"/>
      <c r="L816" s="274" t="s">
        <v>38</v>
      </c>
      <c r="M816" s="170"/>
      <c r="N816" s="274" t="s">
        <v>237</v>
      </c>
      <c r="O816" s="171"/>
      <c r="P816" s="171"/>
      <c r="Q816" s="171"/>
      <c r="R816" s="169"/>
      <c r="T816" s="274" t="s">
        <v>38</v>
      </c>
      <c r="U816" s="170"/>
      <c r="V816" s="274" t="s">
        <v>237</v>
      </c>
      <c r="W816" s="171"/>
      <c r="X816" s="171"/>
      <c r="Y816" s="171"/>
      <c r="Z816" s="169"/>
    </row>
    <row r="817" spans="1:26" ht="18.75" customHeight="1">
      <c r="A817" s="140"/>
      <c r="B817" s="140"/>
      <c r="D817" s="172" t="s">
        <v>238</v>
      </c>
      <c r="E817" s="407"/>
      <c r="F817" s="449"/>
      <c r="G817" s="470" t="str">
        <f t="shared" si="142" ref="G817:G820">IF(F817="","",H817/F817)</f>
        <v/>
      </c>
      <c r="H817" s="449" t="str">
        <f>_xlfn.IFNA(VLOOKUP(F816,BEGIN_CURRENT_VISION:END_CURRENT_VISION,CURRENT_COL_EOContrib,FALSE),"")</f>
        <v/>
      </c>
      <c r="I817" s="409" t="str">
        <f>IFERROR(F817-H817,"")</f>
        <v/>
      </c>
      <c r="J817" s="410" t="str">
        <f>IF(F817="","",H817*E817)</f>
        <v/>
      </c>
      <c r="K817" s="411"/>
      <c r="L817" s="408" t="str" cm="1">
        <f t="array" ca="1" aca="1" ref="L817">_xlfn.IFNA(VLOOKUP(INDIRECT("L"&amp;ROW()-1)&amp;"_"&amp;$D$12,BEGIN_Renew_Vision:END_RENEW_VISION,RENEW_COL_EO,FALSE),"")</f>
        <v/>
      </c>
      <c r="M817" s="412" t="str">
        <f>IF(E817="","",E817)</f>
        <v/>
      </c>
      <c r="N817" s="413"/>
      <c r="O817" s="414"/>
      <c r="P817" s="415" t="str">
        <f>IFERROR(IF($N816="Keep Contribution Same",H817,IF($N816="Enter Percentages",IF(N817="","",N817*L817),IF($N816="Keep Percentage Same",IF(G817="","",G817*L817),IF($N816="Enter Dollar Amount",IF(O817="","",O817),"")))),"")</f>
        <v/>
      </c>
      <c r="Q817" s="408" t="str">
        <f ca="1">IFERROR(L817-P817,"")</f>
        <v/>
      </c>
      <c r="R817" s="410" t="str">
        <f>IFERROR(IF(P817="","",M817*P817),"")</f>
        <v/>
      </c>
      <c r="S817" s="411"/>
      <c r="T817" s="408" t="str" cm="1">
        <f t="array" ca="1" aca="1" ref="T817">_xlfn.IFNA(VLOOKUP(INDIRECT("T"&amp;ROW()-1)&amp;"_"&amp;$D$12,BEGIN_Renew_Vision:END_RENEW_VISION,RENEW_COL_EO,FALSE),"")</f>
        <v/>
      </c>
      <c r="U817" s="412" t="str">
        <f>IF(E817="","",E817)</f>
        <v/>
      </c>
      <c r="V817" s="413"/>
      <c r="W817" s="414"/>
      <c r="X817" s="415" t="str">
        <f>IFERROR(IF($V816="Keep Contribution Same",H817,IF($V816="Enter Percentages",IF(V817="","",V817*T817),IF($V816="Keep Percentage Same",IF(G817="","",G817*T817),IF($V816="Enter Dollar Amount",IF(W817="","",W817),"")))),"")</f>
        <v/>
      </c>
      <c r="Y817" s="408" t="str">
        <f ca="1">IFERROR(T817-X817,"")</f>
        <v/>
      </c>
      <c r="Z817" s="410" t="str">
        <f>IFERROR(IF(X817="","",U817*X817),"")</f>
        <v/>
      </c>
    </row>
    <row r="818" spans="1:26" ht="18.75" customHeight="1">
      <c r="A818" s="140"/>
      <c r="B818" s="140"/>
      <c r="D818" s="172" t="s">
        <v>239</v>
      </c>
      <c r="E818" s="407"/>
      <c r="F818" s="449" t="str">
        <f>_xlfn.IFNA(VLOOKUP(F816,BEGIN_CURRENT_VISION:END_CURRENT_VISION,CURRENT_COL_ES,FALSE),"")</f>
        <v/>
      </c>
      <c r="G818" s="470" t="str">
        <f t="shared" si="142"/>
        <v/>
      </c>
      <c r="H818" s="449" t="str">
        <f>_xlfn.IFNA(VLOOKUP(F816,BEGIN_CURRENT_VISION:END_CURRENT_VISION,CURRENT_COL_ESContrib,FALSE),"")</f>
        <v/>
      </c>
      <c r="I818" s="409" t="str">
        <f t="shared" si="143" ref="I818:I820">IFERROR(F818-H818,"")</f>
        <v/>
      </c>
      <c r="J818" s="410" t="str">
        <f t="shared" si="144" ref="J818:J820">IF(F818="","",H818*E818)</f>
        <v/>
      </c>
      <c r="K818" s="411"/>
      <c r="L818" s="408" t="str" cm="1">
        <f t="array" ca="1" aca="1" ref="L818">_xlfn.IFNA(VLOOKUP(INDIRECT("L"&amp;ROW()-2)&amp;"_"&amp;$D$12,BEGIN_Renew_Vision:END_RENEW_VISION,RENEW_COL_ES,FALSE),"")</f>
        <v/>
      </c>
      <c r="M818" s="412" t="str">
        <f>IF(E818="","",E818)</f>
        <v/>
      </c>
      <c r="N818" s="413"/>
      <c r="O818" s="414"/>
      <c r="P818" s="415" t="str">
        <f>IFERROR(IF($N816="Keep Contribution Same",H818,IF($N816="Enter Percentages",IF(N818="","",N818*L818),IF($N816="Keep Percentage Same",IF(G818="","",G818*L818),IF($N816="Enter Dollar Amount",IF(O818="","",O818),"")))),"")</f>
        <v/>
      </c>
      <c r="Q818" s="408" t="str">
        <f ca="1" t="shared" si="145" ref="Q818:Q820">IFERROR(L818-P818,"")</f>
        <v/>
      </c>
      <c r="R818" s="410" t="str">
        <f>IFERROR(IF(P818="","",M818*P818),"")</f>
        <v/>
      </c>
      <c r="S818" s="411"/>
      <c r="T818" s="408" t="str" cm="1">
        <f t="array" ca="1" aca="1" ref="T818">_xlfn.IFNA(VLOOKUP(INDIRECT("T"&amp;ROW()-2)&amp;"_"&amp;$D$12,BEGIN_Renew_Vision:END_RENEW_VISION,RENEW_COL_ES,FALSE),"")</f>
        <v/>
      </c>
      <c r="U818" s="412" t="str">
        <f t="shared" si="146" ref="U818:U820">IF(E818="","",E818)</f>
        <v/>
      </c>
      <c r="V818" s="413"/>
      <c r="W818" s="414"/>
      <c r="X818" s="415" t="str">
        <f>IFERROR(IF($V816="Keep Contribution Same",H818,IF($V816="Enter Percentages",IF(V818="","",V818*T818),IF($V816="Keep Percentage Same",IF(G818="","",G818*T818),IF($V816="Enter Dollar Amount",IF(W818="","",W818),"")))),"")</f>
        <v/>
      </c>
      <c r="Y818" s="408" t="str">
        <f ca="1" t="shared" si="147" ref="Y818:Y820">IFERROR(T818-X818,"")</f>
        <v/>
      </c>
      <c r="Z818" s="410" t="str">
        <f t="shared" si="148" ref="Z818:Z820">IFERROR(IF(X818="","",U818*X818),"")</f>
        <v/>
      </c>
    </row>
    <row r="819" spans="1:26" ht="18.75" customHeight="1">
      <c r="A819" s="140"/>
      <c r="B819" s="140"/>
      <c r="D819" s="172" t="s">
        <v>240</v>
      </c>
      <c r="E819" s="407"/>
      <c r="F819" s="449" t="str">
        <f>_xlfn.IFNA(VLOOKUP(F816,BEGIN_CURRENT_VISION:END_CURRENT_VISION,CURRENT_COL_EC,FALSE),"")</f>
        <v/>
      </c>
      <c r="G819" s="470" t="str">
        <f t="shared" si="142"/>
        <v/>
      </c>
      <c r="H819" s="449" t="str">
        <f>_xlfn.IFNA(VLOOKUP(F816,BEGIN_CURRENT_VISION:END_CURRENT_VISION,CURRENT_COL_ECContrib,FALSE),"")</f>
        <v/>
      </c>
      <c r="I819" s="409" t="str">
        <f t="shared" si="143"/>
        <v/>
      </c>
      <c r="J819" s="410" t="str">
        <f t="shared" si="144"/>
        <v/>
      </c>
      <c r="K819" s="411"/>
      <c r="L819" s="408" t="str" cm="1">
        <f t="array" ca="1" aca="1" ref="L819">_xlfn.IFNA(VLOOKUP(INDIRECT("L"&amp;ROW()-3)&amp;"_"&amp;$D$12,BEGIN_Renew_Vision:END_RENEW_VISION,RENEW_COL_EC,FALSE),"")</f>
        <v/>
      </c>
      <c r="M819" s="412" t="str">
        <f>IF(E819="","",E819)</f>
        <v/>
      </c>
      <c r="N819" s="413"/>
      <c r="O819" s="414"/>
      <c r="P819" s="415" t="str">
        <f>IFERROR(IF($N816="Keep Contribution Same",H819,IF($N816="Enter Percentages",IF(N819="","",N819*L819),IF($N816="Keep Percentage Same",IF(G819="","",G819*L819),IF($N816="Enter Dollar Amount",IF(O819="","",O819),"")))),"")</f>
        <v/>
      </c>
      <c r="Q819" s="408" t="str">
        <f t="shared" ca="1" si="145"/>
        <v/>
      </c>
      <c r="R819" s="410" t="str">
        <f>IFERROR(IF(P819="","",M819*P819),"")</f>
        <v/>
      </c>
      <c r="S819" s="411"/>
      <c r="T819" s="408" t="str" cm="1">
        <f t="array" ca="1" aca="1" ref="T819">_xlfn.IFNA(VLOOKUP(INDIRECT("T"&amp;ROW()-3)&amp;"_"&amp;$D$12,BEGIN_Renew_Vision:END_RENEW_VISION,RENEW_COL_EC,FALSE),"")</f>
        <v/>
      </c>
      <c r="U819" s="412" t="str">
        <f t="shared" si="146"/>
        <v/>
      </c>
      <c r="V819" s="413"/>
      <c r="W819" s="414"/>
      <c r="X819" s="415" t="str">
        <f>IFERROR(IF($V816="Keep Contribution Same",H819,IF($V816="Enter Percentages",IF(V819="","",V819*T819),IF($V816="Keep Percentage Same",IF(G819="","",G819*T819),IF($V816="Enter Dollar Amount",IF(W819="","",W819),"")))),"")</f>
        <v/>
      </c>
      <c r="Y819" s="408" t="str">
        <f t="shared" ca="1" si="147"/>
        <v/>
      </c>
      <c r="Z819" s="410" t="str">
        <f t="shared" si="148"/>
        <v/>
      </c>
    </row>
    <row r="820" spans="1:26" ht="18.75" customHeight="1" thickBot="1">
      <c r="A820" s="140"/>
      <c r="B820" s="140"/>
      <c r="D820" s="174" t="s">
        <v>241</v>
      </c>
      <c r="E820" s="416"/>
      <c r="F820" s="451" t="str">
        <f>_xlfn.IFNA(VLOOKUP(F816,BEGIN_CURRENT_VISION:END_CURRENT_VISION,CURRENT_COL_FAM,FALSE),"")</f>
        <v/>
      </c>
      <c r="G820" s="471" t="str">
        <f t="shared" si="142"/>
        <v/>
      </c>
      <c r="H820" s="451" t="str">
        <f>_xlfn.IFNA(VLOOKUP(F816,BEGIN_CURRENT_VISION:END_CURRENT_VISION,CURRENT_COL_FAMContrib,FALSE),"")</f>
        <v/>
      </c>
      <c r="I820" s="409" t="str">
        <f t="shared" si="143"/>
        <v/>
      </c>
      <c r="J820" s="410" t="str">
        <f t="shared" si="144"/>
        <v/>
      </c>
      <c r="K820" s="411"/>
      <c r="L820" s="417" t="str" cm="1">
        <f t="array" ca="1" aca="1" ref="L820">_xlfn.IFNA(VLOOKUP(INDIRECT("L"&amp;ROW()-4)&amp;"_"&amp;$D$12,BEGIN_Renew_Vision:END_RENEW_VISION,RENEW_COL_FAM,FALSE),"")</f>
        <v/>
      </c>
      <c r="M820" s="423" t="str">
        <f>IF(E820="","",E820)</f>
        <v/>
      </c>
      <c r="N820" s="420"/>
      <c r="O820" s="421"/>
      <c r="P820" s="422" t="str">
        <f>IFERROR(IF($N816="Keep Contribution Same",H820,IF($N816="Enter Percentages",IF(N820="","",N820*L820),IF($N816="Keep Percentage Same",IF(G820="","",G820*L820),IF($N816="Enter Dollar Amount",IF(O820="","",O820),"")))),"")</f>
        <v/>
      </c>
      <c r="Q820" s="417" t="str">
        <f t="shared" ca="1" si="145"/>
        <v/>
      </c>
      <c r="R820" s="419" t="str">
        <f>IFERROR(IF(P820="","",M820*P820),"")</f>
        <v/>
      </c>
      <c r="S820" s="411"/>
      <c r="T820" s="417" t="str" cm="1">
        <f t="array" ca="1" aca="1" ref="T820">_xlfn.IFNA(VLOOKUP(INDIRECT("T"&amp;ROW()-4)&amp;"_"&amp;$D$12,BEGIN_Renew_Vision:END_RENEW_VISION,RENEW_COL_FAM,FALSE),"")</f>
        <v/>
      </c>
      <c r="U820" s="423" t="str">
        <f t="shared" si="146"/>
        <v/>
      </c>
      <c r="V820" s="420"/>
      <c r="W820" s="421"/>
      <c r="X820" s="422" t="str">
        <f>IFERROR(IF($V816="Keep Contribution Same",H820,IF($V816="Enter Percentages",IF(V820="","",V820*T820),IF($V816="Keep Percentage Same",IF(G820="","",G820*T820),IF($V816="Enter Dollar Amount",IF(W820="","",W820),"")))),"")</f>
        <v/>
      </c>
      <c r="Y820" s="417" t="str">
        <f t="shared" ca="1" si="147"/>
        <v/>
      </c>
      <c r="Z820" s="419" t="str">
        <f t="shared" si="148"/>
        <v/>
      </c>
    </row>
    <row r="821" spans="1:26" ht="18.75" customHeight="1" thickTop="1">
      <c r="A821" s="140"/>
      <c r="B821" s="140"/>
      <c r="D821" s="175" t="s">
        <v>329</v>
      </c>
      <c r="E821" s="424"/>
      <c r="F821" s="427"/>
      <c r="G821" s="426"/>
      <c r="H821" s="427"/>
      <c r="I821" s="428"/>
      <c r="J821" s="429" t="str">
        <f>IFERROR(IF(J817="","",SUM(J817:J820)),0)</f>
        <v/>
      </c>
      <c r="K821" s="1"/>
      <c r="L821" s="424"/>
      <c r="M821" s="427"/>
      <c r="N821" s="426"/>
      <c r="O821" s="427"/>
      <c r="P821" s="431"/>
      <c r="Q821" s="432"/>
      <c r="R821" s="429" t="str">
        <f>IFERROR(IF(R817="","",SUM(R817:R820)),0)</f>
        <v/>
      </c>
      <c r="T821" s="424"/>
      <c r="U821" s="427"/>
      <c r="V821" s="426"/>
      <c r="W821" s="427"/>
      <c r="X821" s="431"/>
      <c r="Y821" s="432"/>
      <c r="Z821" s="429" t="str">
        <f>IFERROR(IF(Z817="","",SUM(Z817:Z820)),0)</f>
        <v/>
      </c>
    </row>
    <row r="822" spans="1:26" ht="18.75" customHeight="1">
      <c r="A822" s="140"/>
      <c r="B822" s="140"/>
      <c r="D822" s="177" t="s">
        <v>243</v>
      </c>
      <c r="E822" s="433"/>
      <c r="F822" s="436"/>
      <c r="G822" s="435"/>
      <c r="H822" s="436"/>
      <c r="I822" s="432"/>
      <c r="J822" s="437" t="str">
        <f>IF(J821="","",J821*12)</f>
        <v/>
      </c>
      <c r="K822" s="1"/>
      <c r="L822" s="433"/>
      <c r="M822" s="436"/>
      <c r="N822" s="435"/>
      <c r="O822" s="436"/>
      <c r="P822" s="432"/>
      <c r="Q822" s="432"/>
      <c r="R822" s="437" t="str">
        <f>IF(R821="","",R821*12)</f>
        <v/>
      </c>
      <c r="T822" s="433"/>
      <c r="U822" s="436"/>
      <c r="V822" s="435"/>
      <c r="W822" s="436"/>
      <c r="X822" s="432"/>
      <c r="Y822" s="432"/>
      <c r="Z822" s="437" t="str">
        <f>IF(Z821="","",Z821*12)</f>
        <v/>
      </c>
    </row>
    <row r="823" spans="1:26" ht="18" customHeight="1">
      <c r="A823" s="140"/>
      <c r="B823" s="140"/>
      <c r="D823" s="177" t="s">
        <v>244</v>
      </c>
      <c r="E823" s="433"/>
      <c r="F823" s="436"/>
      <c r="G823" s="435"/>
      <c r="H823" s="436"/>
      <c r="I823" s="432"/>
      <c r="J823" s="437" t="str">
        <f>IFERROR(IF(J822="","",R822-J822),0)</f>
        <v/>
      </c>
      <c r="K823" s="1"/>
      <c r="L823" s="433"/>
      <c r="M823" s="436"/>
      <c r="N823" s="435"/>
      <c r="O823" s="436"/>
      <c r="P823" s="432"/>
      <c r="Q823" s="432"/>
      <c r="R823" s="437" t="str">
        <f>IFERROR(IF(J822="","",R822-J822),0)</f>
        <v/>
      </c>
      <c r="T823" s="433"/>
      <c r="U823" s="436"/>
      <c r="V823" s="435"/>
      <c r="W823" s="436"/>
      <c r="X823" s="432"/>
      <c r="Y823" s="432"/>
      <c r="Z823" s="437" t="str">
        <f>IFERROR(IF(R822="","",Z822-R822),0)</f>
        <v/>
      </c>
    </row>
    <row r="824" spans="1:26" ht="18" customHeight="1" thickBot="1">
      <c r="A824" s="140"/>
      <c r="B824" s="140"/>
      <c r="D824" s="180" t="s">
        <v>245</v>
      </c>
      <c r="E824" s="439"/>
      <c r="F824" s="440"/>
      <c r="G824" s="441"/>
      <c r="H824" s="440"/>
      <c r="I824" s="442"/>
      <c r="J824" s="437" t="str">
        <f>IFERROR(IF(J822="","",(R822/J822)-1),0)</f>
        <v/>
      </c>
      <c r="K824" s="1"/>
      <c r="L824" s="439"/>
      <c r="M824" s="440"/>
      <c r="N824" s="441"/>
      <c r="O824" s="440"/>
      <c r="P824" s="445"/>
      <c r="Q824" s="445"/>
      <c r="R824" s="446" t="str">
        <f>IFERROR(IF(J822="","",(R822/J822)-1),0)</f>
        <v/>
      </c>
      <c r="T824" s="439"/>
      <c r="U824" s="440"/>
      <c r="V824" s="441"/>
      <c r="W824" s="440"/>
      <c r="X824" s="445"/>
      <c r="Y824" s="445"/>
      <c r="Z824" s="446" t="str">
        <f>IFERROR(IF(R822="","",(Z822/R822)-1),0)</f>
        <v/>
      </c>
    </row>
    <row r="825" spans="1:26" ht="5.25" customHeight="1" thickBot="1">
      <c r="A825" s="140"/>
      <c r="B825" s="140"/>
      <c r="D825" s="229"/>
      <c r="E825" s="229"/>
      <c r="F825" s="230"/>
      <c r="G825" s="231"/>
      <c r="H825" s="232"/>
      <c r="I825" s="233"/>
      <c r="J825" s="233"/>
      <c r="K825"/>
      <c r="L825" s="233"/>
      <c r="M825" s="233"/>
      <c r="N825" s="233"/>
      <c r="O825" s="233"/>
      <c r="P825" s="233"/>
      <c r="Q825" s="233"/>
      <c r="R825" s="233"/>
      <c r="T825" s="233"/>
      <c r="U825" s="233"/>
      <c r="V825" s="233"/>
      <c r="W825" s="233"/>
      <c r="X825" s="233"/>
      <c r="Y825" s="233"/>
      <c r="Z825" s="233"/>
    </row>
    <row r="826" spans="1:26" ht="50.15" customHeight="1">
      <c r="A826" s="140"/>
      <c r="B826" s="140"/>
      <c r="C826" s="164" t="s">
        <v>306</v>
      </c>
      <c r="D826" s="275" t="s">
        <v>285</v>
      </c>
      <c r="E826" s="165"/>
      <c r="F826" s="272"/>
      <c r="G826" s="166"/>
      <c r="H826" s="167"/>
      <c r="I826" s="168"/>
      <c r="J826" s="169"/>
      <c r="K826"/>
      <c r="L826" s="274" t="s">
        <v>38</v>
      </c>
      <c r="M826" s="170"/>
      <c r="N826" s="274" t="s">
        <v>237</v>
      </c>
      <c r="O826" s="171"/>
      <c r="P826" s="171"/>
      <c r="Q826" s="171"/>
      <c r="R826" s="169"/>
      <c r="T826" s="274" t="s">
        <v>38</v>
      </c>
      <c r="U826" s="170"/>
      <c r="V826" s="274" t="s">
        <v>237</v>
      </c>
      <c r="W826" s="171"/>
      <c r="X826" s="171"/>
      <c r="Y826" s="171"/>
      <c r="Z826" s="169"/>
    </row>
    <row r="827" spans="1:26" ht="18.75" customHeight="1">
      <c r="A827" s="140"/>
      <c r="B827" s="140"/>
      <c r="D827" s="172" t="s">
        <v>238</v>
      </c>
      <c r="E827" s="407"/>
      <c r="F827" s="449"/>
      <c r="G827" s="470" t="str">
        <f t="shared" si="149" ref="G827:G830">IF(F827="","",H827/F827)</f>
        <v/>
      </c>
      <c r="H827" s="449" t="str">
        <f>_xlfn.IFNA(VLOOKUP(F826,BEGIN_CURRENT_VISION:END_CURRENT_VISION,CURRENT_COL_EOContrib,FALSE),"")</f>
        <v/>
      </c>
      <c r="I827" s="409" t="str">
        <f>IFERROR(F827-H827,"")</f>
        <v/>
      </c>
      <c r="J827" s="410" t="str">
        <f>IF(F827="","",H827*E827)</f>
        <v/>
      </c>
      <c r="K827" s="411"/>
      <c r="L827" s="408" t="str" cm="1">
        <f t="array" ca="1" aca="1" ref="L827">_xlfn.IFNA(VLOOKUP(INDIRECT("L"&amp;ROW()-1)&amp;"_"&amp;$D$12,BEGIN_Renew_Vision:END_RENEW_VISION,RENEW_COL_EO,FALSE),"")</f>
        <v/>
      </c>
      <c r="M827" s="412" t="str">
        <f>IF(E827="","",E827)</f>
        <v/>
      </c>
      <c r="N827" s="413"/>
      <c r="O827" s="414"/>
      <c r="P827" s="415" t="str">
        <f>IFERROR(IF($N826="Keep Contribution Same",H827,IF($N826="Enter Percentages",IF(N827="","",N827*L827),IF($N826="Keep Percentage Same",IF(G827="","",G827*L827),IF($N826="Enter Dollar Amount",IF(O827="","",O827),"")))),"")</f>
        <v/>
      </c>
      <c r="Q827" s="408" t="str">
        <f ca="1">IFERROR(L827-P827,"")</f>
        <v/>
      </c>
      <c r="R827" s="410" t="str">
        <f>IFERROR(IF(P827="","",M827*P827),"")</f>
        <v/>
      </c>
      <c r="S827" s="411"/>
      <c r="T827" s="408" t="str" cm="1">
        <f t="array" ca="1" aca="1" ref="T827">_xlfn.IFNA(VLOOKUP(INDIRECT("T"&amp;ROW()-1)&amp;"_"&amp;$D$12,BEGIN_Renew_Vision:END_RENEW_VISION,RENEW_COL_EO,FALSE),"")</f>
        <v/>
      </c>
      <c r="U827" s="412" t="str">
        <f>IF(E827="","",E827)</f>
        <v/>
      </c>
      <c r="V827" s="413"/>
      <c r="W827" s="414"/>
      <c r="X827" s="415" t="str">
        <f>IFERROR(IF($V826="Keep Contribution Same",H827,IF($V826="Enter Percentages",IF(V827="","",V827*T827),IF($V826="Keep Percentage Same",IF(G827="","",G827*T827),IF($V826="Enter Dollar Amount",IF(W827="","",W827),"")))),"")</f>
        <v/>
      </c>
      <c r="Y827" s="408" t="str">
        <f ca="1">IFERROR(T827-X827,"")</f>
        <v/>
      </c>
      <c r="Z827" s="410" t="str">
        <f>IFERROR(IF(X827="","",U827*X827),"")</f>
        <v/>
      </c>
    </row>
    <row r="828" spans="1:26" ht="18.75" customHeight="1">
      <c r="A828" s="140"/>
      <c r="B828" s="140"/>
      <c r="D828" s="172" t="s">
        <v>239</v>
      </c>
      <c r="E828" s="407"/>
      <c r="F828" s="449" t="str">
        <f>_xlfn.IFNA(VLOOKUP(F826,BEGIN_CURRENT_VISION:END_CURRENT_VISION,CURRENT_COL_ES,FALSE),"")</f>
        <v/>
      </c>
      <c r="G828" s="470" t="str">
        <f t="shared" si="149"/>
        <v/>
      </c>
      <c r="H828" s="449" t="str">
        <f>_xlfn.IFNA(VLOOKUP(F826,BEGIN_CURRENT_VISION:END_CURRENT_VISION,CURRENT_COL_ESContrib,FALSE),"")</f>
        <v/>
      </c>
      <c r="I828" s="409" t="str">
        <f t="shared" si="150" ref="I828:I830">IFERROR(F828-H828,"")</f>
        <v/>
      </c>
      <c r="J828" s="410" t="str">
        <f t="shared" si="151" ref="J828:J830">IF(F828="","",H828*E828)</f>
        <v/>
      </c>
      <c r="K828" s="411"/>
      <c r="L828" s="408" t="str" cm="1">
        <f t="array" ca="1" aca="1" ref="L828">_xlfn.IFNA(VLOOKUP(INDIRECT("L"&amp;ROW()-2)&amp;"_"&amp;$D$12,BEGIN_Renew_Vision:END_RENEW_VISION,RENEW_COL_ES,FALSE),"")</f>
        <v/>
      </c>
      <c r="M828" s="412" t="str">
        <f>IF(E828="","",E828)</f>
        <v/>
      </c>
      <c r="N828" s="413"/>
      <c r="O828" s="414"/>
      <c r="P828" s="415" t="str">
        <f>IFERROR(IF($N826="Keep Contribution Same",H828,IF($N826="Enter Percentages",IF(N828="","",N828*L828),IF($N826="Keep Percentage Same",IF(G828="","",G828*L828),IF($N826="Enter Dollar Amount",IF(O828="","",O828),"")))),"")</f>
        <v/>
      </c>
      <c r="Q828" s="408" t="str">
        <f ca="1" t="shared" si="152" ref="Q828:Q830">IFERROR(L828-P828,"")</f>
        <v/>
      </c>
      <c r="R828" s="410" t="str">
        <f>IFERROR(IF(P828="","",M828*P828),"")</f>
        <v/>
      </c>
      <c r="S828" s="411"/>
      <c r="T828" s="408" t="str" cm="1">
        <f t="array" ca="1" aca="1" ref="T828">_xlfn.IFNA(VLOOKUP(INDIRECT("T"&amp;ROW()-2)&amp;"_"&amp;$D$12,BEGIN_Renew_Vision:END_RENEW_VISION,RENEW_COL_ES,FALSE),"")</f>
        <v/>
      </c>
      <c r="U828" s="412" t="str">
        <f t="shared" si="153" ref="U828:U830">IF(E828="","",E828)</f>
        <v/>
      </c>
      <c r="V828" s="413"/>
      <c r="W828" s="414"/>
      <c r="X828" s="415" t="str">
        <f>IFERROR(IF($V826="Keep Contribution Same",H828,IF($V826="Enter Percentages",IF(V828="","",V828*T828),IF($V826="Keep Percentage Same",IF(G828="","",G828*T828),IF($V826="Enter Dollar Amount",IF(W828="","",W828),"")))),"")</f>
        <v/>
      </c>
      <c r="Y828" s="408" t="str">
        <f ca="1" t="shared" si="154" ref="Y828:Y830">IFERROR(T828-X828,"")</f>
        <v/>
      </c>
      <c r="Z828" s="410" t="str">
        <f t="shared" si="155" ref="Z828:Z830">IFERROR(IF(X828="","",U828*X828),"")</f>
        <v/>
      </c>
    </row>
    <row r="829" spans="1:26" ht="18.75" customHeight="1">
      <c r="A829" s="140"/>
      <c r="B829" s="140"/>
      <c r="D829" s="172" t="s">
        <v>240</v>
      </c>
      <c r="E829" s="407"/>
      <c r="F829" s="449" t="str">
        <f>_xlfn.IFNA(VLOOKUP(F826,BEGIN_CURRENT_VISION:END_CURRENT_VISION,CURRENT_COL_EC,FALSE),"")</f>
        <v/>
      </c>
      <c r="G829" s="470" t="str">
        <f t="shared" si="149"/>
        <v/>
      </c>
      <c r="H829" s="449" t="str">
        <f>_xlfn.IFNA(VLOOKUP(F826,BEGIN_CURRENT_VISION:END_CURRENT_VISION,CURRENT_COL_ECContrib,FALSE),"")</f>
        <v/>
      </c>
      <c r="I829" s="409" t="str">
        <f t="shared" si="150"/>
        <v/>
      </c>
      <c r="J829" s="410" t="str">
        <f t="shared" si="151"/>
        <v/>
      </c>
      <c r="K829" s="411"/>
      <c r="L829" s="408" t="str" cm="1">
        <f t="array" ca="1" aca="1" ref="L829">_xlfn.IFNA(VLOOKUP(INDIRECT("L"&amp;ROW()-3)&amp;"_"&amp;$D$12,BEGIN_Renew_Vision:END_RENEW_VISION,RENEW_COL_EC,FALSE),"")</f>
        <v/>
      </c>
      <c r="M829" s="412" t="str">
        <f>IF(E829="","",E829)</f>
        <v/>
      </c>
      <c r="N829" s="413"/>
      <c r="O829" s="414"/>
      <c r="P829" s="415" t="str">
        <f>IFERROR(IF($N826="Keep Contribution Same",H829,IF($N826="Enter Percentages",IF(N829="","",N829*L829),IF($N826="Keep Percentage Same",IF(G829="","",G829*L829),IF($N826="Enter Dollar Amount",IF(O829="","",O829),"")))),"")</f>
        <v/>
      </c>
      <c r="Q829" s="408" t="str">
        <f t="shared" ca="1" si="152"/>
        <v/>
      </c>
      <c r="R829" s="410" t="str">
        <f>IFERROR(IF(P829="","",M829*P829),"")</f>
        <v/>
      </c>
      <c r="S829" s="411"/>
      <c r="T829" s="408" t="str" cm="1">
        <f t="array" ca="1" aca="1" ref="T829">_xlfn.IFNA(VLOOKUP(INDIRECT("T"&amp;ROW()-3)&amp;"_"&amp;$D$12,BEGIN_Renew_Vision:END_RENEW_VISION,RENEW_COL_EC,FALSE),"")</f>
        <v/>
      </c>
      <c r="U829" s="412" t="str">
        <f t="shared" si="153"/>
        <v/>
      </c>
      <c r="V829" s="413"/>
      <c r="W829" s="414"/>
      <c r="X829" s="415" t="str">
        <f>IFERROR(IF($V826="Keep Contribution Same",H829,IF($V826="Enter Percentages",IF(V829="","",V829*T829),IF($V826="Keep Percentage Same",IF(G829="","",G829*T829),IF($V826="Enter Dollar Amount",IF(W829="","",W829),"")))),"")</f>
        <v/>
      </c>
      <c r="Y829" s="408" t="str">
        <f t="shared" ca="1" si="154"/>
        <v/>
      </c>
      <c r="Z829" s="410" t="str">
        <f t="shared" si="155"/>
        <v/>
      </c>
    </row>
    <row r="830" spans="1:26" ht="18.75" customHeight="1" thickBot="1">
      <c r="A830" s="140"/>
      <c r="B830" s="140"/>
      <c r="D830" s="174" t="s">
        <v>241</v>
      </c>
      <c r="E830" s="416"/>
      <c r="F830" s="451" t="str">
        <f>_xlfn.IFNA(VLOOKUP(F826,BEGIN_CURRENT_VISION:END_CURRENT_VISION,CURRENT_COL_FAM,FALSE),"")</f>
        <v/>
      </c>
      <c r="G830" s="471" t="str">
        <f t="shared" si="149"/>
        <v/>
      </c>
      <c r="H830" s="451" t="str">
        <f>_xlfn.IFNA(VLOOKUP(F826,BEGIN_CURRENT_VISION:END_CURRENT_VISION,CURRENT_COL_FAMContrib,FALSE),"")</f>
        <v/>
      </c>
      <c r="I830" s="409" t="str">
        <f t="shared" si="150"/>
        <v/>
      </c>
      <c r="J830" s="410" t="str">
        <f t="shared" si="151"/>
        <v/>
      </c>
      <c r="K830" s="411"/>
      <c r="L830" s="417" t="str" cm="1">
        <f t="array" ca="1" aca="1" ref="L830">_xlfn.IFNA(VLOOKUP(INDIRECT("L"&amp;ROW()-4)&amp;"_"&amp;$D$12,BEGIN_Renew_Vision:END_RENEW_VISION,RENEW_COL_FAM,FALSE),"")</f>
        <v/>
      </c>
      <c r="M830" s="423" t="str">
        <f>IF(E830="","",E830)</f>
        <v/>
      </c>
      <c r="N830" s="420"/>
      <c r="O830" s="421"/>
      <c r="P830" s="422" t="str">
        <f>IFERROR(IF($N826="Keep Contribution Same",H830,IF($N826="Enter Percentages",IF(N830="","",N830*L830),IF($N826="Keep Percentage Same",IF(G830="","",G830*L830),IF($N826="Enter Dollar Amount",IF(O830="","",O830),"")))),"")</f>
        <v/>
      </c>
      <c r="Q830" s="417" t="str">
        <f t="shared" ca="1" si="152"/>
        <v/>
      </c>
      <c r="R830" s="419" t="str">
        <f>IFERROR(IF(P830="","",M830*P830),"")</f>
        <v/>
      </c>
      <c r="S830" s="411"/>
      <c r="T830" s="417" t="str" cm="1">
        <f t="array" ca="1" aca="1" ref="T830">_xlfn.IFNA(VLOOKUP(INDIRECT("T"&amp;ROW()-4)&amp;"_"&amp;$D$12,BEGIN_Renew_Vision:END_RENEW_VISION,RENEW_COL_FAM,FALSE),"")</f>
        <v/>
      </c>
      <c r="U830" s="423" t="str">
        <f t="shared" si="153"/>
        <v/>
      </c>
      <c r="V830" s="420"/>
      <c r="W830" s="421"/>
      <c r="X830" s="422" t="str">
        <f>IFERROR(IF($V826="Keep Contribution Same",H830,IF($V826="Enter Percentages",IF(V830="","",V830*T830),IF($V826="Keep Percentage Same",IF(G830="","",G830*T830),IF($V826="Enter Dollar Amount",IF(W830="","",W830),"")))),"")</f>
        <v/>
      </c>
      <c r="Y830" s="417" t="str">
        <f t="shared" ca="1" si="154"/>
        <v/>
      </c>
      <c r="Z830" s="419" t="str">
        <f t="shared" si="155"/>
        <v/>
      </c>
    </row>
    <row r="831" spans="1:26" ht="18.75" customHeight="1" thickTop="1">
      <c r="A831" s="140"/>
      <c r="B831" s="140"/>
      <c r="D831" s="175" t="s">
        <v>329</v>
      </c>
      <c r="E831" s="424"/>
      <c r="F831" s="427"/>
      <c r="G831" s="426"/>
      <c r="H831" s="427"/>
      <c r="I831" s="428"/>
      <c r="J831" s="429" t="str">
        <f>IFERROR(IF(J827="","",SUM(J827:J830)),0)</f>
        <v/>
      </c>
      <c r="K831" s="1"/>
      <c r="L831" s="424"/>
      <c r="M831" s="427"/>
      <c r="N831" s="426"/>
      <c r="O831" s="427"/>
      <c r="P831" s="431"/>
      <c r="Q831" s="432"/>
      <c r="R831" s="429" t="str">
        <f>IFERROR(IF(R827="","",SUM(R827:R830)),0)</f>
        <v/>
      </c>
      <c r="T831" s="424"/>
      <c r="U831" s="427"/>
      <c r="V831" s="426"/>
      <c r="W831" s="427"/>
      <c r="X831" s="431"/>
      <c r="Y831" s="432"/>
      <c r="Z831" s="429" t="str">
        <f>IFERROR(IF(Z827="","",SUM(Z827:Z830)),0)</f>
        <v/>
      </c>
    </row>
    <row r="832" spans="1:26" ht="18.75" customHeight="1">
      <c r="A832" s="140"/>
      <c r="B832" s="140"/>
      <c r="D832" s="177" t="s">
        <v>243</v>
      </c>
      <c r="E832" s="433"/>
      <c r="F832" s="436"/>
      <c r="G832" s="435"/>
      <c r="H832" s="436"/>
      <c r="I832" s="432"/>
      <c r="J832" s="437" t="str">
        <f>IF(J831="","",J831*12)</f>
        <v/>
      </c>
      <c r="K832" s="1"/>
      <c r="L832" s="433"/>
      <c r="M832" s="436"/>
      <c r="N832" s="435"/>
      <c r="O832" s="436"/>
      <c r="P832" s="432"/>
      <c r="Q832" s="432"/>
      <c r="R832" s="437" t="str">
        <f>IF(R831="","",R831*12)</f>
        <v/>
      </c>
      <c r="T832" s="433"/>
      <c r="U832" s="436"/>
      <c r="V832" s="435"/>
      <c r="W832" s="436"/>
      <c r="X832" s="432"/>
      <c r="Y832" s="432"/>
      <c r="Z832" s="437" t="str">
        <f>IF(Z831="","",Z831*12)</f>
        <v/>
      </c>
    </row>
    <row r="833" spans="1:26" ht="18" customHeight="1">
      <c r="A833" s="140"/>
      <c r="B833" s="140"/>
      <c r="D833" s="177" t="s">
        <v>244</v>
      </c>
      <c r="E833" s="433"/>
      <c r="F833" s="436"/>
      <c r="G833" s="435"/>
      <c r="H833" s="436"/>
      <c r="I833" s="432"/>
      <c r="J833" s="437" t="str">
        <f>IFERROR(IF(J832="","",R832-J832),0)</f>
        <v/>
      </c>
      <c r="K833" s="1"/>
      <c r="L833" s="433"/>
      <c r="M833" s="436"/>
      <c r="N833" s="435"/>
      <c r="O833" s="436"/>
      <c r="P833" s="432"/>
      <c r="Q833" s="432"/>
      <c r="R833" s="437" t="str">
        <f>IFERROR(IF(J832="","",R832-J832),0)</f>
        <v/>
      </c>
      <c r="T833" s="433"/>
      <c r="U833" s="436"/>
      <c r="V833" s="435"/>
      <c r="W833" s="436"/>
      <c r="X833" s="432"/>
      <c r="Y833" s="432"/>
      <c r="Z833" s="437" t="str">
        <f>IFERROR(IF(R832="","",Z832-R832),0)</f>
        <v/>
      </c>
    </row>
    <row r="834" spans="1:26" ht="18" customHeight="1" thickBot="1">
      <c r="A834" s="140"/>
      <c r="B834" s="140"/>
      <c r="D834" s="180" t="s">
        <v>245</v>
      </c>
      <c r="E834" s="439"/>
      <c r="F834" s="440"/>
      <c r="G834" s="441"/>
      <c r="H834" s="440"/>
      <c r="I834" s="442"/>
      <c r="J834" s="437" t="str">
        <f>IFERROR(IF(J832="","",(R832/J832)-1),0)</f>
        <v/>
      </c>
      <c r="K834" s="1"/>
      <c r="L834" s="439"/>
      <c r="M834" s="440"/>
      <c r="N834" s="441"/>
      <c r="O834" s="440"/>
      <c r="P834" s="445"/>
      <c r="Q834" s="445"/>
      <c r="R834" s="446" t="str">
        <f>IFERROR(IF(J832="","",(R832/J832)-1),0)</f>
        <v/>
      </c>
      <c r="T834" s="439"/>
      <c r="U834" s="440"/>
      <c r="V834" s="441"/>
      <c r="W834" s="440"/>
      <c r="X834" s="445"/>
      <c r="Y834" s="445"/>
      <c r="Z834" s="446" t="str">
        <f>IFERROR(IF(R832="","",(Z832/R832)-1),0)</f>
        <v/>
      </c>
    </row>
    <row r="835" spans="1:26" ht="5.25" customHeight="1" thickBot="1">
      <c r="A835" s="140"/>
      <c r="B835" s="140"/>
      <c r="D835" s="229"/>
      <c r="E835" s="229"/>
      <c r="F835" s="230"/>
      <c r="G835" s="231"/>
      <c r="H835" s="232"/>
      <c r="I835" s="233"/>
      <c r="J835" s="233"/>
      <c r="K835"/>
      <c r="L835" s="233"/>
      <c r="M835" s="233"/>
      <c r="N835" s="233"/>
      <c r="O835" s="233"/>
      <c r="P835" s="233"/>
      <c r="Q835" s="233"/>
      <c r="R835" s="233"/>
      <c r="T835" s="233"/>
      <c r="U835" s="233"/>
      <c r="V835" s="233"/>
      <c r="W835" s="233"/>
      <c r="X835" s="233"/>
      <c r="Y835" s="233"/>
      <c r="Z835" s="233"/>
    </row>
    <row r="836" spans="1:26" ht="50.15" customHeight="1">
      <c r="A836" s="140"/>
      <c r="B836" s="140"/>
      <c r="C836" s="164" t="s">
        <v>307</v>
      </c>
      <c r="D836" s="275" t="s">
        <v>285</v>
      </c>
      <c r="E836" s="165"/>
      <c r="F836" s="272"/>
      <c r="G836" s="166"/>
      <c r="H836" s="167"/>
      <c r="I836" s="168"/>
      <c r="J836" s="169"/>
      <c r="K836"/>
      <c r="L836" s="274" t="s">
        <v>38</v>
      </c>
      <c r="M836" s="170"/>
      <c r="N836" s="274" t="s">
        <v>237</v>
      </c>
      <c r="O836" s="171"/>
      <c r="P836" s="171"/>
      <c r="Q836" s="171"/>
      <c r="R836" s="169"/>
      <c r="T836" s="274" t="s">
        <v>38</v>
      </c>
      <c r="U836" s="170"/>
      <c r="V836" s="274" t="s">
        <v>237</v>
      </c>
      <c r="W836" s="171"/>
      <c r="X836" s="171"/>
      <c r="Y836" s="171"/>
      <c r="Z836" s="169"/>
    </row>
    <row r="837" spans="1:26" ht="18.75" customHeight="1">
      <c r="A837" s="140"/>
      <c r="B837" s="140"/>
      <c r="D837" s="172" t="s">
        <v>238</v>
      </c>
      <c r="E837" s="407"/>
      <c r="F837" s="449"/>
      <c r="G837" s="470" t="str">
        <f t="shared" si="156" ref="G837:G840">IF(F837="","",H837/F837)</f>
        <v/>
      </c>
      <c r="H837" s="449" t="str">
        <f>_xlfn.IFNA(VLOOKUP(F836,BEGIN_CURRENT_VISION:END_CURRENT_VISION,CURRENT_COL_EOContrib,FALSE),"")</f>
        <v/>
      </c>
      <c r="I837" s="409" t="str">
        <f>IFERROR(F837-H837,"")</f>
        <v/>
      </c>
      <c r="J837" s="410" t="str">
        <f>IF(F837="","",H837*E837)</f>
        <v/>
      </c>
      <c r="K837" s="411"/>
      <c r="L837" s="408" t="str" cm="1">
        <f t="array" ca="1" aca="1" ref="L837">_xlfn.IFNA(VLOOKUP(INDIRECT("L"&amp;ROW()-1)&amp;"_"&amp;$D$12,BEGIN_Renew_Vision:END_RENEW_VISION,RENEW_COL_EO,FALSE),"")</f>
        <v/>
      </c>
      <c r="M837" s="412" t="str">
        <f>IF(E837="","",E837)</f>
        <v/>
      </c>
      <c r="N837" s="413"/>
      <c r="O837" s="414"/>
      <c r="P837" s="415" t="str">
        <f>IFERROR(IF($N836="Keep Contribution Same",H837,IF($N836="Enter Percentages",IF(N837="","",N837*L837),IF($N836="Keep Percentage Same",IF(G837="","",G837*L837),IF($N836="Enter Dollar Amount",IF(O837="","",O837),"")))),"")</f>
        <v/>
      </c>
      <c r="Q837" s="408" t="str">
        <f ca="1">IFERROR(L837-P837,"")</f>
        <v/>
      </c>
      <c r="R837" s="410" t="str">
        <f>IFERROR(IF(P837="","",M837*P837),"")</f>
        <v/>
      </c>
      <c r="S837" s="411"/>
      <c r="T837" s="408" t="str" cm="1">
        <f t="array" ca="1" aca="1" ref="T837">_xlfn.IFNA(VLOOKUP(INDIRECT("T"&amp;ROW()-1)&amp;"_"&amp;$D$12,BEGIN_Renew_Vision:END_RENEW_VISION,RENEW_COL_EO,FALSE),"")</f>
        <v/>
      </c>
      <c r="U837" s="412" t="str">
        <f>IF(E837="","",E837)</f>
        <v/>
      </c>
      <c r="V837" s="413"/>
      <c r="W837" s="414"/>
      <c r="X837" s="415" t="str">
        <f>IFERROR(IF($V836="Keep Contribution Same",H837,IF($V836="Enter Percentages",IF(V837="","",V837*T837),IF($V836="Keep Percentage Same",IF(G837="","",G837*T837),IF($V836="Enter Dollar Amount",IF(W837="","",W837),"")))),"")</f>
        <v/>
      </c>
      <c r="Y837" s="408" t="str">
        <f ca="1">IFERROR(T837-X837,"")</f>
        <v/>
      </c>
      <c r="Z837" s="410" t="str">
        <f>IFERROR(IF(X837="","",U837*X837),"")</f>
        <v/>
      </c>
    </row>
    <row r="838" spans="1:26" ht="18.75" customHeight="1">
      <c r="A838" s="140"/>
      <c r="B838" s="140"/>
      <c r="D838" s="172" t="s">
        <v>239</v>
      </c>
      <c r="E838" s="407"/>
      <c r="F838" s="449" t="str">
        <f>_xlfn.IFNA(VLOOKUP(F836,BEGIN_CURRENT_VISION:END_CURRENT_VISION,CURRENT_COL_ES,FALSE),"")</f>
        <v/>
      </c>
      <c r="G838" s="470" t="str">
        <f t="shared" si="156"/>
        <v/>
      </c>
      <c r="H838" s="449" t="str">
        <f>_xlfn.IFNA(VLOOKUP(F836,BEGIN_CURRENT_VISION:END_CURRENT_VISION,CURRENT_COL_ESContrib,FALSE),"")</f>
        <v/>
      </c>
      <c r="I838" s="409" t="str">
        <f t="shared" si="157" ref="I838:I840">IFERROR(F838-H838,"")</f>
        <v/>
      </c>
      <c r="J838" s="410" t="str">
        <f t="shared" si="158" ref="J838:J840">IF(F838="","",H838*E838)</f>
        <v/>
      </c>
      <c r="K838" s="411"/>
      <c r="L838" s="408" t="str" cm="1">
        <f t="array" ca="1" aca="1" ref="L838">_xlfn.IFNA(VLOOKUP(INDIRECT("L"&amp;ROW()-2)&amp;"_"&amp;$D$12,BEGIN_Renew_Vision:END_RENEW_VISION,RENEW_COL_ES,FALSE),"")</f>
        <v/>
      </c>
      <c r="M838" s="412" t="str">
        <f>IF(E838="","",E838)</f>
        <v/>
      </c>
      <c r="N838" s="413"/>
      <c r="O838" s="414"/>
      <c r="P838" s="415" t="str">
        <f>IFERROR(IF($N836="Keep Contribution Same",H838,IF($N836="Enter Percentages",IF(N838="","",N838*L838),IF($N836="Keep Percentage Same",IF(G838="","",G838*L838),IF($N836="Enter Dollar Amount",IF(O838="","",O838),"")))),"")</f>
        <v/>
      </c>
      <c r="Q838" s="408" t="str">
        <f ca="1" t="shared" si="159" ref="Q838:Q840">IFERROR(L838-P838,"")</f>
        <v/>
      </c>
      <c r="R838" s="410" t="str">
        <f>IFERROR(IF(P838="","",M838*P838),"")</f>
        <v/>
      </c>
      <c r="S838" s="411"/>
      <c r="T838" s="408" t="str" cm="1">
        <f t="array" ca="1" aca="1" ref="T838">_xlfn.IFNA(VLOOKUP(INDIRECT("T"&amp;ROW()-2)&amp;"_"&amp;$D$12,BEGIN_Renew_Vision:END_RENEW_VISION,RENEW_COL_ES,FALSE),"")</f>
        <v/>
      </c>
      <c r="U838" s="412" t="str">
        <f t="shared" si="160" ref="U838:U840">IF(E838="","",E838)</f>
        <v/>
      </c>
      <c r="V838" s="413"/>
      <c r="W838" s="414"/>
      <c r="X838" s="415" t="str">
        <f>IFERROR(IF($V836="Keep Contribution Same",H838,IF($V836="Enter Percentages",IF(V838="","",V838*T838),IF($V836="Keep Percentage Same",IF(G838="","",G838*T838),IF($V836="Enter Dollar Amount",IF(W838="","",W838),"")))),"")</f>
        <v/>
      </c>
      <c r="Y838" s="408" t="str">
        <f ca="1" t="shared" si="161" ref="Y838:Y840">IFERROR(T838-X838,"")</f>
        <v/>
      </c>
      <c r="Z838" s="410" t="str">
        <f t="shared" si="162" ref="Z838:Z840">IFERROR(IF(X838="","",U838*X838),"")</f>
        <v/>
      </c>
    </row>
    <row r="839" spans="1:26" ht="18.75" customHeight="1">
      <c r="A839" s="140"/>
      <c r="B839" s="140"/>
      <c r="D839" s="172" t="s">
        <v>240</v>
      </c>
      <c r="E839" s="407"/>
      <c r="F839" s="449" t="str">
        <f>_xlfn.IFNA(VLOOKUP(F836,BEGIN_CURRENT_VISION:END_CURRENT_VISION,CURRENT_COL_EC,FALSE),"")</f>
        <v/>
      </c>
      <c r="G839" s="470" t="str">
        <f t="shared" si="156"/>
        <v/>
      </c>
      <c r="H839" s="449" t="str">
        <f>_xlfn.IFNA(VLOOKUP(F836,BEGIN_CURRENT_VISION:END_CURRENT_VISION,CURRENT_COL_ECContrib,FALSE),"")</f>
        <v/>
      </c>
      <c r="I839" s="409" t="str">
        <f t="shared" si="157"/>
        <v/>
      </c>
      <c r="J839" s="410" t="str">
        <f t="shared" si="158"/>
        <v/>
      </c>
      <c r="K839" s="411"/>
      <c r="L839" s="408" t="str" cm="1">
        <f t="array" ca="1" aca="1" ref="L839">_xlfn.IFNA(VLOOKUP(INDIRECT("L"&amp;ROW()-3)&amp;"_"&amp;$D$12,BEGIN_Renew_Vision:END_RENEW_VISION,RENEW_COL_EC,FALSE),"")</f>
        <v/>
      </c>
      <c r="M839" s="412" t="str">
        <f>IF(E839="","",E839)</f>
        <v/>
      </c>
      <c r="N839" s="413"/>
      <c r="O839" s="414"/>
      <c r="P839" s="415" t="str">
        <f>IFERROR(IF($N836="Keep Contribution Same",H839,IF($N836="Enter Percentages",IF(N839="","",N839*L839),IF($N836="Keep Percentage Same",IF(G839="","",G839*L839),IF($N836="Enter Dollar Amount",IF(O839="","",O839),"")))),"")</f>
        <v/>
      </c>
      <c r="Q839" s="408" t="str">
        <f t="shared" ca="1" si="159"/>
        <v/>
      </c>
      <c r="R839" s="410" t="str">
        <f>IFERROR(IF(P839="","",M839*P839),"")</f>
        <v/>
      </c>
      <c r="S839" s="411"/>
      <c r="T839" s="408" t="str" cm="1">
        <f t="array" ca="1" aca="1" ref="T839">_xlfn.IFNA(VLOOKUP(INDIRECT("T"&amp;ROW()-3)&amp;"_"&amp;$D$12,BEGIN_Renew_Vision:END_RENEW_VISION,RENEW_COL_EC,FALSE),"")</f>
        <v/>
      </c>
      <c r="U839" s="412" t="str">
        <f t="shared" si="160"/>
        <v/>
      </c>
      <c r="V839" s="413"/>
      <c r="W839" s="414"/>
      <c r="X839" s="415" t="str">
        <f>IFERROR(IF($V836="Keep Contribution Same",H839,IF($V836="Enter Percentages",IF(V839="","",V839*T839),IF($V836="Keep Percentage Same",IF(G839="","",G839*T839),IF($V836="Enter Dollar Amount",IF(W839="","",W839),"")))),"")</f>
        <v/>
      </c>
      <c r="Y839" s="408" t="str">
        <f t="shared" ca="1" si="161"/>
        <v/>
      </c>
      <c r="Z839" s="410" t="str">
        <f t="shared" si="162"/>
        <v/>
      </c>
    </row>
    <row r="840" spans="1:26" ht="18.75" customHeight="1" thickBot="1">
      <c r="A840" s="140"/>
      <c r="B840" s="140"/>
      <c r="D840" s="174" t="s">
        <v>241</v>
      </c>
      <c r="E840" s="416"/>
      <c r="F840" s="451" t="str">
        <f>_xlfn.IFNA(VLOOKUP(F836,BEGIN_CURRENT_VISION:END_CURRENT_VISION,CURRENT_COL_FAM,FALSE),"")</f>
        <v/>
      </c>
      <c r="G840" s="471" t="str">
        <f t="shared" si="156"/>
        <v/>
      </c>
      <c r="H840" s="451" t="str">
        <f>_xlfn.IFNA(VLOOKUP(F836,BEGIN_CURRENT_VISION:END_CURRENT_VISION,CURRENT_COL_FAMContrib,FALSE),"")</f>
        <v/>
      </c>
      <c r="I840" s="409" t="str">
        <f t="shared" si="157"/>
        <v/>
      </c>
      <c r="J840" s="410" t="str">
        <f t="shared" si="158"/>
        <v/>
      </c>
      <c r="K840" s="411"/>
      <c r="L840" s="417" t="str" cm="1">
        <f t="array" ca="1" aca="1" ref="L840">_xlfn.IFNA(VLOOKUP(INDIRECT("L"&amp;ROW()-4)&amp;"_"&amp;$D$12,BEGIN_Renew_Vision:END_RENEW_VISION,RENEW_COL_FAM,FALSE),"")</f>
        <v/>
      </c>
      <c r="M840" s="423" t="str">
        <f>IF(E840="","",E840)</f>
        <v/>
      </c>
      <c r="N840" s="420"/>
      <c r="O840" s="421"/>
      <c r="P840" s="422" t="str">
        <f>IFERROR(IF($N836="Keep Contribution Same",H840,IF($N836="Enter Percentages",IF(N840="","",N840*L840),IF($N836="Keep Percentage Same",IF(G840="","",G840*L840),IF($N836="Enter Dollar Amount",IF(O840="","",O840),"")))),"")</f>
        <v/>
      </c>
      <c r="Q840" s="417" t="str">
        <f t="shared" ca="1" si="159"/>
        <v/>
      </c>
      <c r="R840" s="419" t="str">
        <f>IFERROR(IF(P840="","",M840*P840),"")</f>
        <v/>
      </c>
      <c r="S840" s="411"/>
      <c r="T840" s="417" t="str" cm="1">
        <f t="array" ca="1" aca="1" ref="T840">_xlfn.IFNA(VLOOKUP(INDIRECT("T"&amp;ROW()-4)&amp;"_"&amp;$D$12,BEGIN_Renew_Vision:END_RENEW_VISION,RENEW_COL_FAM,FALSE),"")</f>
        <v/>
      </c>
      <c r="U840" s="423" t="str">
        <f t="shared" si="160"/>
        <v/>
      </c>
      <c r="V840" s="420"/>
      <c r="W840" s="421"/>
      <c r="X840" s="422" t="str">
        <f>IFERROR(IF($V836="Keep Contribution Same",H840,IF($V836="Enter Percentages",IF(V840="","",V840*T840),IF($V836="Keep Percentage Same",IF(G840="","",G840*T840),IF($V836="Enter Dollar Amount",IF(W840="","",W840),"")))),"")</f>
        <v/>
      </c>
      <c r="Y840" s="417" t="str">
        <f t="shared" ca="1" si="161"/>
        <v/>
      </c>
      <c r="Z840" s="419" t="str">
        <f t="shared" si="162"/>
        <v/>
      </c>
    </row>
    <row r="841" spans="1:26" ht="18.75" customHeight="1" thickTop="1">
      <c r="A841" s="140"/>
      <c r="B841" s="140"/>
      <c r="D841" s="175" t="s">
        <v>329</v>
      </c>
      <c r="E841" s="424"/>
      <c r="F841" s="427"/>
      <c r="G841" s="426"/>
      <c r="H841" s="427"/>
      <c r="I841" s="428"/>
      <c r="J841" s="429" t="str">
        <f>IFERROR(IF(J837="","",SUM(J837:J840)),0)</f>
        <v/>
      </c>
      <c r="K841" s="1"/>
      <c r="L841" s="424"/>
      <c r="M841" s="427"/>
      <c r="N841" s="426"/>
      <c r="O841" s="427"/>
      <c r="P841" s="431"/>
      <c r="Q841" s="432"/>
      <c r="R841" s="429" t="str">
        <f>IFERROR(IF(R837="","",SUM(R837:R840)),0)</f>
        <v/>
      </c>
      <c r="T841" s="424"/>
      <c r="U841" s="427"/>
      <c r="V841" s="426"/>
      <c r="W841" s="427"/>
      <c r="X841" s="431"/>
      <c r="Y841" s="432"/>
      <c r="Z841" s="429" t="str">
        <f>IFERROR(IF(Z837="","",SUM(Z837:Z840)),0)</f>
        <v/>
      </c>
    </row>
    <row r="842" spans="1:26" ht="18.75" customHeight="1">
      <c r="A842" s="140"/>
      <c r="B842" s="140"/>
      <c r="D842" s="177" t="s">
        <v>243</v>
      </c>
      <c r="E842" s="433"/>
      <c r="F842" s="436"/>
      <c r="G842" s="435"/>
      <c r="H842" s="436"/>
      <c r="I842" s="432"/>
      <c r="J842" s="437" t="str">
        <f>IF(J841="","",J841*12)</f>
        <v/>
      </c>
      <c r="K842" s="1"/>
      <c r="L842" s="433"/>
      <c r="M842" s="436"/>
      <c r="N842" s="435"/>
      <c r="O842" s="436"/>
      <c r="P842" s="432"/>
      <c r="Q842" s="432"/>
      <c r="R842" s="437" t="str">
        <f>IF(R841="","",R841*12)</f>
        <v/>
      </c>
      <c r="T842" s="433"/>
      <c r="U842" s="436"/>
      <c r="V842" s="435"/>
      <c r="W842" s="436"/>
      <c r="X842" s="432"/>
      <c r="Y842" s="432"/>
      <c r="Z842" s="437" t="str">
        <f>IF(Z841="","",Z841*12)</f>
        <v/>
      </c>
    </row>
    <row r="843" spans="1:26" ht="18" customHeight="1">
      <c r="A843" s="140"/>
      <c r="B843" s="140"/>
      <c r="D843" s="177" t="s">
        <v>244</v>
      </c>
      <c r="E843" s="433"/>
      <c r="F843" s="436"/>
      <c r="G843" s="435"/>
      <c r="H843" s="436"/>
      <c r="I843" s="432"/>
      <c r="J843" s="437" t="str">
        <f>IFERROR(IF(J842="","",R842-J842),0)</f>
        <v/>
      </c>
      <c r="K843" s="1"/>
      <c r="L843" s="433"/>
      <c r="M843" s="436"/>
      <c r="N843" s="435"/>
      <c r="O843" s="436"/>
      <c r="P843" s="432"/>
      <c r="Q843" s="432"/>
      <c r="R843" s="437" t="str">
        <f>IFERROR(IF(J842="","",R842-J842),0)</f>
        <v/>
      </c>
      <c r="T843" s="433"/>
      <c r="U843" s="436"/>
      <c r="V843" s="435"/>
      <c r="W843" s="436"/>
      <c r="X843" s="432"/>
      <c r="Y843" s="432"/>
      <c r="Z843" s="437" t="str">
        <f>IFERROR(IF(R842="","",Z842-R842),0)</f>
        <v/>
      </c>
    </row>
    <row r="844" spans="1:26" ht="18" customHeight="1" thickBot="1">
      <c r="A844" s="140"/>
      <c r="B844" s="140"/>
      <c r="D844" s="180" t="s">
        <v>245</v>
      </c>
      <c r="E844" s="439"/>
      <c r="F844" s="440"/>
      <c r="G844" s="441"/>
      <c r="H844" s="440"/>
      <c r="I844" s="442"/>
      <c r="J844" s="437" t="str">
        <f>IFERROR(IF(J842="","",(R842/J842)-1),0)</f>
        <v/>
      </c>
      <c r="K844" s="1"/>
      <c r="L844" s="439"/>
      <c r="M844" s="440"/>
      <c r="N844" s="441"/>
      <c r="O844" s="440"/>
      <c r="P844" s="445"/>
      <c r="Q844" s="445"/>
      <c r="R844" s="446" t="str">
        <f>IFERROR(IF(J842="","",(R842/J842)-1),0)</f>
        <v/>
      </c>
      <c r="T844" s="439"/>
      <c r="U844" s="440"/>
      <c r="V844" s="441"/>
      <c r="W844" s="440"/>
      <c r="X844" s="445"/>
      <c r="Y844" s="445"/>
      <c r="Z844" s="446" t="str">
        <f>IFERROR(IF(R842="","",(Z842/R842)-1),0)</f>
        <v/>
      </c>
    </row>
    <row r="845" spans="1:26" ht="5.25" customHeight="1" thickBot="1">
      <c r="A845" s="140"/>
      <c r="B845" s="140"/>
      <c r="D845" s="229"/>
      <c r="E845" s="229"/>
      <c r="F845" s="230"/>
      <c r="G845" s="231"/>
      <c r="H845" s="232"/>
      <c r="I845" s="233"/>
      <c r="J845" s="233"/>
      <c r="K845"/>
      <c r="L845" s="233"/>
      <c r="M845" s="233"/>
      <c r="N845" s="233"/>
      <c r="O845" s="233"/>
      <c r="P845" s="233"/>
      <c r="Q845" s="233"/>
      <c r="R845" s="233"/>
      <c r="T845" s="233"/>
      <c r="U845" s="233"/>
      <c r="V845" s="233"/>
      <c r="W845" s="233"/>
      <c r="X845" s="233"/>
      <c r="Y845" s="233"/>
      <c r="Z845" s="233"/>
    </row>
    <row r="846" spans="1:26" ht="50.15" customHeight="1">
      <c r="A846" s="140"/>
      <c r="B846" s="140"/>
      <c r="C846" s="164" t="s">
        <v>308</v>
      </c>
      <c r="D846" s="275" t="s">
        <v>285</v>
      </c>
      <c r="E846" s="165"/>
      <c r="F846" s="272"/>
      <c r="G846" s="166"/>
      <c r="H846" s="167"/>
      <c r="I846" s="168"/>
      <c r="J846" s="169"/>
      <c r="K846"/>
      <c r="L846" s="274" t="s">
        <v>38</v>
      </c>
      <c r="M846" s="170"/>
      <c r="N846" s="274" t="s">
        <v>237</v>
      </c>
      <c r="O846" s="171"/>
      <c r="P846" s="171"/>
      <c r="Q846" s="171"/>
      <c r="R846" s="169"/>
      <c r="T846" s="274" t="s">
        <v>38</v>
      </c>
      <c r="U846" s="170"/>
      <c r="V846" s="274" t="s">
        <v>237</v>
      </c>
      <c r="W846" s="171"/>
      <c r="X846" s="171"/>
      <c r="Y846" s="171"/>
      <c r="Z846" s="169"/>
    </row>
    <row r="847" spans="1:26" ht="18.75" customHeight="1">
      <c r="A847" s="140"/>
      <c r="B847" s="140"/>
      <c r="D847" s="172" t="s">
        <v>238</v>
      </c>
      <c r="E847" s="407"/>
      <c r="F847" s="449"/>
      <c r="G847" s="470" t="str">
        <f t="shared" si="163" ref="G847:G850">IF(F847="","",H847/F847)</f>
        <v/>
      </c>
      <c r="H847" s="449" t="str">
        <f>_xlfn.IFNA(VLOOKUP(F846,BEGIN_CURRENT_VISION:END_CURRENT_VISION,CURRENT_COL_EOContrib,FALSE),"")</f>
        <v/>
      </c>
      <c r="I847" s="409" t="str">
        <f>IFERROR(F847-H847,"")</f>
        <v/>
      </c>
      <c r="J847" s="410" t="str">
        <f>IF(F847="","",H847*E847)</f>
        <v/>
      </c>
      <c r="K847" s="411"/>
      <c r="L847" s="408" t="str" cm="1">
        <f t="array" ca="1" aca="1" ref="L847">_xlfn.IFNA(VLOOKUP(INDIRECT("L"&amp;ROW()-1)&amp;"_"&amp;$D$12,BEGIN_Renew_Vision:END_RENEW_VISION,RENEW_COL_EO,FALSE),"")</f>
        <v/>
      </c>
      <c r="M847" s="412" t="str">
        <f>IF(E847="","",E847)</f>
        <v/>
      </c>
      <c r="N847" s="413"/>
      <c r="O847" s="414"/>
      <c r="P847" s="415" t="str">
        <f>IFERROR(IF($N846="Keep Contribution Same",H847,IF($N846="Enter Percentages",IF(N847="","",N847*L847),IF($N846="Keep Percentage Same",IF(G847="","",G847*L847),IF($N846="Enter Dollar Amount",IF(O847="","",O847),"")))),"")</f>
        <v/>
      </c>
      <c r="Q847" s="408" t="str">
        <f ca="1">IFERROR(L847-P847,"")</f>
        <v/>
      </c>
      <c r="R847" s="410" t="str">
        <f>IFERROR(IF(P847="","",M847*P847),"")</f>
        <v/>
      </c>
      <c r="S847" s="411"/>
      <c r="T847" s="408" t="str" cm="1">
        <f t="array" ca="1" aca="1" ref="T847">_xlfn.IFNA(VLOOKUP(INDIRECT("T"&amp;ROW()-1)&amp;"_"&amp;$D$12,BEGIN_Renew_Vision:END_RENEW_VISION,RENEW_COL_EO,FALSE),"")</f>
        <v/>
      </c>
      <c r="U847" s="412" t="str">
        <f>IF(E847="","",E847)</f>
        <v/>
      </c>
      <c r="V847" s="413"/>
      <c r="W847" s="414"/>
      <c r="X847" s="415" t="str">
        <f>IFERROR(IF($V846="Keep Contribution Same",H847,IF($V846="Enter Percentages",IF(V847="","",V847*T847),IF($V846="Keep Percentage Same",IF(G847="","",G847*T847),IF($V846="Enter Dollar Amount",IF(W847="","",W847),"")))),"")</f>
        <v/>
      </c>
      <c r="Y847" s="408" t="str">
        <f ca="1">IFERROR(T847-X847,"")</f>
        <v/>
      </c>
      <c r="Z847" s="410" t="str">
        <f>IFERROR(IF(X847="","",U847*X847),"")</f>
        <v/>
      </c>
    </row>
    <row r="848" spans="1:26" ht="18.75" customHeight="1">
      <c r="A848" s="140"/>
      <c r="B848" s="140"/>
      <c r="D848" s="172" t="s">
        <v>239</v>
      </c>
      <c r="E848" s="407"/>
      <c r="F848" s="449" t="str">
        <f>_xlfn.IFNA(VLOOKUP(F846,BEGIN_CURRENT_VISION:END_CURRENT_VISION,CURRENT_COL_ES,FALSE),"")</f>
        <v/>
      </c>
      <c r="G848" s="470" t="str">
        <f t="shared" si="163"/>
        <v/>
      </c>
      <c r="H848" s="449" t="str">
        <f>_xlfn.IFNA(VLOOKUP(F846,BEGIN_CURRENT_VISION:END_CURRENT_VISION,CURRENT_COL_ESContrib,FALSE),"")</f>
        <v/>
      </c>
      <c r="I848" s="409" t="str">
        <f t="shared" si="164" ref="I848:I850">IFERROR(F848-H848,"")</f>
        <v/>
      </c>
      <c r="J848" s="410" t="str">
        <f t="shared" si="165" ref="J848:J850">IF(F848="","",H848*E848)</f>
        <v/>
      </c>
      <c r="K848" s="411"/>
      <c r="L848" s="408" t="str" cm="1">
        <f t="array" ca="1" aca="1" ref="L848">_xlfn.IFNA(VLOOKUP(INDIRECT("L"&amp;ROW()-2)&amp;"_"&amp;$D$12,BEGIN_Renew_Vision:END_RENEW_VISION,RENEW_COL_ES,FALSE),"")</f>
        <v/>
      </c>
      <c r="M848" s="412" t="str">
        <f>IF(E848="","",E848)</f>
        <v/>
      </c>
      <c r="N848" s="413"/>
      <c r="O848" s="414"/>
      <c r="P848" s="415" t="str">
        <f>IFERROR(IF($N846="Keep Contribution Same",H848,IF($N846="Enter Percentages",IF(N848="","",N848*L848),IF($N846="Keep Percentage Same",IF(G848="","",G848*L848),IF($N846="Enter Dollar Amount",IF(O848="","",O848),"")))),"")</f>
        <v/>
      </c>
      <c r="Q848" s="408" t="str">
        <f ca="1" t="shared" si="166" ref="Q848:Q850">IFERROR(L848-P848,"")</f>
        <v/>
      </c>
      <c r="R848" s="410" t="str">
        <f>IFERROR(IF(P848="","",M848*P848),"")</f>
        <v/>
      </c>
      <c r="S848" s="411"/>
      <c r="T848" s="408" t="str" cm="1">
        <f t="array" ca="1" aca="1" ref="T848">_xlfn.IFNA(VLOOKUP(INDIRECT("T"&amp;ROW()-2)&amp;"_"&amp;$D$12,BEGIN_Renew_Vision:END_RENEW_VISION,RENEW_COL_ES,FALSE),"")</f>
        <v/>
      </c>
      <c r="U848" s="412" t="str">
        <f t="shared" si="167" ref="U848:U850">IF(E848="","",E848)</f>
        <v/>
      </c>
      <c r="V848" s="413"/>
      <c r="W848" s="414"/>
      <c r="X848" s="415" t="str">
        <f>IFERROR(IF($V846="Keep Contribution Same",H848,IF($V846="Enter Percentages",IF(V848="","",V848*T848),IF($V846="Keep Percentage Same",IF(G848="","",G848*T848),IF($V846="Enter Dollar Amount",IF(W848="","",W848),"")))),"")</f>
        <v/>
      </c>
      <c r="Y848" s="408" t="str">
        <f ca="1" t="shared" si="168" ref="Y848:Y850">IFERROR(T848-X848,"")</f>
        <v/>
      </c>
      <c r="Z848" s="410" t="str">
        <f t="shared" si="169" ref="Z848:Z850">IFERROR(IF(X848="","",U848*X848),"")</f>
        <v/>
      </c>
    </row>
    <row r="849" spans="1:26" ht="18.75" customHeight="1">
      <c r="A849" s="140"/>
      <c r="B849" s="140"/>
      <c r="D849" s="172" t="s">
        <v>240</v>
      </c>
      <c r="E849" s="407"/>
      <c r="F849" s="449" t="str">
        <f>_xlfn.IFNA(VLOOKUP(F846,BEGIN_CURRENT_VISION:END_CURRENT_VISION,CURRENT_COL_EC,FALSE),"")</f>
        <v/>
      </c>
      <c r="G849" s="470" t="str">
        <f t="shared" si="163"/>
        <v/>
      </c>
      <c r="H849" s="449" t="str">
        <f>_xlfn.IFNA(VLOOKUP(F846,BEGIN_CURRENT_VISION:END_CURRENT_VISION,CURRENT_COL_ECContrib,FALSE),"")</f>
        <v/>
      </c>
      <c r="I849" s="409" t="str">
        <f t="shared" si="164"/>
        <v/>
      </c>
      <c r="J849" s="410" t="str">
        <f t="shared" si="165"/>
        <v/>
      </c>
      <c r="K849" s="411"/>
      <c r="L849" s="408" t="str" cm="1">
        <f t="array" ca="1" aca="1" ref="L849">_xlfn.IFNA(VLOOKUP(INDIRECT("L"&amp;ROW()-3)&amp;"_"&amp;$D$12,BEGIN_Renew_Vision:END_RENEW_VISION,RENEW_COL_EC,FALSE),"")</f>
        <v/>
      </c>
      <c r="M849" s="412" t="str">
        <f>IF(E849="","",E849)</f>
        <v/>
      </c>
      <c r="N849" s="413"/>
      <c r="O849" s="414"/>
      <c r="P849" s="415" t="str">
        <f>IFERROR(IF($N846="Keep Contribution Same",H849,IF($N846="Enter Percentages",IF(N849="","",N849*L849),IF($N846="Keep Percentage Same",IF(G849="","",G849*L849),IF($N846="Enter Dollar Amount",IF(O849="","",O849),"")))),"")</f>
        <v/>
      </c>
      <c r="Q849" s="408" t="str">
        <f t="shared" ca="1" si="166"/>
        <v/>
      </c>
      <c r="R849" s="410" t="str">
        <f>IFERROR(IF(P849="","",M849*P849),"")</f>
        <v/>
      </c>
      <c r="S849" s="411"/>
      <c r="T849" s="408" t="str" cm="1">
        <f t="array" ca="1" aca="1" ref="T849">_xlfn.IFNA(VLOOKUP(INDIRECT("T"&amp;ROW()-3)&amp;"_"&amp;$D$12,BEGIN_Renew_Vision:END_RENEW_VISION,RENEW_COL_EC,FALSE),"")</f>
        <v/>
      </c>
      <c r="U849" s="412" t="str">
        <f t="shared" si="167"/>
        <v/>
      </c>
      <c r="V849" s="413"/>
      <c r="W849" s="414"/>
      <c r="X849" s="415" t="str">
        <f>IFERROR(IF($V846="Keep Contribution Same",H849,IF($V846="Enter Percentages",IF(V849="","",V849*T849),IF($V846="Keep Percentage Same",IF(G849="","",G849*T849),IF($V846="Enter Dollar Amount",IF(W849="","",W849),"")))),"")</f>
        <v/>
      </c>
      <c r="Y849" s="408" t="str">
        <f t="shared" ca="1" si="168"/>
        <v/>
      </c>
      <c r="Z849" s="410" t="str">
        <f t="shared" si="169"/>
        <v/>
      </c>
    </row>
    <row r="850" spans="1:26" ht="18.75" customHeight="1" thickBot="1">
      <c r="A850" s="140"/>
      <c r="B850" s="140"/>
      <c r="D850" s="174" t="s">
        <v>241</v>
      </c>
      <c r="E850" s="416"/>
      <c r="F850" s="451" t="str">
        <f>_xlfn.IFNA(VLOOKUP(F846,BEGIN_CURRENT_VISION:END_CURRENT_VISION,CURRENT_COL_FAM,FALSE),"")</f>
        <v/>
      </c>
      <c r="G850" s="471" t="str">
        <f t="shared" si="163"/>
        <v/>
      </c>
      <c r="H850" s="451" t="str">
        <f>_xlfn.IFNA(VLOOKUP(F846,BEGIN_CURRENT_VISION:END_CURRENT_VISION,CURRENT_COL_FAMContrib,FALSE),"")</f>
        <v/>
      </c>
      <c r="I850" s="409" t="str">
        <f t="shared" si="164"/>
        <v/>
      </c>
      <c r="J850" s="410" t="str">
        <f t="shared" si="165"/>
        <v/>
      </c>
      <c r="K850" s="411"/>
      <c r="L850" s="417" t="str" cm="1">
        <f t="array" ca="1" aca="1" ref="L850">_xlfn.IFNA(VLOOKUP(INDIRECT("L"&amp;ROW()-4)&amp;"_"&amp;$D$12,BEGIN_Renew_Vision:END_RENEW_VISION,RENEW_COL_FAM,FALSE),"")</f>
        <v/>
      </c>
      <c r="M850" s="423" t="str">
        <f>IF(E850="","",E850)</f>
        <v/>
      </c>
      <c r="N850" s="420"/>
      <c r="O850" s="421"/>
      <c r="P850" s="422" t="str">
        <f>IFERROR(IF($N846="Keep Contribution Same",H850,IF($N846="Enter Percentages",IF(N850="","",N850*L850),IF($N846="Keep Percentage Same",IF(G850="","",G850*L850),IF($N846="Enter Dollar Amount",IF(O850="","",O850),"")))),"")</f>
        <v/>
      </c>
      <c r="Q850" s="417" t="str">
        <f t="shared" ca="1" si="166"/>
        <v/>
      </c>
      <c r="R850" s="419" t="str">
        <f>IFERROR(IF(P850="","",M850*P850),"")</f>
        <v/>
      </c>
      <c r="S850" s="411"/>
      <c r="T850" s="417" t="str" cm="1">
        <f t="array" ca="1" aca="1" ref="T850">_xlfn.IFNA(VLOOKUP(INDIRECT("T"&amp;ROW()-4)&amp;"_"&amp;$D$12,BEGIN_Renew_Vision:END_RENEW_VISION,RENEW_COL_FAM,FALSE),"")</f>
        <v/>
      </c>
      <c r="U850" s="423" t="str">
        <f t="shared" si="167"/>
        <v/>
      </c>
      <c r="V850" s="420"/>
      <c r="W850" s="421"/>
      <c r="X850" s="422" t="str">
        <f>IFERROR(IF($V846="Keep Contribution Same",H850,IF($V846="Enter Percentages",IF(V850="","",V850*T850),IF($V846="Keep Percentage Same",IF(G850="","",G850*T850),IF($V846="Enter Dollar Amount",IF(W850="","",W850),"")))),"")</f>
        <v/>
      </c>
      <c r="Y850" s="417" t="str">
        <f t="shared" ca="1" si="168"/>
        <v/>
      </c>
      <c r="Z850" s="419" t="str">
        <f t="shared" si="169"/>
        <v/>
      </c>
    </row>
    <row r="851" spans="1:26" ht="18.75" customHeight="1" thickTop="1">
      <c r="A851" s="140"/>
      <c r="B851" s="140"/>
      <c r="D851" s="175" t="s">
        <v>329</v>
      </c>
      <c r="E851" s="424"/>
      <c r="F851" s="427"/>
      <c r="G851" s="426"/>
      <c r="H851" s="427"/>
      <c r="I851" s="428"/>
      <c r="J851" s="429" t="str">
        <f>IFERROR(IF(J847="","",SUM(J847:J850)),0)</f>
        <v/>
      </c>
      <c r="K851" s="1"/>
      <c r="L851" s="424"/>
      <c r="M851" s="427"/>
      <c r="N851" s="426"/>
      <c r="O851" s="427"/>
      <c r="P851" s="431"/>
      <c r="Q851" s="432"/>
      <c r="R851" s="429" t="str">
        <f>IFERROR(IF(R847="","",SUM(R847:R850)),0)</f>
        <v/>
      </c>
      <c r="T851" s="424"/>
      <c r="U851" s="427"/>
      <c r="V851" s="426"/>
      <c r="W851" s="427"/>
      <c r="X851" s="431"/>
      <c r="Y851" s="432"/>
      <c r="Z851" s="429" t="str">
        <f>IFERROR(IF(Z847="","",SUM(Z847:Z850)),0)</f>
        <v/>
      </c>
    </row>
    <row r="852" spans="1:26" ht="18.75" customHeight="1">
      <c r="A852" s="140"/>
      <c r="B852" s="140"/>
      <c r="D852" s="177" t="s">
        <v>243</v>
      </c>
      <c r="E852" s="433"/>
      <c r="F852" s="436"/>
      <c r="G852" s="435"/>
      <c r="H852" s="436"/>
      <c r="I852" s="432"/>
      <c r="J852" s="437" t="str">
        <f>IF(J851="","",J851*12)</f>
        <v/>
      </c>
      <c r="K852" s="1"/>
      <c r="L852" s="433"/>
      <c r="M852" s="436"/>
      <c r="N852" s="435"/>
      <c r="O852" s="436"/>
      <c r="P852" s="432"/>
      <c r="Q852" s="432"/>
      <c r="R852" s="437" t="str">
        <f>IF(R851="","",R851*12)</f>
        <v/>
      </c>
      <c r="T852" s="433"/>
      <c r="U852" s="436"/>
      <c r="V852" s="435"/>
      <c r="W852" s="436"/>
      <c r="X852" s="432"/>
      <c r="Y852" s="432"/>
      <c r="Z852" s="437" t="str">
        <f>IF(Z851="","",Z851*12)</f>
        <v/>
      </c>
    </row>
    <row r="853" spans="1:26" ht="18" customHeight="1">
      <c r="A853" s="140"/>
      <c r="B853" s="140"/>
      <c r="D853" s="177" t="s">
        <v>244</v>
      </c>
      <c r="E853" s="433"/>
      <c r="F853" s="436"/>
      <c r="G853" s="435"/>
      <c r="H853" s="436"/>
      <c r="I853" s="432"/>
      <c r="J853" s="437" t="str">
        <f>IFERROR(IF(J852="","",R852-J852),0)</f>
        <v/>
      </c>
      <c r="K853" s="1"/>
      <c r="L853" s="433"/>
      <c r="M853" s="436"/>
      <c r="N853" s="435"/>
      <c r="O853" s="436"/>
      <c r="P853" s="432"/>
      <c r="Q853" s="432"/>
      <c r="R853" s="437" t="str">
        <f>IFERROR(IF(J852="","",R852-J852),0)</f>
        <v/>
      </c>
      <c r="T853" s="433"/>
      <c r="U853" s="436"/>
      <c r="V853" s="435"/>
      <c r="W853" s="436"/>
      <c r="X853" s="432"/>
      <c r="Y853" s="432"/>
      <c r="Z853" s="437" t="str">
        <f>IFERROR(IF(R852="","",Z852-R852),0)</f>
        <v/>
      </c>
    </row>
    <row r="854" spans="1:26" ht="18" customHeight="1" thickBot="1">
      <c r="A854" s="140"/>
      <c r="B854" s="140"/>
      <c r="D854" s="180" t="s">
        <v>245</v>
      </c>
      <c r="E854" s="439"/>
      <c r="F854" s="440"/>
      <c r="G854" s="441"/>
      <c r="H854" s="440"/>
      <c r="I854" s="442"/>
      <c r="J854" s="437" t="str">
        <f>IFERROR(IF(J852="","",(R852/J852)-1),0)</f>
        <v/>
      </c>
      <c r="K854" s="1"/>
      <c r="L854" s="439"/>
      <c r="M854" s="440"/>
      <c r="N854" s="441"/>
      <c r="O854" s="440"/>
      <c r="P854" s="445"/>
      <c r="Q854" s="445"/>
      <c r="R854" s="446" t="str">
        <f>IFERROR(IF(J852="","",(R852/J852)-1),0)</f>
        <v/>
      </c>
      <c r="T854" s="439"/>
      <c r="U854" s="440"/>
      <c r="V854" s="441"/>
      <c r="W854" s="440"/>
      <c r="X854" s="445"/>
      <c r="Y854" s="445"/>
      <c r="Z854" s="446" t="str">
        <f>IFERROR(IF(R852="","",(Z852/R852)-1),0)</f>
        <v/>
      </c>
    </row>
    <row r="855" spans="1:26" ht="5.25" customHeight="1" thickBot="1">
      <c r="A855" s="140"/>
      <c r="B855" s="140"/>
      <c r="D855" s="229"/>
      <c r="E855" s="229"/>
      <c r="F855" s="230"/>
      <c r="G855" s="231"/>
      <c r="H855" s="232"/>
      <c r="I855" s="233"/>
      <c r="J855" s="233"/>
      <c r="K855"/>
      <c r="L855" s="233"/>
      <c r="M855" s="233"/>
      <c r="N855" s="233"/>
      <c r="O855" s="233"/>
      <c r="P855" s="233"/>
      <c r="Q855" s="233"/>
      <c r="R855" s="233"/>
      <c r="T855" s="233"/>
      <c r="U855" s="233"/>
      <c r="V855" s="233"/>
      <c r="W855" s="233"/>
      <c r="X855" s="233"/>
      <c r="Y855" s="233"/>
      <c r="Z855" s="233"/>
    </row>
    <row r="856" spans="1:26" ht="50.15" customHeight="1">
      <c r="A856" s="140"/>
      <c r="B856" s="140"/>
      <c r="C856" s="164" t="s">
        <v>309</v>
      </c>
      <c r="D856" s="275" t="s">
        <v>285</v>
      </c>
      <c r="E856" s="165"/>
      <c r="F856" s="272"/>
      <c r="G856" s="166"/>
      <c r="H856" s="167"/>
      <c r="I856" s="168"/>
      <c r="J856" s="169"/>
      <c r="K856"/>
      <c r="L856" s="274" t="s">
        <v>38</v>
      </c>
      <c r="M856" s="170"/>
      <c r="N856" s="274" t="s">
        <v>237</v>
      </c>
      <c r="O856" s="171"/>
      <c r="P856" s="171"/>
      <c r="Q856" s="171"/>
      <c r="R856" s="169"/>
      <c r="T856" s="274" t="s">
        <v>38</v>
      </c>
      <c r="U856" s="170"/>
      <c r="V856" s="274" t="s">
        <v>237</v>
      </c>
      <c r="W856" s="171"/>
      <c r="X856" s="171"/>
      <c r="Y856" s="171"/>
      <c r="Z856" s="169"/>
    </row>
    <row r="857" spans="1:26" ht="18.75" customHeight="1">
      <c r="A857" s="140"/>
      <c r="B857" s="140"/>
      <c r="D857" s="172" t="s">
        <v>238</v>
      </c>
      <c r="E857" s="407"/>
      <c r="F857" s="449"/>
      <c r="G857" s="470" t="str">
        <f t="shared" si="170" ref="G857:G860">IF(F857="","",H857/F857)</f>
        <v/>
      </c>
      <c r="H857" s="449" t="str">
        <f>_xlfn.IFNA(VLOOKUP(F856,BEGIN_CURRENT_VISION:END_CURRENT_VISION,CURRENT_COL_EOContrib,FALSE),"")</f>
        <v/>
      </c>
      <c r="I857" s="409" t="str">
        <f>IFERROR(F857-H857,"")</f>
        <v/>
      </c>
      <c r="J857" s="410" t="str">
        <f>IF(F857="","",H857*E857)</f>
        <v/>
      </c>
      <c r="K857" s="411"/>
      <c r="L857" s="408" t="str" cm="1">
        <f t="array" ca="1" aca="1" ref="L857">_xlfn.IFNA(VLOOKUP(INDIRECT("L"&amp;ROW()-1)&amp;"_"&amp;$D$12,BEGIN_Renew_Vision:END_RENEW_VISION,RENEW_COL_EO,FALSE),"")</f>
        <v/>
      </c>
      <c r="M857" s="412" t="str">
        <f>IF(E857="","",E857)</f>
        <v/>
      </c>
      <c r="N857" s="413"/>
      <c r="O857" s="414"/>
      <c r="P857" s="415" t="str">
        <f>IFERROR(IF($N856="Keep Contribution Same",H857,IF($N856="Enter Percentages",IF(N857="","",N857*L857),IF($N856="Keep Percentage Same",IF(G857="","",G857*L857),IF($N856="Enter Dollar Amount",IF(O857="","",O857),"")))),"")</f>
        <v/>
      </c>
      <c r="Q857" s="408" t="str">
        <f ca="1">IFERROR(L857-P857,"")</f>
        <v/>
      </c>
      <c r="R857" s="410" t="str">
        <f>IFERROR(IF(P857="","",M857*P857),"")</f>
        <v/>
      </c>
      <c r="S857" s="411"/>
      <c r="T857" s="408" t="str" cm="1">
        <f t="array" ca="1" aca="1" ref="T857">_xlfn.IFNA(VLOOKUP(INDIRECT("T"&amp;ROW()-1)&amp;"_"&amp;$D$12,BEGIN_Renew_Vision:END_RENEW_VISION,RENEW_COL_EO,FALSE),"")</f>
        <v/>
      </c>
      <c r="U857" s="412" t="str">
        <f>IF(E857="","",E857)</f>
        <v/>
      </c>
      <c r="V857" s="413"/>
      <c r="W857" s="414"/>
      <c r="X857" s="415" t="str">
        <f>IFERROR(IF($V856="Keep Contribution Same",H857,IF($V856="Enter Percentages",IF(V857="","",V857*T857),IF($V856="Keep Percentage Same",IF(G857="","",G857*T857),IF($V856="Enter Dollar Amount",IF(W857="","",W857),"")))),"")</f>
        <v/>
      </c>
      <c r="Y857" s="408" t="str">
        <f ca="1">IFERROR(T857-X857,"")</f>
        <v/>
      </c>
      <c r="Z857" s="410" t="str">
        <f>IFERROR(IF(X857="","",U857*X857),"")</f>
        <v/>
      </c>
    </row>
    <row r="858" spans="1:26" ht="18.75" customHeight="1">
      <c r="A858" s="140"/>
      <c r="B858" s="140"/>
      <c r="D858" s="172" t="s">
        <v>239</v>
      </c>
      <c r="E858" s="407"/>
      <c r="F858" s="449" t="str">
        <f>_xlfn.IFNA(VLOOKUP(F856,BEGIN_CURRENT_VISION:END_CURRENT_VISION,CURRENT_COL_ES,FALSE),"")</f>
        <v/>
      </c>
      <c r="G858" s="470" t="str">
        <f t="shared" si="170"/>
        <v/>
      </c>
      <c r="H858" s="449" t="str">
        <f>_xlfn.IFNA(VLOOKUP(F856,BEGIN_CURRENT_VISION:END_CURRENT_VISION,CURRENT_COL_ESContrib,FALSE),"")</f>
        <v/>
      </c>
      <c r="I858" s="409" t="str">
        <f t="shared" si="171" ref="I858:I860">IFERROR(F858-H858,"")</f>
        <v/>
      </c>
      <c r="J858" s="410" t="str">
        <f t="shared" si="172" ref="J858:J860">IF(F858="","",H858*E858)</f>
        <v/>
      </c>
      <c r="K858" s="411"/>
      <c r="L858" s="408" t="str" cm="1">
        <f t="array" ca="1" aca="1" ref="L858">_xlfn.IFNA(VLOOKUP(INDIRECT("L"&amp;ROW()-2)&amp;"_"&amp;$D$12,BEGIN_Renew_Vision:END_RENEW_VISION,RENEW_COL_ES,FALSE),"")</f>
        <v/>
      </c>
      <c r="M858" s="412" t="str">
        <f>IF(E858="","",E858)</f>
        <v/>
      </c>
      <c r="N858" s="413"/>
      <c r="O858" s="414"/>
      <c r="P858" s="415" t="str">
        <f>IFERROR(IF($N856="Keep Contribution Same",H858,IF($N856="Enter Percentages",IF(N858="","",N858*L858),IF($N856="Keep Percentage Same",IF(G858="","",G858*L858),IF($N856="Enter Dollar Amount",IF(O858="","",O858),"")))),"")</f>
        <v/>
      </c>
      <c r="Q858" s="408" t="str">
        <f ca="1" t="shared" si="173" ref="Q858:Q860">IFERROR(L858-P858,"")</f>
        <v/>
      </c>
      <c r="R858" s="410" t="str">
        <f>IFERROR(IF(P858="","",M858*P858),"")</f>
        <v/>
      </c>
      <c r="S858" s="411"/>
      <c r="T858" s="408" t="str" cm="1">
        <f t="array" ca="1" aca="1" ref="T858">_xlfn.IFNA(VLOOKUP(INDIRECT("T"&amp;ROW()-2)&amp;"_"&amp;$D$12,BEGIN_Renew_Vision:END_RENEW_VISION,RENEW_COL_ES,FALSE),"")</f>
        <v/>
      </c>
      <c r="U858" s="412" t="str">
        <f t="shared" si="174" ref="U858:U860">IF(E858="","",E858)</f>
        <v/>
      </c>
      <c r="V858" s="413"/>
      <c r="W858" s="414"/>
      <c r="X858" s="415" t="str">
        <f>IFERROR(IF($V856="Keep Contribution Same",H858,IF($V856="Enter Percentages",IF(V858="","",V858*T858),IF($V856="Keep Percentage Same",IF(G858="","",G858*T858),IF($V856="Enter Dollar Amount",IF(W858="","",W858),"")))),"")</f>
        <v/>
      </c>
      <c r="Y858" s="408" t="str">
        <f ca="1" t="shared" si="175" ref="Y858:Y860">IFERROR(T858-X858,"")</f>
        <v/>
      </c>
      <c r="Z858" s="410" t="str">
        <f t="shared" si="176" ref="Z858:Z860">IFERROR(IF(X858="","",U858*X858),"")</f>
        <v/>
      </c>
    </row>
    <row r="859" spans="1:26" ht="18.75" customHeight="1">
      <c r="A859" s="140"/>
      <c r="B859" s="140"/>
      <c r="D859" s="172" t="s">
        <v>240</v>
      </c>
      <c r="E859" s="407"/>
      <c r="F859" s="449" t="str">
        <f>_xlfn.IFNA(VLOOKUP(F856,BEGIN_CURRENT_VISION:END_CURRENT_VISION,CURRENT_COL_EC,FALSE),"")</f>
        <v/>
      </c>
      <c r="G859" s="470" t="str">
        <f t="shared" si="170"/>
        <v/>
      </c>
      <c r="H859" s="449" t="str">
        <f>_xlfn.IFNA(VLOOKUP(F856,BEGIN_CURRENT_VISION:END_CURRENT_VISION,CURRENT_COL_ECContrib,FALSE),"")</f>
        <v/>
      </c>
      <c r="I859" s="409" t="str">
        <f t="shared" si="171"/>
        <v/>
      </c>
      <c r="J859" s="410" t="str">
        <f t="shared" si="172"/>
        <v/>
      </c>
      <c r="K859" s="411"/>
      <c r="L859" s="408" t="str" cm="1">
        <f t="array" ca="1" aca="1" ref="L859">_xlfn.IFNA(VLOOKUP(INDIRECT("L"&amp;ROW()-3)&amp;"_"&amp;$D$12,BEGIN_Renew_Vision:END_RENEW_VISION,RENEW_COL_EC,FALSE),"")</f>
        <v/>
      </c>
      <c r="M859" s="412" t="str">
        <f>IF(E859="","",E859)</f>
        <v/>
      </c>
      <c r="N859" s="413"/>
      <c r="O859" s="414"/>
      <c r="P859" s="415" t="str">
        <f>IFERROR(IF($N856="Keep Contribution Same",H859,IF($N856="Enter Percentages",IF(N859="","",N859*L859),IF($N856="Keep Percentage Same",IF(G859="","",G859*L859),IF($N856="Enter Dollar Amount",IF(O859="","",O859),"")))),"")</f>
        <v/>
      </c>
      <c r="Q859" s="408" t="str">
        <f t="shared" ca="1" si="173"/>
        <v/>
      </c>
      <c r="R859" s="410" t="str">
        <f>IFERROR(IF(P859="","",M859*P859),"")</f>
        <v/>
      </c>
      <c r="S859" s="411"/>
      <c r="T859" s="408" t="str" cm="1">
        <f t="array" ca="1" aca="1" ref="T859">_xlfn.IFNA(VLOOKUP(INDIRECT("T"&amp;ROW()-3)&amp;"_"&amp;$D$12,BEGIN_Renew_Vision:END_RENEW_VISION,RENEW_COL_EC,FALSE),"")</f>
        <v/>
      </c>
      <c r="U859" s="412" t="str">
        <f t="shared" si="174"/>
        <v/>
      </c>
      <c r="V859" s="413"/>
      <c r="W859" s="414"/>
      <c r="X859" s="415" t="str">
        <f>IFERROR(IF($V856="Keep Contribution Same",H859,IF($V856="Enter Percentages",IF(V859="","",V859*T859),IF($V856="Keep Percentage Same",IF(G859="","",G859*T859),IF($V856="Enter Dollar Amount",IF(W859="","",W859),"")))),"")</f>
        <v/>
      </c>
      <c r="Y859" s="408" t="str">
        <f t="shared" ca="1" si="175"/>
        <v/>
      </c>
      <c r="Z859" s="410" t="str">
        <f t="shared" si="176"/>
        <v/>
      </c>
    </row>
    <row r="860" spans="1:26" ht="18.75" customHeight="1" thickBot="1">
      <c r="A860" s="140"/>
      <c r="B860" s="140"/>
      <c r="D860" s="174" t="s">
        <v>241</v>
      </c>
      <c r="E860" s="416"/>
      <c r="F860" s="451" t="str">
        <f>_xlfn.IFNA(VLOOKUP(F856,BEGIN_CURRENT_VISION:END_CURRENT_VISION,CURRENT_COL_FAM,FALSE),"")</f>
        <v/>
      </c>
      <c r="G860" s="471" t="str">
        <f t="shared" si="170"/>
        <v/>
      </c>
      <c r="H860" s="451" t="str">
        <f>_xlfn.IFNA(VLOOKUP(F856,BEGIN_CURRENT_VISION:END_CURRENT_VISION,CURRENT_COL_FAMContrib,FALSE),"")</f>
        <v/>
      </c>
      <c r="I860" s="409" t="str">
        <f t="shared" si="171"/>
        <v/>
      </c>
      <c r="J860" s="410" t="str">
        <f t="shared" si="172"/>
        <v/>
      </c>
      <c r="K860" s="411"/>
      <c r="L860" s="417" t="str" cm="1">
        <f t="array" ca="1" aca="1" ref="L860">_xlfn.IFNA(VLOOKUP(INDIRECT("L"&amp;ROW()-4)&amp;"_"&amp;$D$12,BEGIN_Renew_Vision:END_RENEW_VISION,RENEW_COL_FAM,FALSE),"")</f>
        <v/>
      </c>
      <c r="M860" s="423" t="str">
        <f>IF(E860="","",E860)</f>
        <v/>
      </c>
      <c r="N860" s="420"/>
      <c r="O860" s="421"/>
      <c r="P860" s="422" t="str">
        <f>IFERROR(IF($N856="Keep Contribution Same",H860,IF($N856="Enter Percentages",IF(N860="","",N860*L860),IF($N856="Keep Percentage Same",IF(G860="","",G860*L860),IF($N856="Enter Dollar Amount",IF(O860="","",O860),"")))),"")</f>
        <v/>
      </c>
      <c r="Q860" s="417" t="str">
        <f t="shared" ca="1" si="173"/>
        <v/>
      </c>
      <c r="R860" s="419" t="str">
        <f>IFERROR(IF(P860="","",M860*P860),"")</f>
        <v/>
      </c>
      <c r="S860" s="411"/>
      <c r="T860" s="417" t="str" cm="1">
        <f t="array" ca="1" aca="1" ref="T860">_xlfn.IFNA(VLOOKUP(INDIRECT("T"&amp;ROW()-4)&amp;"_"&amp;$D$12,BEGIN_Renew_Vision:END_RENEW_VISION,RENEW_COL_FAM,FALSE),"")</f>
        <v/>
      </c>
      <c r="U860" s="423" t="str">
        <f t="shared" si="174"/>
        <v/>
      </c>
      <c r="V860" s="420"/>
      <c r="W860" s="421"/>
      <c r="X860" s="422" t="str">
        <f>IFERROR(IF($V856="Keep Contribution Same",H860,IF($V856="Enter Percentages",IF(V860="","",V860*T860),IF($V856="Keep Percentage Same",IF(G860="","",G860*T860),IF($V856="Enter Dollar Amount",IF(W860="","",W860),"")))),"")</f>
        <v/>
      </c>
      <c r="Y860" s="417" t="str">
        <f t="shared" ca="1" si="175"/>
        <v/>
      </c>
      <c r="Z860" s="419" t="str">
        <f t="shared" si="176"/>
        <v/>
      </c>
    </row>
    <row r="861" spans="1:26" ht="18.75" customHeight="1" thickTop="1">
      <c r="A861" s="140"/>
      <c r="B861" s="140"/>
      <c r="D861" s="175" t="s">
        <v>329</v>
      </c>
      <c r="E861" s="424"/>
      <c r="F861" s="427"/>
      <c r="G861" s="426"/>
      <c r="H861" s="427"/>
      <c r="I861" s="428"/>
      <c r="J861" s="429" t="str">
        <f>IFERROR(IF(J857="","",SUM(J857:J860)),0)</f>
        <v/>
      </c>
      <c r="K861" s="1"/>
      <c r="L861" s="424"/>
      <c r="M861" s="427"/>
      <c r="N861" s="426"/>
      <c r="O861" s="427"/>
      <c r="P861" s="431"/>
      <c r="Q861" s="432"/>
      <c r="R861" s="429" t="str">
        <f>IFERROR(IF(R857="","",SUM(R857:R860)),0)</f>
        <v/>
      </c>
      <c r="T861" s="424"/>
      <c r="U861" s="427"/>
      <c r="V861" s="426"/>
      <c r="W861" s="427"/>
      <c r="X861" s="431"/>
      <c r="Y861" s="432"/>
      <c r="Z861" s="429" t="str">
        <f>IFERROR(IF(Z857="","",SUM(Z857:Z860)),0)</f>
        <v/>
      </c>
    </row>
    <row r="862" spans="1:26" ht="18.75" customHeight="1">
      <c r="A862" s="140"/>
      <c r="B862" s="140"/>
      <c r="D862" s="177" t="s">
        <v>243</v>
      </c>
      <c r="E862" s="433"/>
      <c r="F862" s="436"/>
      <c r="G862" s="435"/>
      <c r="H862" s="436"/>
      <c r="I862" s="432"/>
      <c r="J862" s="437" t="str">
        <f>IF(J861="","",J861*12)</f>
        <v/>
      </c>
      <c r="K862" s="1"/>
      <c r="L862" s="433"/>
      <c r="M862" s="436"/>
      <c r="N862" s="435"/>
      <c r="O862" s="436"/>
      <c r="P862" s="432"/>
      <c r="Q862" s="432"/>
      <c r="R862" s="437" t="str">
        <f>IF(R861="","",R861*12)</f>
        <v/>
      </c>
      <c r="T862" s="433"/>
      <c r="U862" s="436"/>
      <c r="V862" s="435"/>
      <c r="W862" s="436"/>
      <c r="X862" s="432"/>
      <c r="Y862" s="432"/>
      <c r="Z862" s="437" t="str">
        <f>IF(Z861="","",Z861*12)</f>
        <v/>
      </c>
    </row>
    <row r="863" spans="1:26" ht="18" customHeight="1">
      <c r="A863" s="140"/>
      <c r="B863" s="140"/>
      <c r="D863" s="177" t="s">
        <v>244</v>
      </c>
      <c r="E863" s="433"/>
      <c r="F863" s="436"/>
      <c r="G863" s="435"/>
      <c r="H863" s="436"/>
      <c r="I863" s="432"/>
      <c r="J863" s="437" t="str">
        <f>IFERROR(IF(J862="","",R862-J862),0)</f>
        <v/>
      </c>
      <c r="K863" s="1"/>
      <c r="L863" s="433"/>
      <c r="M863" s="436"/>
      <c r="N863" s="435"/>
      <c r="O863" s="436"/>
      <c r="P863" s="432"/>
      <c r="Q863" s="432"/>
      <c r="R863" s="437" t="str">
        <f>IFERROR(IF(J862="","",R862-J862),0)</f>
        <v/>
      </c>
      <c r="T863" s="433"/>
      <c r="U863" s="436"/>
      <c r="V863" s="435"/>
      <c r="W863" s="436"/>
      <c r="X863" s="432"/>
      <c r="Y863" s="432"/>
      <c r="Z863" s="437" t="str">
        <f>IFERROR(IF(R862="","",Z862-R862),0)</f>
        <v/>
      </c>
    </row>
    <row r="864" spans="1:26" ht="18" customHeight="1" thickBot="1">
      <c r="A864" s="140"/>
      <c r="B864" s="140"/>
      <c r="D864" s="180" t="s">
        <v>245</v>
      </c>
      <c r="E864" s="439"/>
      <c r="F864" s="440"/>
      <c r="G864" s="441"/>
      <c r="H864" s="440"/>
      <c r="I864" s="442"/>
      <c r="J864" s="437" t="str">
        <f>IFERROR(IF(J862="","",(R862/J862)-1),0)</f>
        <v/>
      </c>
      <c r="K864" s="1"/>
      <c r="L864" s="439"/>
      <c r="M864" s="440"/>
      <c r="N864" s="441"/>
      <c r="O864" s="440"/>
      <c r="P864" s="445"/>
      <c r="Q864" s="445"/>
      <c r="R864" s="446" t="str">
        <f>IFERROR(IF(J862="","",(R862/J862)-1),0)</f>
        <v/>
      </c>
      <c r="T864" s="439"/>
      <c r="U864" s="440"/>
      <c r="V864" s="441"/>
      <c r="W864" s="440"/>
      <c r="X864" s="445"/>
      <c r="Y864" s="445"/>
      <c r="Z864" s="446" t="str">
        <f>IFERROR(IF(R862="","",(Z862/R862)-1),0)</f>
        <v/>
      </c>
    </row>
    <row r="865" spans="1:26" ht="5.25" customHeight="1" thickBot="1">
      <c r="A865" s="140"/>
      <c r="B865" s="140"/>
      <c r="D865" s="229"/>
      <c r="E865" s="229"/>
      <c r="F865" s="230"/>
      <c r="G865" s="231"/>
      <c r="H865" s="232"/>
      <c r="I865" s="233"/>
      <c r="J865" s="233"/>
      <c r="K865"/>
      <c r="L865" s="233"/>
      <c r="M865" s="233"/>
      <c r="N865" s="233"/>
      <c r="O865" s="233"/>
      <c r="P865" s="233"/>
      <c r="Q865" s="233"/>
      <c r="R865" s="233"/>
      <c r="T865" s="233"/>
      <c r="U865" s="233"/>
      <c r="V865" s="233"/>
      <c r="W865" s="233"/>
      <c r="X865" s="233"/>
      <c r="Y865" s="233"/>
      <c r="Z865" s="233"/>
    </row>
    <row r="866" spans="1:26" ht="13.5" thickTop="1">
      <c r="A866" s="140"/>
      <c r="B866" s="140"/>
      <c r="D866" s="238" t="s">
        <v>310</v>
      </c>
      <c r="E866" s="239"/>
      <c r="F866" s="239"/>
      <c r="G866" s="239"/>
      <c r="H866" s="239"/>
      <c r="I866" s="239"/>
      <c r="J866" s="239"/>
      <c r="K866" s="239"/>
      <c r="L866" s="239"/>
      <c r="M866" s="239"/>
      <c r="N866" s="239"/>
      <c r="O866" s="239"/>
      <c r="P866" s="239"/>
      <c r="Q866" s="239"/>
      <c r="R866" s="240"/>
      <c r="T866" s="240"/>
      <c r="U866" s="240"/>
      <c r="V866" s="240"/>
      <c r="W866" s="240"/>
      <c r="X866" s="240"/>
      <c r="Y866" s="240"/>
      <c r="Z866" s="240"/>
    </row>
    <row r="867" spans="1:26" ht="18" customHeight="1">
      <c r="A867" s="140"/>
      <c r="B867" s="140"/>
      <c r="D867"/>
      <c r="E867"/>
      <c r="F867"/>
      <c r="G867"/>
      <c r="H867"/>
      <c r="I867" s="241" t="s">
        <v>311</v>
      </c>
      <c r="J867" s="462">
        <f ca="1">IFERROR(IF(J19="",0,J19)+IF(J69="",0,J69)+IF(J119="",0,J119)+IF(J169="",0,J169)+IF(J219="",0,J219)+IF(J269="",0,J269)+IF(J319="",0,J319)+IF(J369="",0,J369)+IF(J419="",0,J419)+IF(J469="",0,J469)+IF(J519="",0,J519)+IF(J569="",0,J569)+IF(J619="",0,J619),0)</f>
        <v>0</v>
      </c>
      <c r="K867" s="242"/>
      <c r="L867" s="176"/>
      <c r="M867" s="178"/>
      <c r="N867" s="139"/>
      <c r="O867" s="178"/>
      <c r="P867"/>
      <c r="Q867" s="173" t="s">
        <v>311</v>
      </c>
      <c r="R867" s="462">
        <f>IFERROR(IF(R19="",0,R19)+IF(R69="",0,R69)+IF(R119="",0,R119)+IF(R169="",0,R169)+IF(R219="",0,R219)+IF(R269="",0,R269)+IF(R319="",0,R319)+IF(R369="",0,R369)+IF(R419="",0,R419)+IF(R469="",0,R469)+IF(R519="",0,R519)+IF(R569="",0,R569)+IF(R619="",0,R619),0)</f>
        <v>0</v>
      </c>
      <c r="Y867" s="173" t="s">
        <v>311</v>
      </c>
      <c r="Z867" s="462">
        <f>IFERROR(IF(Z19="",0,Z19)+IF(Z69="",0,Z69)+IF(Z119="",0,Z119)+IF(Z169="",0,Z169)+IF(Z219="",0,Z219)+IF(Z269="",0,Z269)+IF(Z319="",0,Z319)+IF(Z369="",0,Z369)+IF(Z419="",0,Z419)+IF(Z469="",0,Z469)+IF(Z519="",0,Z519)+IF(Z569="",0,Z569)+IF(Z619="",0,Z619),0)</f>
        <v>0</v>
      </c>
    </row>
    <row r="868" spans="1:26" ht="18" customHeight="1">
      <c r="A868" s="140"/>
      <c r="B868" s="140"/>
      <c r="D868"/>
      <c r="E868"/>
      <c r="F868"/>
      <c r="G868"/>
      <c r="H868"/>
      <c r="I868" s="241" t="s">
        <v>312</v>
      </c>
      <c r="J868" s="462">
        <f ca="1">IFERROR(IF(J670="",0,J670)+IF(J680="",0,J680)+IF(J690="",0,J690)+IF(J700="",0,J700)+IF(J710="",0,J710)+IF(J720="",0,J720)+IF(J730="",0,J730)+IF(J740="",0,P740)+IF(J750="",0,P750)+IF(J760="",0,J760),0)</f>
        <v>0</v>
      </c>
      <c r="K868" s="242"/>
      <c r="L868" s="176"/>
      <c r="M868" s="178"/>
      <c r="N868" s="139"/>
      <c r="O868" s="178"/>
      <c r="P868"/>
      <c r="Q868" s="173" t="s">
        <v>312</v>
      </c>
      <c r="R868" s="462">
        <f>IFERROR(IF(R670="",0,R670)+IF(R680="",0,R680)+IF(R690="",0,R690)+IF(R700="",0,R700)+IF(R710="",0,R710)+IF(R720="",0,R720)+IF(R730="",0,R730)+IF(R740="",0,X740)+IF(R750="",0,X750)+IF(R760="",0,R760),0)</f>
        <v>0</v>
      </c>
      <c r="Y868" s="173" t="s">
        <v>312</v>
      </c>
      <c r="Z868" s="462">
        <f>IFERROR(IF(Z670="",0,Z670)+IF(Z680="",0,Z680)+IF(Z690="",0,Z690)+IF(Z700="",0,Z700)+IF(Z710="",0,Z710)+IF(Z720="",0,Z720)+IF(Z730="",0,Z730)+IF(Z740="",0,AF740)+IF(Z750="",0,AF750)+IF(Z760="",0,Z760),0)</f>
        <v>0</v>
      </c>
    </row>
    <row r="869" spans="1:26" ht="18" customHeight="1">
      <c r="A869" s="140"/>
      <c r="B869" s="140"/>
      <c r="D869"/>
      <c r="E869"/>
      <c r="F869"/>
      <c r="G869"/>
      <c r="H869"/>
      <c r="I869" s="241" t="s">
        <v>313</v>
      </c>
      <c r="J869" s="462">
        <f ca="1">IFERROR(IF(J771="",0,J771)+IF(J781="",0,J781)+IF(J791="",0,J791)+IF(J801="",0,J801)+IF(J811="",0,J811)+IF(J821="",0,J821)+IF(J831="",0,J831)+IF(J841="",0,J841)+IF(J851="",0,J851)+IF(J861="",0,J861),0)</f>
        <v>0</v>
      </c>
      <c r="K869" s="242"/>
      <c r="L869" s="176"/>
      <c r="M869" s="178"/>
      <c r="N869" s="139"/>
      <c r="O869" s="178"/>
      <c r="P869"/>
      <c r="Q869" s="173" t="s">
        <v>314</v>
      </c>
      <c r="R869" s="462">
        <f>IFERROR(IF(R771="",0,R771)+IF(R781="",0,R781)+IF(R791="",0,R791)+IF(R801="",0,R801)+IF(R811="",0,R811)+IF(R821="",0,R821)+IF(R831="",0,R831)+IF(R841="",0,R841)+IF(R851="",0,R851)+IF(R861="",0,R861),0)</f>
        <v>0</v>
      </c>
      <c r="Y869" s="173" t="s">
        <v>314</v>
      </c>
      <c r="Z869" s="462">
        <f>IFERROR(IF(Z771="",0,Z771)+IF(Z781="",0,Z781)+IF(Z791="",0,Z791)+IF(Z801="",0,Z801)+IF(Z811="",0,Z811)+IF(Z821="",0,Z821)+IF(Z831="",0,Z831)+IF(Z841="",0,Z841)+IF(Z851="",0,Z851)+IF(Z861="",0,Z861),0)</f>
        <v>0</v>
      </c>
    </row>
    <row r="870" spans="1:26" ht="18" customHeight="1">
      <c r="A870" s="140"/>
      <c r="B870" s="140"/>
      <c r="D870"/>
      <c r="E870"/>
      <c r="F870"/>
      <c r="G870"/>
      <c r="H870"/>
      <c r="I870" s="241" t="s">
        <v>315</v>
      </c>
      <c r="J870" s="11">
        <f ca="1">IFERROR(IF(E15="",0,E15)+IF(E16="",0,E16)+IF(E17="",0,E17)+IF(E18="",0,E18)+IF(E65="",0,E65)+IF(E66="",0,E66)+IF(E67="",0,E67)+IF(E68="",0,E68)+IF(E115="",0,E115)+IF(E116="",0,E116)+IF(E117="",0,E117)+IF(E118="",0,E118)+IF(E165="",0,E165)+IF(E166="",0,E166)+IF(E167="",0,E167)+IF(E168="",0,E168)+IF(E215="",0,E215)+IF(E216="",0,E216)+IF(E217="",0,E217)+IF(E218="",0,E218)+IF(E265="",0,E265)+IF(E266="",0,E266)+IF(E267="",0,E267)+IF(E268="",0,E268)+IF(E315="",0,E315)+IF(E316="",0,E316)+IF(E317="",0,E317)+IF(E318="",0,E318)+IF(E365="",0,E365)+IF(E366="",0,E366)+IF(E367="",0,E367)+IF(E368="",0,E368)+IF(E415="",0,E415)+IF(E416="",0,E416)+IF(E417="",0,E417)+IF(E418="",0,E418)+IF(E465="",0,E465)+IF(E466="",0,E466)+IF(E467="",0,E467)+IF(E468="",0,E468)+IF(E515="",0,E515)+IF(E516="",0,E516)+IF(E517="",0,E517)+IF(E518="",0,E518)+IF(E565="",0,E565)+IF(E566="",0,E566)+IF(E567="",0,E567)+IF(E568="",0,E568)+IF(E615="",0,E615)+IF(E616="",0,E616)+IF(E617="",0,E617)+IF(E618="",0,E618),0)</f>
        <v>0</v>
      </c>
      <c r="K870" s="242"/>
      <c r="L870" s="176"/>
      <c r="M870" s="178"/>
      <c r="N870" s="139"/>
      <c r="O870" s="178"/>
      <c r="P870"/>
      <c r="Q870" s="241" t="s">
        <v>315</v>
      </c>
      <c r="R870" s="11">
        <f ca="1">IFERROR(IF(M15="",0,M15)+IF(M16="",0,M16)+IF(M17="",0,M17)+IF(M18="",0,M18)+IF(M65="",0,M65)+IF(M66="",0,M66)+IF(M67="",0,M67)+IF(M68="",0,M68)+IF(M115="",0,M115)+IF(M116="",0,M116)+IF(M117="",0,M117)+IF(M118="",0,M118)+IF(M165="",0,M165)+IF(M166="",0,M166)+IF(M167="",0,M167)+IF(M168="",0,M168)+IF(M215="",0,M215)+IF(M216="",0,M216)+IF(M217="",0,M217)+IF(M218="",0,M218)+IF(M265="",0,M265)+IF(M266="",0,M266)+IF(M267="",0,M267)+IF(M268="",0,M268)+IF(M315="",0,M315)+IF(M316="",0,M316)+IF(M317="",0,M317)+IF(M318="",0,M318)+IF(M365="",0,M365)+IF(M366="",0,M366)+IF(M367="",0,M367)+IF(M368="",0,M368)+IF(M415="",0,M415)+IF(M416="",0,M416)+IF(M417="",0,M417)+IF(M418="",0,M418)+IF(M465="",0,M465)+IF(M466="",0,M466)+IF(M467="",0,M467)+IF(M468="",0,M468)+IF(M515="",0,M515)+IF(M516="",0,M516)+IF(M517="",0,M517)+IF(M518="",0,M518)+IF(M565="",0,M565)+IF(M566="",0,M566)+IF(M567="",0,M567)+IF(M568="",0,M568)+IF(M615="",0,M615)+IF(M616="",0,M616)+IF(M617="",0,M617)+IF(M618="",0,M618),0)</f>
        <v>0</v>
      </c>
      <c r="Y870" s="241" t="s">
        <v>315</v>
      </c>
      <c r="Z870" s="11">
        <f ca="1">IFERROR(IF(U15="",0,U15)+IF(U16="",0,U16)+IF(U17="",0,U17)+IF(U18="",0,U18)+IF(U65="",0,U65)+IF(U66="",0,U66)+IF(U67="",0,U67)+IF(U68="",0,U68)+IF(U115="",0,U115)+IF(U116="",0,U116)+IF(U117="",0,U117)+IF(U118="",0,U118)+IF(U165="",0,U165)+IF(U166="",0,U166)+IF(U167="",0,U167)+IF(U168="",0,U168)+IF(U215="",0,U215)+IF(U216="",0,U216)+IF(U217="",0,U217)+IF(U218="",0,U218)+IF(U265="",0,U265)+IF(U266="",0,U266)+IF(U267="",0,U267)+IF(U268="",0,U268)+IF(U315="",0,U315)+IF(U316="",0,U316)+IF(U317="",0,U317)+IF(U318="",0,U318)+IF(U365="",0,U365)+IF(U366="",0,U366)+IF(U367="",0,U367)+IF(U368="",0,U368)+IF(U415="",0,U415)+IF(U416="",0,U416)+IF(U417="",0,U417)+IF(U418="",0,U418)+IF(U465="",0,U465)+IF(U466="",0,U466)+IF(U467="",0,U467)+IF(U468="",0,U468)+IF(U515="",0,U515)+IF(U516="",0,U516)+IF(U517="",0,U517)+IF(U518="",0,U518)+IF(U565="",0,U565)+IF(U566="",0,U566)+IF(U567="",0,U567)+IF(U568="",0,U568)+IF(U615="",0,U615)+IF(U616="",0,U616)+IF(U617="",0,U617)+IF(U618="",0,U618),0)</f>
        <v>0</v>
      </c>
    </row>
    <row r="871" spans="1:26" ht="18" customHeight="1">
      <c r="A871" s="140"/>
      <c r="B871" s="140"/>
      <c r="D871"/>
      <c r="E871"/>
      <c r="F871"/>
      <c r="G871"/>
      <c r="H871"/>
      <c r="I871" s="241" t="s">
        <v>316</v>
      </c>
      <c r="J871" s="11">
        <f ca="1">IFERROR(IF(E666="",0,E666)+IF(E667="",0,E667)+IF(E668="",0,E668)+IF(E669="",0,E669)+IF(E676="",0,E676)+IF(E677="",0,E677)+IF(E678="",0,E678)+IF(E679="",0,E679)+IF(E686="",0,E686)+IF(E687="",0,E687)+IF(E688="",0,E688)+IF(E689="",0,E689)+IF(E696="",0,E696)+IF(E697="",0,E697)+IF(E698="",0,E698)+IF(E699="",0,E699)+IF(E706="",0,E706)+IF(E707="",0,E707)+IF(E708="",0,E708)+IF(E709="",0,E709)+IF(E716="",0,E716)+IF(E717="",0,E717)+IF(E718="",0,E718)+IF(E719="",0,E719)+IF(E726="",0,E726)+IF(E727="",0,E727)+IF(E728="",0,E728)+IF(E729="",0,E729)+IF(E736="",0,E736)+IF(E737="",0,E737)+IF(E738="",0,E738)+IF(E739="",0,E739)+IF(E746="",0,E746)+IF(E747="",0,E747)+IF(E748="",0,E748)+IF(E749="",0,E749)+IF(E756="",0,E756)+IF(E757="",0,E757)+IF(E758="",0,E758)+IF(E759="",0,E759),0)</f>
        <v>0</v>
      </c>
      <c r="K871" s="242"/>
      <c r="L871" s="176"/>
      <c r="M871" s="178"/>
      <c r="N871" s="139"/>
      <c r="O871" s="178"/>
      <c r="P871"/>
      <c r="Q871" s="241" t="s">
        <v>316</v>
      </c>
      <c r="R871" s="11">
        <f ca="1">IFERROR(IF(M666="",0,M666)+IF(M667="",0,M667)+IF(M668="",0,M668)+IF(M669="",0,M669)+IF(M676="",0,M676)+IF(M677="",0,M677)+IF(M678="",0,M678)+IF(M679="",0,M679)+IF(M686="",0,M686)+IF(M687="",0,M687)+IF(M688="",0,M688)+IF(M689="",0,M689)+IF(M696="",0,M696)+IF(M697="",0,M697)+IF(M698="",0,M698)+IF(M699="",0,M699)+IF(M706="",0,M706)+IF(M707="",0,M707)+IF(M708="",0,M708)+IF(M709="",0,M709)+IF(M716="",0,M716)+IF(M717="",0,M717)+IF(M718="",0,M718)+IF(M719="",0,M719)+IF(M726="",0,M726)+IF(M727="",0,M727)+IF(M728="",0,M728)+IF(M729="",0,M729)+IF(M736="",0,M736)+IF(M737="",0,M737)+IF(M738="",0,M738)+IF(M739="",0,M739)+IF(M746="",0,M746)+IF(M747="",0,M747)+IF(M748="",0,M748)+IF(M749="",0,M749)+IF(M756="",0,M756)+IF(M757="",0,M757)+IF(M758="",0,M758)+IF(M759="",0,M759),0)</f>
        <v>0</v>
      </c>
      <c r="Y871" s="241" t="s">
        <v>316</v>
      </c>
      <c r="Z871" s="11">
        <f ca="1">IFERROR(IF(U666="",0,U666)+IF(U667="",0,U667)+IF(U668="",0,U668)+IF(U669="",0,U669)+IF(U676="",0,U676)+IF(U677="",0,U677)+IF(U678="",0,U678)+IF(U679="",0,U679)+IF(U686="",0,U686)+IF(U687="",0,U687)+IF(U688="",0,U688)+IF(U689="",0,U689)+IF(U696="",0,U696)+IF(U697="",0,U697)+IF(U698="",0,U698)+IF(U699="",0,U699)+IF(U706="",0,U706)+IF(U707="",0,U707)+IF(U708="",0,U708)+IF(U709="",0,U709)+IF(U716="",0,U716)+IF(U717="",0,U717)+IF(U718="",0,U718)+IF(U719="",0,U719)+IF(U726="",0,U726)+IF(U727="",0,U727)+IF(U728="",0,U728)+IF(U729="",0,U729)+IF(U736="",0,U736)+IF(U737="",0,U737)+IF(U738="",0,U738)+IF(U739="",0,U739)+IF(U746="",0,U746)+IF(U747="",0,U747)+IF(U748="",0,U748)+IF(U749="",0,U749)+IF(U756="",0,U756)+IF(U757="",0,U757)+IF(U758="",0,U758)+IF(U759="",0,U759),0)</f>
        <v>0</v>
      </c>
    </row>
    <row r="872" spans="1:26" ht="18" customHeight="1">
      <c r="A872" s="140"/>
      <c r="B872" s="140"/>
      <c r="D872"/>
      <c r="E872"/>
      <c r="F872"/>
      <c r="G872"/>
      <c r="H872"/>
      <c r="I872" s="241" t="s">
        <v>317</v>
      </c>
      <c r="J872" s="11">
        <f ca="1">IFERROR(IF(E767="",0,E767)+IF(E768="",0,E768)+IF(E769="",0,E769)+IF(E770="",0,E770)+IF(E777="",0,E777)+IF(E778="",0,E778)+IF(E779="",0,E779)+IF(E780="",0,E780)+IF(E787="",0,E787)+IF(E788="",0,E788)+IF(E789="",0,E789)+IF(E790="",0,E790)+IF(E797="",0,E797)+IF(E798="",0,E798)+IF(E799="",0,E799)+IF(E800="",0,E800)+IF(E807="",0,E807)+IF(E808="",0,E808)+IF(E809="",0,E809)+IF(E810="",0,E810)+IF(E817="",0,E817)+IF(E818="",0,E818)+IF(E819="",0,E819)+IF(E820="",0,E820)+IF(E827="",0,E827)+IF(E828="",0,E828)+IF(E829="",0,E829)+IF(E830="",0,E830)+IF(E837="",0,E837)+IF(E838="",0,E838)+IF(E839="",0,E839)+IF(E840="",0,E840)+IF(E847="",0,E847)+IF(E848="",0,E848)+IF(E849="",0,E849)+IF(E850="",0,E850)+IF(E857="",0,E857)+IF(E858="",0,E858)+IF(E859="",0,E859)+IF(E860="",0,E860),0)</f>
        <v>0</v>
      </c>
      <c r="K872" s="242"/>
      <c r="L872" s="176"/>
      <c r="M872" s="178"/>
      <c r="N872" s="139"/>
      <c r="O872" s="178"/>
      <c r="P872"/>
      <c r="Q872" s="241" t="s">
        <v>317</v>
      </c>
      <c r="R872" s="11">
        <f ca="1">IFERROR(IF(M767="",0,M767)+IF(M768="",0,M768)+IF(M769="",0,M769)+IF(M770="",0,M770)+IF(M777="",0,M777)+IF(M778="",0,M778)+IF(M779="",0,M779)+IF(M780="",0,M780)+IF(M787="",0,M787)+IF(M788="",0,M788)+IF(M789="",0,M789)+IF(M790="",0,M790)+IF(M797="",0,M797)+IF(M798="",0,M798)+IF(M799="",0,M799)+IF(M800="",0,M800)+IF(M807="",0,M807)+IF(M808="",0,M808)+IF(M809="",0,M809)+IF(M810="",0,M810)+IF(M817="",0,M817)+IF(M818="",0,M818)+IF(M819="",0,M819)+IF(M820="",0,M820)+IF(M827="",0,M827)+IF(M828="",0,M828)+IF(M829="",0,M829)+IF(M830="",0,M830)+IF(M837="",0,M837)+IF(M838="",0,M838)+IF(M839="",0,M839)+IF(M840="",0,M840)+IF(M847="",0,M847)+IF(M848="",0,M848)+IF(M849="",0,M849)+IF(M850="",0,M850)+IF(M857="",0,M857)+IF(M858="",0,M858)+IF(M859="",0,M859)+IF(M860="",0,M860),0)</f>
        <v>0</v>
      </c>
      <c r="Y872" s="241" t="s">
        <v>317</v>
      </c>
      <c r="Z872" s="11">
        <f ca="1">IFERROR(IF(U767="",0,U767)+IF(U768="",0,U768)+IF(U769="",0,U769)+IF(U770="",0,U770)+IF(U777="",0,U777)+IF(U778="",0,U778)+IF(U779="",0,U779)+IF(U780="",0,U780)+IF(U787="",0,U787)+IF(U788="",0,U788)+IF(U789="",0,U789)+IF(U790="",0,U790)+IF(U797="",0,U797)+IF(U798="",0,U798)+IF(U799="",0,U799)+IF(U800="",0,U800)+IF(U807="",0,U807)+IF(U808="",0,U808)+IF(U809="",0,U809)+IF(U810="",0,U810)+IF(U817="",0,U817)+IF(U818="",0,U818)+IF(U819="",0,U819)+IF(U820="",0,U820)+IF(U827="",0,U827)+IF(U828="",0,U828)+IF(U829="",0,U829)+IF(U830="",0,U830)+IF(U837="",0,U837)+IF(U838="",0,U838)+IF(U839="",0,U839)+IF(U840="",0,U840)+IF(U847="",0,U847)+IF(U848="",0,U848)+IF(U849="",0,U849)+IF(U850="",0,U850)+IF(U857="",0,U857)+IF(U858="",0,U858)+IF(U859="",0,U859)+IF(U860="",0,U860),0)</f>
        <v>0</v>
      </c>
    </row>
    <row r="873" spans="1:140" s="162" customFormat="1" ht="18" customHeight="1" thickBot="1">
      <c r="A873" s="140"/>
      <c r="B873" s="140"/>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row>
    <row r="874" spans="1:27" ht="31.4" customHeight="1" thickBot="1">
      <c r="A874" s="153"/>
      <c r="B874" s="153"/>
      <c r="C874"/>
      <c r="D874" s="474" t="s">
        <v>318</v>
      </c>
      <c r="E874" s="475"/>
      <c r="F874" s="475"/>
      <c r="G874" s="475"/>
      <c r="H874" s="475"/>
      <c r="I874" s="475"/>
      <c r="J874" s="475"/>
      <c r="K874" s="475"/>
      <c r="L874" s="475"/>
      <c r="M874" s="475"/>
      <c r="N874" s="475"/>
      <c r="O874" s="475"/>
      <c r="P874" s="475"/>
      <c r="Q874" s="475"/>
      <c r="R874" s="476"/>
      <c r="S874" s="162"/>
      <c r="T874" s="474"/>
      <c r="U874" s="475"/>
      <c r="V874" s="475"/>
      <c r="W874" s="475"/>
      <c r="X874" s="475"/>
      <c r="Y874" s="475"/>
      <c r="Z874" s="476"/>
      <c r="AA874"/>
    </row>
    <row r="875" spans="1:27" ht="21.75" customHeight="1" thickBot="1">
      <c r="A875" s="140"/>
      <c r="B875" s="140"/>
      <c r="C875"/>
      <c r="D875" s="530" t="s">
        <v>456</v>
      </c>
      <c r="E875" s="531"/>
      <c r="F875" s="531"/>
      <c r="G875" s="531"/>
      <c r="H875" s="531"/>
      <c r="I875" s="531"/>
      <c r="J875" s="531"/>
      <c r="K875" s="531"/>
      <c r="L875" s="531"/>
      <c r="M875" s="531"/>
      <c r="N875" s="531"/>
      <c r="O875" s="531"/>
      <c r="P875" s="531"/>
      <c r="Q875" s="532"/>
      <c r="R875" s="246"/>
      <c r="AA875"/>
    </row>
    <row r="876" spans="1:27" ht="21.75" customHeight="1">
      <c r="A876" s="140"/>
      <c r="B876" s="140"/>
      <c r="C876"/>
      <c r="D876" s="516" t="s">
        <v>320</v>
      </c>
      <c r="E876" s="517"/>
      <c r="F876" s="464"/>
      <c r="G876" s="524"/>
      <c r="H876" s="525"/>
      <c r="I876" s="250" t="s">
        <v>441</v>
      </c>
      <c r="J876"/>
      <c r="K876" s="245"/>
      <c r="L876" s="526" t="s">
        <v>321</v>
      </c>
      <c r="M876" s="527"/>
      <c r="N876" s="528" t="s">
        <v>322</v>
      </c>
      <c r="O876" s="528"/>
      <c r="P876" s="529" t="s">
        <v>323</v>
      </c>
      <c r="Q876" s="529"/>
      <c r="R876" s="245"/>
      <c r="AA876"/>
    </row>
    <row r="877" spans="1:18" ht="21.75" customHeight="1">
      <c r="A877" s="140"/>
      <c r="B877" s="140" t="s">
        <v>38</v>
      </c>
      <c r="D877" s="505" t="s">
        <v>455</v>
      </c>
      <c r="E877" s="506"/>
      <c r="F877" s="509"/>
      <c r="G877" s="510"/>
      <c r="H877" s="511"/>
      <c r="I877"/>
      <c r="J877"/>
      <c r="K877" s="245"/>
      <c r="L877" s="520" t="s">
        <v>325</v>
      </c>
      <c r="M877" s="521"/>
      <c r="N877" s="512" t="str">
        <f>LTDSelect</f>
        <v>SELECT PLAN</v>
      </c>
      <c r="O877" s="512"/>
      <c r="P877" s="513" t="str">
        <f>IFERROR(VLOOKUP(N877,BEGIN_Renew_LTD_PlanID:END_RENEW_LTD,9,FALSE),"--")</f>
        <v>--</v>
      </c>
      <c r="Q877" s="513"/>
      <c r="R877" s="251" t="s">
        <v>446</v>
      </c>
    </row>
    <row r="878" spans="1:18" ht="21.75" customHeight="1">
      <c r="A878" s="140"/>
      <c r="B878" s="140" t="s">
        <v>38</v>
      </c>
      <c r="D878" s="505" t="s">
        <v>324</v>
      </c>
      <c r="E878" s="506"/>
      <c r="F878" s="465" t="s">
        <v>454</v>
      </c>
      <c r="G878" s="463"/>
      <c r="H878" s="463"/>
      <c r="I878"/>
      <c r="J878"/>
      <c r="K878" s="245"/>
      <c r="L878" s="520" t="s">
        <v>326</v>
      </c>
      <c r="M878" s="521"/>
      <c r="N878" s="512" t="str">
        <f>STDSelect</f>
        <v>SELECT PLAN</v>
      </c>
      <c r="O878" s="512"/>
      <c r="P878" s="513" t="str">
        <f>IFERROR(VLOOKUP(N878,BEGIN_Renew_STD_PlanID:END_RENEW_STD,9,FALSE),"--")</f>
        <v>--</v>
      </c>
      <c r="Q878" s="513"/>
      <c r="R878" s="251" t="s">
        <v>442</v>
      </c>
    </row>
    <row r="879" spans="1:18" ht="21.75" customHeight="1" thickBot="1">
      <c r="A879" s="140"/>
      <c r="B879" s="140" t="s">
        <v>38</v>
      </c>
      <c r="D879" s="522" t="s">
        <v>457</v>
      </c>
      <c r="E879" s="523"/>
      <c r="F879" s="466"/>
      <c r="G879" s="463">
        <v>3</v>
      </c>
      <c r="H879" s="463" t="str">
        <f>IFERROR(IF(G879="","","Per EE per Month"),"")</f>
        <v>Per EE per Month</v>
      </c>
      <c r="I879"/>
      <c r="J879"/>
      <c r="K879" s="245"/>
      <c r="L879" s="520" t="s">
        <v>327</v>
      </c>
      <c r="M879" s="521"/>
      <c r="N879" s="512" t="str">
        <f>LifeSelect</f>
        <v>SELECT PLAN</v>
      </c>
      <c r="O879" s="512"/>
      <c r="P879" s="513" t="str">
        <f>IFERROR(VLOOKUP(N879,BEGIN_Renew_LIFE_PlanID:END_RENEW_LIFE,9,FALSE),"--")</f>
        <v>--</v>
      </c>
      <c r="Q879" s="513"/>
      <c r="R879" s="251" t="s">
        <v>443</v>
      </c>
    </row>
    <row r="880" spans="1:20" ht="13">
      <c r="A880" s="140"/>
      <c r="B880" s="140"/>
      <c r="G880" s="253"/>
      <c r="H880" s="253"/>
      <c r="I880"/>
      <c r="J880"/>
      <c r="K880" s="245"/>
      <c r="L880"/>
      <c r="M880"/>
      <c r="N880"/>
      <c r="O880"/>
      <c r="P880"/>
      <c r="Q880"/>
      <c r="R880"/>
      <c r="S880"/>
      <c r="T880"/>
    </row>
    <row r="881" spans="1:8" ht="13">
      <c r="A881" s="140"/>
      <c r="B881" s="140"/>
      <c r="G881" s="253"/>
      <c r="H881" s="253"/>
    </row>
    <row r="882" spans="1:22" ht="13">
      <c r="A882" s="140"/>
      <c r="B882" s="140"/>
      <c r="G882" s="253"/>
      <c r="H882" s="253"/>
      <c r="I882" s="256"/>
      <c r="J882" s="253"/>
      <c r="K882" s="253"/>
      <c r="L882" s="253"/>
      <c r="M882" s="253"/>
      <c r="N882" s="255"/>
      <c r="O882" s="253"/>
      <c r="P882" s="253"/>
      <c r="Q882" s="253"/>
      <c r="R882" s="253"/>
      <c r="S882" s="257"/>
      <c r="T882" s="257"/>
      <c r="U882" s="257"/>
      <c r="V882" s="257"/>
    </row>
    <row r="883" spans="1:22" ht="13">
      <c r="A883" s="140"/>
      <c r="B883" s="140"/>
      <c r="G883" s="253"/>
      <c r="H883" s="253"/>
      <c r="I883" s="256"/>
      <c r="J883" s="253"/>
      <c r="K883" s="253"/>
      <c r="L883" s="253"/>
      <c r="M883" s="253"/>
      <c r="N883" s="255"/>
      <c r="O883" s="253"/>
      <c r="P883" s="253"/>
      <c r="Q883" s="253"/>
      <c r="R883" s="253"/>
      <c r="S883" s="257"/>
      <c r="T883" s="257"/>
      <c r="U883" s="257"/>
      <c r="V883" s="257"/>
    </row>
    <row r="884" spans="1:22" ht="13">
      <c r="A884" s="140"/>
      <c r="B884" s="140"/>
      <c r="G884" s="253"/>
      <c r="H884" s="253"/>
      <c r="I884" s="256"/>
      <c r="J884" s="253"/>
      <c r="K884" s="253"/>
      <c r="L884" s="253"/>
      <c r="M884" s="253"/>
      <c r="N884" s="255"/>
      <c r="O884" s="253"/>
      <c r="P884" s="253"/>
      <c r="Q884" s="253"/>
      <c r="R884" s="253"/>
      <c r="S884" s="257"/>
      <c r="T884" s="257"/>
      <c r="U884" s="257"/>
      <c r="V884" s="257"/>
    </row>
    <row r="885" spans="1:22" ht="13">
      <c r="A885" s="140"/>
      <c r="B885" s="140"/>
      <c r="G885" s="253"/>
      <c r="H885" s="253"/>
      <c r="I885" s="256"/>
      <c r="J885" s="253"/>
      <c r="K885" s="253"/>
      <c r="L885" s="253"/>
      <c r="M885" s="253"/>
      <c r="N885" s="255"/>
      <c r="O885" s="253"/>
      <c r="P885" s="253"/>
      <c r="Q885" s="253"/>
      <c r="R885" s="253"/>
      <c r="S885" s="257"/>
      <c r="T885" s="257"/>
      <c r="U885" s="257"/>
      <c r="V885" s="257"/>
    </row>
    <row r="886" spans="1:22" ht="13">
      <c r="A886" s="140"/>
      <c r="B886" s="140"/>
      <c r="G886" s="253"/>
      <c r="H886" s="253"/>
      <c r="I886" s="256"/>
      <c r="J886" s="253"/>
      <c r="K886" s="253"/>
      <c r="L886" s="253"/>
      <c r="M886" s="253"/>
      <c r="N886" s="255"/>
      <c r="O886" s="253"/>
      <c r="P886" s="253"/>
      <c r="Q886" s="253"/>
      <c r="R886" s="253"/>
      <c r="S886" s="257"/>
      <c r="T886" s="257"/>
      <c r="U886" s="257"/>
      <c r="V886" s="257"/>
    </row>
    <row r="887" spans="1:22" ht="13">
      <c r="A887" s="140"/>
      <c r="B887" s="140"/>
      <c r="G887" s="253"/>
      <c r="H887" s="253"/>
      <c r="I887" s="256"/>
      <c r="J887" s="253"/>
      <c r="K887" s="253"/>
      <c r="L887" s="253"/>
      <c r="M887" s="253"/>
      <c r="N887" s="255"/>
      <c r="O887" s="253"/>
      <c r="P887" s="253"/>
      <c r="Q887" s="253"/>
      <c r="R887" s="253"/>
      <c r="S887" s="257"/>
      <c r="T887" s="257"/>
      <c r="U887" s="257"/>
      <c r="V887" s="257"/>
    </row>
    <row r="888" spans="1:22" ht="13">
      <c r="A888" s="140"/>
      <c r="B888" s="140"/>
      <c r="G888" s="253"/>
      <c r="H888" s="253"/>
      <c r="I888" s="256"/>
      <c r="J888" s="253"/>
      <c r="K888" s="253"/>
      <c r="L888" s="253"/>
      <c r="M888" s="253"/>
      <c r="N888" s="255"/>
      <c r="O888" s="253"/>
      <c r="P888" s="253"/>
      <c r="Q888" s="253"/>
      <c r="R888" s="253"/>
      <c r="S888" s="257"/>
      <c r="T888" s="257"/>
      <c r="U888" s="257"/>
      <c r="V888" s="257"/>
    </row>
    <row r="889" spans="1:22" ht="13">
      <c r="A889" s="140"/>
      <c r="B889" s="140"/>
      <c r="G889" s="253"/>
      <c r="H889" s="253"/>
      <c r="I889" s="256"/>
      <c r="J889" s="253"/>
      <c r="K889" s="253"/>
      <c r="L889" s="253"/>
      <c r="M889" s="253"/>
      <c r="N889" s="255"/>
      <c r="O889" s="253"/>
      <c r="P889" s="253"/>
      <c r="Q889" s="253"/>
      <c r="R889" s="253"/>
      <c r="S889" s="257"/>
      <c r="T889" s="257"/>
      <c r="U889" s="257"/>
      <c r="V889" s="257"/>
    </row>
    <row r="890" spans="1:22" ht="13">
      <c r="A890" s="140"/>
      <c r="B890" s="140"/>
      <c r="G890" s="253"/>
      <c r="H890" s="253"/>
      <c r="I890" s="256"/>
      <c r="J890" s="253"/>
      <c r="K890" s="253"/>
      <c r="L890" s="253"/>
      <c r="M890" s="253"/>
      <c r="N890" s="255"/>
      <c r="O890" s="253"/>
      <c r="P890" s="253"/>
      <c r="Q890" s="253"/>
      <c r="R890" s="253"/>
      <c r="S890" s="257"/>
      <c r="T890" s="257"/>
      <c r="U890" s="257"/>
      <c r="V890" s="257"/>
    </row>
    <row r="891" spans="1:22" ht="13">
      <c r="A891" s="140"/>
      <c r="B891" s="140"/>
      <c r="G891" s="253"/>
      <c r="H891" s="253"/>
      <c r="I891" s="256"/>
      <c r="J891" s="253"/>
      <c r="K891" s="253"/>
      <c r="L891" s="253"/>
      <c r="M891" s="253"/>
      <c r="N891" s="255"/>
      <c r="O891" s="253"/>
      <c r="P891" s="253"/>
      <c r="Q891" s="253"/>
      <c r="R891" s="253"/>
      <c r="S891" s="257"/>
      <c r="T891" s="257"/>
      <c r="U891" s="257"/>
      <c r="V891" s="257"/>
    </row>
    <row r="892" spans="1:22" ht="13">
      <c r="A892" s="140"/>
      <c r="B892" s="140"/>
      <c r="G892" s="253"/>
      <c r="H892" s="253"/>
      <c r="I892" s="256"/>
      <c r="J892" s="253"/>
      <c r="K892" s="253"/>
      <c r="L892" s="253"/>
      <c r="M892" s="253"/>
      <c r="N892" s="255"/>
      <c r="O892" s="253"/>
      <c r="P892" s="253"/>
      <c r="Q892" s="253"/>
      <c r="R892" s="253"/>
      <c r="S892" s="257"/>
      <c r="T892" s="257"/>
      <c r="U892" s="257"/>
      <c r="V892" s="257"/>
    </row>
    <row r="893" spans="1:22" ht="13">
      <c r="A893" s="140"/>
      <c r="B893" s="140"/>
      <c r="G893" s="253"/>
      <c r="H893" s="253"/>
      <c r="I893" s="256"/>
      <c r="J893" s="253"/>
      <c r="K893" s="253"/>
      <c r="L893" s="253"/>
      <c r="M893" s="253"/>
      <c r="N893" s="255"/>
      <c r="O893" s="253"/>
      <c r="P893" s="253"/>
      <c r="Q893" s="253"/>
      <c r="R893" s="253"/>
      <c r="S893" s="257"/>
      <c r="T893" s="257"/>
      <c r="U893" s="257"/>
      <c r="V893" s="257"/>
    </row>
    <row r="894" spans="1:22" ht="13">
      <c r="A894" s="140"/>
      <c r="B894" s="140"/>
      <c r="G894" s="253"/>
      <c r="H894" s="253"/>
      <c r="I894" s="256"/>
      <c r="J894" s="253"/>
      <c r="K894" s="253"/>
      <c r="L894" s="253"/>
      <c r="M894" s="253"/>
      <c r="N894" s="255"/>
      <c r="O894" s="253"/>
      <c r="P894" s="253"/>
      <c r="Q894" s="253"/>
      <c r="R894" s="253"/>
      <c r="S894" s="257"/>
      <c r="T894" s="257"/>
      <c r="U894" s="257"/>
      <c r="V894" s="257"/>
    </row>
    <row r="895" spans="1:22" ht="13">
      <c r="A895" s="140"/>
      <c r="B895" s="140"/>
      <c r="G895" s="253"/>
      <c r="H895" s="253"/>
      <c r="I895" s="256"/>
      <c r="J895" s="253"/>
      <c r="K895" s="253"/>
      <c r="L895" s="253"/>
      <c r="M895" s="253"/>
      <c r="N895" s="255"/>
      <c r="O895" s="253"/>
      <c r="P895" s="253"/>
      <c r="Q895" s="253"/>
      <c r="R895" s="253"/>
      <c r="S895" s="257"/>
      <c r="T895" s="257"/>
      <c r="U895" s="257"/>
      <c r="V895" s="257"/>
    </row>
    <row r="896" spans="1:22" ht="13">
      <c r="A896" s="140"/>
      <c r="B896" s="140"/>
      <c r="G896" s="253"/>
      <c r="H896" s="253"/>
      <c r="I896" s="256"/>
      <c r="J896" s="253"/>
      <c r="K896" s="253"/>
      <c r="L896" s="253"/>
      <c r="M896" s="253"/>
      <c r="N896" s="255"/>
      <c r="O896" s="253"/>
      <c r="P896" s="253"/>
      <c r="Q896" s="253"/>
      <c r="R896" s="253"/>
      <c r="S896" s="257"/>
      <c r="T896" s="257"/>
      <c r="U896" s="257"/>
      <c r="V896" s="257"/>
    </row>
    <row r="897" spans="1:22" ht="13">
      <c r="A897" s="140"/>
      <c r="B897" s="140"/>
      <c r="G897" s="253"/>
      <c r="H897" s="253"/>
      <c r="I897" s="256"/>
      <c r="J897" s="253"/>
      <c r="K897" s="253"/>
      <c r="L897" s="253"/>
      <c r="M897" s="253"/>
      <c r="N897" s="255"/>
      <c r="O897" s="253"/>
      <c r="P897" s="253"/>
      <c r="Q897" s="253"/>
      <c r="R897" s="253"/>
      <c r="S897" s="257"/>
      <c r="T897" s="257"/>
      <c r="U897" s="257"/>
      <c r="V897" s="257"/>
    </row>
    <row r="898" spans="1:22" ht="13">
      <c r="A898" s="140"/>
      <c r="B898" s="140"/>
      <c r="G898" s="253"/>
      <c r="H898" s="253"/>
      <c r="I898" s="256"/>
      <c r="J898" s="253"/>
      <c r="K898" s="253"/>
      <c r="L898" s="253"/>
      <c r="M898" s="253"/>
      <c r="N898" s="255"/>
      <c r="O898" s="253"/>
      <c r="P898" s="253"/>
      <c r="Q898" s="253"/>
      <c r="R898" s="253"/>
      <c r="S898" s="257"/>
      <c r="T898" s="257"/>
      <c r="U898" s="257"/>
      <c r="V898" s="257"/>
    </row>
    <row r="899" spans="1:22" ht="13">
      <c r="A899" s="140"/>
      <c r="B899" s="140"/>
      <c r="G899" s="253"/>
      <c r="H899" s="253"/>
      <c r="I899" s="256"/>
      <c r="J899" s="253"/>
      <c r="K899" s="253"/>
      <c r="L899" s="253"/>
      <c r="M899" s="253"/>
      <c r="N899" s="255"/>
      <c r="O899" s="253"/>
      <c r="P899" s="253"/>
      <c r="Q899" s="253"/>
      <c r="R899" s="253"/>
      <c r="S899" s="257"/>
      <c r="T899" s="257"/>
      <c r="U899" s="257"/>
      <c r="V899" s="257"/>
    </row>
    <row r="900" spans="1:22" ht="13">
      <c r="A900" s="140"/>
      <c r="B900" s="140"/>
      <c r="G900" s="253"/>
      <c r="H900" s="253"/>
      <c r="I900" s="256"/>
      <c r="J900" s="253"/>
      <c r="K900" s="253"/>
      <c r="L900" s="253"/>
      <c r="M900" s="253"/>
      <c r="N900" s="255"/>
      <c r="O900" s="253"/>
      <c r="P900" s="253"/>
      <c r="Q900" s="253"/>
      <c r="R900" s="253"/>
      <c r="S900" s="257"/>
      <c r="T900" s="257"/>
      <c r="U900" s="257"/>
      <c r="V900" s="257"/>
    </row>
    <row r="901" spans="1:22" ht="13">
      <c r="A901" s="140"/>
      <c r="B901" s="140"/>
      <c r="G901" s="253"/>
      <c r="H901" s="253"/>
      <c r="I901" s="256"/>
      <c r="J901" s="253"/>
      <c r="K901" s="253"/>
      <c r="L901" s="253"/>
      <c r="M901" s="253"/>
      <c r="N901" s="255"/>
      <c r="O901" s="253"/>
      <c r="P901" s="253"/>
      <c r="Q901" s="253"/>
      <c r="R901" s="253"/>
      <c r="S901" s="257"/>
      <c r="T901" s="257"/>
      <c r="U901" s="257"/>
      <c r="V901" s="257"/>
    </row>
    <row r="902" spans="1:22" ht="13">
      <c r="A902" s="140"/>
      <c r="B902" s="140"/>
      <c r="G902" s="253"/>
      <c r="H902" s="253"/>
      <c r="I902" s="256"/>
      <c r="J902" s="253"/>
      <c r="K902" s="253"/>
      <c r="L902" s="253"/>
      <c r="M902" s="253"/>
      <c r="N902" s="255"/>
      <c r="O902" s="253"/>
      <c r="P902" s="253"/>
      <c r="Q902" s="253"/>
      <c r="R902" s="253"/>
      <c r="S902" s="257"/>
      <c r="T902" s="257"/>
      <c r="U902" s="257"/>
      <c r="V902" s="257"/>
    </row>
    <row r="903" spans="1:22" ht="13">
      <c r="A903" s="140"/>
      <c r="B903" s="140"/>
      <c r="G903" s="253"/>
      <c r="H903" s="253"/>
      <c r="I903" s="256"/>
      <c r="J903" s="253"/>
      <c r="K903" s="253"/>
      <c r="L903" s="253"/>
      <c r="M903" s="253"/>
      <c r="N903" s="255"/>
      <c r="O903" s="253"/>
      <c r="P903" s="253"/>
      <c r="Q903" s="253"/>
      <c r="R903" s="253"/>
      <c r="S903" s="257"/>
      <c r="T903" s="257"/>
      <c r="U903" s="257"/>
      <c r="V903" s="257"/>
    </row>
    <row r="904" spans="1:22" ht="13">
      <c r="A904" s="140"/>
      <c r="B904" s="140"/>
      <c r="G904" s="253"/>
      <c r="H904" s="253"/>
      <c r="I904" s="256"/>
      <c r="J904" s="253"/>
      <c r="K904" s="253"/>
      <c r="L904" s="253"/>
      <c r="M904" s="253"/>
      <c r="N904" s="255"/>
      <c r="O904" s="253"/>
      <c r="P904" s="253"/>
      <c r="Q904" s="253"/>
      <c r="R904" s="253"/>
      <c r="S904" s="257"/>
      <c r="T904" s="257"/>
      <c r="U904" s="257"/>
      <c r="V904" s="257"/>
    </row>
    <row r="905" spans="1:22" ht="13">
      <c r="A905" s="140"/>
      <c r="B905" s="140"/>
      <c r="G905" s="253"/>
      <c r="H905" s="253"/>
      <c r="I905" s="256"/>
      <c r="J905" s="253"/>
      <c r="K905" s="253"/>
      <c r="L905" s="253"/>
      <c r="M905" s="253"/>
      <c r="N905" s="255"/>
      <c r="O905" s="253"/>
      <c r="P905" s="253"/>
      <c r="Q905" s="253"/>
      <c r="R905" s="253"/>
      <c r="S905" s="257"/>
      <c r="T905" s="257"/>
      <c r="U905" s="257"/>
      <c r="V905" s="257"/>
    </row>
    <row r="906" spans="1:22" ht="13">
      <c r="A906" s="140"/>
      <c r="B906" s="140"/>
      <c r="G906" s="253"/>
      <c r="H906" s="253"/>
      <c r="I906" s="256"/>
      <c r="J906" s="253"/>
      <c r="K906" s="253"/>
      <c r="L906" s="253"/>
      <c r="M906" s="253"/>
      <c r="N906" s="255"/>
      <c r="O906" s="253"/>
      <c r="P906" s="253"/>
      <c r="Q906" s="253"/>
      <c r="R906" s="253"/>
      <c r="S906" s="257"/>
      <c r="T906" s="257"/>
      <c r="U906" s="257"/>
      <c r="V906" s="257"/>
    </row>
    <row r="907" spans="1:22" ht="13">
      <c r="A907" s="140"/>
      <c r="B907" s="140"/>
      <c r="G907" s="253"/>
      <c r="H907" s="253"/>
      <c r="I907" s="256"/>
      <c r="J907" s="253"/>
      <c r="K907" s="253"/>
      <c r="L907" s="253"/>
      <c r="M907" s="253"/>
      <c r="N907" s="255"/>
      <c r="O907" s="253"/>
      <c r="P907" s="253"/>
      <c r="Q907" s="253"/>
      <c r="R907" s="253"/>
      <c r="S907" s="257"/>
      <c r="T907" s="257"/>
      <c r="U907" s="257"/>
      <c r="V907" s="257"/>
    </row>
    <row r="908" spans="1:22" ht="13">
      <c r="A908" s="140"/>
      <c r="B908" s="140"/>
      <c r="G908" s="253"/>
      <c r="H908" s="253"/>
      <c r="I908" s="256"/>
      <c r="J908" s="253"/>
      <c r="K908" s="253"/>
      <c r="L908" s="253"/>
      <c r="M908" s="253"/>
      <c r="N908" s="255"/>
      <c r="O908" s="253"/>
      <c r="P908" s="253"/>
      <c r="Q908" s="253"/>
      <c r="R908" s="253"/>
      <c r="S908" s="257"/>
      <c r="T908" s="257"/>
      <c r="U908" s="257"/>
      <c r="V908" s="257"/>
    </row>
    <row r="909" spans="1:22" ht="13">
      <c r="A909" s="140"/>
      <c r="B909" s="140"/>
      <c r="I909" s="256"/>
      <c r="J909" s="253"/>
      <c r="K909" s="253"/>
      <c r="L909" s="253"/>
      <c r="M909" s="253"/>
      <c r="N909" s="255"/>
      <c r="O909" s="253"/>
      <c r="P909" s="253"/>
      <c r="Q909" s="253"/>
      <c r="R909" s="253"/>
      <c r="S909" s="257"/>
      <c r="T909" s="257"/>
      <c r="U909" s="257"/>
      <c r="V909" s="257"/>
    </row>
    <row r="910" spans="1:22" ht="13">
      <c r="A910" s="140"/>
      <c r="B910" s="140"/>
      <c r="I910" s="256"/>
      <c r="J910" s="253"/>
      <c r="K910" s="253"/>
      <c r="L910" s="253"/>
      <c r="M910" s="253"/>
      <c r="N910" s="255"/>
      <c r="O910" s="253"/>
      <c r="P910" s="253"/>
      <c r="Q910" s="253"/>
      <c r="R910" s="253"/>
      <c r="S910" s="257"/>
      <c r="T910" s="257"/>
      <c r="U910" s="257"/>
      <c r="V910" s="257"/>
    </row>
    <row r="911" spans="1:2" ht="13">
      <c r="A911" s="140"/>
      <c r="B911" s="140"/>
    </row>
    <row r="912" spans="1:2" ht="13">
      <c r="A912" s="140"/>
      <c r="B912" s="140"/>
    </row>
    <row r="913" spans="1:2" ht="13">
      <c r="A913" s="140"/>
      <c r="B913" s="140"/>
    </row>
    <row r="914" spans="1:2" ht="13">
      <c r="A914" s="140"/>
      <c r="B914" s="140"/>
    </row>
    <row r="915" spans="1:2" ht="13">
      <c r="A915" s="140"/>
      <c r="B915" s="140"/>
    </row>
    <row r="916" spans="1:2" ht="13">
      <c r="A916" s="140"/>
      <c r="B916" s="140"/>
    </row>
    <row r="917" spans="1:2" ht="13">
      <c r="A917" s="140"/>
      <c r="B917" s="140"/>
    </row>
    <row r="918" spans="1:2" ht="13">
      <c r="A918" s="140"/>
      <c r="B918" s="140"/>
    </row>
    <row r="919" spans="1:2" ht="13">
      <c r="A919" s="140"/>
      <c r="B919" s="140"/>
    </row>
    <row r="920" spans="1:2" ht="13">
      <c r="A920" s="140"/>
      <c r="B920" s="140"/>
    </row>
    <row r="921" spans="1:2" ht="13">
      <c r="A921" s="140"/>
      <c r="B921" s="140"/>
    </row>
    <row r="922" spans="1:2" ht="13">
      <c r="A922" s="140"/>
      <c r="B922" s="140"/>
    </row>
    <row r="923" spans="1:2" ht="13">
      <c r="A923" s="140"/>
      <c r="B923" s="140"/>
    </row>
    <row r="924" spans="1:2" ht="13">
      <c r="A924" s="140"/>
      <c r="B924" s="140"/>
    </row>
    <row r="925" spans="1:2" ht="13">
      <c r="A925" s="140"/>
      <c r="B925" s="140"/>
    </row>
    <row r="926" spans="1:2" ht="13">
      <c r="A926" s="140"/>
      <c r="B926" s="140"/>
    </row>
    <row r="927" spans="1:2" ht="13">
      <c r="A927" s="140"/>
      <c r="B927" s="140"/>
    </row>
    <row r="928" spans="1:2" ht="13">
      <c r="A928" s="140"/>
      <c r="B928" s="140"/>
    </row>
    <row r="929" spans="1:2" ht="13">
      <c r="A929" s="140"/>
      <c r="B929" s="140"/>
    </row>
    <row r="930" spans="1:2" ht="13">
      <c r="A930" s="140"/>
      <c r="B930" s="140"/>
    </row>
    <row r="931" spans="1:2" ht="13">
      <c r="A931" s="140"/>
      <c r="B931" s="140"/>
    </row>
    <row r="932" spans="1:2" ht="13">
      <c r="A932" s="140"/>
      <c r="B932" s="140"/>
    </row>
    <row r="933" spans="1:2" ht="13">
      <c r="A933" s="140"/>
      <c r="B933" s="140"/>
    </row>
    <row r="934" spans="1:2" ht="13">
      <c r="A934" s="140"/>
      <c r="B934" s="140"/>
    </row>
    <row r="935" spans="1:2" ht="13">
      <c r="A935" s="140"/>
      <c r="B935" s="140"/>
    </row>
    <row r="936" spans="1:2" ht="13">
      <c r="A936" s="140"/>
      <c r="B936" s="140"/>
    </row>
    <row r="937" spans="1:2" ht="13">
      <c r="A937" s="140"/>
      <c r="B937" s="140"/>
    </row>
    <row r="938" spans="1:2" ht="13">
      <c r="A938" s="140"/>
      <c r="B938" s="140"/>
    </row>
    <row r="939" spans="1:2" ht="13">
      <c r="A939" s="140"/>
      <c r="B939" s="140"/>
    </row>
    <row r="940" spans="1:2" ht="13">
      <c r="A940" s="140"/>
      <c r="B940" s="140"/>
    </row>
    <row r="941" spans="1:2" ht="13">
      <c r="A941" s="140"/>
      <c r="B941" s="140"/>
    </row>
    <row r="942" spans="1:2" ht="13">
      <c r="A942" s="140"/>
      <c r="B942" s="140"/>
    </row>
    <row r="943" spans="1:2" ht="13">
      <c r="A943" s="140"/>
      <c r="B943" s="140"/>
    </row>
    <row r="944" spans="1:2" ht="13">
      <c r="A944" s="140"/>
      <c r="B944" s="140"/>
    </row>
    <row r="945" spans="1:2" ht="13">
      <c r="A945" s="140"/>
      <c r="B945" s="140"/>
    </row>
    <row r="946" spans="1:2" ht="13">
      <c r="A946" s="140"/>
      <c r="B946" s="140"/>
    </row>
    <row r="947" spans="1:2" ht="13">
      <c r="A947" s="140"/>
      <c r="B947" s="140"/>
    </row>
    <row r="948" spans="1:2" ht="13">
      <c r="A948" s="140"/>
      <c r="B948" s="140"/>
    </row>
    <row r="949" spans="1:2" ht="13">
      <c r="A949" s="140"/>
      <c r="B949" s="140"/>
    </row>
    <row r="950" spans="1:2" ht="13">
      <c r="A950" s="140"/>
      <c r="B950" s="140"/>
    </row>
    <row r="951" spans="1:2" ht="13">
      <c r="A951" s="140"/>
      <c r="B951" s="140"/>
    </row>
    <row r="952" spans="1:2" ht="13">
      <c r="A952" s="140"/>
      <c r="B952" s="140"/>
    </row>
    <row r="953" spans="1:2" ht="13">
      <c r="A953" s="140"/>
      <c r="B953" s="140"/>
    </row>
    <row r="954" spans="1:2" ht="13">
      <c r="A954" s="140"/>
      <c r="B954" s="140"/>
    </row>
    <row r="955" spans="1:2" ht="13">
      <c r="A955" s="140"/>
      <c r="B955" s="140"/>
    </row>
    <row r="956" spans="1:2" ht="13">
      <c r="A956" s="140"/>
      <c r="B956" s="140"/>
    </row>
    <row r="957" spans="1:2" ht="13">
      <c r="A957" s="140"/>
      <c r="B957" s="140"/>
    </row>
    <row r="958" spans="1:2" ht="13">
      <c r="A958" s="140"/>
      <c r="B958" s="140"/>
    </row>
    <row r="959" spans="1:2" ht="13">
      <c r="A959" s="140"/>
      <c r="B959" s="140"/>
    </row>
    <row r="960" spans="1:2" ht="13">
      <c r="A960" s="140"/>
      <c r="B960" s="140"/>
    </row>
    <row r="961" spans="1:2" ht="13">
      <c r="A961" s="140"/>
      <c r="B961" s="140"/>
    </row>
    <row r="962" spans="1:2" ht="13">
      <c r="A962" s="140"/>
      <c r="B962" s="140"/>
    </row>
    <row r="963" spans="1:2" ht="13">
      <c r="A963" s="140"/>
      <c r="B963" s="140"/>
    </row>
    <row r="964" spans="1:2" ht="13">
      <c r="A964" s="140"/>
      <c r="B964" s="140"/>
    </row>
    <row r="965" spans="1:2" ht="13">
      <c r="A965" s="140"/>
      <c r="B965" s="140"/>
    </row>
    <row r="966" spans="1:2" ht="13">
      <c r="A966" s="140"/>
      <c r="B966" s="140"/>
    </row>
    <row r="967" spans="1:2" ht="13">
      <c r="A967" s="140"/>
      <c r="B967" s="140"/>
    </row>
    <row r="968" spans="1:2" ht="13">
      <c r="A968" s="140"/>
      <c r="B968" s="140"/>
    </row>
    <row r="969" spans="1:2" ht="13">
      <c r="A969" s="140"/>
      <c r="B969" s="140"/>
    </row>
    <row r="970" spans="1:2" ht="13">
      <c r="A970" s="140"/>
      <c r="B970" s="140"/>
    </row>
    <row r="971" spans="1:2" ht="13">
      <c r="A971" s="140"/>
      <c r="B971" s="140"/>
    </row>
    <row r="972" spans="1:2" ht="13">
      <c r="A972" s="140"/>
      <c r="B972" s="140"/>
    </row>
    <row r="973" spans="1:2" ht="13">
      <c r="A973" s="140"/>
      <c r="B973" s="140"/>
    </row>
    <row r="974" spans="1:2" ht="13">
      <c r="A974" s="140"/>
      <c r="B974" s="140"/>
    </row>
    <row r="975" spans="1:2" ht="13">
      <c r="A975" s="140"/>
      <c r="B975" s="140"/>
    </row>
    <row r="976" spans="1:2" ht="13">
      <c r="A976" s="140"/>
      <c r="B976" s="140"/>
    </row>
    <row r="977" spans="1:2" ht="13">
      <c r="A977" s="140"/>
      <c r="B977" s="140"/>
    </row>
    <row r="978" spans="1:2" ht="13">
      <c r="A978" s="140"/>
      <c r="B978" s="140"/>
    </row>
    <row r="979" spans="1:2" ht="13">
      <c r="A979" s="140"/>
      <c r="B979" s="140"/>
    </row>
    <row r="980" spans="1:2" ht="13">
      <c r="A980" s="140"/>
      <c r="B980" s="140"/>
    </row>
    <row r="981" spans="1:2" ht="13">
      <c r="A981" s="140"/>
      <c r="B981" s="140"/>
    </row>
    <row r="982" spans="1:2" ht="13">
      <c r="A982" s="140"/>
      <c r="B982" s="140"/>
    </row>
    <row r="983" spans="1:2" ht="13">
      <c r="A983" s="140"/>
      <c r="B983" s="140"/>
    </row>
    <row r="984" spans="1:2" ht="13">
      <c r="A984" s="140"/>
      <c r="B984" s="140"/>
    </row>
    <row r="985" spans="1:2" ht="13">
      <c r="A985" s="140"/>
      <c r="B985" s="140"/>
    </row>
    <row r="986" spans="1:2" ht="13">
      <c r="A986" s="140"/>
      <c r="B986" s="140"/>
    </row>
    <row r="987" spans="1:2" ht="13">
      <c r="A987" s="140"/>
      <c r="B987" s="140"/>
    </row>
    <row r="988" spans="1:2" ht="13">
      <c r="A988" s="140"/>
      <c r="B988" s="140"/>
    </row>
    <row r="989" spans="1:2" ht="13">
      <c r="A989" s="140"/>
      <c r="B989" s="140"/>
    </row>
    <row r="990" spans="1:2" ht="13">
      <c r="A990" s="140"/>
      <c r="B990" s="140"/>
    </row>
    <row r="991" spans="1:2" ht="13">
      <c r="A991" s="140"/>
      <c r="B991" s="140"/>
    </row>
    <row r="992" spans="1:2" ht="13">
      <c r="A992" s="140"/>
      <c r="B992" s="140"/>
    </row>
    <row r="993" spans="1:2" ht="13">
      <c r="A993" s="140"/>
      <c r="B993" s="140"/>
    </row>
    <row r="994" spans="1:2" ht="13">
      <c r="A994" s="140"/>
      <c r="B994" s="140"/>
    </row>
    <row r="995" spans="1:2" ht="13">
      <c r="A995" s="140"/>
      <c r="B995" s="140"/>
    </row>
    <row r="996" spans="1:2" ht="13">
      <c r="A996" s="140"/>
      <c r="B996" s="140"/>
    </row>
    <row r="997" spans="1:2" ht="13">
      <c r="A997" s="140"/>
      <c r="B997" s="140"/>
    </row>
    <row r="998" spans="1:2" ht="13">
      <c r="A998" s="140"/>
      <c r="B998" s="140"/>
    </row>
    <row r="999" spans="1:2" ht="13">
      <c r="A999" s="140"/>
      <c r="B999" s="140"/>
    </row>
    <row r="1000" spans="1:2" ht="13">
      <c r="A1000" s="140"/>
      <c r="B1000" s="140"/>
    </row>
    <row r="1001" spans="1:2" ht="13">
      <c r="A1001" s="140"/>
      <c r="B1001" s="140"/>
    </row>
    <row r="1002" spans="1:2" ht="13">
      <c r="A1002" s="140"/>
      <c r="B1002" s="140"/>
    </row>
    <row r="1003" spans="1:2" ht="13">
      <c r="A1003" s="140"/>
      <c r="B1003" s="140"/>
    </row>
    <row r="1004" spans="1:2" ht="13">
      <c r="A1004" s="140"/>
      <c r="B1004" s="140"/>
    </row>
    <row r="1005" spans="1:2" ht="13">
      <c r="A1005" s="140"/>
      <c r="B1005" s="140"/>
    </row>
    <row r="1006" spans="1:2" ht="13">
      <c r="A1006" s="140"/>
      <c r="B1006" s="140"/>
    </row>
    <row r="1007" spans="1:2" ht="13">
      <c r="A1007" s="140"/>
      <c r="B1007" s="140"/>
    </row>
    <row r="1008" spans="1:2" ht="13">
      <c r="A1008" s="140"/>
      <c r="B1008" s="140"/>
    </row>
    <row r="1009" spans="1:2" ht="13">
      <c r="A1009" s="140"/>
      <c r="B1009" s="140"/>
    </row>
    <row r="1010" spans="1:2" ht="13">
      <c r="A1010" s="140"/>
      <c r="B1010" s="140"/>
    </row>
    <row r="1011" spans="1:2" ht="13">
      <c r="A1011" s="140"/>
      <c r="B1011" s="140"/>
    </row>
    <row r="1012" spans="1:2" ht="13">
      <c r="A1012" s="140"/>
      <c r="B1012" s="140"/>
    </row>
    <row r="1013" spans="1:2" ht="13">
      <c r="A1013" s="140"/>
      <c r="B1013" s="140"/>
    </row>
    <row r="1014" spans="1:2" ht="13">
      <c r="A1014" s="140"/>
      <c r="B1014" s="140"/>
    </row>
    <row r="1015" spans="1:2" ht="13">
      <c r="A1015" s="140"/>
      <c r="B1015" s="140"/>
    </row>
    <row r="1016" spans="1:2" ht="13">
      <c r="A1016" s="140"/>
      <c r="B1016" s="140"/>
    </row>
    <row r="1017" spans="1:2" ht="13">
      <c r="A1017" s="140"/>
      <c r="B1017" s="140"/>
    </row>
    <row r="1018" spans="1:2" ht="13">
      <c r="A1018" s="140"/>
      <c r="B1018" s="140"/>
    </row>
    <row r="1019" spans="1:2" ht="13">
      <c r="A1019" s="140"/>
      <c r="B1019" s="140"/>
    </row>
    <row r="1020" spans="1:2" ht="13">
      <c r="A1020" s="140"/>
      <c r="B1020" s="140"/>
    </row>
    <row r="1021" spans="1:2" ht="13">
      <c r="A1021" s="140"/>
      <c r="B1021" s="140"/>
    </row>
    <row r="1022" spans="1:2" ht="13">
      <c r="A1022" s="140"/>
      <c r="B1022" s="140"/>
    </row>
    <row r="1023" spans="1:2" ht="13">
      <c r="A1023" s="140"/>
      <c r="B1023" s="140"/>
    </row>
    <row r="1024" spans="1:2" ht="13">
      <c r="A1024" s="140"/>
      <c r="B1024" s="140"/>
    </row>
    <row r="1025" spans="1:2" ht="13">
      <c r="A1025" s="140"/>
      <c r="B1025" s="140"/>
    </row>
    <row r="1026" spans="1:2" ht="13">
      <c r="A1026" s="140"/>
      <c r="B1026" s="140"/>
    </row>
    <row r="1027" spans="1:2" ht="13">
      <c r="A1027" s="140"/>
      <c r="B1027" s="140"/>
    </row>
    <row r="1028" spans="1:2" ht="13">
      <c r="A1028" s="140"/>
      <c r="B1028" s="140"/>
    </row>
    <row r="1029" spans="1:2" ht="13">
      <c r="A1029" s="140"/>
      <c r="B1029" s="140"/>
    </row>
    <row r="1030" spans="1:2" ht="13">
      <c r="A1030" s="140"/>
      <c r="B1030" s="140"/>
    </row>
    <row r="1031" spans="1:2" ht="13">
      <c r="A1031" s="140"/>
      <c r="B1031" s="140"/>
    </row>
    <row r="1032" spans="1:2" ht="13">
      <c r="A1032" s="140"/>
      <c r="B1032" s="140"/>
    </row>
    <row r="1033" spans="1:2" ht="13">
      <c r="A1033" s="140"/>
      <c r="B1033" s="140"/>
    </row>
    <row r="1034" spans="1:2" ht="13">
      <c r="A1034" s="140"/>
      <c r="B1034" s="140"/>
    </row>
    <row r="1035" spans="1:2" ht="13">
      <c r="A1035" s="140"/>
      <c r="B1035" s="140"/>
    </row>
    <row r="1036" spans="1:2" ht="13">
      <c r="A1036" s="140"/>
      <c r="B1036" s="140"/>
    </row>
    <row r="1037" spans="1:2" ht="13">
      <c r="A1037" s="140"/>
      <c r="B1037" s="140"/>
    </row>
    <row r="1038" spans="1:2" ht="13">
      <c r="A1038" s="140"/>
      <c r="B1038" s="140"/>
    </row>
    <row r="1039" spans="1:2" ht="13">
      <c r="A1039" s="140"/>
      <c r="B1039" s="140"/>
    </row>
    <row r="1040" spans="1:2" ht="13">
      <c r="A1040" s="140"/>
      <c r="B1040" s="140"/>
    </row>
    <row r="1041" spans="1:2" ht="13">
      <c r="A1041" s="140"/>
      <c r="B1041" s="140"/>
    </row>
    <row r="1042" spans="1:2" ht="13">
      <c r="A1042" s="140"/>
      <c r="B1042" s="140"/>
    </row>
    <row r="1043" spans="1:2" ht="13">
      <c r="A1043" s="140"/>
      <c r="B1043" s="140"/>
    </row>
    <row r="1044" spans="1:2" ht="13">
      <c r="A1044" s="140"/>
      <c r="B1044" s="140"/>
    </row>
    <row r="1045" spans="1:2" ht="13">
      <c r="A1045" s="140"/>
      <c r="B1045" s="140"/>
    </row>
    <row r="1046" spans="1:2" ht="13">
      <c r="A1046" s="140"/>
      <c r="B1046" s="140"/>
    </row>
    <row r="1047" spans="1:2" ht="13">
      <c r="A1047" s="140"/>
      <c r="B1047" s="140"/>
    </row>
    <row r="1048" spans="1:2" ht="13">
      <c r="A1048" s="140"/>
      <c r="B1048" s="140"/>
    </row>
    <row r="1049" spans="1:2" ht="13">
      <c r="A1049" s="140"/>
      <c r="B1049" s="140"/>
    </row>
    <row r="1050" spans="1:2" ht="13">
      <c r="A1050" s="140"/>
      <c r="B1050" s="140"/>
    </row>
    <row r="1051" spans="1:2" ht="13">
      <c r="A1051" s="140"/>
      <c r="B1051" s="140"/>
    </row>
    <row r="1052" spans="1:2" ht="13">
      <c r="A1052" s="140"/>
      <c r="B1052" s="140"/>
    </row>
    <row r="1053" spans="1:2" ht="13">
      <c r="A1053" s="140"/>
      <c r="B1053" s="140"/>
    </row>
    <row r="1054" spans="1:2" ht="13">
      <c r="A1054" s="140"/>
      <c r="B1054" s="140"/>
    </row>
    <row r="1055" spans="1:2" ht="13">
      <c r="A1055" s="140"/>
      <c r="B1055" s="140"/>
    </row>
    <row r="1056" spans="1:2" ht="13">
      <c r="A1056" s="140"/>
      <c r="B1056" s="140"/>
    </row>
    <row r="1057" spans="1:2" ht="13">
      <c r="A1057" s="140"/>
      <c r="B1057" s="140"/>
    </row>
    <row r="1058" spans="1:2" ht="13">
      <c r="A1058" s="140"/>
      <c r="B1058" s="140"/>
    </row>
    <row r="1059" spans="1:2" ht="13">
      <c r="A1059" s="140"/>
      <c r="B1059" s="140"/>
    </row>
    <row r="1060" spans="1:2" ht="13">
      <c r="A1060" s="140"/>
      <c r="B1060" s="140"/>
    </row>
    <row r="1061" spans="1:2" ht="13">
      <c r="A1061" s="140"/>
      <c r="B1061" s="140"/>
    </row>
    <row r="1062" spans="1:2" ht="13">
      <c r="A1062" s="140"/>
      <c r="B1062" s="140"/>
    </row>
    <row r="1063" spans="1:2" ht="13">
      <c r="A1063" s="140"/>
      <c r="B1063" s="140"/>
    </row>
    <row r="1064" spans="1:2" ht="13">
      <c r="A1064" s="140"/>
      <c r="B1064" s="140"/>
    </row>
    <row r="1065" spans="1:2" ht="13">
      <c r="A1065" s="140"/>
      <c r="B1065" s="140"/>
    </row>
    <row r="1066" spans="1:2" ht="13">
      <c r="A1066" s="140"/>
      <c r="B1066" s="140"/>
    </row>
    <row r="1067" spans="1:2" ht="13">
      <c r="A1067" s="140"/>
      <c r="B1067" s="140"/>
    </row>
    <row r="1068" spans="1:2" ht="13">
      <c r="A1068" s="140"/>
      <c r="B1068" s="140"/>
    </row>
    <row r="1069" spans="1:2" ht="13">
      <c r="A1069" s="140"/>
      <c r="B1069" s="140"/>
    </row>
    <row r="1070" spans="1:2" ht="13">
      <c r="A1070" s="140"/>
      <c r="B1070" s="140"/>
    </row>
    <row r="1071" spans="1:2" ht="13">
      <c r="A1071" s="140"/>
      <c r="B1071" s="140"/>
    </row>
    <row r="1072" spans="1:2" ht="13">
      <c r="A1072" s="140"/>
      <c r="B1072" s="140"/>
    </row>
    <row r="1073" spans="1:2" ht="13">
      <c r="A1073" s="140"/>
      <c r="B1073" s="140"/>
    </row>
    <row r="1074" spans="1:2" ht="13">
      <c r="A1074" s="140"/>
      <c r="B1074" s="140"/>
    </row>
    <row r="1075" spans="1:2" ht="13">
      <c r="A1075" s="140"/>
      <c r="B1075" s="140"/>
    </row>
    <row r="1076" spans="1:2" ht="13">
      <c r="A1076" s="140"/>
      <c r="B1076" s="140"/>
    </row>
    <row r="1077" spans="1:2" ht="13">
      <c r="A1077" s="140"/>
      <c r="B1077" s="140"/>
    </row>
    <row r="1078" spans="1:2" ht="13">
      <c r="A1078" s="140"/>
      <c r="B1078" s="140"/>
    </row>
    <row r="1079" spans="1:2" ht="13">
      <c r="A1079" s="140"/>
      <c r="B1079" s="140"/>
    </row>
    <row r="1080" spans="1:2" ht="13">
      <c r="A1080" s="140"/>
      <c r="B1080" s="140"/>
    </row>
    <row r="1081" spans="1:2" ht="13">
      <c r="A1081" s="140"/>
      <c r="B1081" s="140"/>
    </row>
    <row r="1082" spans="1:2" ht="13">
      <c r="A1082" s="140"/>
      <c r="B1082" s="140"/>
    </row>
    <row r="1083" spans="1:2" ht="13">
      <c r="A1083" s="140"/>
      <c r="B1083" s="140"/>
    </row>
    <row r="1084" spans="1:2" ht="13">
      <c r="A1084" s="140"/>
      <c r="B1084" s="140"/>
    </row>
    <row r="1085" spans="1:2" ht="13">
      <c r="A1085" s="140"/>
      <c r="B1085" s="140"/>
    </row>
    <row r="1086" spans="1:2" ht="13">
      <c r="A1086" s="140"/>
      <c r="B1086" s="140"/>
    </row>
    <row r="1087" spans="1:2" ht="13">
      <c r="A1087" s="140"/>
      <c r="B1087" s="140"/>
    </row>
    <row r="1088" spans="1:2" ht="13">
      <c r="A1088" s="140"/>
      <c r="B1088" s="140"/>
    </row>
    <row r="1089" spans="1:2" ht="13">
      <c r="A1089" s="140"/>
      <c r="B1089" s="140"/>
    </row>
    <row r="1090" spans="1:2" ht="13">
      <c r="A1090" s="140"/>
      <c r="B1090" s="140"/>
    </row>
    <row r="1091" spans="1:2" ht="13">
      <c r="A1091" s="140"/>
      <c r="B1091" s="140"/>
    </row>
    <row r="1092" spans="1:2" ht="13">
      <c r="A1092" s="140"/>
      <c r="B1092" s="140"/>
    </row>
    <row r="1093" spans="1:2" ht="13">
      <c r="A1093" s="140"/>
      <c r="B1093" s="140"/>
    </row>
    <row r="1094" spans="1:2" ht="13">
      <c r="A1094" s="140"/>
      <c r="B1094" s="140"/>
    </row>
    <row r="1095" spans="1:2" ht="13">
      <c r="A1095" s="140"/>
      <c r="B1095" s="140"/>
    </row>
    <row r="1096" spans="1:2" ht="13">
      <c r="A1096" s="140"/>
      <c r="B1096" s="140"/>
    </row>
    <row r="1097" spans="1:2" ht="13">
      <c r="A1097" s="140"/>
      <c r="B1097" s="140"/>
    </row>
    <row r="1098" spans="1:2" ht="13">
      <c r="A1098" s="140"/>
      <c r="B1098" s="140"/>
    </row>
    <row r="1099" spans="1:2" ht="13">
      <c r="A1099" s="140"/>
      <c r="B1099" s="140"/>
    </row>
    <row r="1100" spans="1:2" ht="13">
      <c r="A1100" s="140"/>
      <c r="B1100" s="140"/>
    </row>
    <row r="1101" spans="1:2" ht="13">
      <c r="A1101" s="140"/>
      <c r="B1101" s="140"/>
    </row>
    <row r="1102" spans="1:2" ht="13">
      <c r="A1102" s="140"/>
      <c r="B1102" s="140"/>
    </row>
    <row r="1103" spans="1:2" ht="13">
      <c r="A1103" s="140"/>
      <c r="B1103" s="140"/>
    </row>
    <row r="1104" spans="1:2" ht="13">
      <c r="A1104" s="140"/>
      <c r="B1104" s="140"/>
    </row>
    <row r="1105" spans="1:2" ht="13">
      <c r="A1105" s="140"/>
      <c r="B1105" s="140"/>
    </row>
    <row r="1106" spans="1:2" ht="13">
      <c r="A1106" s="140"/>
      <c r="B1106" s="140"/>
    </row>
    <row r="1107" spans="1:2" ht="13">
      <c r="A1107" s="140"/>
      <c r="B1107" s="140"/>
    </row>
    <row r="1108" spans="1:2" ht="13">
      <c r="A1108" s="140"/>
      <c r="B1108" s="140"/>
    </row>
    <row r="1109" spans="1:2" ht="13">
      <c r="A1109" s="140"/>
      <c r="B1109" s="140"/>
    </row>
    <row r="1110" spans="1:2" ht="13">
      <c r="A1110" s="140"/>
      <c r="B1110" s="140"/>
    </row>
    <row r="1111" spans="1:2" ht="13">
      <c r="A1111" s="140"/>
      <c r="B1111" s="140"/>
    </row>
    <row r="1112" spans="1:2" ht="13">
      <c r="A1112" s="140"/>
      <c r="B1112" s="140"/>
    </row>
    <row r="1113" spans="1:2" ht="13">
      <c r="A1113" s="140"/>
      <c r="B1113" s="140"/>
    </row>
    <row r="1114" spans="1:2" ht="13">
      <c r="A1114" s="140"/>
      <c r="B1114" s="140"/>
    </row>
    <row r="1115" spans="1:2" ht="13">
      <c r="A1115" s="140"/>
      <c r="B1115" s="140"/>
    </row>
    <row r="1116" spans="1:2" ht="13">
      <c r="A1116" s="140"/>
      <c r="B1116" s="140"/>
    </row>
    <row r="1117" spans="1:2" ht="13">
      <c r="A1117" s="140"/>
      <c r="B1117" s="140"/>
    </row>
    <row r="1118" spans="1:2" ht="13">
      <c r="A1118" s="140"/>
      <c r="B1118" s="140"/>
    </row>
    <row r="1119" spans="1:2" ht="13">
      <c r="A1119" s="140"/>
      <c r="B1119" s="140"/>
    </row>
    <row r="1120" spans="1:2" ht="13">
      <c r="A1120" s="140"/>
      <c r="B1120" s="140"/>
    </row>
    <row r="1121" spans="1:2" ht="13">
      <c r="A1121" s="140"/>
      <c r="B1121" s="140"/>
    </row>
    <row r="1122" spans="1:2" ht="13">
      <c r="A1122" s="140"/>
      <c r="B1122" s="140"/>
    </row>
    <row r="1123" spans="1:2" ht="13">
      <c r="A1123" s="140"/>
      <c r="B1123" s="140"/>
    </row>
    <row r="1124" spans="1:2" ht="13">
      <c r="A1124" s="140"/>
      <c r="B1124" s="140"/>
    </row>
    <row r="1125" spans="1:2" ht="13">
      <c r="A1125" s="140"/>
      <c r="B1125" s="140"/>
    </row>
    <row r="1126" spans="1:2" ht="13">
      <c r="A1126" s="140"/>
      <c r="B1126" s="140"/>
    </row>
    <row r="1127" spans="1:2" ht="13">
      <c r="A1127" s="140"/>
      <c r="B1127" s="140"/>
    </row>
    <row r="1128" spans="1:2" ht="13">
      <c r="A1128" s="140"/>
      <c r="B1128" s="140"/>
    </row>
    <row r="1129" spans="1:2" ht="13">
      <c r="A1129" s="140"/>
      <c r="B1129" s="140"/>
    </row>
    <row r="1130" spans="1:2" ht="13">
      <c r="A1130" s="140"/>
      <c r="B1130" s="140"/>
    </row>
    <row r="1131" spans="1:2" ht="13">
      <c r="A1131" s="140"/>
      <c r="B1131" s="140"/>
    </row>
    <row r="1132" spans="1:2" ht="13">
      <c r="A1132" s="140"/>
      <c r="B1132" s="140"/>
    </row>
    <row r="1133" spans="1:2" ht="13">
      <c r="A1133" s="140"/>
      <c r="B1133" s="140"/>
    </row>
    <row r="1134" spans="1:2" ht="13">
      <c r="A1134" s="140"/>
      <c r="B1134" s="140"/>
    </row>
    <row r="1135" spans="1:2" ht="13">
      <c r="A1135" s="140"/>
      <c r="B1135" s="140"/>
    </row>
    <row r="1136" spans="1:2" ht="13">
      <c r="A1136" s="140"/>
      <c r="B1136" s="140"/>
    </row>
    <row r="1137" spans="1:2" ht="13">
      <c r="A1137" s="140"/>
      <c r="B1137" s="140"/>
    </row>
    <row r="1138" spans="1:2" ht="13">
      <c r="A1138" s="140"/>
      <c r="B1138" s="140"/>
    </row>
    <row r="1139" spans="1:2" ht="13">
      <c r="A1139" s="140"/>
      <c r="B1139" s="140"/>
    </row>
    <row r="1140" spans="1:2" ht="13">
      <c r="A1140" s="140"/>
      <c r="B1140" s="140"/>
    </row>
    <row r="1141" spans="1:2" ht="13">
      <c r="A1141" s="140"/>
      <c r="B1141" s="140"/>
    </row>
    <row r="1142" spans="1:2" ht="13">
      <c r="A1142" s="140"/>
      <c r="B1142" s="140"/>
    </row>
    <row r="1143" spans="1:2" ht="13">
      <c r="A1143" s="140"/>
      <c r="B1143" s="140"/>
    </row>
    <row r="1144" spans="1:2" ht="13">
      <c r="A1144" s="140"/>
      <c r="B1144" s="140"/>
    </row>
    <row r="1145" spans="1:2" ht="13">
      <c r="A1145" s="140"/>
      <c r="B1145" s="140"/>
    </row>
    <row r="1146" spans="1:2" ht="13">
      <c r="A1146" s="140"/>
      <c r="B1146" s="140"/>
    </row>
    <row r="1147" spans="1:2" ht="13">
      <c r="A1147" s="140"/>
      <c r="B1147" s="140"/>
    </row>
    <row r="1148" spans="1:2" ht="13">
      <c r="A1148" s="140"/>
      <c r="B1148" s="140"/>
    </row>
    <row r="1149" spans="1:2" ht="13">
      <c r="A1149" s="140"/>
      <c r="B1149" s="140"/>
    </row>
    <row r="1150" spans="1:2" ht="13">
      <c r="A1150" s="140"/>
      <c r="B1150" s="140"/>
    </row>
    <row r="1151" spans="1:2" ht="13">
      <c r="A1151" s="140"/>
      <c r="B1151" s="140"/>
    </row>
    <row r="1152" spans="1:2" ht="13">
      <c r="A1152" s="140"/>
      <c r="B1152" s="140"/>
    </row>
    <row r="1153" spans="1:2" ht="13">
      <c r="A1153" s="140"/>
      <c r="B1153" s="140"/>
    </row>
    <row r="1154" spans="1:2" ht="13">
      <c r="A1154" s="140"/>
      <c r="B1154" s="140"/>
    </row>
    <row r="1155" spans="1:2" ht="13">
      <c r="A1155" s="140"/>
      <c r="B1155" s="140"/>
    </row>
    <row r="1156" spans="1:2" ht="13">
      <c r="A1156" s="140"/>
      <c r="B1156" s="140"/>
    </row>
    <row r="1157" spans="1:2" ht="13">
      <c r="A1157" s="140"/>
      <c r="B1157" s="140"/>
    </row>
    <row r="1158" spans="1:2" ht="13">
      <c r="A1158" s="140"/>
      <c r="B1158" s="140"/>
    </row>
    <row r="1159" spans="1:2" ht="13">
      <c r="A1159" s="140"/>
      <c r="B1159" s="140"/>
    </row>
    <row r="1160" spans="1:2" ht="13">
      <c r="A1160" s="140"/>
      <c r="B1160" s="140"/>
    </row>
    <row r="1161" spans="1:2" ht="13">
      <c r="A1161" s="140"/>
      <c r="B1161" s="140"/>
    </row>
    <row r="1162" spans="1:2" ht="13">
      <c r="A1162" s="140"/>
      <c r="B1162" s="140"/>
    </row>
    <row r="1163" spans="1:2" ht="13">
      <c r="A1163" s="140"/>
      <c r="B1163" s="140"/>
    </row>
    <row r="1164" spans="1:2" ht="13">
      <c r="A1164" s="140"/>
      <c r="B1164" s="140"/>
    </row>
    <row r="1165" spans="1:2" ht="13">
      <c r="A1165" s="140"/>
      <c r="B1165" s="140"/>
    </row>
    <row r="1166" spans="1:2" ht="13">
      <c r="A1166" s="140"/>
      <c r="B1166" s="140"/>
    </row>
    <row r="1167" spans="1:2" ht="13">
      <c r="A1167" s="140"/>
      <c r="B1167" s="140"/>
    </row>
    <row r="1168" spans="1:2" ht="13">
      <c r="A1168" s="140"/>
      <c r="B1168" s="140"/>
    </row>
    <row r="1169" spans="1:2" ht="13">
      <c r="A1169" s="140"/>
      <c r="B1169" s="140"/>
    </row>
    <row r="1170" spans="1:2" ht="13">
      <c r="A1170" s="140"/>
      <c r="B1170" s="140"/>
    </row>
    <row r="1171" spans="1:2" ht="13">
      <c r="A1171" s="140"/>
      <c r="B1171" s="140"/>
    </row>
    <row r="1172" spans="1:2" ht="13">
      <c r="A1172" s="140"/>
      <c r="B1172" s="140"/>
    </row>
    <row r="1173" spans="1:2" ht="13">
      <c r="A1173" s="140"/>
      <c r="B1173" s="140"/>
    </row>
    <row r="1174" spans="1:2" ht="13">
      <c r="A1174" s="140"/>
      <c r="B1174" s="140"/>
    </row>
    <row r="1175" spans="1:2" ht="13">
      <c r="A1175" s="140"/>
      <c r="B1175" s="140"/>
    </row>
    <row r="1176" spans="1:2" ht="13">
      <c r="A1176" s="140"/>
      <c r="B1176" s="140"/>
    </row>
    <row r="1177" spans="1:2" ht="13">
      <c r="A1177" s="140"/>
      <c r="B1177" s="140"/>
    </row>
    <row r="1178" spans="1:2" ht="13">
      <c r="A1178" s="140"/>
      <c r="B1178" s="140"/>
    </row>
    <row r="1179" spans="1:2" ht="13">
      <c r="A1179" s="140"/>
      <c r="B1179" s="140"/>
    </row>
    <row r="1180" spans="1:2" ht="13">
      <c r="A1180" s="140"/>
      <c r="B1180" s="140"/>
    </row>
    <row r="1181" spans="1:2" ht="13">
      <c r="A1181" s="140"/>
      <c r="B1181" s="140"/>
    </row>
    <row r="1182" spans="1:2" ht="13">
      <c r="A1182" s="140"/>
      <c r="B1182" s="140"/>
    </row>
    <row r="1183" spans="1:2" ht="13">
      <c r="A1183" s="140"/>
      <c r="B1183" s="140"/>
    </row>
    <row r="1184" spans="1:2" ht="13">
      <c r="A1184" s="140"/>
      <c r="B1184" s="140"/>
    </row>
    <row r="1185" spans="1:2" ht="13">
      <c r="A1185" s="140"/>
      <c r="B1185" s="140"/>
    </row>
    <row r="1186" spans="1:2" ht="13">
      <c r="A1186" s="140"/>
      <c r="B1186" s="140"/>
    </row>
    <row r="1187" spans="1:2" ht="13">
      <c r="A1187" s="140"/>
      <c r="B1187" s="140"/>
    </row>
    <row r="1188" spans="1:2" ht="13">
      <c r="A1188" s="140"/>
      <c r="B1188" s="140"/>
    </row>
    <row r="1189" spans="1:2" ht="13">
      <c r="A1189" s="140"/>
      <c r="B1189" s="140"/>
    </row>
    <row r="1190" spans="1:2" ht="13">
      <c r="A1190" s="140"/>
      <c r="B1190" s="140"/>
    </row>
    <row r="1191" spans="1:2" ht="13">
      <c r="A1191" s="140"/>
      <c r="B1191" s="140"/>
    </row>
    <row r="1192" spans="1:2" ht="13">
      <c r="A1192" s="140"/>
      <c r="B1192" s="140"/>
    </row>
    <row r="1193" spans="1:2" ht="13">
      <c r="A1193" s="140"/>
      <c r="B1193" s="140"/>
    </row>
    <row r="1194" spans="1:2" ht="13">
      <c r="A1194" s="140"/>
      <c r="B1194" s="140"/>
    </row>
    <row r="1195" spans="1:2" ht="13">
      <c r="A1195" s="140"/>
      <c r="B1195" s="140"/>
    </row>
    <row r="1196" spans="1:2" ht="13">
      <c r="A1196" s="140"/>
      <c r="B1196" s="140"/>
    </row>
    <row r="1197" spans="1:2" ht="13">
      <c r="A1197" s="140"/>
      <c r="B1197" s="140"/>
    </row>
    <row r="1198" spans="1:2" ht="13">
      <c r="A1198" s="140"/>
      <c r="B1198" s="140"/>
    </row>
    <row r="1199" spans="1:2" ht="13">
      <c r="A1199" s="140"/>
      <c r="B1199" s="140"/>
    </row>
    <row r="1200" spans="1:2" ht="13">
      <c r="A1200" s="140"/>
      <c r="B1200" s="140"/>
    </row>
    <row r="1201" spans="1:2" ht="13">
      <c r="A1201" s="140"/>
      <c r="B1201" s="140"/>
    </row>
    <row r="1202" spans="1:2" ht="13">
      <c r="A1202" s="140"/>
      <c r="B1202" s="140"/>
    </row>
    <row r="1203" spans="1:2" ht="13">
      <c r="A1203" s="140"/>
      <c r="B1203" s="140"/>
    </row>
    <row r="1204" spans="1:2" ht="13">
      <c r="A1204" s="140"/>
      <c r="B1204" s="140"/>
    </row>
    <row r="1205" spans="1:2" ht="13">
      <c r="A1205" s="140"/>
      <c r="B1205" s="140"/>
    </row>
    <row r="1206" spans="1:2" ht="13">
      <c r="A1206" s="140"/>
      <c r="B1206" s="140"/>
    </row>
    <row r="1207" spans="1:2" ht="13">
      <c r="A1207" s="140"/>
      <c r="B1207" s="140"/>
    </row>
    <row r="1208" spans="1:2" ht="13">
      <c r="A1208" s="140"/>
      <c r="B1208" s="140"/>
    </row>
    <row r="1209" spans="1:2" ht="13">
      <c r="A1209" s="140"/>
      <c r="B1209" s="140"/>
    </row>
    <row r="1210" spans="1:2" ht="13">
      <c r="A1210" s="140"/>
      <c r="B1210" s="140"/>
    </row>
    <row r="1211" spans="1:2" ht="13">
      <c r="A1211" s="140"/>
      <c r="B1211" s="140"/>
    </row>
    <row r="1212" spans="1:2" ht="13">
      <c r="A1212" s="140"/>
      <c r="B1212" s="140"/>
    </row>
    <row r="1213" spans="1:2" ht="13">
      <c r="A1213" s="140"/>
      <c r="B1213" s="140"/>
    </row>
    <row r="1214" spans="1:2" ht="13">
      <c r="A1214" s="140"/>
      <c r="B1214" s="140"/>
    </row>
    <row r="1215" spans="1:2" ht="13">
      <c r="A1215" s="140"/>
      <c r="B1215" s="140"/>
    </row>
    <row r="1216" spans="1:2" ht="13">
      <c r="A1216" s="140"/>
      <c r="B1216" s="140"/>
    </row>
    <row r="1217" spans="1:2" ht="13">
      <c r="A1217" s="140"/>
      <c r="B1217" s="140"/>
    </row>
    <row r="1218" spans="1:2" ht="13">
      <c r="A1218" s="140"/>
      <c r="B1218" s="140"/>
    </row>
    <row r="1219" spans="1:2" ht="13">
      <c r="A1219" s="140"/>
      <c r="B1219" s="140"/>
    </row>
    <row r="1220" spans="1:2" ht="13">
      <c r="A1220" s="140"/>
      <c r="B1220" s="140"/>
    </row>
    <row r="1221" spans="1:2" ht="13">
      <c r="A1221" s="140"/>
      <c r="B1221" s="140"/>
    </row>
    <row r="1222" spans="1:2" ht="13">
      <c r="A1222" s="140"/>
      <c r="B1222" s="140"/>
    </row>
    <row r="1223" spans="1:2" ht="13">
      <c r="A1223" s="140"/>
      <c r="B1223" s="140"/>
    </row>
    <row r="1224" spans="1:2" ht="13">
      <c r="A1224" s="140"/>
      <c r="B1224" s="140"/>
    </row>
    <row r="1225" spans="1:2" ht="13">
      <c r="A1225" s="140"/>
      <c r="B1225" s="140"/>
    </row>
    <row r="1226" spans="1:2" ht="13">
      <c r="A1226" s="140"/>
      <c r="B1226" s="140"/>
    </row>
    <row r="1227" spans="1:2" ht="13">
      <c r="A1227" s="140"/>
      <c r="B1227" s="140"/>
    </row>
    <row r="1228" spans="1:2" ht="13">
      <c r="A1228" s="140"/>
      <c r="B1228" s="140"/>
    </row>
    <row r="1229" spans="1:2" ht="13">
      <c r="A1229" s="140"/>
      <c r="B1229" s="140"/>
    </row>
    <row r="1230" spans="1:2" ht="13">
      <c r="A1230" s="140"/>
      <c r="B1230" s="140"/>
    </row>
    <row r="1231" spans="1:2" ht="13">
      <c r="A1231" s="140"/>
      <c r="B1231" s="140"/>
    </row>
    <row r="1232" spans="1:2" ht="13">
      <c r="A1232" s="140"/>
      <c r="B1232" s="140"/>
    </row>
    <row r="1233" spans="1:2" ht="13">
      <c r="A1233" s="140"/>
      <c r="B1233" s="140"/>
    </row>
    <row r="1234" spans="1:2" ht="13">
      <c r="A1234" s="140"/>
      <c r="B1234" s="140"/>
    </row>
    <row r="1235" spans="1:2" ht="13">
      <c r="A1235" s="140"/>
      <c r="B1235" s="140"/>
    </row>
    <row r="1236" spans="1:2" ht="13">
      <c r="A1236" s="140"/>
      <c r="B1236" s="140"/>
    </row>
    <row r="1237" spans="1:2" ht="13">
      <c r="A1237" s="140"/>
      <c r="B1237" s="140"/>
    </row>
    <row r="1238" spans="1:2" ht="13">
      <c r="A1238" s="140"/>
      <c r="B1238" s="140"/>
    </row>
    <row r="1239" spans="1:2" ht="13">
      <c r="A1239" s="140"/>
      <c r="B1239" s="140"/>
    </row>
    <row r="1240" spans="1:2" ht="13">
      <c r="A1240" s="140"/>
      <c r="B1240" s="140"/>
    </row>
    <row r="1241" spans="1:2" ht="13">
      <c r="A1241" s="140"/>
      <c r="B1241" s="140"/>
    </row>
    <row r="1242" spans="1:2" ht="13">
      <c r="A1242" s="140"/>
      <c r="B1242" s="140"/>
    </row>
    <row r="1243" spans="1:2" ht="13">
      <c r="A1243" s="140"/>
      <c r="B1243" s="140"/>
    </row>
    <row r="1244" spans="1:2" ht="13">
      <c r="A1244" s="140"/>
      <c r="B1244" s="140"/>
    </row>
    <row r="1245" spans="1:2" ht="13">
      <c r="A1245" s="140"/>
      <c r="B1245" s="140"/>
    </row>
    <row r="1246" spans="1:2" ht="13">
      <c r="A1246" s="140"/>
      <c r="B1246" s="140"/>
    </row>
    <row r="1247" spans="1:2" ht="13">
      <c r="A1247" s="140"/>
      <c r="B1247" s="140"/>
    </row>
    <row r="1248" spans="1:2" ht="13">
      <c r="A1248" s="140"/>
      <c r="B1248" s="140"/>
    </row>
    <row r="1249" spans="1:2" ht="13">
      <c r="A1249" s="140"/>
      <c r="B1249" s="140"/>
    </row>
    <row r="1250" spans="1:2" ht="13">
      <c r="A1250" s="140"/>
      <c r="B1250" s="140"/>
    </row>
    <row r="1251" spans="1:2" ht="13">
      <c r="A1251" s="140"/>
      <c r="B1251" s="140"/>
    </row>
    <row r="1252" spans="1:2" ht="13">
      <c r="A1252" s="140"/>
      <c r="B1252" s="140"/>
    </row>
    <row r="1253" spans="1:2" ht="13">
      <c r="A1253" s="140"/>
      <c r="B1253" s="140"/>
    </row>
    <row r="1254" spans="1:2" ht="13">
      <c r="A1254" s="140"/>
      <c r="B1254" s="140"/>
    </row>
    <row r="1255" spans="1:2" ht="13">
      <c r="A1255" s="140"/>
      <c r="B1255" s="140"/>
    </row>
    <row r="1256" spans="1:2" ht="13">
      <c r="A1256" s="140"/>
      <c r="B1256" s="140"/>
    </row>
    <row r="1257" spans="1:2" ht="13">
      <c r="A1257" s="140"/>
      <c r="B1257" s="140"/>
    </row>
    <row r="1258" spans="1:2" ht="13">
      <c r="A1258" s="140"/>
      <c r="B1258" s="140"/>
    </row>
    <row r="1259" spans="1:2" ht="13">
      <c r="A1259" s="140"/>
      <c r="B1259" s="140"/>
    </row>
    <row r="1260" spans="1:2" ht="13">
      <c r="A1260" s="140"/>
      <c r="B1260" s="140"/>
    </row>
    <row r="1261" spans="1:2" ht="13">
      <c r="A1261" s="140"/>
      <c r="B1261" s="140"/>
    </row>
    <row r="1262" spans="1:2" ht="13">
      <c r="A1262" s="140"/>
      <c r="B1262" s="140"/>
    </row>
    <row r="1263" spans="1:2" ht="13">
      <c r="A1263" s="140"/>
      <c r="B1263" s="140"/>
    </row>
    <row r="1264" spans="1:2" ht="13">
      <c r="A1264" s="140"/>
      <c r="B1264" s="140"/>
    </row>
    <row r="1265" spans="1:2" ht="13">
      <c r="A1265" s="140"/>
      <c r="B1265" s="140"/>
    </row>
    <row r="1266" spans="1:2" ht="13">
      <c r="A1266" s="140"/>
      <c r="B1266" s="140"/>
    </row>
    <row r="1267" spans="1:2" ht="13">
      <c r="A1267" s="140"/>
      <c r="B1267" s="140"/>
    </row>
    <row r="1268" spans="1:2" ht="13">
      <c r="A1268" s="140"/>
      <c r="B1268" s="140"/>
    </row>
    <row r="1269" spans="1:2" ht="13">
      <c r="A1269" s="140"/>
      <c r="B1269" s="140"/>
    </row>
    <row r="1270" spans="1:2" ht="13">
      <c r="A1270" s="140"/>
      <c r="B1270" s="140"/>
    </row>
    <row r="1271" spans="1:2" ht="13">
      <c r="A1271" s="140"/>
      <c r="B1271" s="140"/>
    </row>
    <row r="1272" spans="1:2" ht="13">
      <c r="A1272" s="140"/>
      <c r="B1272" s="140"/>
    </row>
    <row r="1273" spans="1:2" ht="13">
      <c r="A1273" s="140"/>
      <c r="B1273" s="140"/>
    </row>
    <row r="1274" spans="1:2" ht="13">
      <c r="A1274" s="140"/>
      <c r="B1274" s="140"/>
    </row>
    <row r="1275" spans="1:2" ht="13">
      <c r="A1275" s="140"/>
      <c r="B1275" s="140"/>
    </row>
    <row r="1276" spans="1:2" ht="13">
      <c r="A1276" s="140"/>
      <c r="B1276" s="140"/>
    </row>
    <row r="1277" spans="1:2" ht="13">
      <c r="A1277" s="140"/>
      <c r="B1277" s="140"/>
    </row>
    <row r="1278" spans="1:2" ht="13">
      <c r="A1278" s="140"/>
      <c r="B1278" s="140"/>
    </row>
    <row r="1279" spans="1:2" ht="13">
      <c r="A1279" s="140"/>
      <c r="B1279" s="140"/>
    </row>
    <row r="1280" spans="1:2" ht="13">
      <c r="A1280" s="140"/>
      <c r="B1280" s="140"/>
    </row>
    <row r="1281" spans="1:2" ht="13">
      <c r="A1281" s="140"/>
      <c r="B1281" s="140"/>
    </row>
    <row r="1282" spans="1:2" ht="13">
      <c r="A1282" s="140"/>
      <c r="B1282" s="140"/>
    </row>
    <row r="1283" spans="1:2" ht="13">
      <c r="A1283" s="140"/>
      <c r="B1283" s="140"/>
    </row>
    <row r="1284" spans="1:2" ht="13">
      <c r="A1284" s="140"/>
      <c r="B1284" s="140"/>
    </row>
    <row r="1285" spans="1:2" ht="13">
      <c r="A1285" s="140"/>
      <c r="B1285" s="140"/>
    </row>
    <row r="1286" spans="1:2" ht="13">
      <c r="A1286" s="140"/>
      <c r="B1286" s="140"/>
    </row>
    <row r="1287" spans="1:2" ht="13">
      <c r="A1287" s="140"/>
      <c r="B1287" s="140"/>
    </row>
    <row r="1288" spans="1:2" ht="13">
      <c r="A1288" s="140"/>
      <c r="B1288" s="140"/>
    </row>
    <row r="1289" spans="1:2" ht="13">
      <c r="A1289" s="140"/>
      <c r="B1289" s="140"/>
    </row>
    <row r="1290" spans="1:2" ht="13">
      <c r="A1290" s="140"/>
      <c r="B1290" s="140"/>
    </row>
    <row r="1291" spans="1:2" ht="13">
      <c r="A1291" s="140"/>
      <c r="B1291" s="140"/>
    </row>
    <row r="1292" spans="1:2" ht="13">
      <c r="A1292" s="140"/>
      <c r="B1292" s="140"/>
    </row>
    <row r="1293" spans="1:2" ht="13">
      <c r="A1293" s="140"/>
      <c r="B1293" s="140"/>
    </row>
    <row r="1294" spans="1:2" ht="13">
      <c r="A1294" s="140"/>
      <c r="B1294" s="140"/>
    </row>
    <row r="1295" spans="1:2" ht="13">
      <c r="A1295" s="140"/>
      <c r="B1295" s="140"/>
    </row>
    <row r="1296" spans="1:2" ht="13">
      <c r="A1296" s="140"/>
      <c r="B1296" s="140"/>
    </row>
    <row r="1297" spans="1:2" ht="13">
      <c r="A1297" s="140"/>
      <c r="B1297" s="140"/>
    </row>
    <row r="1298" spans="1:2" ht="13">
      <c r="A1298" s="140"/>
      <c r="B1298" s="140"/>
    </row>
    <row r="1299" spans="1:2" ht="13">
      <c r="A1299" s="140"/>
      <c r="B1299" s="140"/>
    </row>
    <row r="1300" spans="1:2" ht="13">
      <c r="A1300" s="140"/>
      <c r="B1300" s="140"/>
    </row>
    <row r="1301" spans="1:2" ht="13">
      <c r="A1301" s="140"/>
      <c r="B1301" s="140"/>
    </row>
    <row r="1302" spans="1:2" ht="13">
      <c r="A1302" s="140"/>
      <c r="B1302" s="140"/>
    </row>
    <row r="1303" spans="1:2" ht="13">
      <c r="A1303" s="140"/>
      <c r="B1303" s="140"/>
    </row>
    <row r="1304" spans="1:2" ht="13">
      <c r="A1304" s="140"/>
      <c r="B1304" s="140"/>
    </row>
    <row r="1305" spans="1:2" ht="13">
      <c r="A1305" s="140"/>
      <c r="B1305" s="140"/>
    </row>
    <row r="1306" spans="1:2" ht="13">
      <c r="A1306" s="140"/>
      <c r="B1306" s="140"/>
    </row>
    <row r="1307" spans="1:2" ht="13">
      <c r="A1307" s="140"/>
      <c r="B1307" s="140"/>
    </row>
    <row r="1308" spans="1:2" ht="13">
      <c r="A1308" s="140"/>
      <c r="B1308" s="140"/>
    </row>
    <row r="1309" spans="1:2" ht="13">
      <c r="A1309" s="140"/>
      <c r="B1309" s="140"/>
    </row>
    <row r="1310" spans="1:2" ht="13">
      <c r="A1310" s="140"/>
      <c r="B1310" s="140"/>
    </row>
    <row r="1311" spans="1:2" ht="13">
      <c r="A1311" s="140"/>
      <c r="B1311" s="140"/>
    </row>
    <row r="1312" spans="1:2" ht="13">
      <c r="A1312" s="140"/>
      <c r="B1312" s="140"/>
    </row>
    <row r="1313" spans="1:2" ht="13">
      <c r="A1313" s="140"/>
      <c r="B1313" s="140"/>
    </row>
    <row r="1314" spans="1:2" ht="13">
      <c r="A1314" s="140"/>
      <c r="B1314" s="140"/>
    </row>
    <row r="1315" spans="1:2" ht="13">
      <c r="A1315" s="140"/>
      <c r="B1315" s="140"/>
    </row>
    <row r="1316" spans="1:2" ht="13">
      <c r="A1316" s="140"/>
      <c r="B1316" s="140"/>
    </row>
    <row r="1317" spans="1:2" ht="13">
      <c r="A1317" s="140"/>
      <c r="B1317" s="140"/>
    </row>
    <row r="1318" spans="1:2" ht="13">
      <c r="A1318" s="140"/>
      <c r="B1318" s="140"/>
    </row>
    <row r="1319" spans="1:2" ht="13">
      <c r="A1319" s="140"/>
      <c r="B1319" s="140"/>
    </row>
    <row r="1320" spans="1:2" ht="13">
      <c r="A1320" s="140"/>
      <c r="B1320" s="140"/>
    </row>
    <row r="1321" spans="1:2" ht="13">
      <c r="A1321" s="140"/>
      <c r="B1321" s="140"/>
    </row>
    <row r="1322" spans="1:2" ht="13">
      <c r="A1322" s="140"/>
      <c r="B1322" s="140"/>
    </row>
    <row r="1323" spans="1:2" ht="13">
      <c r="A1323" s="140"/>
      <c r="B1323" s="140"/>
    </row>
    <row r="1324" spans="1:2" ht="13">
      <c r="A1324" s="140"/>
      <c r="B1324" s="140"/>
    </row>
    <row r="1325" spans="1:2" ht="13">
      <c r="A1325" s="140"/>
      <c r="B1325" s="140"/>
    </row>
    <row r="1326" spans="1:2" ht="13">
      <c r="A1326" s="140"/>
      <c r="B1326" s="140"/>
    </row>
    <row r="1327" spans="1:2" ht="13">
      <c r="A1327" s="140"/>
      <c r="B1327" s="140"/>
    </row>
    <row r="1328" spans="1:2" ht="13">
      <c r="A1328" s="140"/>
      <c r="B1328" s="140"/>
    </row>
    <row r="1329" spans="1:2" ht="13">
      <c r="A1329" s="140"/>
      <c r="B1329" s="140"/>
    </row>
    <row r="1330" spans="1:2" ht="13">
      <c r="A1330" s="140"/>
      <c r="B1330" s="140"/>
    </row>
    <row r="1331" spans="1:2" ht="13">
      <c r="A1331" s="140"/>
      <c r="B1331" s="140"/>
    </row>
    <row r="1332" spans="1:2" ht="13">
      <c r="A1332" s="140"/>
      <c r="B1332" s="140"/>
    </row>
    <row r="1333" spans="1:2" ht="13">
      <c r="A1333" s="140"/>
      <c r="B1333" s="140"/>
    </row>
    <row r="1334" spans="1:2" ht="13">
      <c r="A1334" s="140"/>
      <c r="B1334" s="140"/>
    </row>
    <row r="1335" spans="1:2" ht="13">
      <c r="A1335" s="140"/>
      <c r="B1335" s="140"/>
    </row>
    <row r="1336" spans="1:2" ht="13">
      <c r="A1336" s="140"/>
      <c r="B1336" s="140"/>
    </row>
    <row r="1337" spans="1:2" ht="13">
      <c r="A1337" s="140"/>
      <c r="B1337" s="140"/>
    </row>
    <row r="1338" spans="1:2" ht="13">
      <c r="A1338" s="140"/>
      <c r="B1338" s="140"/>
    </row>
    <row r="1339" spans="1:2" ht="13">
      <c r="A1339" s="140"/>
      <c r="B1339" s="140"/>
    </row>
    <row r="1340" spans="1:2" ht="13">
      <c r="A1340" s="140"/>
      <c r="B1340" s="140"/>
    </row>
    <row r="1341" spans="1:2" ht="13">
      <c r="A1341" s="140"/>
      <c r="B1341" s="140"/>
    </row>
    <row r="1342" spans="1:2" ht="13">
      <c r="A1342" s="140"/>
      <c r="B1342" s="140"/>
    </row>
    <row r="1343" spans="1:2" ht="13">
      <c r="A1343" s="140"/>
      <c r="B1343" s="140"/>
    </row>
    <row r="1344" spans="1:2" ht="13">
      <c r="A1344" s="140"/>
      <c r="B1344" s="140"/>
    </row>
    <row r="1345" spans="1:2" ht="13">
      <c r="A1345" s="140"/>
      <c r="B1345" s="140"/>
    </row>
    <row r="1346" spans="1:2" ht="13">
      <c r="A1346" s="140"/>
      <c r="B1346" s="140"/>
    </row>
    <row r="1347" spans="1:2" ht="13">
      <c r="A1347" s="140"/>
      <c r="B1347" s="140"/>
    </row>
    <row r="1348" spans="1:2" ht="13">
      <c r="A1348" s="140"/>
      <c r="B1348" s="140"/>
    </row>
    <row r="1349" spans="1:2" ht="13">
      <c r="A1349" s="140"/>
      <c r="B1349" s="140"/>
    </row>
    <row r="1350" spans="1:2" ht="13">
      <c r="A1350" s="140"/>
      <c r="B1350" s="140"/>
    </row>
    <row r="1351" spans="1:2" ht="13">
      <c r="A1351" s="140"/>
      <c r="B1351" s="140"/>
    </row>
    <row r="1352" spans="1:2" ht="13">
      <c r="A1352" s="140"/>
      <c r="B1352" s="140"/>
    </row>
    <row r="1353" spans="1:2" ht="13">
      <c r="A1353" s="140"/>
      <c r="B1353" s="140"/>
    </row>
    <row r="1354" spans="1:2" ht="13">
      <c r="A1354" s="140"/>
      <c r="B1354" s="140"/>
    </row>
    <row r="1355" spans="1:2" ht="13">
      <c r="A1355" s="140"/>
      <c r="B1355" s="140"/>
    </row>
    <row r="1356" spans="1:2" ht="13">
      <c r="A1356" s="140"/>
      <c r="B1356" s="140"/>
    </row>
    <row r="1357" spans="1:2" ht="13">
      <c r="A1357" s="140"/>
      <c r="B1357" s="140"/>
    </row>
    <row r="1358" spans="1:2" ht="13">
      <c r="A1358" s="140"/>
      <c r="B1358" s="140"/>
    </row>
    <row r="1359" spans="1:2" ht="13">
      <c r="A1359" s="140"/>
      <c r="B1359" s="140"/>
    </row>
    <row r="1360" spans="1:2" ht="13">
      <c r="A1360" s="140"/>
      <c r="B1360" s="140"/>
    </row>
    <row r="1361" spans="1:2" ht="13">
      <c r="A1361" s="140"/>
      <c r="B1361" s="140"/>
    </row>
    <row r="1362" spans="1:2" ht="13">
      <c r="A1362" s="140"/>
      <c r="B1362" s="140"/>
    </row>
    <row r="1363" spans="1:2" ht="13">
      <c r="A1363" s="140"/>
      <c r="B1363" s="140"/>
    </row>
    <row r="1364" spans="1:2" ht="13">
      <c r="A1364" s="140"/>
      <c r="B1364" s="140"/>
    </row>
    <row r="1365" spans="1:2" ht="13">
      <c r="A1365" s="140"/>
      <c r="B1365" s="140"/>
    </row>
    <row r="1366" spans="1:2" ht="13">
      <c r="A1366" s="140"/>
      <c r="B1366" s="140"/>
    </row>
    <row r="1367" spans="1:2" ht="13">
      <c r="A1367" s="140"/>
      <c r="B1367" s="140"/>
    </row>
    <row r="1368" spans="1:2" ht="13">
      <c r="A1368" s="140"/>
      <c r="B1368" s="140"/>
    </row>
    <row r="1369" spans="1:2" ht="13">
      <c r="A1369" s="140"/>
      <c r="B1369" s="140"/>
    </row>
    <row r="1370" spans="1:2" ht="13">
      <c r="A1370" s="140"/>
      <c r="B1370" s="140"/>
    </row>
    <row r="1371" spans="1:2" ht="13">
      <c r="A1371" s="140"/>
      <c r="B1371" s="140"/>
    </row>
    <row r="1372" spans="1:2" ht="13">
      <c r="A1372" s="140"/>
      <c r="B1372" s="140"/>
    </row>
    <row r="1373" spans="1:2" ht="13">
      <c r="A1373" s="140"/>
      <c r="B1373" s="140"/>
    </row>
    <row r="1374" spans="1:2" ht="13">
      <c r="A1374" s="140"/>
      <c r="B1374" s="140"/>
    </row>
    <row r="1375" spans="1:2" ht="13">
      <c r="A1375" s="140"/>
      <c r="B1375" s="140"/>
    </row>
    <row r="1376" spans="1:2" ht="13">
      <c r="A1376" s="140"/>
      <c r="B1376" s="140"/>
    </row>
    <row r="1377" spans="1:2" ht="13">
      <c r="A1377" s="140"/>
      <c r="B1377" s="140"/>
    </row>
    <row r="1378" spans="1:2" ht="13">
      <c r="A1378" s="140"/>
      <c r="B1378" s="140"/>
    </row>
    <row r="1379" spans="1:2" ht="13">
      <c r="A1379" s="140"/>
      <c r="B1379" s="140"/>
    </row>
    <row r="1380" spans="1:2" ht="13">
      <c r="A1380" s="140"/>
      <c r="B1380" s="140"/>
    </row>
    <row r="1381" spans="1:2" ht="13">
      <c r="A1381" s="140"/>
      <c r="B1381" s="140"/>
    </row>
    <row r="1382" spans="1:2" ht="13">
      <c r="A1382" s="140"/>
      <c r="B1382" s="140"/>
    </row>
    <row r="1383" spans="1:2" ht="13">
      <c r="A1383" s="140"/>
      <c r="B1383" s="140"/>
    </row>
    <row r="1384" spans="1:2" ht="13">
      <c r="A1384" s="140"/>
      <c r="B1384" s="140"/>
    </row>
    <row r="1385" spans="1:2" ht="13">
      <c r="A1385" s="140"/>
      <c r="B1385" s="140"/>
    </row>
    <row r="1386" spans="1:2" ht="13">
      <c r="A1386" s="140"/>
      <c r="B1386" s="140"/>
    </row>
    <row r="1387" spans="1:2" ht="13">
      <c r="A1387" s="140"/>
      <c r="B1387" s="140"/>
    </row>
    <row r="1388" spans="1:2" ht="13">
      <c r="A1388" s="140"/>
      <c r="B1388" s="140"/>
    </row>
    <row r="1389" spans="1:2" ht="13">
      <c r="A1389" s="140"/>
      <c r="B1389" s="140"/>
    </row>
    <row r="1390" spans="1:2" ht="13">
      <c r="A1390" s="140"/>
      <c r="B1390" s="140"/>
    </row>
    <row r="1391" spans="1:2" ht="13">
      <c r="A1391" s="140"/>
      <c r="B1391" s="140"/>
    </row>
    <row r="1392" spans="1:2" ht="13">
      <c r="A1392" s="140"/>
      <c r="B1392" s="140"/>
    </row>
    <row r="1393" spans="1:2" ht="13">
      <c r="A1393" s="140"/>
      <c r="B1393" s="140"/>
    </row>
    <row r="1394" spans="1:2" ht="13">
      <c r="A1394" s="140"/>
      <c r="B1394" s="140"/>
    </row>
    <row r="1395" spans="1:2" ht="13">
      <c r="A1395" s="140"/>
      <c r="B1395" s="140"/>
    </row>
    <row r="1396" spans="1:2" ht="13">
      <c r="A1396" s="140"/>
      <c r="B1396" s="140"/>
    </row>
    <row r="1397" spans="1:2" ht="13">
      <c r="A1397" s="140"/>
      <c r="B1397" s="140"/>
    </row>
    <row r="1398" spans="1:2" ht="13">
      <c r="A1398" s="140"/>
      <c r="B1398" s="140"/>
    </row>
    <row r="1399" spans="1:2" ht="13">
      <c r="A1399" s="140"/>
      <c r="B1399" s="140"/>
    </row>
    <row r="1400" spans="1:2" ht="13">
      <c r="A1400" s="140"/>
      <c r="B1400" s="140"/>
    </row>
    <row r="1401" spans="1:2" ht="13">
      <c r="A1401" s="140"/>
      <c r="B1401" s="140"/>
    </row>
    <row r="1402" spans="1:2" ht="13">
      <c r="A1402" s="140"/>
      <c r="B1402" s="140"/>
    </row>
    <row r="1403" spans="1:2" ht="13">
      <c r="A1403" s="140"/>
      <c r="B1403" s="140"/>
    </row>
    <row r="1404" spans="1:2" ht="13">
      <c r="A1404" s="140"/>
      <c r="B1404" s="140"/>
    </row>
    <row r="1405" spans="1:2" ht="13">
      <c r="A1405" s="140"/>
      <c r="B1405" s="140"/>
    </row>
    <row r="1406" spans="1:2" ht="13">
      <c r="A1406" s="140"/>
      <c r="B1406" s="140"/>
    </row>
    <row r="1407" spans="1:2" ht="13">
      <c r="A1407" s="140"/>
      <c r="B1407" s="140"/>
    </row>
    <row r="1408" spans="1:2" ht="13">
      <c r="A1408" s="140"/>
      <c r="B1408" s="140"/>
    </row>
    <row r="1409" spans="1:2" ht="13">
      <c r="A1409" s="140"/>
      <c r="B1409" s="140"/>
    </row>
    <row r="1410" spans="1:2" ht="13">
      <c r="A1410" s="140"/>
      <c r="B1410" s="140"/>
    </row>
    <row r="1411" spans="1:2" ht="13">
      <c r="A1411" s="140"/>
      <c r="B1411" s="140"/>
    </row>
    <row r="1412" spans="1:2" ht="13">
      <c r="A1412" s="140"/>
      <c r="B1412" s="140"/>
    </row>
    <row r="1413" spans="1:2" ht="13">
      <c r="A1413" s="140"/>
      <c r="B1413" s="140"/>
    </row>
    <row r="1414" spans="1:2" ht="13">
      <c r="A1414" s="140"/>
      <c r="B1414" s="140"/>
    </row>
    <row r="1415" spans="1:2" ht="13">
      <c r="A1415" s="140"/>
      <c r="B1415" s="140"/>
    </row>
    <row r="1416" spans="1:2" ht="13">
      <c r="A1416" s="140"/>
      <c r="B1416" s="140"/>
    </row>
    <row r="1417" spans="1:2" ht="13">
      <c r="A1417" s="140"/>
      <c r="B1417" s="140"/>
    </row>
    <row r="1418" spans="1:2" ht="13">
      <c r="A1418" s="140"/>
      <c r="B1418" s="140"/>
    </row>
    <row r="1419" spans="1:2" ht="13">
      <c r="A1419" s="140"/>
      <c r="B1419" s="140"/>
    </row>
    <row r="1420" spans="1:2" ht="13">
      <c r="A1420" s="140"/>
      <c r="B1420" s="140"/>
    </row>
    <row r="1421" spans="1:2" ht="13">
      <c r="A1421" s="140"/>
      <c r="B1421" s="140"/>
    </row>
    <row r="1422" spans="1:2" ht="13">
      <c r="A1422" s="140"/>
      <c r="B1422" s="140"/>
    </row>
    <row r="1423" spans="1:2" ht="13">
      <c r="A1423" s="140"/>
      <c r="B1423" s="140"/>
    </row>
    <row r="1424" spans="1:2" ht="13">
      <c r="A1424" s="140"/>
      <c r="B1424" s="140"/>
    </row>
    <row r="1425" spans="1:2" ht="13">
      <c r="A1425" s="140"/>
      <c r="B1425" s="140"/>
    </row>
    <row r="1426" spans="1:2" ht="13">
      <c r="A1426" s="140"/>
      <c r="B1426" s="140"/>
    </row>
    <row r="1427" spans="1:2" ht="13">
      <c r="A1427" s="140"/>
      <c r="B1427" s="140"/>
    </row>
    <row r="1428" spans="1:2" ht="13">
      <c r="A1428" s="140"/>
      <c r="B1428" s="140"/>
    </row>
    <row r="1429" spans="1:2" ht="13">
      <c r="A1429" s="140"/>
      <c r="B1429" s="140"/>
    </row>
    <row r="1430" spans="1:2" ht="13">
      <c r="A1430" s="140"/>
      <c r="B1430" s="140"/>
    </row>
    <row r="1431" spans="1:2" ht="13">
      <c r="A1431" s="140"/>
      <c r="B1431" s="140"/>
    </row>
    <row r="1432" spans="1:2" ht="13">
      <c r="A1432" s="140"/>
      <c r="B1432" s="140"/>
    </row>
    <row r="1433" spans="1:2" ht="13">
      <c r="A1433" s="140"/>
      <c r="B1433" s="140"/>
    </row>
    <row r="1434" spans="1:2" ht="13">
      <c r="A1434" s="140"/>
      <c r="B1434" s="140"/>
    </row>
    <row r="1435" spans="1:2" ht="13">
      <c r="A1435" s="140"/>
      <c r="B1435" s="140"/>
    </row>
    <row r="1436" spans="1:2" ht="13">
      <c r="A1436" s="140"/>
      <c r="B1436" s="140"/>
    </row>
    <row r="1437" spans="1:2" ht="13">
      <c r="A1437" s="140"/>
      <c r="B1437" s="140"/>
    </row>
    <row r="1438" spans="1:2" ht="13">
      <c r="A1438" s="140"/>
      <c r="B1438" s="140"/>
    </row>
    <row r="1439" spans="1:2" ht="13">
      <c r="A1439" s="140"/>
      <c r="B1439" s="140"/>
    </row>
    <row r="1440" spans="1:2" ht="13">
      <c r="A1440" s="140"/>
      <c r="B1440" s="140"/>
    </row>
    <row r="1441" spans="1:2" ht="13">
      <c r="A1441" s="140"/>
      <c r="B1441" s="140"/>
    </row>
    <row r="1442" spans="1:2" ht="13">
      <c r="A1442" s="140"/>
      <c r="B1442" s="140"/>
    </row>
    <row r="1443" spans="1:2" ht="13">
      <c r="A1443" s="140"/>
      <c r="B1443" s="140"/>
    </row>
    <row r="1444" spans="1:2" ht="13">
      <c r="A1444" s="140"/>
      <c r="B1444" s="140"/>
    </row>
    <row r="1445" spans="1:2" ht="13">
      <c r="A1445" s="140"/>
      <c r="B1445" s="140"/>
    </row>
    <row r="1446" spans="1:2" ht="13">
      <c r="A1446" s="140"/>
      <c r="B1446" s="140"/>
    </row>
    <row r="1447" spans="1:2" ht="13">
      <c r="A1447" s="140"/>
      <c r="B1447" s="140"/>
    </row>
    <row r="1448" spans="1:2" ht="13">
      <c r="A1448" s="140"/>
      <c r="B1448" s="140"/>
    </row>
    <row r="1449" spans="1:2" ht="13">
      <c r="A1449" s="140"/>
      <c r="B1449" s="140"/>
    </row>
    <row r="1450" spans="1:2" ht="13">
      <c r="A1450" s="140"/>
      <c r="B1450" s="140"/>
    </row>
    <row r="1451" spans="1:2" ht="13">
      <c r="A1451" s="140"/>
      <c r="B1451" s="140"/>
    </row>
    <row r="1452" spans="1:2" ht="13">
      <c r="A1452" s="140"/>
      <c r="B1452" s="140"/>
    </row>
    <row r="1453" spans="1:2" ht="13">
      <c r="A1453" s="140"/>
      <c r="B1453" s="140"/>
    </row>
    <row r="1454" spans="1:2" ht="13">
      <c r="A1454" s="140"/>
      <c r="B1454" s="140"/>
    </row>
    <row r="1455" spans="1:2" ht="13">
      <c r="A1455" s="140"/>
      <c r="B1455" s="140"/>
    </row>
    <row r="1456" spans="1:2" ht="13">
      <c r="A1456" s="140"/>
      <c r="B1456" s="140"/>
    </row>
    <row r="1457" spans="1:2" ht="13">
      <c r="A1457" s="140"/>
      <c r="B1457" s="140"/>
    </row>
    <row r="1458" spans="1:2" ht="13">
      <c r="A1458" s="140"/>
      <c r="B1458" s="140"/>
    </row>
    <row r="1459" spans="1:2" ht="13">
      <c r="A1459" s="140"/>
      <c r="B1459" s="140"/>
    </row>
    <row r="1460" spans="1:2" ht="13">
      <c r="A1460" s="140"/>
      <c r="B1460" s="140"/>
    </row>
    <row r="1461" spans="1:2" ht="13">
      <c r="A1461" s="140"/>
      <c r="B1461" s="140"/>
    </row>
    <row r="1462" spans="1:2" ht="13">
      <c r="A1462" s="140"/>
      <c r="B1462" s="140"/>
    </row>
    <row r="1463" spans="1:2" ht="13">
      <c r="A1463" s="140"/>
      <c r="B1463" s="140"/>
    </row>
    <row r="1464" spans="1:2" ht="13">
      <c r="A1464" s="140"/>
      <c r="B1464" s="140"/>
    </row>
    <row r="1465" spans="1:2" ht="13">
      <c r="A1465" s="140"/>
      <c r="B1465" s="140"/>
    </row>
    <row r="1466" spans="1:2" ht="13">
      <c r="A1466" s="140"/>
      <c r="B1466" s="140"/>
    </row>
    <row r="1467" spans="1:2" ht="13">
      <c r="A1467" s="140"/>
      <c r="B1467" s="140"/>
    </row>
    <row r="1468" spans="1:2" ht="13">
      <c r="A1468" s="140"/>
      <c r="B1468" s="140"/>
    </row>
    <row r="1469" spans="1:2" ht="13">
      <c r="A1469" s="140"/>
      <c r="B1469" s="140"/>
    </row>
    <row r="1470" spans="1:2" ht="13">
      <c r="A1470" s="140"/>
      <c r="B1470" s="140"/>
    </row>
    <row r="1471" spans="1:2" ht="13">
      <c r="A1471" s="140"/>
      <c r="B1471" s="140"/>
    </row>
    <row r="1472" spans="1:2" ht="13">
      <c r="A1472" s="140"/>
      <c r="B1472" s="140"/>
    </row>
    <row r="1473" spans="1:2" ht="13">
      <c r="A1473" s="140"/>
      <c r="B1473" s="140"/>
    </row>
    <row r="1474" spans="1:2" ht="13">
      <c r="A1474" s="140"/>
      <c r="B1474" s="140"/>
    </row>
    <row r="1475" spans="1:2" ht="13">
      <c r="A1475" s="140"/>
      <c r="B1475" s="140"/>
    </row>
    <row r="1476" spans="1:2" ht="13">
      <c r="A1476" s="140"/>
      <c r="B1476" s="140"/>
    </row>
    <row r="1477" spans="1:2" ht="13">
      <c r="A1477" s="140"/>
      <c r="B1477" s="140"/>
    </row>
    <row r="1478" spans="1:2" ht="13">
      <c r="A1478" s="140"/>
      <c r="B1478" s="140"/>
    </row>
    <row r="1479" spans="1:2" ht="13">
      <c r="A1479" s="140"/>
      <c r="B1479" s="140"/>
    </row>
    <row r="1480" spans="1:2" ht="13">
      <c r="A1480" s="140"/>
      <c r="B1480" s="140"/>
    </row>
    <row r="1481" spans="1:2" ht="13">
      <c r="A1481" s="140"/>
      <c r="B1481" s="140"/>
    </row>
    <row r="1482" spans="1:2" ht="13">
      <c r="A1482" s="140"/>
      <c r="B1482" s="140"/>
    </row>
    <row r="1483" spans="1:2" ht="13">
      <c r="A1483" s="140"/>
      <c r="B1483" s="140"/>
    </row>
    <row r="1484" spans="1:2" ht="13">
      <c r="A1484" s="140"/>
      <c r="B1484" s="140"/>
    </row>
    <row r="1485" spans="1:2" ht="13">
      <c r="A1485" s="140"/>
      <c r="B1485" s="140"/>
    </row>
    <row r="1486" spans="1:2" ht="13">
      <c r="A1486" s="140"/>
      <c r="B1486" s="140"/>
    </row>
    <row r="1487" spans="1:2" ht="13">
      <c r="A1487" s="140"/>
      <c r="B1487" s="140"/>
    </row>
    <row r="1488" spans="1:2" ht="13">
      <c r="A1488" s="140"/>
      <c r="B1488" s="140"/>
    </row>
    <row r="1489" spans="1:2" ht="13">
      <c r="A1489" s="140"/>
      <c r="B1489" s="140"/>
    </row>
    <row r="1490" spans="1:2" ht="13">
      <c r="A1490" s="140"/>
      <c r="B1490" s="140"/>
    </row>
    <row r="1491" spans="1:2" ht="13">
      <c r="A1491" s="140"/>
      <c r="B1491" s="140"/>
    </row>
    <row r="1492" spans="1:2" ht="13">
      <c r="A1492" s="140"/>
      <c r="B1492" s="140"/>
    </row>
    <row r="1493" spans="1:2" ht="13">
      <c r="A1493" s="140"/>
      <c r="B1493" s="140"/>
    </row>
    <row r="1494" spans="1:2" ht="13">
      <c r="A1494" s="140"/>
      <c r="B1494" s="140"/>
    </row>
    <row r="1495" spans="1:2" ht="13">
      <c r="A1495" s="140"/>
      <c r="B1495" s="140"/>
    </row>
    <row r="1496" spans="1:2" ht="13">
      <c r="A1496" s="140"/>
      <c r="B1496" s="140"/>
    </row>
    <row r="1497" spans="1:2" ht="13">
      <c r="A1497" s="140"/>
      <c r="B1497" s="140"/>
    </row>
    <row r="1498" spans="1:2" ht="13">
      <c r="A1498" s="140"/>
      <c r="B1498" s="140"/>
    </row>
    <row r="1499" spans="1:2" ht="13">
      <c r="A1499" s="140"/>
      <c r="B1499" s="140"/>
    </row>
    <row r="1500" spans="1:2" ht="13">
      <c r="A1500" s="140"/>
      <c r="B1500" s="140"/>
    </row>
    <row r="1501" spans="1:2" ht="13">
      <c r="A1501" s="140"/>
      <c r="B1501" s="140"/>
    </row>
    <row r="1502" spans="1:2" ht="13">
      <c r="A1502" s="140"/>
      <c r="B1502" s="140"/>
    </row>
    <row r="1503" spans="1:2" ht="13">
      <c r="A1503" s="140"/>
      <c r="B1503" s="140"/>
    </row>
    <row r="1504" spans="1:2" ht="13">
      <c r="A1504" s="140"/>
      <c r="B1504" s="140"/>
    </row>
    <row r="1505" spans="1:2" ht="13">
      <c r="A1505" s="140"/>
      <c r="B1505" s="140"/>
    </row>
    <row r="1506" spans="1:2" ht="13">
      <c r="A1506" s="140"/>
      <c r="B1506" s="140"/>
    </row>
    <row r="1507" spans="1:2" ht="13">
      <c r="A1507" s="140"/>
      <c r="B1507" s="140"/>
    </row>
    <row r="1508" spans="1:2" ht="13">
      <c r="A1508" s="140"/>
      <c r="B1508" s="140"/>
    </row>
    <row r="1509" spans="1:2" ht="13">
      <c r="A1509" s="140"/>
      <c r="B1509" s="140"/>
    </row>
    <row r="1510" spans="1:2" ht="13">
      <c r="A1510" s="140"/>
      <c r="B1510" s="140"/>
    </row>
    <row r="1511" spans="1:2" ht="13">
      <c r="A1511" s="140"/>
      <c r="B1511" s="140"/>
    </row>
    <row r="1512" spans="1:2" ht="13">
      <c r="A1512" s="140"/>
      <c r="B1512" s="140"/>
    </row>
    <row r="1513" spans="1:2" ht="13">
      <c r="A1513" s="140"/>
      <c r="B1513" s="140"/>
    </row>
    <row r="1514" spans="1:2" ht="13">
      <c r="A1514" s="140"/>
      <c r="B1514" s="140"/>
    </row>
    <row r="1515" spans="1:2" ht="13">
      <c r="A1515" s="140"/>
      <c r="B1515" s="140"/>
    </row>
    <row r="1516" spans="1:2" ht="13">
      <c r="A1516" s="140"/>
      <c r="B1516" s="140"/>
    </row>
    <row r="1517" spans="1:2" ht="13">
      <c r="A1517" s="140"/>
      <c r="B1517" s="140"/>
    </row>
    <row r="1518" spans="1:2" ht="13">
      <c r="A1518" s="140"/>
      <c r="B1518" s="140"/>
    </row>
    <row r="1519" spans="1:2" ht="13">
      <c r="A1519" s="140"/>
      <c r="B1519" s="140"/>
    </row>
    <row r="1520" spans="1:2" ht="13">
      <c r="A1520" s="140"/>
      <c r="B1520" s="140"/>
    </row>
    <row r="1521" spans="1:2" ht="13">
      <c r="A1521" s="140"/>
      <c r="B1521" s="140"/>
    </row>
    <row r="1522" spans="1:2" ht="13">
      <c r="A1522" s="140"/>
      <c r="B1522" s="140"/>
    </row>
    <row r="1523" spans="1:2" ht="13">
      <c r="A1523" s="140"/>
      <c r="B1523" s="140"/>
    </row>
    <row r="1524" spans="1:2" ht="13">
      <c r="A1524" s="140"/>
      <c r="B1524" s="140"/>
    </row>
    <row r="1525" spans="1:2" ht="13">
      <c r="A1525" s="140"/>
      <c r="B1525" s="140"/>
    </row>
    <row r="1526" spans="1:2" ht="13">
      <c r="A1526" s="140"/>
      <c r="B1526" s="140"/>
    </row>
    <row r="1527" spans="1:2" ht="13">
      <c r="A1527" s="140"/>
      <c r="B1527" s="140"/>
    </row>
    <row r="1528" spans="1:2" ht="13">
      <c r="A1528" s="140"/>
      <c r="B1528" s="140"/>
    </row>
    <row r="1529" spans="1:2" ht="13">
      <c r="A1529" s="140"/>
      <c r="B1529" s="140"/>
    </row>
    <row r="1530" spans="1:2" ht="13">
      <c r="A1530" s="140"/>
      <c r="B1530" s="140"/>
    </row>
    <row r="1531" spans="1:2" ht="13">
      <c r="A1531" s="140"/>
      <c r="B1531" s="140"/>
    </row>
    <row r="1532" spans="1:2" ht="13">
      <c r="A1532" s="140"/>
      <c r="B1532" s="140"/>
    </row>
    <row r="1533" spans="1:2" ht="13">
      <c r="A1533" s="140"/>
      <c r="B1533" s="140"/>
    </row>
    <row r="1534" spans="1:2" ht="13">
      <c r="A1534" s="140"/>
      <c r="B1534" s="140"/>
    </row>
    <row r="1535" spans="1:2" ht="13">
      <c r="A1535" s="140"/>
      <c r="B1535" s="140"/>
    </row>
    <row r="1536" spans="1:2" ht="13">
      <c r="A1536" s="140"/>
      <c r="B1536" s="140"/>
    </row>
    <row r="1537" spans="1:2" ht="13">
      <c r="A1537" s="140"/>
      <c r="B1537" s="140"/>
    </row>
    <row r="1538" spans="1:2" ht="13">
      <c r="A1538" s="140"/>
      <c r="B1538" s="140"/>
    </row>
    <row r="1539" spans="1:2" ht="13">
      <c r="A1539" s="140"/>
      <c r="B1539" s="140"/>
    </row>
    <row r="1540" spans="1:2" ht="13">
      <c r="A1540" s="140"/>
      <c r="B1540" s="140"/>
    </row>
    <row r="1541" spans="1:2" ht="13">
      <c r="A1541" s="140"/>
      <c r="B1541" s="140"/>
    </row>
    <row r="1542" spans="1:2" ht="13">
      <c r="A1542" s="140"/>
      <c r="B1542" s="140"/>
    </row>
    <row r="1543" spans="1:2" ht="13">
      <c r="A1543" s="140"/>
      <c r="B1543" s="140"/>
    </row>
    <row r="1544" spans="1:2" ht="13">
      <c r="A1544" s="140"/>
      <c r="B1544" s="140"/>
    </row>
    <row r="1545" spans="1:2" ht="13">
      <c r="A1545" s="140"/>
      <c r="B1545" s="140"/>
    </row>
    <row r="1546" spans="1:2" ht="13">
      <c r="A1546" s="140"/>
      <c r="B1546" s="140"/>
    </row>
    <row r="1547" spans="1:2" ht="13">
      <c r="A1547" s="140"/>
      <c r="B1547" s="140"/>
    </row>
    <row r="1548" spans="1:2" ht="13">
      <c r="A1548" s="140"/>
      <c r="B1548" s="140"/>
    </row>
    <row r="1549" spans="1:2" ht="13">
      <c r="A1549" s="140"/>
      <c r="B1549" s="140"/>
    </row>
    <row r="1550" spans="1:2" ht="13">
      <c r="A1550" s="140"/>
      <c r="B1550" s="140"/>
    </row>
    <row r="1551" spans="1:2" ht="13">
      <c r="A1551" s="140"/>
      <c r="B1551" s="140"/>
    </row>
    <row r="1552" spans="1:2" ht="13">
      <c r="A1552" s="140"/>
      <c r="B1552" s="140"/>
    </row>
    <row r="1553" spans="1:2" ht="13">
      <c r="A1553" s="140"/>
      <c r="B1553" s="140"/>
    </row>
    <row r="1554" spans="1:2" ht="13">
      <c r="A1554" s="140"/>
      <c r="B1554" s="140"/>
    </row>
    <row r="1555" spans="1:2" ht="13">
      <c r="A1555" s="140"/>
      <c r="B1555" s="140"/>
    </row>
    <row r="1556" spans="1:2" ht="13">
      <c r="A1556" s="140"/>
      <c r="B1556" s="140"/>
    </row>
    <row r="1557" spans="1:2" ht="13">
      <c r="A1557" s="140"/>
      <c r="B1557" s="140"/>
    </row>
    <row r="1558" spans="1:2" ht="13">
      <c r="A1558" s="140"/>
      <c r="B1558" s="140"/>
    </row>
    <row r="1559" spans="1:2" ht="13">
      <c r="A1559" s="140"/>
      <c r="B1559" s="140"/>
    </row>
    <row r="1560" spans="1:2" ht="13">
      <c r="A1560" s="140"/>
      <c r="B1560" s="140"/>
    </row>
    <row r="1561" spans="1:2" ht="13">
      <c r="A1561" s="140"/>
      <c r="B1561" s="140"/>
    </row>
    <row r="1562" spans="1:2" ht="13">
      <c r="A1562" s="140"/>
      <c r="B1562" s="140"/>
    </row>
    <row r="1563" spans="1:2" ht="13">
      <c r="A1563" s="140"/>
      <c r="B1563" s="140"/>
    </row>
    <row r="1564" spans="1:2" ht="13">
      <c r="A1564" s="140"/>
      <c r="B1564" s="140"/>
    </row>
    <row r="1565" spans="1:2" ht="13">
      <c r="A1565" s="140"/>
      <c r="B1565" s="140"/>
    </row>
    <row r="1566" spans="1:2" ht="13">
      <c r="A1566" s="140"/>
      <c r="B1566" s="140"/>
    </row>
    <row r="1567" spans="1:2" ht="13">
      <c r="A1567" s="140"/>
      <c r="B1567" s="140"/>
    </row>
    <row r="1568" spans="1:2" ht="13">
      <c r="A1568" s="140"/>
      <c r="B1568" s="140"/>
    </row>
    <row r="1569" spans="1:2" ht="13">
      <c r="A1569" s="140"/>
      <c r="B1569" s="140"/>
    </row>
    <row r="1570" spans="1:2" ht="13">
      <c r="A1570" s="140"/>
      <c r="B1570" s="140"/>
    </row>
    <row r="1571" spans="1:2" ht="13">
      <c r="A1571" s="140"/>
      <c r="B1571" s="140"/>
    </row>
    <row r="1572" spans="1:2" ht="13">
      <c r="A1572" s="140"/>
      <c r="B1572" s="140"/>
    </row>
    <row r="1573" spans="1:2" ht="13">
      <c r="A1573" s="140"/>
      <c r="B1573" s="140"/>
    </row>
    <row r="1574" spans="1:2" ht="13">
      <c r="A1574" s="140"/>
      <c r="B1574" s="140"/>
    </row>
    <row r="1575" spans="1:2" ht="13">
      <c r="A1575" s="140"/>
      <c r="B1575" s="140"/>
    </row>
    <row r="1576" spans="1:2" ht="13">
      <c r="A1576" s="140"/>
      <c r="B1576" s="140"/>
    </row>
    <row r="1577" spans="1:2" ht="13">
      <c r="A1577" s="140"/>
      <c r="B1577" s="140"/>
    </row>
    <row r="1578" spans="1:2" ht="13">
      <c r="A1578" s="140"/>
      <c r="B1578" s="140"/>
    </row>
    <row r="1579" spans="1:2" ht="13">
      <c r="A1579" s="140"/>
      <c r="B1579" s="140"/>
    </row>
    <row r="1580" spans="1:2" ht="13">
      <c r="A1580" s="140"/>
      <c r="B1580" s="140"/>
    </row>
    <row r="1581" spans="1:2" ht="13">
      <c r="A1581" s="140"/>
      <c r="B1581" s="140"/>
    </row>
    <row r="1582" spans="1:2" ht="13">
      <c r="A1582" s="140"/>
      <c r="B1582" s="140"/>
    </row>
    <row r="1583" spans="1:2" ht="13">
      <c r="A1583" s="140"/>
      <c r="B1583" s="140"/>
    </row>
    <row r="1584" spans="1:2" ht="13">
      <c r="A1584" s="140"/>
      <c r="B1584" s="140"/>
    </row>
    <row r="1585" spans="1:2" ht="13">
      <c r="A1585" s="140"/>
      <c r="B1585" s="140"/>
    </row>
    <row r="1586" spans="1:2" ht="13">
      <c r="A1586" s="140"/>
      <c r="B1586" s="140"/>
    </row>
    <row r="1587" spans="1:2" ht="13">
      <c r="A1587" s="140"/>
      <c r="B1587" s="140"/>
    </row>
    <row r="1588" spans="1:2" ht="13">
      <c r="A1588" s="140"/>
      <c r="B1588" s="140"/>
    </row>
    <row r="1589" spans="1:2" ht="13">
      <c r="A1589" s="140"/>
      <c r="B1589" s="140"/>
    </row>
    <row r="1590" spans="1:2" ht="13">
      <c r="A1590" s="140"/>
      <c r="B1590" s="140"/>
    </row>
    <row r="1591" spans="1:2" ht="13">
      <c r="A1591" s="140"/>
      <c r="B1591" s="140"/>
    </row>
    <row r="1592" spans="1:2" ht="13">
      <c r="A1592" s="140"/>
      <c r="B1592" s="140"/>
    </row>
    <row r="1593" spans="1:2" ht="13">
      <c r="A1593" s="140"/>
      <c r="B1593" s="140"/>
    </row>
    <row r="1594" spans="1:2" ht="13">
      <c r="A1594" s="140"/>
      <c r="B1594" s="140"/>
    </row>
    <row r="1595" spans="1:2" ht="13">
      <c r="A1595" s="140"/>
      <c r="B1595" s="140"/>
    </row>
    <row r="1596" spans="1:2" ht="13">
      <c r="A1596" s="140"/>
      <c r="B1596" s="140"/>
    </row>
    <row r="1597" spans="1:2" ht="13">
      <c r="A1597" s="140"/>
      <c r="B1597" s="140"/>
    </row>
    <row r="1598" spans="1:2" ht="13">
      <c r="A1598" s="140"/>
      <c r="B1598" s="140"/>
    </row>
    <row r="1599" spans="1:2" ht="13">
      <c r="A1599" s="140"/>
      <c r="B1599" s="140"/>
    </row>
    <row r="1600" spans="1:2" ht="13">
      <c r="A1600" s="140"/>
      <c r="B1600" s="140"/>
    </row>
    <row r="1601" spans="1:2" ht="13">
      <c r="A1601" s="140"/>
      <c r="B1601" s="140"/>
    </row>
    <row r="1602" spans="1:2" ht="13">
      <c r="A1602" s="140"/>
      <c r="B1602" s="140"/>
    </row>
    <row r="1603" spans="1:2" ht="13">
      <c r="A1603" s="140"/>
      <c r="B1603" s="140"/>
    </row>
    <row r="1604" spans="1:2" ht="13">
      <c r="A1604" s="140"/>
      <c r="B1604" s="140"/>
    </row>
    <row r="1605" spans="1:2" ht="13">
      <c r="A1605" s="140"/>
      <c r="B1605" s="140"/>
    </row>
    <row r="1606" spans="1:2" ht="13">
      <c r="A1606" s="140"/>
      <c r="B1606" s="140"/>
    </row>
    <row r="1607" spans="1:2" ht="13">
      <c r="A1607" s="140"/>
      <c r="B1607" s="140"/>
    </row>
    <row r="1608" spans="1:2" ht="13">
      <c r="A1608" s="140"/>
      <c r="B1608" s="140"/>
    </row>
    <row r="1609" spans="1:2" ht="13">
      <c r="A1609" s="140"/>
      <c r="B1609" s="140"/>
    </row>
    <row r="1610" spans="1:2" ht="13">
      <c r="A1610" s="140"/>
      <c r="B1610" s="140"/>
    </row>
    <row r="1611" spans="1:2" ht="13">
      <c r="A1611" s="140"/>
      <c r="B1611" s="140"/>
    </row>
    <row r="1612" spans="1:2" ht="13">
      <c r="A1612" s="140"/>
      <c r="B1612" s="140"/>
    </row>
    <row r="1613" spans="1:2" ht="13">
      <c r="A1613" s="140"/>
      <c r="B1613" s="140"/>
    </row>
    <row r="1614" spans="1:2" ht="13">
      <c r="A1614" s="140"/>
      <c r="B1614" s="140"/>
    </row>
    <row r="1615" spans="1:2" ht="13">
      <c r="A1615" s="140"/>
      <c r="B1615" s="140"/>
    </row>
    <row r="1616" spans="1:2" ht="13">
      <c r="A1616" s="140"/>
      <c r="B1616" s="140"/>
    </row>
    <row r="1617" spans="1:2" ht="13">
      <c r="A1617" s="140"/>
      <c r="B1617" s="140"/>
    </row>
    <row r="1618" spans="1:2" ht="13">
      <c r="A1618" s="140"/>
      <c r="B1618" s="140"/>
    </row>
    <row r="1619" spans="1:2" ht="13">
      <c r="A1619" s="140"/>
      <c r="B1619" s="140"/>
    </row>
    <row r="1620" spans="1:2" ht="13">
      <c r="A1620" s="140"/>
      <c r="B1620" s="140"/>
    </row>
    <row r="1621" spans="1:2" ht="13">
      <c r="A1621" s="140"/>
      <c r="B1621" s="140"/>
    </row>
    <row r="1622" spans="1:2" ht="13">
      <c r="A1622" s="140"/>
      <c r="B1622" s="140"/>
    </row>
    <row r="1623" spans="1:2" ht="13">
      <c r="A1623" s="140"/>
      <c r="B1623" s="140"/>
    </row>
    <row r="1624" spans="1:2" ht="13">
      <c r="A1624" s="140"/>
      <c r="B1624" s="140"/>
    </row>
    <row r="1625" spans="1:2" ht="13">
      <c r="A1625" s="140"/>
      <c r="B1625" s="140"/>
    </row>
    <row r="1626" spans="1:2" ht="13">
      <c r="A1626" s="140"/>
      <c r="B1626" s="140"/>
    </row>
    <row r="1627" spans="1:2" ht="13">
      <c r="A1627" s="140"/>
      <c r="B1627" s="140"/>
    </row>
    <row r="1628" spans="1:2" ht="13">
      <c r="A1628" s="140"/>
      <c r="B1628" s="140"/>
    </row>
    <row r="1629" spans="1:2" ht="13">
      <c r="A1629" s="140"/>
      <c r="B1629" s="140"/>
    </row>
    <row r="1630" spans="1:2" ht="13">
      <c r="A1630" s="140"/>
      <c r="B1630" s="140"/>
    </row>
    <row r="1631" spans="1:2" ht="13">
      <c r="A1631" s="140"/>
      <c r="B1631" s="140"/>
    </row>
    <row r="1632" spans="1:2" ht="13">
      <c r="A1632" s="140"/>
      <c r="B1632" s="140"/>
    </row>
    <row r="1633" spans="1:2" ht="13">
      <c r="A1633" s="140"/>
      <c r="B1633" s="140"/>
    </row>
    <row r="1634" spans="1:2" ht="13">
      <c r="A1634" s="140"/>
      <c r="B1634" s="140"/>
    </row>
    <row r="1635" spans="1:2" ht="13">
      <c r="A1635" s="140"/>
      <c r="B1635" s="140"/>
    </row>
    <row r="1636" spans="1:2" ht="13">
      <c r="A1636" s="140"/>
      <c r="B1636" s="140"/>
    </row>
    <row r="1637" spans="1:2" ht="13">
      <c r="A1637" s="140"/>
      <c r="B1637" s="140"/>
    </row>
    <row r="1638" spans="1:2" ht="13">
      <c r="A1638" s="140"/>
      <c r="B1638" s="140"/>
    </row>
    <row r="1639" spans="1:2" ht="13">
      <c r="A1639" s="140"/>
      <c r="B1639" s="140"/>
    </row>
    <row r="1640" spans="1:2" ht="13">
      <c r="A1640" s="140"/>
      <c r="B1640" s="140"/>
    </row>
    <row r="1641" spans="1:2" ht="13">
      <c r="A1641" s="140"/>
      <c r="B1641" s="140"/>
    </row>
    <row r="1642" spans="1:2" ht="13">
      <c r="A1642" s="140"/>
      <c r="B1642" s="140"/>
    </row>
    <row r="1643" spans="1:2" ht="13">
      <c r="A1643" s="140"/>
      <c r="B1643" s="140"/>
    </row>
    <row r="1644" spans="1:2" ht="13">
      <c r="A1644" s="140"/>
      <c r="B1644" s="140"/>
    </row>
    <row r="1645" spans="1:2" ht="13">
      <c r="A1645" s="140"/>
      <c r="B1645" s="140"/>
    </row>
    <row r="1646" spans="1:2" ht="13">
      <c r="A1646" s="140"/>
      <c r="B1646" s="140"/>
    </row>
    <row r="1647" spans="1:2" ht="13">
      <c r="A1647" s="140"/>
      <c r="B1647" s="140"/>
    </row>
    <row r="1648" spans="1:2" ht="13">
      <c r="A1648" s="140"/>
      <c r="B1648" s="140"/>
    </row>
    <row r="1649" spans="1:2" ht="13">
      <c r="A1649" s="140"/>
      <c r="B1649" s="140"/>
    </row>
    <row r="1650" spans="1:2" ht="13">
      <c r="A1650" s="140"/>
      <c r="B1650" s="140"/>
    </row>
    <row r="1651" spans="1:2" ht="13">
      <c r="A1651" s="140"/>
      <c r="B1651" s="140"/>
    </row>
    <row r="1652" spans="1:2" ht="13">
      <c r="A1652" s="140"/>
      <c r="B1652" s="140"/>
    </row>
    <row r="1653" spans="1:2" ht="13">
      <c r="A1653" s="140"/>
      <c r="B1653" s="140"/>
    </row>
    <row r="1654" spans="1:2" ht="13">
      <c r="A1654" s="140"/>
      <c r="B1654" s="140"/>
    </row>
    <row r="1655" spans="1:2" ht="13">
      <c r="A1655" s="140"/>
      <c r="B1655" s="140"/>
    </row>
    <row r="1656" spans="1:2" ht="13">
      <c r="A1656" s="140"/>
      <c r="B1656" s="140"/>
    </row>
    <row r="1657" spans="1:2" ht="13">
      <c r="A1657" s="140"/>
      <c r="B1657" s="140"/>
    </row>
    <row r="1658" spans="1:2" ht="13">
      <c r="A1658" s="140"/>
      <c r="B1658" s="140"/>
    </row>
    <row r="1659" spans="1:2" ht="13">
      <c r="A1659" s="140"/>
      <c r="B1659" s="140"/>
    </row>
    <row r="1660" spans="1:2" ht="13">
      <c r="A1660" s="140"/>
      <c r="B1660" s="140"/>
    </row>
    <row r="1661" spans="1:2" ht="13">
      <c r="A1661" s="140"/>
      <c r="B1661" s="140"/>
    </row>
    <row r="1662" spans="1:2" ht="13">
      <c r="A1662" s="140"/>
      <c r="B1662" s="140"/>
    </row>
    <row r="1663" spans="1:2" ht="13">
      <c r="A1663" s="140"/>
      <c r="B1663" s="140"/>
    </row>
    <row r="1664" spans="1:2" ht="13">
      <c r="A1664" s="140"/>
      <c r="B1664" s="140"/>
    </row>
    <row r="1665" spans="1:2" ht="13">
      <c r="A1665" s="140"/>
      <c r="B1665" s="140"/>
    </row>
    <row r="1666" spans="1:2" ht="13">
      <c r="A1666" s="140"/>
      <c r="B1666" s="140"/>
    </row>
    <row r="1667" spans="1:2" ht="13">
      <c r="A1667" s="140"/>
      <c r="B1667" s="140"/>
    </row>
    <row r="1668" spans="1:2" ht="13">
      <c r="A1668" s="140"/>
      <c r="B1668" s="140"/>
    </row>
    <row r="1669" spans="1:2" ht="13">
      <c r="A1669" s="140"/>
      <c r="B1669" s="140"/>
    </row>
    <row r="1670" spans="1:2" ht="13">
      <c r="A1670" s="140"/>
      <c r="B1670" s="140"/>
    </row>
    <row r="1671" spans="1:2" ht="13">
      <c r="A1671" s="140"/>
      <c r="B1671" s="140"/>
    </row>
    <row r="1672" spans="1:2" ht="13">
      <c r="A1672" s="140"/>
      <c r="B1672" s="140"/>
    </row>
    <row r="1673" spans="1:2" ht="13">
      <c r="A1673" s="140"/>
      <c r="B1673" s="140"/>
    </row>
    <row r="1674" spans="1:2" ht="13">
      <c r="A1674" s="140"/>
      <c r="B1674" s="140"/>
    </row>
    <row r="1675" spans="1:2" ht="13">
      <c r="A1675" s="140"/>
      <c r="B1675" s="140"/>
    </row>
    <row r="1676" spans="1:2" ht="13">
      <c r="A1676" s="140"/>
      <c r="B1676" s="140"/>
    </row>
    <row r="1677" spans="1:2" ht="13">
      <c r="A1677" s="140"/>
      <c r="B1677" s="140"/>
    </row>
    <row r="1678" spans="1:2" ht="13">
      <c r="A1678" s="140"/>
      <c r="B1678" s="140"/>
    </row>
    <row r="1679" spans="1:2" ht="13">
      <c r="A1679" s="140"/>
      <c r="B1679" s="140"/>
    </row>
    <row r="1680" spans="1:2" ht="13">
      <c r="A1680" s="140"/>
      <c r="B1680" s="140"/>
    </row>
    <row r="1681" spans="1:2" ht="13">
      <c r="A1681" s="140"/>
      <c r="B1681" s="140"/>
    </row>
    <row r="1682" spans="1:2" ht="13">
      <c r="A1682" s="140"/>
      <c r="B1682" s="140"/>
    </row>
    <row r="1683" spans="1:2" ht="13">
      <c r="A1683" s="140"/>
      <c r="B1683" s="140"/>
    </row>
    <row r="1684" spans="1:2" ht="13">
      <c r="A1684" s="140"/>
      <c r="B1684" s="140"/>
    </row>
    <row r="1685" spans="1:2" ht="13">
      <c r="A1685" s="140"/>
      <c r="B1685" s="140"/>
    </row>
    <row r="1686" spans="1:2" ht="13">
      <c r="A1686" s="140"/>
      <c r="B1686" s="140"/>
    </row>
    <row r="1687" spans="1:2" ht="13">
      <c r="A1687" s="140"/>
      <c r="B1687" s="140"/>
    </row>
    <row r="1688" spans="1:2" ht="13">
      <c r="A1688" s="140"/>
      <c r="B1688" s="140"/>
    </row>
    <row r="1689" spans="1:2" ht="13">
      <c r="A1689" s="140"/>
      <c r="B1689" s="140"/>
    </row>
    <row r="1690" spans="1:2" ht="13">
      <c r="A1690" s="140"/>
      <c r="B1690" s="140"/>
    </row>
    <row r="1691" spans="1:2" ht="13">
      <c r="A1691" s="140"/>
      <c r="B1691" s="140"/>
    </row>
    <row r="1692" spans="1:2" ht="13">
      <c r="A1692" s="140"/>
      <c r="B1692" s="140"/>
    </row>
    <row r="1693" spans="1:2" ht="13">
      <c r="A1693" s="140"/>
      <c r="B1693" s="140"/>
    </row>
    <row r="1694" spans="1:2" ht="13">
      <c r="A1694" s="140"/>
      <c r="B1694" s="140"/>
    </row>
    <row r="1695" spans="1:2" ht="13">
      <c r="A1695" s="140"/>
      <c r="B1695" s="140"/>
    </row>
    <row r="1696" spans="1:2" ht="13">
      <c r="A1696" s="140"/>
      <c r="B1696" s="140"/>
    </row>
    <row r="1697" spans="1:2" ht="13">
      <c r="A1697" s="140"/>
      <c r="B1697" s="140"/>
    </row>
    <row r="1698" spans="1:2" ht="13">
      <c r="A1698" s="140"/>
      <c r="B1698" s="140"/>
    </row>
    <row r="1699" spans="1:2" ht="13">
      <c r="A1699" s="140"/>
      <c r="B1699" s="140"/>
    </row>
    <row r="1700" spans="1:2" ht="13">
      <c r="A1700" s="140"/>
      <c r="B1700" s="140"/>
    </row>
    <row r="1701" spans="1:2" ht="13">
      <c r="A1701" s="140"/>
      <c r="B1701" s="140"/>
    </row>
    <row r="1702" spans="1:2" ht="13">
      <c r="A1702" s="140"/>
      <c r="B1702" s="140"/>
    </row>
    <row r="1703" spans="1:2" ht="13">
      <c r="A1703" s="140"/>
      <c r="B1703" s="140"/>
    </row>
    <row r="1704" spans="1:2" ht="13">
      <c r="A1704" s="140"/>
      <c r="B1704" s="140"/>
    </row>
    <row r="1705" spans="1:2" ht="13">
      <c r="A1705" s="140"/>
      <c r="B1705" s="140"/>
    </row>
    <row r="1706" spans="1:2" ht="13">
      <c r="A1706" s="140"/>
      <c r="B1706" s="140"/>
    </row>
    <row r="1707" spans="1:2" ht="13">
      <c r="A1707" s="140"/>
      <c r="B1707" s="140"/>
    </row>
    <row r="1708" spans="1:2" ht="13">
      <c r="A1708" s="140"/>
      <c r="B1708" s="140"/>
    </row>
    <row r="1709" spans="1:2" ht="13">
      <c r="A1709" s="140"/>
      <c r="B1709" s="140"/>
    </row>
    <row r="1710" spans="1:2" ht="13">
      <c r="A1710" s="140"/>
      <c r="B1710" s="140"/>
    </row>
    <row r="1711" spans="1:2" ht="13">
      <c r="A1711" s="140"/>
      <c r="B1711" s="140"/>
    </row>
    <row r="1712" spans="1:2" ht="13">
      <c r="A1712" s="140"/>
      <c r="B1712" s="140"/>
    </row>
    <row r="1713" spans="1:2" ht="13">
      <c r="A1713" s="140"/>
      <c r="B1713" s="140"/>
    </row>
    <row r="1714" spans="1:2" ht="13">
      <c r="A1714" s="140"/>
      <c r="B1714" s="140"/>
    </row>
    <row r="1715" spans="1:2" ht="13">
      <c r="A1715" s="140"/>
      <c r="B1715" s="140"/>
    </row>
    <row r="1716" spans="1:2" ht="13">
      <c r="A1716" s="140"/>
      <c r="B1716" s="140"/>
    </row>
    <row r="1717" spans="1:2" ht="13">
      <c r="A1717" s="140"/>
      <c r="B1717" s="140"/>
    </row>
    <row r="1718" spans="1:2" ht="13">
      <c r="A1718" s="140"/>
      <c r="B1718" s="140"/>
    </row>
    <row r="1719" spans="1:2" ht="13">
      <c r="A1719" s="140"/>
      <c r="B1719" s="140"/>
    </row>
    <row r="1720" spans="1:2" ht="13">
      <c r="A1720" s="140"/>
      <c r="B1720" s="140"/>
    </row>
    <row r="1721" spans="1:2" ht="13">
      <c r="A1721" s="140"/>
      <c r="B1721" s="140"/>
    </row>
    <row r="1722" spans="1:2" ht="13">
      <c r="A1722" s="140"/>
      <c r="B1722" s="140"/>
    </row>
    <row r="1723" spans="1:2" ht="13">
      <c r="A1723" s="140"/>
      <c r="B1723" s="140"/>
    </row>
    <row r="1724" spans="1:2" ht="13">
      <c r="A1724" s="140"/>
      <c r="B1724" s="140"/>
    </row>
    <row r="1725" spans="1:2" ht="13">
      <c r="A1725" s="140"/>
      <c r="B1725" s="140"/>
    </row>
    <row r="1726" spans="1:2" ht="13">
      <c r="A1726" s="140"/>
      <c r="B1726" s="140"/>
    </row>
    <row r="1727" spans="1:2" ht="13">
      <c r="A1727" s="140"/>
      <c r="B1727" s="140"/>
    </row>
    <row r="1728" spans="1:2" ht="13">
      <c r="A1728" s="140"/>
      <c r="B1728" s="140"/>
    </row>
    <row r="1729" spans="1:2" ht="13">
      <c r="A1729" s="140"/>
      <c r="B1729" s="140"/>
    </row>
    <row r="1730" spans="1:2" ht="13">
      <c r="A1730" s="140"/>
      <c r="B1730" s="140"/>
    </row>
    <row r="1731" spans="1:2" ht="13">
      <c r="A1731" s="140"/>
      <c r="B1731" s="140"/>
    </row>
    <row r="1732" spans="1:2" ht="13">
      <c r="A1732" s="140"/>
      <c r="B1732" s="140"/>
    </row>
    <row r="1733" spans="1:2" ht="13">
      <c r="A1733" s="140"/>
      <c r="B1733" s="140"/>
    </row>
    <row r="1734" spans="1:2" ht="13">
      <c r="A1734" s="140"/>
      <c r="B1734" s="140"/>
    </row>
    <row r="1735" spans="1:2" ht="13">
      <c r="A1735" s="140"/>
      <c r="B1735" s="140"/>
    </row>
    <row r="1736" spans="1:2" ht="13">
      <c r="A1736" s="140"/>
      <c r="B1736" s="140"/>
    </row>
    <row r="1737" spans="1:2" ht="13">
      <c r="A1737" s="140"/>
      <c r="B1737" s="140"/>
    </row>
    <row r="1738" spans="1:2" ht="13">
      <c r="A1738" s="140"/>
      <c r="B1738" s="140"/>
    </row>
    <row r="1739" spans="1:2" ht="13">
      <c r="A1739" s="140"/>
      <c r="B1739" s="140"/>
    </row>
    <row r="1740" spans="1:2" ht="13">
      <c r="A1740" s="140"/>
      <c r="B1740" s="140"/>
    </row>
    <row r="1741" spans="1:2" ht="13">
      <c r="A1741" s="140"/>
      <c r="B1741" s="140"/>
    </row>
    <row r="1742" spans="1:2" ht="13">
      <c r="A1742" s="140"/>
      <c r="B1742" s="140"/>
    </row>
    <row r="1743" spans="1:2" ht="13">
      <c r="A1743" s="140"/>
      <c r="B1743" s="140"/>
    </row>
    <row r="1744" spans="1:2" ht="13">
      <c r="A1744" s="140"/>
      <c r="B1744" s="140"/>
    </row>
    <row r="1745" spans="1:2" ht="13">
      <c r="A1745" s="140"/>
      <c r="B1745" s="140"/>
    </row>
    <row r="1746" spans="1:2" ht="13">
      <c r="A1746" s="140"/>
      <c r="B1746" s="140"/>
    </row>
    <row r="1747" spans="1:2" ht="13">
      <c r="A1747" s="140"/>
      <c r="B1747" s="140"/>
    </row>
    <row r="1748" spans="1:2" ht="13">
      <c r="A1748" s="140"/>
      <c r="B1748" s="140"/>
    </row>
    <row r="1749" spans="1:2" ht="13">
      <c r="A1749" s="140"/>
      <c r="B1749" s="140"/>
    </row>
    <row r="1750" spans="1:2" ht="13">
      <c r="A1750" s="140"/>
      <c r="B1750" s="140"/>
    </row>
    <row r="1751" spans="1:2" ht="13">
      <c r="A1751" s="140"/>
      <c r="B1751" s="140"/>
    </row>
    <row r="1752" spans="1:2" ht="13">
      <c r="A1752" s="140"/>
      <c r="B1752" s="140"/>
    </row>
    <row r="1753" spans="1:2" ht="13">
      <c r="A1753" s="140"/>
      <c r="B1753" s="140"/>
    </row>
    <row r="1754" spans="1:2" ht="13">
      <c r="A1754" s="140"/>
      <c r="B1754" s="140"/>
    </row>
    <row r="1755" spans="1:2" ht="13">
      <c r="A1755" s="140"/>
      <c r="B1755" s="140"/>
    </row>
    <row r="1756" spans="1:2" ht="13">
      <c r="A1756" s="140"/>
      <c r="B1756" s="140"/>
    </row>
    <row r="1757" spans="1:2" ht="13">
      <c r="A1757" s="140"/>
      <c r="B1757" s="140"/>
    </row>
    <row r="1758" spans="1:2" ht="13">
      <c r="A1758" s="140"/>
      <c r="B1758" s="140"/>
    </row>
    <row r="1759" spans="1:2" ht="13">
      <c r="A1759" s="140"/>
      <c r="B1759" s="140"/>
    </row>
    <row r="1760" spans="1:2" ht="13">
      <c r="A1760" s="140"/>
      <c r="B1760" s="140"/>
    </row>
    <row r="1761" spans="1:2" ht="13">
      <c r="A1761" s="140"/>
      <c r="B1761" s="140"/>
    </row>
    <row r="1762" spans="1:2" ht="13">
      <c r="A1762" s="140"/>
      <c r="B1762" s="140"/>
    </row>
    <row r="1763" spans="1:2" ht="13">
      <c r="A1763" s="140"/>
      <c r="B1763" s="140"/>
    </row>
    <row r="1764" spans="1:2" ht="13">
      <c r="A1764" s="140"/>
      <c r="B1764" s="140"/>
    </row>
    <row r="1765" spans="1:2" ht="13">
      <c r="A1765" s="140"/>
      <c r="B1765" s="140"/>
    </row>
    <row r="1766" spans="1:2" ht="13">
      <c r="A1766" s="140"/>
      <c r="B1766" s="140"/>
    </row>
    <row r="1767" spans="1:2" ht="13">
      <c r="A1767" s="140"/>
      <c r="B1767" s="140"/>
    </row>
    <row r="1768" spans="1:2" ht="13">
      <c r="A1768" s="140"/>
      <c r="B1768" s="140"/>
    </row>
    <row r="1769" spans="1:2" ht="13">
      <c r="A1769" s="140"/>
      <c r="B1769" s="140"/>
    </row>
    <row r="1770" spans="1:2" ht="13">
      <c r="A1770" s="140"/>
      <c r="B1770" s="140"/>
    </row>
    <row r="1771" spans="1:2" ht="13">
      <c r="A1771" s="140"/>
      <c r="B1771" s="140"/>
    </row>
    <row r="1772" spans="1:2" ht="13">
      <c r="A1772" s="140"/>
      <c r="B1772" s="140"/>
    </row>
    <row r="1773" spans="1:2" ht="13">
      <c r="A1773" s="140"/>
      <c r="B1773" s="140"/>
    </row>
    <row r="1774" spans="1:2" ht="13">
      <c r="A1774" s="140"/>
      <c r="B1774" s="140"/>
    </row>
    <row r="1775" spans="1:2" ht="13">
      <c r="A1775" s="140"/>
      <c r="B1775" s="140"/>
    </row>
    <row r="1776" spans="1:2" ht="13">
      <c r="A1776" s="140"/>
      <c r="B1776" s="140"/>
    </row>
    <row r="1777" spans="1:2" ht="13">
      <c r="A1777" s="140"/>
      <c r="B1777" s="140"/>
    </row>
    <row r="1778" spans="1:2" ht="13">
      <c r="A1778" s="140"/>
      <c r="B1778" s="140"/>
    </row>
    <row r="1779" spans="1:2" ht="13">
      <c r="A1779" s="140"/>
      <c r="B1779" s="140"/>
    </row>
    <row r="1780" spans="1:2" ht="13">
      <c r="A1780" s="140"/>
      <c r="B1780" s="140"/>
    </row>
    <row r="1781" spans="1:2" ht="13">
      <c r="A1781" s="140"/>
      <c r="B1781" s="140"/>
    </row>
    <row r="1782" spans="1:2" ht="13">
      <c r="A1782" s="140"/>
      <c r="B1782" s="140"/>
    </row>
    <row r="1783" spans="1:2" ht="13">
      <c r="A1783" s="140"/>
      <c r="B1783" s="140"/>
    </row>
    <row r="1784" spans="1:2" ht="13">
      <c r="A1784" s="140"/>
      <c r="B1784" s="140"/>
    </row>
    <row r="1785" spans="1:2" ht="13">
      <c r="A1785" s="140"/>
      <c r="B1785" s="140"/>
    </row>
    <row r="1786" spans="1:2" ht="13">
      <c r="A1786" s="140"/>
      <c r="B1786" s="140"/>
    </row>
    <row r="1787" spans="1:2" ht="13">
      <c r="A1787" s="140"/>
      <c r="B1787" s="140"/>
    </row>
    <row r="1788" spans="1:2" ht="13">
      <c r="A1788" s="140"/>
      <c r="B1788" s="140"/>
    </row>
    <row r="1789" spans="1:2" ht="13">
      <c r="A1789" s="140"/>
      <c r="B1789" s="140"/>
    </row>
    <row r="1790" spans="1:2" ht="13">
      <c r="A1790" s="140"/>
      <c r="B1790" s="140"/>
    </row>
    <row r="1791" spans="1:2" ht="13">
      <c r="A1791" s="140"/>
      <c r="B1791" s="140"/>
    </row>
    <row r="1792" spans="1:2" ht="13">
      <c r="A1792" s="140"/>
      <c r="B1792" s="140"/>
    </row>
    <row r="1793" spans="1:2" ht="13">
      <c r="A1793" s="140"/>
      <c r="B1793" s="140"/>
    </row>
    <row r="1794" spans="1:2" ht="13">
      <c r="A1794" s="140"/>
      <c r="B1794" s="140"/>
    </row>
    <row r="1795" spans="1:2" ht="13">
      <c r="A1795" s="140"/>
      <c r="B1795" s="140"/>
    </row>
    <row r="1796" spans="1:2" ht="13">
      <c r="A1796" s="140"/>
      <c r="B1796" s="140"/>
    </row>
    <row r="1797" spans="1:2" ht="13">
      <c r="A1797" s="140"/>
      <c r="B1797" s="140"/>
    </row>
    <row r="1798" spans="1:2" ht="13">
      <c r="A1798" s="140"/>
      <c r="B1798" s="140"/>
    </row>
    <row r="1799" spans="1:2" ht="13">
      <c r="A1799" s="140"/>
      <c r="B1799" s="140"/>
    </row>
    <row r="1800" spans="1:2" ht="13">
      <c r="A1800" s="140"/>
      <c r="B1800" s="140"/>
    </row>
    <row r="1801" spans="1:2" ht="13">
      <c r="A1801" s="140"/>
      <c r="B1801" s="140"/>
    </row>
    <row r="1802" spans="1:2" ht="13">
      <c r="A1802" s="140"/>
      <c r="B1802" s="140"/>
    </row>
    <row r="1803" spans="1:2" ht="13">
      <c r="A1803" s="140"/>
      <c r="B1803" s="140"/>
    </row>
    <row r="1804" spans="1:2" ht="13">
      <c r="A1804" s="140"/>
      <c r="B1804" s="140"/>
    </row>
    <row r="1805" spans="1:2" ht="13">
      <c r="A1805" s="140"/>
      <c r="B1805" s="140"/>
    </row>
    <row r="1806" spans="1:2" ht="13">
      <c r="A1806" s="140"/>
      <c r="B1806" s="140"/>
    </row>
    <row r="1807" spans="1:2" ht="13">
      <c r="A1807" s="140"/>
      <c r="B1807" s="140"/>
    </row>
    <row r="1808" spans="1:2" ht="13">
      <c r="A1808" s="140"/>
      <c r="B1808" s="140"/>
    </row>
    <row r="1809" spans="1:2" ht="13">
      <c r="A1809" s="140"/>
      <c r="B1809" s="140"/>
    </row>
    <row r="1810" spans="1:2" ht="13">
      <c r="A1810" s="140"/>
      <c r="B1810" s="140"/>
    </row>
    <row r="1811" spans="1:2" ht="13">
      <c r="A1811" s="140"/>
      <c r="B1811" s="140"/>
    </row>
    <row r="1812" spans="1:2" ht="13">
      <c r="A1812" s="140"/>
      <c r="B1812" s="140"/>
    </row>
    <row r="1813" spans="1:2" ht="13">
      <c r="A1813" s="140"/>
      <c r="B1813" s="140"/>
    </row>
    <row r="1814" spans="1:2" ht="13">
      <c r="A1814" s="140"/>
      <c r="B1814" s="140"/>
    </row>
    <row r="1815" spans="1:2" ht="13">
      <c r="A1815" s="140"/>
      <c r="B1815" s="140"/>
    </row>
    <row r="1816" spans="1:2" ht="13">
      <c r="A1816" s="140"/>
      <c r="B1816" s="140"/>
    </row>
    <row r="1817" spans="1:2" ht="13">
      <c r="A1817" s="140"/>
      <c r="B1817" s="140"/>
    </row>
    <row r="1818" spans="1:2" ht="13">
      <c r="A1818" s="140"/>
      <c r="B1818" s="140"/>
    </row>
    <row r="1819" spans="1:2" ht="13">
      <c r="A1819" s="140"/>
      <c r="B1819" s="140"/>
    </row>
    <row r="1820" spans="1:2" ht="13">
      <c r="A1820" s="140"/>
      <c r="B1820" s="140"/>
    </row>
    <row r="1821" spans="1:2" ht="13">
      <c r="A1821" s="140"/>
      <c r="B1821" s="140"/>
    </row>
    <row r="1822" spans="1:2" ht="13">
      <c r="A1822" s="140"/>
      <c r="B1822" s="140"/>
    </row>
    <row r="1823" spans="1:2" ht="13">
      <c r="A1823" s="140"/>
      <c r="B1823" s="140"/>
    </row>
    <row r="1824" spans="1:2" ht="13">
      <c r="A1824" s="140"/>
      <c r="B1824" s="140"/>
    </row>
    <row r="1825" spans="1:2" ht="13">
      <c r="A1825" s="140"/>
      <c r="B1825" s="140"/>
    </row>
    <row r="1826" spans="1:2" ht="13">
      <c r="A1826" s="140"/>
      <c r="B1826" s="140"/>
    </row>
    <row r="1827" spans="1:2" ht="13">
      <c r="A1827" s="140"/>
      <c r="B1827" s="140"/>
    </row>
    <row r="1828" spans="1:2" ht="13">
      <c r="A1828" s="140"/>
      <c r="B1828" s="140"/>
    </row>
    <row r="1829" spans="1:2" ht="13">
      <c r="A1829" s="140"/>
      <c r="B1829" s="140"/>
    </row>
    <row r="1830" spans="1:2" ht="13">
      <c r="A1830" s="140"/>
      <c r="B1830" s="140"/>
    </row>
    <row r="1831" spans="1:2" ht="13">
      <c r="A1831" s="140"/>
      <c r="B1831" s="140"/>
    </row>
    <row r="1832" spans="1:2" ht="13">
      <c r="A1832" s="140"/>
      <c r="B1832" s="140"/>
    </row>
    <row r="1833" spans="1:2" ht="13">
      <c r="A1833" s="140"/>
      <c r="B1833" s="140"/>
    </row>
    <row r="1834" spans="1:2" ht="13">
      <c r="A1834" s="140"/>
      <c r="B1834" s="140"/>
    </row>
  </sheetData>
  <sheetProtection sheet="1" formatColumns="0" formatRows="0"/>
  <mergeCells count="46">
    <mergeCell ref="D13:R13"/>
    <mergeCell ref="D664:R664"/>
    <mergeCell ref="L10:R10"/>
    <mergeCell ref="D765:R765"/>
    <mergeCell ref="E11:J11"/>
    <mergeCell ref="V6:W6"/>
    <mergeCell ref="V7:W7"/>
    <mergeCell ref="V8:W8"/>
    <mergeCell ref="T10:Z10"/>
    <mergeCell ref="L11:R11"/>
    <mergeCell ref="T11:Z11"/>
    <mergeCell ref="X6:Y6"/>
    <mergeCell ref="X7:Y7"/>
    <mergeCell ref="X8:Y8"/>
    <mergeCell ref="E6:R6"/>
    <mergeCell ref="E7:R7"/>
    <mergeCell ref="E3:R3"/>
    <mergeCell ref="E5:R5"/>
    <mergeCell ref="V4:W4"/>
    <mergeCell ref="V5:W5"/>
    <mergeCell ref="V3:Z3"/>
    <mergeCell ref="T3:U3"/>
    <mergeCell ref="X4:Y4"/>
    <mergeCell ref="X5:Y5"/>
    <mergeCell ref="E4:R4"/>
    <mergeCell ref="D874:R874"/>
    <mergeCell ref="T874:Z874"/>
    <mergeCell ref="D876:E876"/>
    <mergeCell ref="G876:H876"/>
    <mergeCell ref="L876:M876"/>
    <mergeCell ref="N876:O876"/>
    <mergeCell ref="P876:Q876"/>
    <mergeCell ref="D875:Q875"/>
    <mergeCell ref="D877:E877"/>
    <mergeCell ref="F877:H877"/>
    <mergeCell ref="L877:M877"/>
    <mergeCell ref="N877:O877"/>
    <mergeCell ref="P877:Q877"/>
    <mergeCell ref="D878:E878"/>
    <mergeCell ref="L878:M878"/>
    <mergeCell ref="N878:O878"/>
    <mergeCell ref="P878:Q878"/>
    <mergeCell ref="D879:E879"/>
    <mergeCell ref="L879:M879"/>
    <mergeCell ref="N879:O879"/>
    <mergeCell ref="P879:Q879"/>
  </mergeCells>
  <conditionalFormatting sqref="N62 V62 N112 V112 N162 V162 N212 V212 N262 V262 N312 V312 N362 V362 N412 V412 N462 V462 N512 V512 N562 V562 N612 V612 N662 V662">
    <cfRule type="expression" priority="2698" dxfId="2119">
      <formula>$N58="Drop Plan"</formula>
    </cfRule>
    <cfRule type="expression" priority="2710" dxfId="2118">
      <formula>$N58="Enter Percentages"</formula>
    </cfRule>
  </conditionalFormatting>
  <conditionalFormatting sqref="O62 W62 O112 W112 O162 W162 O212 W212 O262 W262 O312 W312 O362 W362 O412 W412 O462 W462 O512 W512 O562 W562 O612 W612 O662 W662">
    <cfRule type="expression" priority="2697" dxfId="2119">
      <formula>$N58="Drop Plan"</formula>
    </cfRule>
    <cfRule type="expression" priority="2705" dxfId="2118">
      <formula>$N58="Enter Dollar Amount"</formula>
    </cfRule>
  </conditionalFormatting>
  <conditionalFormatting sqref="O15:O18">
    <cfRule type="expression" priority="333" dxfId="2449">
      <formula>$N$14="Enter Percentages"</formula>
    </cfRule>
    <cfRule type="expression" priority="335" dxfId="2448">
      <formula>$N$14="Enter Dollar Amount"</formula>
    </cfRule>
  </conditionalFormatting>
  <conditionalFormatting sqref="N15:N18">
    <cfRule type="expression" priority="332" dxfId="2449">
      <formula>$N$14="Enter Dollar Amount"</formula>
    </cfRule>
    <cfRule type="expression" priority="334" dxfId="2448">
      <formula>$N$14="Enter Percentages"</formula>
    </cfRule>
  </conditionalFormatting>
  <conditionalFormatting sqref="N15:O18">
    <cfRule type="expression" priority="331" dxfId="2445">
      <formula>$N$14="Drop Plan"</formula>
    </cfRule>
  </conditionalFormatting>
  <conditionalFormatting sqref="W15:W18">
    <cfRule type="expression" priority="328" dxfId="2449">
      <formula>$V$14="Enter Percentages"</formula>
    </cfRule>
    <cfRule type="expression" priority="330" dxfId="2448">
      <formula>$V$14="Enter Dollar Amount"</formula>
    </cfRule>
  </conditionalFormatting>
  <conditionalFormatting sqref="V15:V18">
    <cfRule type="expression" priority="327" dxfId="2449">
      <formula>$V$14="Enter Dollar Amount"</formula>
    </cfRule>
    <cfRule type="expression" priority="329" dxfId="2448">
      <formula>$V$14="Enter Percentages"</formula>
    </cfRule>
  </conditionalFormatting>
  <conditionalFormatting sqref="V15:W18">
    <cfRule type="expression" priority="326" dxfId="2445">
      <formula>$V$14="Drop Plan"</formula>
    </cfRule>
  </conditionalFormatting>
  <conditionalFormatting sqref="O65:O68">
    <cfRule type="expression" priority="323" dxfId="2449">
      <formula>$N$64="Enter Percentages"</formula>
    </cfRule>
    <cfRule type="expression" priority="325" dxfId="2448">
      <formula>$N$64="Enter Dollar Amount"</formula>
    </cfRule>
  </conditionalFormatting>
  <conditionalFormatting sqref="N65:N68">
    <cfRule type="expression" priority="322" dxfId="2449">
      <formula>$N$64="Enter Dollar Amount"</formula>
    </cfRule>
    <cfRule type="expression" priority="324" dxfId="2448">
      <formula>$N$64="Enter Percentages"</formula>
    </cfRule>
  </conditionalFormatting>
  <conditionalFormatting sqref="N65:O68">
    <cfRule type="expression" priority="321" dxfId="2445">
      <formula>$N$64="Drop Plan"</formula>
    </cfRule>
  </conditionalFormatting>
  <conditionalFormatting sqref="W65:W68">
    <cfRule type="expression" priority="318" dxfId="2449">
      <formula>$V$64="Enter Percentages"</formula>
    </cfRule>
    <cfRule type="expression" priority="320" dxfId="2448">
      <formula>$V$64="Enter Dollar Amount"</formula>
    </cfRule>
  </conditionalFormatting>
  <conditionalFormatting sqref="V65:V68">
    <cfRule type="expression" priority="317" dxfId="2449">
      <formula>$V$64="Enter Dollar Amount"</formula>
    </cfRule>
    <cfRule type="expression" priority="319" dxfId="2448">
      <formula>$V$64="Enter Percentages"</formula>
    </cfRule>
  </conditionalFormatting>
  <conditionalFormatting sqref="V65:W68">
    <cfRule type="expression" priority="316" dxfId="2445">
      <formula>$V$64="Drop Plan"</formula>
    </cfRule>
  </conditionalFormatting>
  <conditionalFormatting sqref="O115:O118">
    <cfRule type="expression" priority="313" dxfId="2449">
      <formula>$N$114="Enter Percentages"</formula>
    </cfRule>
    <cfRule type="expression" priority="315" dxfId="2448">
      <formula>$N$114="Enter Dollar Amount"</formula>
    </cfRule>
  </conditionalFormatting>
  <conditionalFormatting sqref="N115:N118">
    <cfRule type="expression" priority="312" dxfId="2449">
      <formula>$N$114="Enter Dollar Amount"</formula>
    </cfRule>
    <cfRule type="expression" priority="314" dxfId="2448">
      <formula>$N$114="Enter Percentages"</formula>
    </cfRule>
  </conditionalFormatting>
  <conditionalFormatting sqref="N115:O118">
    <cfRule type="expression" priority="311" dxfId="2445">
      <formula>$N$114="Drop Plan"</formula>
    </cfRule>
  </conditionalFormatting>
  <conditionalFormatting sqref="W115:W118">
    <cfRule type="expression" priority="308" dxfId="2449">
      <formula>$V$114="Enter Percentages"</formula>
    </cfRule>
    <cfRule type="expression" priority="310" dxfId="2448">
      <formula>$V$114="Enter Dollar Amount"</formula>
    </cfRule>
  </conditionalFormatting>
  <conditionalFormatting sqref="V115:V118">
    <cfRule type="expression" priority="307" dxfId="2449">
      <formula>$V$114="Enter Dollar Amount"</formula>
    </cfRule>
    <cfRule type="expression" priority="309" dxfId="2448">
      <formula>$V$114="Enter Percentages"</formula>
    </cfRule>
  </conditionalFormatting>
  <conditionalFormatting sqref="V115:W118">
    <cfRule type="expression" priority="306" dxfId="2445">
      <formula>$V$114="Drop Plan"</formula>
    </cfRule>
  </conditionalFormatting>
  <conditionalFormatting sqref="O165:O168">
    <cfRule type="expression" priority="303" dxfId="2449">
      <formula>$N$164="Enter Percentages"</formula>
    </cfRule>
    <cfRule type="expression" priority="305" dxfId="2448">
      <formula>$N$164="Enter Dollar Amount"</formula>
    </cfRule>
  </conditionalFormatting>
  <conditionalFormatting sqref="N165:N168">
    <cfRule type="expression" priority="302" dxfId="2449">
      <formula>$N$164="Enter Dollar Amount"</formula>
    </cfRule>
    <cfRule type="expression" priority="304" dxfId="2448">
      <formula>$N$164="Enter Percentages"</formula>
    </cfRule>
  </conditionalFormatting>
  <conditionalFormatting sqref="N165:O168">
    <cfRule type="expression" priority="301" dxfId="2445">
      <formula>$N$164="Drop Plan"</formula>
    </cfRule>
  </conditionalFormatting>
  <conditionalFormatting sqref="W165:W168">
    <cfRule type="expression" priority="298" dxfId="2449">
      <formula>$V$164="Enter Percentages"</formula>
    </cfRule>
    <cfRule type="expression" priority="300" dxfId="2448">
      <formula>$V$164="Enter Dollar Amount"</formula>
    </cfRule>
  </conditionalFormatting>
  <conditionalFormatting sqref="V165:V168">
    <cfRule type="expression" priority="297" dxfId="2449">
      <formula>$V$164="Enter Dollar Amount"</formula>
    </cfRule>
    <cfRule type="expression" priority="299" dxfId="2448">
      <formula>$V$164="Enter Percentages"</formula>
    </cfRule>
  </conditionalFormatting>
  <conditionalFormatting sqref="V165:W168">
    <cfRule type="expression" priority="296" dxfId="2445">
      <formula>$V$164="Drop Plan"</formula>
    </cfRule>
  </conditionalFormatting>
  <conditionalFormatting sqref="O215:O218">
    <cfRule type="expression" priority="293" dxfId="2449">
      <formula>$N$214="Enter Percentages"</formula>
    </cfRule>
    <cfRule type="expression" priority="295" dxfId="2448">
      <formula>$N$214="Enter Dollar Amount"</formula>
    </cfRule>
  </conditionalFormatting>
  <conditionalFormatting sqref="N215:N218">
    <cfRule type="expression" priority="292" dxfId="2449">
      <formula>$N$214="Enter Dollar Amount"</formula>
    </cfRule>
    <cfRule type="expression" priority="294" dxfId="2448">
      <formula>$N$214="Enter Percentages"</formula>
    </cfRule>
  </conditionalFormatting>
  <conditionalFormatting sqref="N215:O218">
    <cfRule type="expression" priority="291" dxfId="2445">
      <formula>$N$214="Drop Plan"</formula>
    </cfRule>
  </conditionalFormatting>
  <conditionalFormatting sqref="W215:W218">
    <cfRule type="expression" priority="288" dxfId="2449">
      <formula>$V$214="Enter Percentages"</formula>
    </cfRule>
    <cfRule type="expression" priority="290" dxfId="2448">
      <formula>$V$214="Enter Dollar Amount"</formula>
    </cfRule>
  </conditionalFormatting>
  <conditionalFormatting sqref="V215:V218">
    <cfRule type="expression" priority="287" dxfId="2449">
      <formula>$V$214="Enter Dollar Amount"</formula>
    </cfRule>
    <cfRule type="expression" priority="289" dxfId="2448">
      <formula>$V$214="Enter Percentages"</formula>
    </cfRule>
  </conditionalFormatting>
  <conditionalFormatting sqref="V215:W218">
    <cfRule type="expression" priority="286" dxfId="2445">
      <formula>$V$214="Drop Plan"</formula>
    </cfRule>
  </conditionalFormatting>
  <conditionalFormatting sqref="O265:O268">
    <cfRule type="expression" priority="283" dxfId="2449">
      <formula>$N$264="Enter Percentages"</formula>
    </cfRule>
    <cfRule type="expression" priority="285" dxfId="2448">
      <formula>$N$264="Enter Dollar Amount"</formula>
    </cfRule>
  </conditionalFormatting>
  <conditionalFormatting sqref="N265:N268">
    <cfRule type="expression" priority="282" dxfId="2449">
      <formula>$N$264="Enter Dollar Amount"</formula>
    </cfRule>
    <cfRule type="expression" priority="284" dxfId="2448">
      <formula>$N$264="Enter Percentages"</formula>
    </cfRule>
  </conditionalFormatting>
  <conditionalFormatting sqref="N265:O268">
    <cfRule type="expression" priority="281" dxfId="2445">
      <formula>$N$264="Drop Plan"</formula>
    </cfRule>
  </conditionalFormatting>
  <conditionalFormatting sqref="W265:W268">
    <cfRule type="expression" priority="278" dxfId="2449">
      <formula>$V$264="Enter Percentages"</formula>
    </cfRule>
    <cfRule type="expression" priority="280" dxfId="2448">
      <formula>$V$264="Enter Dollar Amount"</formula>
    </cfRule>
  </conditionalFormatting>
  <conditionalFormatting sqref="V265:V268">
    <cfRule type="expression" priority="277" dxfId="2449">
      <formula>$V$264="Enter Dollar Amount"</formula>
    </cfRule>
    <cfRule type="expression" priority="279" dxfId="2448">
      <formula>$V$264="Enter Percentages"</formula>
    </cfRule>
  </conditionalFormatting>
  <conditionalFormatting sqref="V265:W268">
    <cfRule type="expression" priority="276" dxfId="2445">
      <formula>$V$264="Drop Plan"</formula>
    </cfRule>
  </conditionalFormatting>
  <conditionalFormatting sqref="O315:O318">
    <cfRule type="expression" priority="273" dxfId="2449">
      <formula>$N$314="Enter Percentages"</formula>
    </cfRule>
    <cfRule type="expression" priority="275" dxfId="2448">
      <formula>$N$314="Enter Dollar Amount"</formula>
    </cfRule>
  </conditionalFormatting>
  <conditionalFormatting sqref="N315:N318">
    <cfRule type="expression" priority="272" dxfId="2449">
      <formula>$N$314="Enter Dollar Amount"</formula>
    </cfRule>
    <cfRule type="expression" priority="274" dxfId="2448">
      <formula>$N$314="Enter Percentages"</formula>
    </cfRule>
  </conditionalFormatting>
  <conditionalFormatting sqref="N315:O318">
    <cfRule type="expression" priority="271" dxfId="2445">
      <formula>$N$314="Drop Plan"</formula>
    </cfRule>
  </conditionalFormatting>
  <conditionalFormatting sqref="W315:W318">
    <cfRule type="expression" priority="268" dxfId="2449">
      <formula>$V$314="Enter Percentages"</formula>
    </cfRule>
    <cfRule type="expression" priority="270" dxfId="2448">
      <formula>$V$314="Enter Dollar Amount"</formula>
    </cfRule>
  </conditionalFormatting>
  <conditionalFormatting sqref="V315:V318">
    <cfRule type="expression" priority="267" dxfId="2449">
      <formula>$V$314="Enter Dollar Amount"</formula>
    </cfRule>
    <cfRule type="expression" priority="269" dxfId="2448">
      <formula>$V$314="Enter Percentages"</formula>
    </cfRule>
  </conditionalFormatting>
  <conditionalFormatting sqref="V315:W318">
    <cfRule type="expression" priority="266" dxfId="2445">
      <formula>$V$314="Drop Plan"</formula>
    </cfRule>
  </conditionalFormatting>
  <conditionalFormatting sqref="O365:O368">
    <cfRule type="expression" priority="263" dxfId="2449">
      <formula>$N$364="Enter Percentages"</formula>
    </cfRule>
    <cfRule type="expression" priority="265" dxfId="2448">
      <formula>$N$364="Enter Dollar Amount"</formula>
    </cfRule>
  </conditionalFormatting>
  <conditionalFormatting sqref="N365:N368">
    <cfRule type="expression" priority="262" dxfId="2449">
      <formula>$N$364="Enter Dollar Amount"</formula>
    </cfRule>
    <cfRule type="expression" priority="264" dxfId="2448">
      <formula>$N$364="Enter Percentages"</formula>
    </cfRule>
  </conditionalFormatting>
  <conditionalFormatting sqref="N365:O368">
    <cfRule type="expression" priority="261" dxfId="2445">
      <formula>$N$364="Drop Plan"</formula>
    </cfRule>
  </conditionalFormatting>
  <conditionalFormatting sqref="W365:W368">
    <cfRule type="expression" priority="258" dxfId="2449">
      <formula>$V$364="Enter Percentages"</formula>
    </cfRule>
    <cfRule type="expression" priority="260" dxfId="2448">
      <formula>$V$364="Enter Dollar Amount"</formula>
    </cfRule>
  </conditionalFormatting>
  <conditionalFormatting sqref="V365:V368">
    <cfRule type="expression" priority="257" dxfId="2449">
      <formula>$V$364="Enter Dollar Amount"</formula>
    </cfRule>
    <cfRule type="expression" priority="259" dxfId="2448">
      <formula>$V$364="Enter Percentages"</formula>
    </cfRule>
  </conditionalFormatting>
  <conditionalFormatting sqref="V365:W368">
    <cfRule type="expression" priority="256" dxfId="2445">
      <formula>$V$364="Drop Plan"</formula>
    </cfRule>
  </conditionalFormatting>
  <conditionalFormatting sqref="O415:O418">
    <cfRule type="expression" priority="253" dxfId="2449">
      <formula>$N$414="Enter Percentages"</formula>
    </cfRule>
    <cfRule type="expression" priority="255" dxfId="2448">
      <formula>$N$414="Enter Dollar Amount"</formula>
    </cfRule>
  </conditionalFormatting>
  <conditionalFormatting sqref="N415:N418">
    <cfRule type="expression" priority="252" dxfId="2449">
      <formula>$N$414="Enter Dollar Amount"</formula>
    </cfRule>
    <cfRule type="expression" priority="254" dxfId="2448">
      <formula>$N$414="Enter Percentages"</formula>
    </cfRule>
  </conditionalFormatting>
  <conditionalFormatting sqref="N415:O418">
    <cfRule type="expression" priority="251" dxfId="2445">
      <formula>$N$414="Drop Plan"</formula>
    </cfRule>
  </conditionalFormatting>
  <conditionalFormatting sqref="W415:W418">
    <cfRule type="expression" priority="248" dxfId="2449">
      <formula>$V$414="Enter Percentages"</formula>
    </cfRule>
    <cfRule type="expression" priority="250" dxfId="2448">
      <formula>$V$414="Enter Dollar Amount"</formula>
    </cfRule>
  </conditionalFormatting>
  <conditionalFormatting sqref="V415:V418">
    <cfRule type="expression" priority="247" dxfId="2449">
      <formula>$V$414="Enter Dollar Amount"</formula>
    </cfRule>
    <cfRule type="expression" priority="249" dxfId="2448">
      <formula>$V$414="Enter Percentages"</formula>
    </cfRule>
  </conditionalFormatting>
  <conditionalFormatting sqref="V415:W418">
    <cfRule type="expression" priority="246" dxfId="2445">
      <formula>$V$414="Drop Plan"</formula>
    </cfRule>
  </conditionalFormatting>
  <conditionalFormatting sqref="O465:O468">
    <cfRule type="expression" priority="243" dxfId="2449">
      <formula>$N$464="Enter Percentages"</formula>
    </cfRule>
    <cfRule type="expression" priority="245" dxfId="2448">
      <formula>$N$464="Enter Dollar Amount"</formula>
    </cfRule>
  </conditionalFormatting>
  <conditionalFormatting sqref="N465:N468">
    <cfRule type="expression" priority="242" dxfId="2449">
      <formula>$N$464="Enter Dollar Amount"</formula>
    </cfRule>
    <cfRule type="expression" priority="244" dxfId="2448">
      <formula>$N$464="Enter Percentages"</formula>
    </cfRule>
  </conditionalFormatting>
  <conditionalFormatting sqref="N465:O468">
    <cfRule type="expression" priority="241" dxfId="2445">
      <formula>$N$464="Drop Plan"</formula>
    </cfRule>
  </conditionalFormatting>
  <conditionalFormatting sqref="W465:W468">
    <cfRule type="expression" priority="238" dxfId="2449">
      <formula>$V$464="Enter Percentages"</formula>
    </cfRule>
    <cfRule type="expression" priority="240" dxfId="2448">
      <formula>$V$464="Enter Dollar Amount"</formula>
    </cfRule>
  </conditionalFormatting>
  <conditionalFormatting sqref="V465:V468">
    <cfRule type="expression" priority="237" dxfId="2449">
      <formula>$V$464="Enter Dollar Amount"</formula>
    </cfRule>
    <cfRule type="expression" priority="239" dxfId="2448">
      <formula>$V$464="Enter Percentages"</formula>
    </cfRule>
  </conditionalFormatting>
  <conditionalFormatting sqref="V465:W468">
    <cfRule type="expression" priority="236" dxfId="2445">
      <formula>$V$464="Drop Plan"</formula>
    </cfRule>
  </conditionalFormatting>
  <conditionalFormatting sqref="O515:O518">
    <cfRule type="expression" priority="233" dxfId="2449">
      <formula>$N$514="Enter Percentages"</formula>
    </cfRule>
    <cfRule type="expression" priority="235" dxfId="2448">
      <formula>$N$514="Enter Dollar Amount"</formula>
    </cfRule>
  </conditionalFormatting>
  <conditionalFormatting sqref="N515:N518">
    <cfRule type="expression" priority="232" dxfId="2449">
      <formula>$N$514="Enter Dollar Amount"</formula>
    </cfRule>
    <cfRule type="expression" priority="234" dxfId="2448">
      <formula>$N$514="Enter Percentages"</formula>
    </cfRule>
  </conditionalFormatting>
  <conditionalFormatting sqref="N515:O518">
    <cfRule type="expression" priority="231" dxfId="2445">
      <formula>$N$514="Drop Plan"</formula>
    </cfRule>
  </conditionalFormatting>
  <conditionalFormatting sqref="W515:W518">
    <cfRule type="expression" priority="228" dxfId="2449">
      <formula>$V$514="Enter Percentages"</formula>
    </cfRule>
    <cfRule type="expression" priority="230" dxfId="2448">
      <formula>$V$514="Enter Dollar Amount"</formula>
    </cfRule>
  </conditionalFormatting>
  <conditionalFormatting sqref="V515:V518">
    <cfRule type="expression" priority="227" dxfId="2449">
      <formula>$V$514="Enter Dollar Amount"</formula>
    </cfRule>
    <cfRule type="expression" priority="229" dxfId="2448">
      <formula>$V$514="Enter Percentages"</formula>
    </cfRule>
  </conditionalFormatting>
  <conditionalFormatting sqref="V515:W518">
    <cfRule type="expression" priority="226" dxfId="2445">
      <formula>$V$514="Drop Plan"</formula>
    </cfRule>
  </conditionalFormatting>
  <conditionalFormatting sqref="O565:O568">
    <cfRule type="expression" priority="223" dxfId="2449">
      <formula>$N$564="Enter Percentages"</formula>
    </cfRule>
    <cfRule type="expression" priority="225" dxfId="2448">
      <formula>$N$564="Enter Dollar Amount"</formula>
    </cfRule>
  </conditionalFormatting>
  <conditionalFormatting sqref="N565:N568">
    <cfRule type="expression" priority="222" dxfId="2449">
      <formula>$N$564="Enter Dollar Amount"</formula>
    </cfRule>
    <cfRule type="expression" priority="224" dxfId="2448">
      <formula>$N$564="Enter Percentages"</formula>
    </cfRule>
  </conditionalFormatting>
  <conditionalFormatting sqref="N565:O568">
    <cfRule type="expression" priority="221" dxfId="2445">
      <formula>$N$564="Drop Plan"</formula>
    </cfRule>
  </conditionalFormatting>
  <conditionalFormatting sqref="W565:W568">
    <cfRule type="expression" priority="218" dxfId="2449">
      <formula>$V$564="Enter Percentages"</formula>
    </cfRule>
    <cfRule type="expression" priority="220" dxfId="2448">
      <formula>$V$564="Enter Dollar Amount"</formula>
    </cfRule>
  </conditionalFormatting>
  <conditionalFormatting sqref="V565:V568">
    <cfRule type="expression" priority="217" dxfId="2449">
      <formula>$V$564="Enter Dollar Amount"</formula>
    </cfRule>
    <cfRule type="expression" priority="219" dxfId="2448">
      <formula>$V$564="Enter Percentages"</formula>
    </cfRule>
  </conditionalFormatting>
  <conditionalFormatting sqref="V565:W568">
    <cfRule type="expression" priority="216" dxfId="2445">
      <formula>$V$564="Drop Plan"</formula>
    </cfRule>
  </conditionalFormatting>
  <conditionalFormatting sqref="O615:O618">
    <cfRule type="expression" priority="213" dxfId="2449">
      <formula>$N$614="Enter Percentages"</formula>
    </cfRule>
    <cfRule type="expression" priority="215" dxfId="2448">
      <formula>$N$614="Enter Dollar Amount"</formula>
    </cfRule>
  </conditionalFormatting>
  <conditionalFormatting sqref="N615:N618">
    <cfRule type="expression" priority="212" dxfId="2449">
      <formula>$N$614="Enter Dollar Amount"</formula>
    </cfRule>
    <cfRule type="expression" priority="214" dxfId="2448">
      <formula>$N$614="Enter Percentages"</formula>
    </cfRule>
  </conditionalFormatting>
  <conditionalFormatting sqref="N615:O618">
    <cfRule type="expression" priority="211" dxfId="2445">
      <formula>$N$614="Drop Plan"</formula>
    </cfRule>
  </conditionalFormatting>
  <conditionalFormatting sqref="W615:W618">
    <cfRule type="expression" priority="208" dxfId="2449">
      <formula>$V$614="Enter Percentages"</formula>
    </cfRule>
    <cfRule type="expression" priority="210" dxfId="2448">
      <formula>$V$614="Enter Dollar Amount"</formula>
    </cfRule>
  </conditionalFormatting>
  <conditionalFormatting sqref="V615:V618">
    <cfRule type="expression" priority="207" dxfId="2449">
      <formula>$V$614="Enter Dollar Amount"</formula>
    </cfRule>
    <cfRule type="expression" priority="209" dxfId="2448">
      <formula>$V$614="Enter Percentages"</formula>
    </cfRule>
  </conditionalFormatting>
  <conditionalFormatting sqref="V615:W618">
    <cfRule type="expression" priority="206" dxfId="2445">
      <formula>$V$614="Drop Plan"</formula>
    </cfRule>
  </conditionalFormatting>
  <conditionalFormatting sqref="O666:O669">
    <cfRule type="expression" priority="198" dxfId="2449">
      <formula>$N$665="Enter Percentages"</formula>
    </cfRule>
    <cfRule type="expression" priority="200" dxfId="2448">
      <formula>$N$665="Enter Dollar Amount"</formula>
    </cfRule>
  </conditionalFormatting>
  <conditionalFormatting sqref="N666:N669">
    <cfRule type="expression" priority="197" dxfId="2449">
      <formula>$N$665="Enter Dollar Amount"</formula>
    </cfRule>
    <cfRule type="expression" priority="199" dxfId="2448">
      <formula>$N$665="Enter Percentages"</formula>
    </cfRule>
  </conditionalFormatting>
  <conditionalFormatting sqref="N666:O669">
    <cfRule type="expression" priority="196" dxfId="2445">
      <formula>$N$665="Drop Plan"</formula>
    </cfRule>
  </conditionalFormatting>
  <conditionalFormatting sqref="W666:W669">
    <cfRule type="expression" priority="193" dxfId="2449">
      <formula>$V$665="Enter Percentages"</formula>
    </cfRule>
    <cfRule type="expression" priority="195" dxfId="2448">
      <formula>$V$665="Enter Dollar Amount"</formula>
    </cfRule>
  </conditionalFormatting>
  <conditionalFormatting sqref="V666:V669">
    <cfRule type="expression" priority="192" dxfId="2449">
      <formula>$V$665="Enter Dollar Amount"</formula>
    </cfRule>
    <cfRule type="expression" priority="194" dxfId="2448">
      <formula>$V$665="Enter Percentages"</formula>
    </cfRule>
  </conditionalFormatting>
  <conditionalFormatting sqref="V666:W669">
    <cfRule type="expression" priority="191" dxfId="2445">
      <formula>$V$665="Drop Plan"</formula>
    </cfRule>
  </conditionalFormatting>
  <conditionalFormatting sqref="O676:O679">
    <cfRule type="expression" priority="188" dxfId="2449">
      <formula>$N$675="Enter Percentages"</formula>
    </cfRule>
    <cfRule type="expression" priority="190" dxfId="2448">
      <formula>$N$675="Enter Dollar Amount"</formula>
    </cfRule>
  </conditionalFormatting>
  <conditionalFormatting sqref="N676:N679">
    <cfRule type="expression" priority="187" dxfId="2449">
      <formula>$N$675="Enter Dollar Amount"</formula>
    </cfRule>
    <cfRule type="expression" priority="189" dxfId="2448">
      <formula>$N$675="Enter Percentages"</formula>
    </cfRule>
  </conditionalFormatting>
  <conditionalFormatting sqref="N676:O679">
    <cfRule type="expression" priority="186" dxfId="2445">
      <formula>$N$675="Drop Plan"</formula>
    </cfRule>
  </conditionalFormatting>
  <conditionalFormatting sqref="W676:W679">
    <cfRule type="expression" priority="183" dxfId="2449">
      <formula>$V$675="Enter Percentages"</formula>
    </cfRule>
    <cfRule type="expression" priority="185" dxfId="2448">
      <formula>$V$675="Enter Dollar Amount"</formula>
    </cfRule>
  </conditionalFormatting>
  <conditionalFormatting sqref="V676:V679">
    <cfRule type="expression" priority="182" dxfId="2449">
      <formula>$V$675="Enter Dollar Amount"</formula>
    </cfRule>
    <cfRule type="expression" priority="184" dxfId="2448">
      <formula>$V$675="Enter Percentages"</formula>
    </cfRule>
  </conditionalFormatting>
  <conditionalFormatting sqref="V676:W679">
    <cfRule type="expression" priority="181" dxfId="2445">
      <formula>$V$675="Drop Plan"</formula>
    </cfRule>
  </conditionalFormatting>
  <conditionalFormatting sqref="O686:O689">
    <cfRule type="expression" priority="178" dxfId="2449">
      <formula>$N$685="Enter Percentages"</formula>
    </cfRule>
    <cfRule type="expression" priority="180" dxfId="2448">
      <formula>$N$685="Enter Dollar Amount"</formula>
    </cfRule>
  </conditionalFormatting>
  <conditionalFormatting sqref="N686:N689">
    <cfRule type="expression" priority="177" dxfId="2449">
      <formula>$N$685="Enter Dollar Amount"</formula>
    </cfRule>
    <cfRule type="expression" priority="179" dxfId="2448">
      <formula>$N$685="Enter Percentages"</formula>
    </cfRule>
  </conditionalFormatting>
  <conditionalFormatting sqref="N686:O689">
    <cfRule type="expression" priority="176" dxfId="2445">
      <formula>$N$685="Drop Plan"</formula>
    </cfRule>
  </conditionalFormatting>
  <conditionalFormatting sqref="W686:W689">
    <cfRule type="expression" priority="173" dxfId="2449">
      <formula>$V$685="Enter Percentages"</formula>
    </cfRule>
    <cfRule type="expression" priority="175" dxfId="2448">
      <formula>$V$685="Enter Dollar Amount"</formula>
    </cfRule>
  </conditionalFormatting>
  <conditionalFormatting sqref="V686:V689">
    <cfRule type="expression" priority="172" dxfId="2449">
      <formula>$V$685="Enter Dollar Amount"</formula>
    </cfRule>
    <cfRule type="expression" priority="174" dxfId="2448">
      <formula>$V$685="Enter Percentages"</formula>
    </cfRule>
  </conditionalFormatting>
  <conditionalFormatting sqref="V686:W689">
    <cfRule type="expression" priority="171" dxfId="2445">
      <formula>$V$685="Drop Plan"</formula>
    </cfRule>
  </conditionalFormatting>
  <conditionalFormatting sqref="O696:O699">
    <cfRule type="expression" priority="168" dxfId="2449">
      <formula>$N$695="Enter Percentages"</formula>
    </cfRule>
    <cfRule type="expression" priority="170" dxfId="2448">
      <formula>$N$695="Enter Dollar Amount"</formula>
    </cfRule>
  </conditionalFormatting>
  <conditionalFormatting sqref="N696:N699">
    <cfRule type="expression" priority="167" dxfId="2449">
      <formula>$N$695="Enter Dollar Amount"</formula>
    </cfRule>
    <cfRule type="expression" priority="169" dxfId="2448">
      <formula>$N$695="Enter Percentages"</formula>
    </cfRule>
  </conditionalFormatting>
  <conditionalFormatting sqref="N696:O699">
    <cfRule type="expression" priority="166" dxfId="2445">
      <formula>$N$695="Drop Plan"</formula>
    </cfRule>
  </conditionalFormatting>
  <conditionalFormatting sqref="W696:W699">
    <cfRule type="expression" priority="163" dxfId="2449">
      <formula>$V$695="Enter Percentages"</formula>
    </cfRule>
    <cfRule type="expression" priority="165" dxfId="2448">
      <formula>$V$695="Enter Dollar Amount"</formula>
    </cfRule>
  </conditionalFormatting>
  <conditionalFormatting sqref="V696:V699">
    <cfRule type="expression" priority="162" dxfId="2449">
      <formula>$V$695="Enter Dollar Amount"</formula>
    </cfRule>
    <cfRule type="expression" priority="164" dxfId="2448">
      <formula>$V$695="Enter Percentages"</formula>
    </cfRule>
  </conditionalFormatting>
  <conditionalFormatting sqref="V696:W699">
    <cfRule type="expression" priority="161" dxfId="2445">
      <formula>$V$695="Drop Plan"</formula>
    </cfRule>
  </conditionalFormatting>
  <conditionalFormatting sqref="O706:O709">
    <cfRule type="expression" priority="158" dxfId="2449">
      <formula>$N$705="Enter Percentages"</formula>
    </cfRule>
    <cfRule type="expression" priority="160" dxfId="2448">
      <formula>$N$705="Enter Dollar Amount"</formula>
    </cfRule>
  </conditionalFormatting>
  <conditionalFormatting sqref="N706:N709">
    <cfRule type="expression" priority="157" dxfId="2449">
      <formula>$N$705="Enter Dollar Amount"</formula>
    </cfRule>
    <cfRule type="expression" priority="159" dxfId="2448">
      <formula>$N$705="Enter Percentages"</formula>
    </cfRule>
  </conditionalFormatting>
  <conditionalFormatting sqref="N706:O709">
    <cfRule type="expression" priority="156" dxfId="2445">
      <formula>$N$705="Drop Plan"</formula>
    </cfRule>
  </conditionalFormatting>
  <conditionalFormatting sqref="W706:W709">
    <cfRule type="expression" priority="153" dxfId="2449">
      <formula>$V$705="Enter Percentages"</formula>
    </cfRule>
    <cfRule type="expression" priority="155" dxfId="2448">
      <formula>$V$705="Enter Dollar Amount"</formula>
    </cfRule>
  </conditionalFormatting>
  <conditionalFormatting sqref="V706:V709">
    <cfRule type="expression" priority="152" dxfId="2449">
      <formula>$V$705="Enter Dollar Amount"</formula>
    </cfRule>
    <cfRule type="expression" priority="154" dxfId="2448">
      <formula>$V$705="Enter Percentages"</formula>
    </cfRule>
  </conditionalFormatting>
  <conditionalFormatting sqref="V706:W709">
    <cfRule type="expression" priority="151" dxfId="2445">
      <formula>$V$705="Drop Plan"</formula>
    </cfRule>
  </conditionalFormatting>
  <conditionalFormatting sqref="O716:O719">
    <cfRule type="expression" priority="148" dxfId="2449">
      <formula>$N$715="Enter Percentages"</formula>
    </cfRule>
    <cfRule type="expression" priority="150" dxfId="2448">
      <formula>$N$715="Enter Dollar Amount"</formula>
    </cfRule>
  </conditionalFormatting>
  <conditionalFormatting sqref="N716:N719">
    <cfRule type="expression" priority="147" dxfId="2449">
      <formula>$N$715="Enter Dollar Amount"</formula>
    </cfRule>
    <cfRule type="expression" priority="149" dxfId="2448">
      <formula>$N$715="Enter Percentages"</formula>
    </cfRule>
  </conditionalFormatting>
  <conditionalFormatting sqref="N716:O719">
    <cfRule type="expression" priority="146" dxfId="2445">
      <formula>$N$715="Drop Plan"</formula>
    </cfRule>
  </conditionalFormatting>
  <conditionalFormatting sqref="W716:W719">
    <cfRule type="expression" priority="143" dxfId="2449">
      <formula>$V$715="Enter Percentages"</formula>
    </cfRule>
    <cfRule type="expression" priority="145" dxfId="2448">
      <formula>$V$715="Enter Dollar Amount"</formula>
    </cfRule>
  </conditionalFormatting>
  <conditionalFormatting sqref="V716:V719">
    <cfRule type="expression" priority="142" dxfId="2449">
      <formula>$V$715="Enter Dollar Amount"</formula>
    </cfRule>
    <cfRule type="expression" priority="144" dxfId="2448">
      <formula>$V$715="Enter Percentages"</formula>
    </cfRule>
  </conditionalFormatting>
  <conditionalFormatting sqref="V716:W719">
    <cfRule type="expression" priority="141" dxfId="2445">
      <formula>$V$715="Drop Plan"</formula>
    </cfRule>
  </conditionalFormatting>
  <conditionalFormatting sqref="O726:O729">
    <cfRule type="expression" priority="138" dxfId="2449">
      <formula>$N$725="Enter Percentages"</formula>
    </cfRule>
    <cfRule type="expression" priority="140" dxfId="2448">
      <formula>$N$725="Enter Dollar Amount"</formula>
    </cfRule>
  </conditionalFormatting>
  <conditionalFormatting sqref="N726:N729">
    <cfRule type="expression" priority="137" dxfId="2449">
      <formula>$N$725="Enter Dollar Amount"</formula>
    </cfRule>
    <cfRule type="expression" priority="139" dxfId="2448">
      <formula>$N$725="Enter Percentages"</formula>
    </cfRule>
  </conditionalFormatting>
  <conditionalFormatting sqref="N726:O729">
    <cfRule type="expression" priority="136" dxfId="2445">
      <formula>$N$725="Drop Plan"</formula>
    </cfRule>
  </conditionalFormatting>
  <conditionalFormatting sqref="W726:W729">
    <cfRule type="expression" priority="133" dxfId="2449">
      <formula>$V$725="Enter Percentages"</formula>
    </cfRule>
    <cfRule type="expression" priority="135" dxfId="2448">
      <formula>$V$725="Enter Dollar Amount"</formula>
    </cfRule>
  </conditionalFormatting>
  <conditionalFormatting sqref="V726:V729">
    <cfRule type="expression" priority="132" dxfId="2449">
      <formula>$V$725="Enter Dollar Amount"</formula>
    </cfRule>
    <cfRule type="expression" priority="134" dxfId="2448">
      <formula>$V$725="Enter Percentages"</formula>
    </cfRule>
  </conditionalFormatting>
  <conditionalFormatting sqref="V726:W729">
    <cfRule type="expression" priority="131" dxfId="2445">
      <formula>$V$725="Drop Plan"</formula>
    </cfRule>
  </conditionalFormatting>
  <conditionalFormatting sqref="O736:O739">
    <cfRule type="expression" priority="128" dxfId="2449">
      <formula>$N$735="Enter Percentages"</formula>
    </cfRule>
    <cfRule type="expression" priority="130" dxfId="2448">
      <formula>$N$735="Enter Dollar Amount"</formula>
    </cfRule>
  </conditionalFormatting>
  <conditionalFormatting sqref="N736:N739">
    <cfRule type="expression" priority="127" dxfId="2449">
      <formula>$N$735="Enter Dollar Amount"</formula>
    </cfRule>
    <cfRule type="expression" priority="129" dxfId="2448">
      <formula>$N$735="Enter Percentages"</formula>
    </cfRule>
  </conditionalFormatting>
  <conditionalFormatting sqref="N736:O739">
    <cfRule type="expression" priority="126" dxfId="2445">
      <formula>$N$735="Drop Plan"</formula>
    </cfRule>
  </conditionalFormatting>
  <conditionalFormatting sqref="W736:W739">
    <cfRule type="expression" priority="123" dxfId="2449">
      <formula>$V$735="Enter Percentages"</formula>
    </cfRule>
    <cfRule type="expression" priority="125" dxfId="2448">
      <formula>$V$735="Enter Dollar Amount"</formula>
    </cfRule>
  </conditionalFormatting>
  <conditionalFormatting sqref="V736:V739">
    <cfRule type="expression" priority="122" dxfId="2449">
      <formula>$V$735="Enter Dollar Amount"</formula>
    </cfRule>
    <cfRule type="expression" priority="124" dxfId="2448">
      <formula>$V$735="Enter Percentages"</formula>
    </cfRule>
  </conditionalFormatting>
  <conditionalFormatting sqref="V736:W739">
    <cfRule type="expression" priority="121" dxfId="2445">
      <formula>$V$735="Drop Plan"</formula>
    </cfRule>
  </conditionalFormatting>
  <conditionalFormatting sqref="O746:O749">
    <cfRule type="expression" priority="118" dxfId="2449">
      <formula>$N$745="Enter Percentages"</formula>
    </cfRule>
    <cfRule type="expression" priority="120" dxfId="2448">
      <formula>$N$745="Enter Dollar Amount"</formula>
    </cfRule>
  </conditionalFormatting>
  <conditionalFormatting sqref="N746:N749">
    <cfRule type="expression" priority="117" dxfId="2449">
      <formula>$N$745="Enter Dollar Amount"</formula>
    </cfRule>
    <cfRule type="expression" priority="119" dxfId="2448">
      <formula>$N$745="Enter Percentages"</formula>
    </cfRule>
  </conditionalFormatting>
  <conditionalFormatting sqref="N746:O749">
    <cfRule type="expression" priority="116" dxfId="2445">
      <formula>$N$745="Drop Plan"</formula>
    </cfRule>
  </conditionalFormatting>
  <conditionalFormatting sqref="W746:W749">
    <cfRule type="expression" priority="113" dxfId="2449">
      <formula>$V$745="Enter Percentages"</formula>
    </cfRule>
    <cfRule type="expression" priority="115" dxfId="2448">
      <formula>$V$745="Enter Dollar Amount"</formula>
    </cfRule>
  </conditionalFormatting>
  <conditionalFormatting sqref="V746:V749">
    <cfRule type="expression" priority="112" dxfId="2449">
      <formula>$V$745="Enter Dollar Amount"</formula>
    </cfRule>
    <cfRule type="expression" priority="114" dxfId="2448">
      <formula>$V$745="Enter Percentages"</formula>
    </cfRule>
  </conditionalFormatting>
  <conditionalFormatting sqref="V746:W749">
    <cfRule type="expression" priority="111" dxfId="2445">
      <formula>$V$745="Drop Plan"</formula>
    </cfRule>
  </conditionalFormatting>
  <conditionalFormatting sqref="O756:O759">
    <cfRule type="expression" priority="108" dxfId="2449">
      <formula>$N$755="Enter Percentages"</formula>
    </cfRule>
    <cfRule type="expression" priority="110" dxfId="2448">
      <formula>$N$755="Enter Dollar Amount"</formula>
    </cfRule>
  </conditionalFormatting>
  <conditionalFormatting sqref="N756:N759">
    <cfRule type="expression" priority="107" dxfId="2449">
      <formula>$N$755="Enter Dollar Amount"</formula>
    </cfRule>
    <cfRule type="expression" priority="109" dxfId="2448">
      <formula>$N$755="Enter Percentages"</formula>
    </cfRule>
  </conditionalFormatting>
  <conditionalFormatting sqref="N756:O759">
    <cfRule type="expression" priority="106" dxfId="2445">
      <formula>$N$755="Drop Plan"</formula>
    </cfRule>
  </conditionalFormatting>
  <conditionalFormatting sqref="W756:W759">
    <cfRule type="expression" priority="103" dxfId="2449">
      <formula>$V$755="Enter Percentages"</formula>
    </cfRule>
    <cfRule type="expression" priority="105" dxfId="2448">
      <formula>$V$755="Enter Dollar Amount"</formula>
    </cfRule>
  </conditionalFormatting>
  <conditionalFormatting sqref="V756:V759">
    <cfRule type="expression" priority="102" dxfId="2449">
      <formula>$V$755="Enter Dollar Amount"</formula>
    </cfRule>
    <cfRule type="expression" priority="104" dxfId="2448">
      <formula>$V$755="Enter Percentages"</formula>
    </cfRule>
  </conditionalFormatting>
  <conditionalFormatting sqref="V756:W759">
    <cfRule type="expression" priority="101" dxfId="2445">
      <formula>$V$755="Drop Plan"</formula>
    </cfRule>
  </conditionalFormatting>
  <conditionalFormatting sqref="O767:O770">
    <cfRule type="expression" priority="98" dxfId="2449">
      <formula>$N$766="Enter Percentages"</formula>
    </cfRule>
    <cfRule type="expression" priority="100" dxfId="2448">
      <formula>$N$766="Enter Dollar Amount"</formula>
    </cfRule>
  </conditionalFormatting>
  <conditionalFormatting sqref="N767:N770">
    <cfRule type="expression" priority="97" dxfId="2449">
      <formula>$N$766="Enter Dollar Amount"</formula>
    </cfRule>
    <cfRule type="expression" priority="99" dxfId="2448">
      <formula>$N$766="Enter Percentages"</formula>
    </cfRule>
  </conditionalFormatting>
  <conditionalFormatting sqref="N767:O770">
    <cfRule type="expression" priority="96" dxfId="2445">
      <formula>$N$766="Drop Plan"</formula>
    </cfRule>
  </conditionalFormatting>
  <conditionalFormatting sqref="W767:W770">
    <cfRule type="expression" priority="93" dxfId="2449">
      <formula>$V$766="Enter Percentages"</formula>
    </cfRule>
    <cfRule type="expression" priority="95" dxfId="2448">
      <formula>$V$766="Enter Dollar Amount"</formula>
    </cfRule>
  </conditionalFormatting>
  <conditionalFormatting sqref="V767:V770">
    <cfRule type="expression" priority="92" dxfId="2449">
      <formula>$V$766="Enter Dollar Amount"</formula>
    </cfRule>
    <cfRule type="expression" priority="94" dxfId="2448">
      <formula>$V$766="Enter Percentages"</formula>
    </cfRule>
  </conditionalFormatting>
  <conditionalFormatting sqref="V767:W770">
    <cfRule type="expression" priority="91" dxfId="2445">
      <formula>$V$766="Drop Plan"</formula>
    </cfRule>
  </conditionalFormatting>
  <conditionalFormatting sqref="O777:O780">
    <cfRule type="expression" priority="88" dxfId="2449">
      <formula>$N$776="Enter Percentages"</formula>
    </cfRule>
    <cfRule type="expression" priority="90" dxfId="2448">
      <formula>$N$776="Enter Dollar Amount"</formula>
    </cfRule>
  </conditionalFormatting>
  <conditionalFormatting sqref="N777:N780">
    <cfRule type="expression" priority="87" dxfId="2449">
      <formula>$N$776="Enter Dollar Amount"</formula>
    </cfRule>
    <cfRule type="expression" priority="89" dxfId="2448">
      <formula>$N$776="Enter Percentages"</formula>
    </cfRule>
  </conditionalFormatting>
  <conditionalFormatting sqref="N777:O780">
    <cfRule type="expression" priority="86" dxfId="2445">
      <formula>$N$776="Drop Plan"</formula>
    </cfRule>
  </conditionalFormatting>
  <conditionalFormatting sqref="W777:W780">
    <cfRule type="expression" priority="83" dxfId="2449">
      <formula>$V$776="Enter Percentages"</formula>
    </cfRule>
    <cfRule type="expression" priority="85" dxfId="2448">
      <formula>$V$776="Enter Dollar Amount"</formula>
    </cfRule>
  </conditionalFormatting>
  <conditionalFormatting sqref="V777:V780">
    <cfRule type="expression" priority="82" dxfId="2449">
      <formula>$V$776="Enter Dollar Amount"</formula>
    </cfRule>
    <cfRule type="expression" priority="84" dxfId="2448">
      <formula>$V$776="Enter Percentages"</formula>
    </cfRule>
  </conditionalFormatting>
  <conditionalFormatting sqref="V777:W780">
    <cfRule type="expression" priority="81" dxfId="2445">
      <formula>$V$776="Drop Plan"</formula>
    </cfRule>
  </conditionalFormatting>
  <conditionalFormatting sqref="O787:O790">
    <cfRule type="expression" priority="78" dxfId="2449">
      <formula>$N$786="Enter Percentages"</formula>
    </cfRule>
    <cfRule type="expression" priority="80" dxfId="2448">
      <formula>$N$786="Enter Dollar Amount"</formula>
    </cfRule>
  </conditionalFormatting>
  <conditionalFormatting sqref="N787:N790">
    <cfRule type="expression" priority="77" dxfId="2449">
      <formula>$N$786="Enter Dollar Amount"</formula>
    </cfRule>
    <cfRule type="expression" priority="79" dxfId="2448">
      <formula>$N$786="Enter Percentages"</formula>
    </cfRule>
  </conditionalFormatting>
  <conditionalFormatting sqref="N787:O790">
    <cfRule type="expression" priority="76" dxfId="2445">
      <formula>$N$786="Drop Plan"</formula>
    </cfRule>
  </conditionalFormatting>
  <conditionalFormatting sqref="W787:W790">
    <cfRule type="expression" priority="73" dxfId="2449">
      <formula>$V$786="Enter Percentages"</formula>
    </cfRule>
    <cfRule type="expression" priority="75" dxfId="2448">
      <formula>$V$786="Enter Dollar Amount"</formula>
    </cfRule>
  </conditionalFormatting>
  <conditionalFormatting sqref="V787:V790">
    <cfRule type="expression" priority="72" dxfId="2449">
      <formula>$V$786="Enter Dollar Amount"</formula>
    </cfRule>
    <cfRule type="expression" priority="74" dxfId="2448">
      <formula>$V$786="Enter Percentages"</formula>
    </cfRule>
  </conditionalFormatting>
  <conditionalFormatting sqref="V787:W790">
    <cfRule type="expression" priority="71" dxfId="2445">
      <formula>$V$786="Drop Plan"</formula>
    </cfRule>
  </conditionalFormatting>
  <conditionalFormatting sqref="O797:O800">
    <cfRule type="expression" priority="68" dxfId="2449">
      <formula>$N$796="Enter Percentages"</formula>
    </cfRule>
    <cfRule type="expression" priority="70" dxfId="2448">
      <formula>$N$796="Enter Dollar Amount"</formula>
    </cfRule>
  </conditionalFormatting>
  <conditionalFormatting sqref="N797:N800">
    <cfRule type="expression" priority="67" dxfId="2449">
      <formula>$N$796="Enter Dollar Amount"</formula>
    </cfRule>
    <cfRule type="expression" priority="69" dxfId="2448">
      <formula>$N$796="Enter Percentages"</formula>
    </cfRule>
  </conditionalFormatting>
  <conditionalFormatting sqref="N797:O800">
    <cfRule type="expression" priority="66" dxfId="2445">
      <formula>$N$796="Drop Plan"</formula>
    </cfRule>
  </conditionalFormatting>
  <conditionalFormatting sqref="W797:W800">
    <cfRule type="expression" priority="63" dxfId="2449">
      <formula>$V$796="Enter Percentages"</formula>
    </cfRule>
    <cfRule type="expression" priority="65" dxfId="2448">
      <formula>$V$796="Enter Dollar Amount"</formula>
    </cfRule>
  </conditionalFormatting>
  <conditionalFormatting sqref="V797:V800">
    <cfRule type="expression" priority="62" dxfId="2449">
      <formula>$V$796="Enter Dollar Amount"</formula>
    </cfRule>
    <cfRule type="expression" priority="64" dxfId="2448">
      <formula>$V$796="Enter Percentages"</formula>
    </cfRule>
  </conditionalFormatting>
  <conditionalFormatting sqref="V797:W800">
    <cfRule type="expression" priority="61" dxfId="2445">
      <formula>$V$796="Drop Plan"</formula>
    </cfRule>
  </conditionalFormatting>
  <conditionalFormatting sqref="O807:O810">
    <cfRule type="expression" priority="58" dxfId="2449">
      <formula>$N$806="Enter Percentages"</formula>
    </cfRule>
    <cfRule type="expression" priority="60" dxfId="2448">
      <formula>$N$806="Enter Dollar Amount"</formula>
    </cfRule>
  </conditionalFormatting>
  <conditionalFormatting sqref="N807:N810">
    <cfRule type="expression" priority="57" dxfId="2449">
      <formula>$N$806="Enter Dollar Amount"</formula>
    </cfRule>
    <cfRule type="expression" priority="59" dxfId="2448">
      <formula>$N$806="Enter Percentages"</formula>
    </cfRule>
  </conditionalFormatting>
  <conditionalFormatting sqref="N807:O810">
    <cfRule type="expression" priority="56" dxfId="2445">
      <formula>$N$806="Drop Plan"</formula>
    </cfRule>
  </conditionalFormatting>
  <conditionalFormatting sqref="W807:W810">
    <cfRule type="expression" priority="53" dxfId="2449">
      <formula>$V$806="Enter Percentages"</formula>
    </cfRule>
    <cfRule type="expression" priority="55" dxfId="2448">
      <formula>$V$806="Enter Dollar Amount"</formula>
    </cfRule>
  </conditionalFormatting>
  <conditionalFormatting sqref="V807:V810">
    <cfRule type="expression" priority="52" dxfId="2449">
      <formula>$V$806="Enter Dollar Amount"</formula>
    </cfRule>
    <cfRule type="expression" priority="54" dxfId="2448">
      <formula>$V$806="Enter Percentages"</formula>
    </cfRule>
  </conditionalFormatting>
  <conditionalFormatting sqref="V807:W810">
    <cfRule type="expression" priority="51" dxfId="2445">
      <formula>$V$806="Drop Plan"</formula>
    </cfRule>
  </conditionalFormatting>
  <conditionalFormatting sqref="O817:O820">
    <cfRule type="expression" priority="48" dxfId="2449">
      <formula>$N$816="Enter Percentages"</formula>
    </cfRule>
    <cfRule type="expression" priority="50" dxfId="2448">
      <formula>$N$816="Enter Dollar Amount"</formula>
    </cfRule>
  </conditionalFormatting>
  <conditionalFormatting sqref="N817:N820">
    <cfRule type="expression" priority="47" dxfId="2449">
      <formula>$N$816="Enter Dollar Amount"</formula>
    </cfRule>
    <cfRule type="expression" priority="49" dxfId="2448">
      <formula>$N$816="Enter Percentages"</formula>
    </cfRule>
  </conditionalFormatting>
  <conditionalFormatting sqref="N817:O820">
    <cfRule type="expression" priority="46" dxfId="2445">
      <formula>$N$816="Drop Plan"</formula>
    </cfRule>
  </conditionalFormatting>
  <conditionalFormatting sqref="W817:W820">
    <cfRule type="expression" priority="43" dxfId="2449">
      <formula>$V$816="Enter Percentages"</formula>
    </cfRule>
    <cfRule type="expression" priority="45" dxfId="2448">
      <formula>$V$816="Enter Dollar Amount"</formula>
    </cfRule>
  </conditionalFormatting>
  <conditionalFormatting sqref="V817:V820">
    <cfRule type="expression" priority="42" dxfId="2449">
      <formula>$V$816="Enter Dollar Amount"</formula>
    </cfRule>
    <cfRule type="expression" priority="44" dxfId="2448">
      <formula>$V$816="Enter Percentages"</formula>
    </cfRule>
  </conditionalFormatting>
  <conditionalFormatting sqref="V817:W820">
    <cfRule type="expression" priority="41" dxfId="2445">
      <formula>$V$816="Drop Plan"</formula>
    </cfRule>
  </conditionalFormatting>
  <conditionalFormatting sqref="O827:O830">
    <cfRule type="expression" priority="38" dxfId="2449">
      <formula>$N$826="Enter Percentages"</formula>
    </cfRule>
    <cfRule type="expression" priority="40" dxfId="2448">
      <formula>$N$826="Enter Dollar Amount"</formula>
    </cfRule>
  </conditionalFormatting>
  <conditionalFormatting sqref="N827:N830">
    <cfRule type="expression" priority="37" dxfId="2449">
      <formula>$N$826="Enter Dollar Amount"</formula>
    </cfRule>
    <cfRule type="expression" priority="39" dxfId="2448">
      <formula>$N$826="Enter Percentages"</formula>
    </cfRule>
  </conditionalFormatting>
  <conditionalFormatting sqref="N827:O830">
    <cfRule type="expression" priority="36" dxfId="2445">
      <formula>$N$826="Drop Plan"</formula>
    </cfRule>
  </conditionalFormatting>
  <conditionalFormatting sqref="W827:W830">
    <cfRule type="expression" priority="33" dxfId="2449">
      <formula>$V$826="Enter Percentages"</formula>
    </cfRule>
    <cfRule type="expression" priority="35" dxfId="2448">
      <formula>$V$826="Enter Dollar Amount"</formula>
    </cfRule>
  </conditionalFormatting>
  <conditionalFormatting sqref="V827:V830">
    <cfRule type="expression" priority="32" dxfId="2449">
      <formula>$V$826="Enter Dollar Amount"</formula>
    </cfRule>
    <cfRule type="expression" priority="34" dxfId="2448">
      <formula>$V$826="Enter Percentages"</formula>
    </cfRule>
  </conditionalFormatting>
  <conditionalFormatting sqref="V827:W830">
    <cfRule type="expression" priority="31" dxfId="2445">
      <formula>$V$826="Drop Plan"</formula>
    </cfRule>
  </conditionalFormatting>
  <conditionalFormatting sqref="O837:O840">
    <cfRule type="expression" priority="28" dxfId="2449">
      <formula>$N$836="Enter Percentages"</formula>
    </cfRule>
    <cfRule type="expression" priority="30" dxfId="2448">
      <formula>$N$836="Enter Dollar Amount"</formula>
    </cfRule>
  </conditionalFormatting>
  <conditionalFormatting sqref="N837:N840">
    <cfRule type="expression" priority="27" dxfId="2449">
      <formula>$N$836="Enter Dollar Amount"</formula>
    </cfRule>
    <cfRule type="expression" priority="29" dxfId="2448">
      <formula>$N$836="Enter Percentages"</formula>
    </cfRule>
  </conditionalFormatting>
  <conditionalFormatting sqref="N837:O840">
    <cfRule type="expression" priority="26" dxfId="2445">
      <formula>$N$836="Drop Plan"</formula>
    </cfRule>
  </conditionalFormatting>
  <conditionalFormatting sqref="W837:W840">
    <cfRule type="expression" priority="23" dxfId="2449">
      <formula>$V$836="Enter Percentages"</formula>
    </cfRule>
    <cfRule type="expression" priority="25" dxfId="2448">
      <formula>$V$836="Enter Dollar Amount"</formula>
    </cfRule>
  </conditionalFormatting>
  <conditionalFormatting sqref="V837:V840">
    <cfRule type="expression" priority="22" dxfId="2449">
      <formula>$V$836="Enter Dollar Amount"</formula>
    </cfRule>
    <cfRule type="expression" priority="24" dxfId="2448">
      <formula>$V$836="Enter Percentages"</formula>
    </cfRule>
  </conditionalFormatting>
  <conditionalFormatting sqref="V837:W840">
    <cfRule type="expression" priority="21" dxfId="2445">
      <formula>$V$836="Drop Plan"</formula>
    </cfRule>
  </conditionalFormatting>
  <conditionalFormatting sqref="O847:O850">
    <cfRule type="expression" priority="18" dxfId="2449">
      <formula>$N$846="Enter Percentages"</formula>
    </cfRule>
    <cfRule type="expression" priority="20" dxfId="2448">
      <formula>$N$846="Enter Dollar Amount"</formula>
    </cfRule>
  </conditionalFormatting>
  <conditionalFormatting sqref="N847:N850">
    <cfRule type="expression" priority="17" dxfId="2449">
      <formula>$N$846="Enter Dollar Amount"</formula>
    </cfRule>
    <cfRule type="expression" priority="19" dxfId="2448">
      <formula>$N$846="Enter Percentages"</formula>
    </cfRule>
  </conditionalFormatting>
  <conditionalFormatting sqref="N847:O850">
    <cfRule type="expression" priority="16" dxfId="2445">
      <formula>$N$846="Drop Plan"</formula>
    </cfRule>
  </conditionalFormatting>
  <conditionalFormatting sqref="W847:W850">
    <cfRule type="expression" priority="13" dxfId="2449">
      <formula>$V$846="Enter Percentages"</formula>
    </cfRule>
    <cfRule type="expression" priority="15" dxfId="2448">
      <formula>$V$846="Enter Dollar Amount"</formula>
    </cfRule>
  </conditionalFormatting>
  <conditionalFormatting sqref="V847:V850">
    <cfRule type="expression" priority="12" dxfId="2449">
      <formula>$V$846="Enter Dollar Amount"</formula>
    </cfRule>
    <cfRule type="expression" priority="14" dxfId="2448">
      <formula>$V$846="Enter Percentages"</formula>
    </cfRule>
  </conditionalFormatting>
  <conditionalFormatting sqref="V847:W850">
    <cfRule type="expression" priority="11" dxfId="2445">
      <formula>$V$846="Drop Plan"</formula>
    </cfRule>
  </conditionalFormatting>
  <conditionalFormatting sqref="O857:O860">
    <cfRule type="expression" priority="8" dxfId="2449">
      <formula>$N$856="Enter Percentages"</formula>
    </cfRule>
    <cfRule type="expression" priority="10" dxfId="2448">
      <formula>$N$856="Enter Dollar Amount"</formula>
    </cfRule>
  </conditionalFormatting>
  <conditionalFormatting sqref="N857:N860">
    <cfRule type="expression" priority="7" dxfId="2449">
      <formula>$N$856="Enter Dollar Amount"</formula>
    </cfRule>
    <cfRule type="expression" priority="9" dxfId="2448">
      <formula>$N$856="Enter Percentages"</formula>
    </cfRule>
  </conditionalFormatting>
  <conditionalFormatting sqref="N857:O860">
    <cfRule type="expression" priority="6" dxfId="2445">
      <formula>$N$856="Drop Plan"</formula>
    </cfRule>
  </conditionalFormatting>
  <conditionalFormatting sqref="W857:W860">
    <cfRule type="expression" priority="3" dxfId="2449">
      <formula>$V$856="Enter Percentages"</formula>
    </cfRule>
    <cfRule type="expression" priority="5" dxfId="2448">
      <formula>$V$856="Enter Dollar Amount"</formula>
    </cfRule>
  </conditionalFormatting>
  <conditionalFormatting sqref="V857:V860">
    <cfRule type="expression" priority="2" dxfId="2449">
      <formula>$V$856="Enter Dollar Amount"</formula>
    </cfRule>
    <cfRule type="expression" priority="4" dxfId="2448">
      <formula>$V$856="Enter Percentages"</formula>
    </cfRule>
  </conditionalFormatting>
  <conditionalFormatting sqref="V857:W860">
    <cfRule type="expression" priority="1" dxfId="2445">
      <formula>$V$856="Drop Plan"</formula>
    </cfRule>
  </conditionalFormatting>
  <dataValidations count="8">
    <dataValidation type="list" allowBlank="1" showInputMessage="1" showErrorMessage="1" sqref="N14 V14 N64 V64 N114 V114 N164 V164 N214 V214 N264 V264 N314 V314 N364 V364 N414 V414 N464 V464 N514 V514 N564 V564 N614 V614 N665 V665 N675 V675 N685 V685 N695 V695 N705 V705 N715 V715 N725 V725 N735 V735 N745 V745 N755 V755 N766 V766 N776 V776 N786 V786 N796 V796 N806 V806 N816 V816 N826 V826 N836 V836 N846 V846 N856 V856">
      <formula1>"[Contribution Methods],Keep Contribution Same,Keep Percentage Same,Enter Dollar Amount,Enter Percentages,Drop Plan"</formula1>
    </dataValidation>
    <dataValidation type="list" allowBlank="1" showInputMessage="1" showErrorMessage="1" sqref="F876 F878:F879">
      <formula1>"Yes,No"</formula1>
    </dataValidation>
    <dataValidation type="list" allowBlank="1" showInputMessage="1" showErrorMessage="1" sqref="L14 T14 L64 T64 L114 T114 L164 T164 L214 T214 L264 T264 L314 T314 L364 T364 L414 T414 L464 T464 L514 T514 L564 T564 L614 T614">
      <formula1>'Health Summary'!$B$5:$AK$5</formula1>
    </dataValidation>
    <dataValidation type="list" allowBlank="1" showInputMessage="1" showErrorMessage="1" sqref="L665 T665 L675 T675 L685 T685 L695 T695 L705 T705 L715 T715 L725 T725 L735 T735 L745 T745 L755 T755">
      <formula1>'Dental Summary'!$B$5:$AK$5</formula1>
    </dataValidation>
    <dataValidation type="list" allowBlank="1" showInputMessage="1" showErrorMessage="1" sqref="L766 T766 L776 T776 L786 T786 L796 T796 L806 T806 L816 T816 L826 T826 L836 T836 L846 T846 L856 T856">
      <formula1>'Vision Summary'!$B$5:$AK$5</formula1>
    </dataValidation>
    <dataValidation type="list" allowBlank="1" showInputMessage="1" showErrorMessage="1" sqref="N879:O879">
      <formula1>'Life Summary'!$B$6:$W$6</formula1>
    </dataValidation>
    <dataValidation type="list" allowBlank="1" showInputMessage="1" showErrorMessage="1" sqref="N877:O877">
      <formula1>'LTD Summary'!$B$5:$W$5</formula1>
    </dataValidation>
    <dataValidation type="list" allowBlank="1" showInputMessage="1" showErrorMessage="1" sqref="N878:O878">
      <formula1>'STD Summary'!$B$5:$W$5</formula1>
    </dataValidation>
  </dataValidations>
  <hyperlinks>
    <hyperlink ref="E4" location="Class1_Health_Section" display="Medical"/>
    <hyperlink ref="E5" location="Class5_HealthSection" display="Dental"/>
    <hyperlink ref="E4:R4" location="Class5_HealthSection" display="Medical"/>
    <hyperlink ref="E5:R5" location="Class5_DentalSection" display="Dental"/>
    <hyperlink ref="E6:R6" location="Class5_VisionSection" display="Vision"/>
    <hyperlink ref="E7:R7" location="Class5_LifeSection" display="Life / Disability"/>
  </hyperlinks>
  <pageMargins left="0.25" right="0.25" top="0.5" bottom="0.25" header="0.3" footer="0.3"/>
  <pageSetup fitToHeight="0" orientation="landscape" paperSize="1" scale="33" r:id="rId4"/>
  <drawing r:id="rId2"/>
  <legacyDrawing r:id="rId3"/>
  <mc:AlternateContent xmlns:mc="http://schemas.openxmlformats.org/markup-compatibility/2006">
    <mc:Choice Requires="x14">
      <controls>
        <mc:AlternateContent xmlns:mc="http://schemas.openxmlformats.org/markup-compatibility/2006">
          <mc:Choice Requires="x14">
            <control shapeId="12292" r:id="rId1" name="Button 4">
              <controlPr defaultSize="0" print="0" autoLine="0" autoPict="0" macro="[0]!Loc">
                <anchor moveWithCells="1" sizeWithCells="1">
                  <from>
                    <xdr:col>2</xdr:col>
                    <xdr:colOff>31750</xdr:colOff>
                    <xdr:row>9</xdr:row>
                    <xdr:rowOff>222250</xdr:rowOff>
                  </from>
                  <to>
                    <xdr:col>2</xdr:col>
                    <xdr:colOff>609600</xdr:colOff>
                    <xdr:row>11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F6DA56FA-40BE-48CD-B7DF-4ECE83B9F623}">
  <sheetPr codeName="Sheet6">
    <pageSetUpPr fitToPage="1"/>
  </sheetPr>
  <dimension ref="A1:EJ1834"/>
  <sheetViews>
    <sheetView showGridLines="0" zoomScale="70" zoomScaleNormal="70" workbookViewId="0" topLeftCell="C1">
      <pane ySplit="12" topLeftCell="A13" activePane="bottomLeft" state="frozen"/>
      <selection pane="topLeft" activeCell="E15" sqref="E15"/>
      <selection pane="bottomLeft" activeCell="L15" sqref="L15"/>
    </sheetView>
  </sheetViews>
  <sheetFormatPr defaultColWidth="9.29333333333333" defaultRowHeight="13"/>
  <cols>
    <col min="1" max="2" width="3.33333333333333" style="1" hidden="1" customWidth="1"/>
    <col min="3" max="3" width="10.8333333333333" style="141" bestFit="1" customWidth="1"/>
    <col min="4" max="4" width="45.8333333333333" style="142" customWidth="1"/>
    <col min="5" max="5" width="18.8333333333333" style="142" customWidth="1"/>
    <col min="6" max="8" width="18.8333333333333" style="4" customWidth="1"/>
    <col min="9" max="9" width="18.8333333333333" style="254" customWidth="1"/>
    <col min="10" max="10" width="20.8333333333333" style="4" customWidth="1"/>
    <col min="11" max="11" width="1.66666666666667" style="4" customWidth="1"/>
    <col min="12" max="12" width="20.1666666666667" style="4" customWidth="1"/>
    <col min="13" max="13" width="18.8333333333333" style="4" customWidth="1"/>
    <col min="14" max="14" width="18.8333333333333" style="252" customWidth="1"/>
    <col min="15" max="17" width="18.8333333333333" style="4" customWidth="1"/>
    <col min="18" max="18" width="20.8333333333333" style="4" customWidth="1"/>
    <col min="19" max="19" width="1.16666666666667" style="1" customWidth="1"/>
    <col min="20" max="20" width="20.1666666666667" style="1" customWidth="1"/>
    <col min="21" max="25" width="18.8333333333333" style="1" customWidth="1"/>
    <col min="26" max="26" width="20.8333333333333" style="1" customWidth="1"/>
    <col min="27" max="27" width="2.5" style="1" customWidth="1"/>
    <col min="28" max="28" width="37.5" bestFit="1" customWidth="1"/>
    <col min="29" max="29" width="24.6666666666667" customWidth="1"/>
    <col min="30" max="31" width="1" customWidth="1"/>
    <col min="32" max="32" width="24.6666666666667" customWidth="1"/>
    <col min="33" max="33" width="0.333333333333333" customWidth="1"/>
    <col min="34" max="34" width="24.6666666666667" customWidth="1"/>
    <col min="141" max="16384" width="9.33333333333333" style="1"/>
  </cols>
  <sheetData>
    <row r="1" spans="1:25" ht="28.5" customHeight="1">
      <c r="A1" s="140"/>
      <c r="B1" s="140"/>
      <c r="E1"/>
      <c r="F1"/>
      <c r="G1"/>
      <c r="H1"/>
      <c r="I1"/>
      <c r="J1"/>
      <c r="K1"/>
      <c r="L1"/>
      <c r="M1"/>
      <c r="N1"/>
      <c r="O1"/>
      <c r="P1"/>
      <c r="Q1"/>
      <c r="R1"/>
      <c r="V1" s="118"/>
      <c r="W1" s="119"/>
      <c r="X1" s="118"/>
      <c r="Y1" s="118"/>
    </row>
    <row r="2" spans="1:25" ht="18" customHeight="1" thickBot="1">
      <c r="A2" s="140"/>
      <c r="B2" s="140"/>
      <c r="D2" s="143"/>
      <c r="E2"/>
      <c r="F2"/>
      <c r="G2"/>
      <c r="H2"/>
      <c r="I2"/>
      <c r="J2"/>
      <c r="K2"/>
      <c r="L2"/>
      <c r="M2"/>
      <c r="N2"/>
      <c r="O2"/>
      <c r="P2"/>
      <c r="Q2"/>
      <c r="R2"/>
      <c r="S2" s="144"/>
      <c r="V2" s="118"/>
      <c r="W2" s="119"/>
      <c r="X2" s="118"/>
      <c r="Y2" s="118"/>
    </row>
    <row r="3" spans="1:26" ht="25" customHeight="1" thickBot="1">
      <c r="A3" s="140"/>
      <c r="B3" s="140"/>
      <c r="D3" s="143"/>
      <c r="E3" s="504" t="str">
        <f>Client_Name&amp;" ("&amp;Client_Number&amp;") "&amp;Benefit_Year_Display&amp;" Renewal Rates"</f>
        <v>QUESTCO TEST (102) 2025 Renewal Rates</v>
      </c>
      <c r="F3" s="504"/>
      <c r="G3" s="504"/>
      <c r="H3" s="504"/>
      <c r="I3" s="504"/>
      <c r="J3" s="504"/>
      <c r="K3" s="504"/>
      <c r="L3" s="504"/>
      <c r="M3" s="504"/>
      <c r="N3" s="504"/>
      <c r="O3" s="504"/>
      <c r="P3" s="504"/>
      <c r="Q3" s="504"/>
      <c r="R3" s="504"/>
      <c r="S3" s="145"/>
      <c r="T3" s="498" t="s">
        <v>212</v>
      </c>
      <c r="U3" s="499"/>
      <c r="V3" s="496" t="s">
        <v>213</v>
      </c>
      <c r="W3" s="496"/>
      <c r="X3" s="496"/>
      <c r="Y3" s="496"/>
      <c r="Z3" s="497"/>
    </row>
    <row r="4" spans="1:26" ht="25.5" customHeight="1">
      <c r="A4" s="140"/>
      <c r="B4" s="140"/>
      <c r="D4" s="143"/>
      <c r="E4" s="533" t="s">
        <v>214</v>
      </c>
      <c r="F4" s="533"/>
      <c r="G4" s="533"/>
      <c r="H4" s="533"/>
      <c r="I4" s="533"/>
      <c r="J4" s="533"/>
      <c r="K4" s="533"/>
      <c r="L4" s="533"/>
      <c r="M4" s="533"/>
      <c r="N4" s="533"/>
      <c r="O4" s="533"/>
      <c r="P4" s="533"/>
      <c r="Q4" s="533"/>
      <c r="R4" s="533"/>
      <c r="S4" s="145"/>
      <c r="T4" s="393"/>
      <c r="U4" s="394"/>
      <c r="V4" s="492" t="s">
        <v>215</v>
      </c>
      <c r="W4" s="493"/>
      <c r="X4" s="500" t="s">
        <v>216</v>
      </c>
      <c r="Y4" s="501"/>
      <c r="Z4" s="395" t="s">
        <v>217</v>
      </c>
    </row>
    <row r="5" spans="1:26" ht="18" customHeight="1">
      <c r="A5" s="140"/>
      <c r="B5" s="140"/>
      <c r="D5" s="143"/>
      <c r="E5" s="533" t="s">
        <v>39</v>
      </c>
      <c r="F5" s="533"/>
      <c r="G5" s="533"/>
      <c r="H5" s="533"/>
      <c r="I5" s="533"/>
      <c r="J5" s="533"/>
      <c r="K5" s="533"/>
      <c r="L5" s="533"/>
      <c r="M5" s="533"/>
      <c r="N5" s="533"/>
      <c r="O5" s="533"/>
      <c r="P5" s="533"/>
      <c r="Q5" s="533"/>
      <c r="R5" s="533"/>
      <c r="T5" s="396" t="s">
        <v>218</v>
      </c>
      <c r="U5" s="397"/>
      <c r="V5" s="494">
        <f ca="1">IFERROR(IF(F20="",0,F20)+IF(F70="",0,F70)+IF(F120="",0,F120)+IF(F170="",0,F170)+IF(F220="",0,F220)+IF(F270="",0,F270)+IF(F320="",0,F320)+IF(F370="",0,F370)+IF(F420="",0,F420)+IF(F470="",0,F470)+IF(F520="",0,F520)+IF(F570="",0,F570)+IF(F620="",0,F620),"")</f>
        <v>0</v>
      </c>
      <c r="W5" s="495"/>
      <c r="X5" s="502">
        <f ca="1">IFERROR(IF(L20="",0,L20)+IF(L70="",0,L70)+IF(L120="",0,L120)+IF(L170="",0,L170)+IF(L220="",0,L220)+IF(L270="",0,L270)+IF(L320="",0,L320)+IF(L370="",0,L370)+IF(L420="",0,L420)+IF(L470="",0,L470)+IF(L520="",0,L520)+IF(L570="",0,L570)+IF(L620="",0,L620),"")</f>
        <v>0</v>
      </c>
      <c r="Y5" s="503"/>
      <c r="Z5" s="398">
        <f ca="1">IFERROR(IF(T20="",0,T20)+IF(T70="",0,T70)+IF(T120="",0,T120)+IF(T170="",0,T170)+IF(T220="",0,T220)+IF(T270="",0,T270)+IF(T320="",0,T320)+IF(T370="",0,T370)+IF(T420="",0,T420)+IF(T470="",0,T470)+IF(T520="",0,T520)+IF(T570="",0,T570)+IF(T620="",0,T620),"")</f>
        <v>0</v>
      </c>
    </row>
    <row r="6" spans="1:26" ht="18" customHeight="1">
      <c r="A6" s="140"/>
      <c r="B6" s="140"/>
      <c r="D6" s="143"/>
      <c r="E6" s="533" t="s">
        <v>40</v>
      </c>
      <c r="F6" s="533"/>
      <c r="G6" s="533"/>
      <c r="H6" s="533"/>
      <c r="I6" s="533"/>
      <c r="J6" s="533"/>
      <c r="K6" s="533"/>
      <c r="L6" s="533"/>
      <c r="M6" s="533"/>
      <c r="N6" s="533"/>
      <c r="O6" s="533"/>
      <c r="P6" s="533"/>
      <c r="Q6" s="533"/>
      <c r="R6" s="533"/>
      <c r="T6" s="399" t="s">
        <v>219</v>
      </c>
      <c r="U6" s="400"/>
      <c r="V6" s="477">
        <f ca="1">IFERROR(Current_Medical_EE_Count,"")</f>
        <v>0</v>
      </c>
      <c r="W6" s="478"/>
      <c r="X6" s="477">
        <f ca="1">IFERROR(Renewal_Medical_EE_Count,"")</f>
        <v>0</v>
      </c>
      <c r="Y6" s="478"/>
      <c r="Z6" s="401">
        <f ca="1">IFERROR(Alternate_Medical_EE_Count,"")</f>
        <v>0</v>
      </c>
    </row>
    <row r="7" spans="1:26" ht="18" customHeight="1">
      <c r="A7" s="140"/>
      <c r="B7" s="140"/>
      <c r="D7" s="143"/>
      <c r="E7" s="533" t="s">
        <v>220</v>
      </c>
      <c r="F7" s="533"/>
      <c r="G7" s="533"/>
      <c r="H7" s="533"/>
      <c r="I7" s="533"/>
      <c r="J7" s="533"/>
      <c r="K7" s="533"/>
      <c r="L7" s="533"/>
      <c r="M7" s="533"/>
      <c r="N7" s="533"/>
      <c r="O7" s="533"/>
      <c r="P7" s="533"/>
      <c r="Q7" s="533"/>
      <c r="R7" s="533"/>
      <c r="T7" s="402" t="s">
        <v>221</v>
      </c>
      <c r="U7" s="406"/>
      <c r="V7" s="487" t="s">
        <v>222</v>
      </c>
      <c r="W7" s="488"/>
      <c r="X7" s="479">
        <f ca="1">IFERROR(IF(V5="","",X5-V5),0)</f>
        <v>0</v>
      </c>
      <c r="Y7" s="480"/>
      <c r="Z7" s="398">
        <f ca="1">IFERROR(IF(V5="","",Z5-V5),0)</f>
        <v>0</v>
      </c>
    </row>
    <row r="8" spans="1:26" ht="18" customHeight="1" thickBot="1">
      <c r="A8" s="140"/>
      <c r="B8" s="140"/>
      <c r="D8" s="143"/>
      <c r="E8"/>
      <c r="F8"/>
      <c r="G8"/>
      <c r="H8"/>
      <c r="I8"/>
      <c r="J8"/>
      <c r="K8"/>
      <c r="L8"/>
      <c r="M8"/>
      <c r="N8"/>
      <c r="O8"/>
      <c r="P8"/>
      <c r="Q8"/>
      <c r="R8"/>
      <c r="T8" s="403" t="s">
        <v>223</v>
      </c>
      <c r="U8" s="404"/>
      <c r="V8" s="489" t="s">
        <v>222</v>
      </c>
      <c r="W8" s="490"/>
      <c r="X8" s="481">
        <f ca="1">IFERROR(IF(X5="","",(X5/V5)-1),0)</f>
        <v>0</v>
      </c>
      <c r="Y8" s="482"/>
      <c r="Z8" s="405">
        <f ca="1">IFERROR(IF(Z5="","",(Z5/V5)-1),0)</f>
        <v>0</v>
      </c>
    </row>
    <row r="9" spans="1:140" s="151" customFormat="1" ht="18" customHeight="1">
      <c r="A9" s="140"/>
      <c r="B9" s="140"/>
      <c r="C9" s="141"/>
      <c r="D9" s="143"/>
      <c r="E9" s="143"/>
      <c r="F9" s="145"/>
      <c r="G9" s="145"/>
      <c r="H9" s="145"/>
      <c r="I9" s="145"/>
      <c r="J9" s="145"/>
      <c r="K9" s="145"/>
      <c r="L9" s="145"/>
      <c r="M9" s="145"/>
      <c r="N9" s="145"/>
      <c r="O9" s="145"/>
      <c r="P9" s="145"/>
      <c r="Q9" s="145"/>
      <c r="R9" s="145"/>
      <c r="S9" s="1"/>
      <c r="T9" s="2"/>
      <c r="U9" s="146"/>
      <c r="V9" s="146"/>
      <c r="W9" s="147"/>
      <c r="X9" s="148"/>
      <c r="Y9" s="147"/>
      <c r="Z9" s="148"/>
      <c r="AA9" s="1"/>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row>
    <row r="10" spans="1:27" ht="18" customHeight="1">
      <c r="A10" s="149"/>
      <c r="B10" s="149"/>
      <c r="C10"/>
      <c r="D10"/>
      <c r="E10"/>
      <c r="F10"/>
      <c r="G10"/>
      <c r="H10"/>
      <c r="I10"/>
      <c r="J10"/>
      <c r="K10" s="150"/>
      <c r="L10" s="483"/>
      <c r="M10" s="483"/>
      <c r="N10" s="483"/>
      <c r="O10" s="483"/>
      <c r="P10" s="483"/>
      <c r="Q10" s="483"/>
      <c r="R10" s="483"/>
      <c r="S10" s="151"/>
      <c r="T10" s="483"/>
      <c r="U10" s="483"/>
      <c r="V10" s="483"/>
      <c r="W10" s="483"/>
      <c r="X10" s="483"/>
      <c r="Y10" s="483"/>
      <c r="Z10" s="483"/>
      <c r="AA10" s="151"/>
    </row>
    <row r="11" spans="1:140" s="159" customFormat="1" ht="18" customHeight="1">
      <c r="A11" s="140"/>
      <c r="B11" s="140"/>
      <c r="C11"/>
      <c r="D11"/>
      <c r="E11" s="483" t="s">
        <v>224</v>
      </c>
      <c r="F11" s="483"/>
      <c r="G11" s="483"/>
      <c r="H11" s="483"/>
      <c r="I11" s="483"/>
      <c r="J11" s="483"/>
      <c r="K11" s="152"/>
      <c r="L11" s="483" t="s">
        <v>225</v>
      </c>
      <c r="M11" s="483"/>
      <c r="N11" s="483"/>
      <c r="O11" s="483"/>
      <c r="P11" s="483"/>
      <c r="Q11" s="483"/>
      <c r="R11" s="483"/>
      <c r="S11" s="1"/>
      <c r="T11" s="483" t="s">
        <v>226</v>
      </c>
      <c r="U11" s="483"/>
      <c r="V11" s="483"/>
      <c r="W11" s="483"/>
      <c r="X11" s="483"/>
      <c r="Y11" s="483"/>
      <c r="Z11" s="483"/>
      <c r="AA11" s="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row>
    <row r="12" spans="1:140" s="162" customFormat="1" ht="60" customHeight="1" thickBot="1">
      <c r="A12" s="153"/>
      <c r="B12" s="153"/>
      <c r="C12" s="154" t="s">
        <v>227</v>
      </c>
      <c r="D12" s="467" t="str">
        <f>IF(Class6_Name=0,"",Class6_Name)</f>
        <v/>
      </c>
      <c r="E12" s="155" t="str">
        <f>"Employee Count (as of "&amp;TEXT(CountsAsOfDate,"MM/DD/YY")&amp;")"</f>
        <v>Employee Count (as of 08/01/24)</v>
      </c>
      <c r="F12" s="156" t="str">
        <f>"CurrentRates"&amp;Benefit_Year_Display-1</f>
        <v>CurrentRates2024</v>
      </c>
      <c r="G12" s="156" t="s">
        <v>228</v>
      </c>
      <c r="H12" s="156" t="s">
        <v>229</v>
      </c>
      <c r="I12" s="155" t="s">
        <v>230</v>
      </c>
      <c r="J12" s="156" t="s">
        <v>231</v>
      </c>
      <c r="K12" s="157"/>
      <c r="L12" s="158" t="str">
        <f>"Rates Effective 1/1/"&amp;Benefit_Year_Display</f>
        <v>Rates Effective 1/1/2025</v>
      </c>
      <c r="M12" s="158" t="s">
        <v>232</v>
      </c>
      <c r="N12" s="116" t="s">
        <v>233</v>
      </c>
      <c r="O12" s="116" t="s">
        <v>234</v>
      </c>
      <c r="P12" s="158" t="str">
        <f>"Employer Contribution "&amp;Benefit_Year_Display</f>
        <v>Employer Contribution 2025</v>
      </c>
      <c r="Q12" s="158" t="str">
        <f>"Employee Contribution "&amp;Benefit_Year_Display</f>
        <v>Employee Contribution 2025</v>
      </c>
      <c r="R12" s="158" t="s">
        <v>231</v>
      </c>
      <c r="S12" s="159"/>
      <c r="T12" s="160" t="str">
        <f>"Rates Effective 1/1/"&amp;Benefit_Year_Display</f>
        <v>Rates Effective 1/1/2025</v>
      </c>
      <c r="U12" s="160" t="s">
        <v>232</v>
      </c>
      <c r="V12" s="117" t="s">
        <v>233</v>
      </c>
      <c r="W12" s="117" t="s">
        <v>234</v>
      </c>
      <c r="X12" s="160" t="str">
        <f>"Employer Contribution "&amp;Benefit_Year_Display</f>
        <v>Employer Contribution 2025</v>
      </c>
      <c r="Y12" s="160" t="str">
        <f>"Employee Contribution "&amp;Benefit_Year_Display</f>
        <v>Employee Contribution 2025</v>
      </c>
      <c r="Z12" s="160" t="s">
        <v>231</v>
      </c>
      <c r="AA12" s="159"/>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row>
    <row r="13" spans="1:27" ht="38.25" customHeight="1" thickBot="1">
      <c r="A13" s="153"/>
      <c r="B13" s="153"/>
      <c r="C13" s="161"/>
      <c r="D13" s="474" t="s">
        <v>235</v>
      </c>
      <c r="E13" s="475"/>
      <c r="F13" s="475"/>
      <c r="G13" s="475"/>
      <c r="H13" s="475"/>
      <c r="I13" s="475"/>
      <c r="J13" s="475"/>
      <c r="K13" s="475"/>
      <c r="L13" s="475"/>
      <c r="M13" s="475"/>
      <c r="N13" s="475"/>
      <c r="O13" s="475"/>
      <c r="P13" s="475"/>
      <c r="Q13" s="475"/>
      <c r="R13" s="476"/>
      <c r="S13" s="162"/>
      <c r="T13" s="163"/>
      <c r="U13" s="163"/>
      <c r="V13" s="163"/>
      <c r="W13" s="163"/>
      <c r="X13" s="163"/>
      <c r="Y13" s="163"/>
      <c r="Z13" s="163"/>
      <c r="AA13" s="162"/>
    </row>
    <row r="14" spans="1:26" ht="50.15" customHeight="1">
      <c r="A14" s="140">
        <v>1</v>
      </c>
      <c r="B14" s="140" t="str">
        <f>IF(A14&gt;Class6_CurrentHealthCount,"DELETE",Class6_CurrentHealthStart+A14)</f>
        <v>DELETE</v>
      </c>
      <c r="C14" s="164" t="s">
        <v>236</v>
      </c>
      <c r="D14" s="273" t="str">
        <f>IF(B14="Delete","",VLOOKUP(F14,BEGIN_CURRENT_HEALTH:END_CURRENT_HEALTH,3,FALSE))</f>
        <v/>
      </c>
      <c r="E14" s="165"/>
      <c r="F14" s="320" t="str" cm="1">
        <f t="array" ca="1" aca="1" ref="F14">IF(B14="Delete","",INDIRECT("CurrentPlans!A"&amp;B14,TRUE))</f>
        <v/>
      </c>
      <c r="G14" s="166"/>
      <c r="H14" s="167"/>
      <c r="I14" s="168"/>
      <c r="J14" s="169"/>
      <c r="K14"/>
      <c r="L14" s="274" t="str">
        <f ca="1">_xlfn.IFNA(VLOOKUP(F14,BEGIN_RENEWEDFROM_HEALTH:ROW_RenewHealth_PlanID,3,FALSE),"SELECT PLAN")</f>
        <v>SELECT PLAN</v>
      </c>
      <c r="M14" s="170"/>
      <c r="N14" s="274" t="s">
        <v>237</v>
      </c>
      <c r="O14" s="171"/>
      <c r="P14" s="171"/>
      <c r="Q14" s="171"/>
      <c r="R14" s="169"/>
      <c r="T14" s="274" t="s">
        <v>38</v>
      </c>
      <c r="U14" s="170"/>
      <c r="V14" s="274" t="s">
        <v>237</v>
      </c>
      <c r="W14" s="171"/>
      <c r="X14" s="171"/>
      <c r="Y14" s="171"/>
      <c r="Z14" s="169"/>
    </row>
    <row r="15" spans="1:26" ht="18.75" customHeight="1">
      <c r="A15" s="140"/>
      <c r="B15" s="140"/>
      <c r="D15" s="172" t="s">
        <v>238</v>
      </c>
      <c r="E15" s="407" t="str">
        <f ca="1">_xlfn.IFNA(VLOOKUP(F14,BEGIN_CURRENT_HEALTH:END_CURRENT_HEALTH,CURRENT_COL_EO_count,FALSE),"")</f>
        <v/>
      </c>
      <c r="F15" s="408" t="str">
        <f ca="1">_xlfn.IFNA(VLOOKUP(F14,BEGIN_CURRENT_HEALTH:END_CURRENT_HEALTH,CURRENT_COL_EO,FALSE),"")</f>
        <v/>
      </c>
      <c r="G15" s="468" t="str">
        <f ca="1" t="shared" si="0" ref="G15:G18">IF(F15="","",H15/F15)</f>
        <v/>
      </c>
      <c r="H15" s="408" t="str">
        <f ca="1">_xlfn.IFNA(VLOOKUP(F14,BEGIN_CURRENT_HEALTH:END_CURRENT_HEALTH,CURRENT_COL_EOContrib,FALSE),"")</f>
        <v/>
      </c>
      <c r="I15" s="409" t="str">
        <f ca="1">IFERROR(F15-H15,"")</f>
        <v/>
      </c>
      <c r="J15" s="410" t="str">
        <f ca="1">IF(F15="","",H15*E15)</f>
        <v/>
      </c>
      <c r="K15" s="411"/>
      <c r="L15" s="408" t="str" cm="1">
        <f t="array" ca="1" aca="1" ref="L15">_xlfn.IFNA(VLOOKUP(INDIRECT("L"&amp;ROW()-1)&amp;"_"&amp;$D$12,BEGIN_RENEW_HEALTH:END_RENEW_HEALTH,RENEW_COL_EO,FALSE),"")</f>
        <v/>
      </c>
      <c r="M15" s="412" t="str">
        <f ca="1">IF(E15="","",E15)</f>
        <v/>
      </c>
      <c r="N15" s="413"/>
      <c r="O15" s="414"/>
      <c r="P15" s="415" t="str">
        <f>IFERROR(IF($N14="Keep Contribution Same",H15,IF($N14="Enter Percentages",IF(N15="","",N15*L15),IF($N14="Keep Percentage Same",IF(G15="","",G15*L15),IF($N14="Enter Dollar Amount",IF(O15="","",O15),"")))),"")</f>
        <v/>
      </c>
      <c r="Q15" s="408" t="str">
        <f ca="1">IFERROR(L15-P15,"")</f>
        <v/>
      </c>
      <c r="R15" s="410" t="str">
        <f>IFERROR(IF(P15="","",M15*P15),"")</f>
        <v/>
      </c>
      <c r="S15" s="411"/>
      <c r="T15" s="408" t="str" cm="1">
        <f t="array" ca="1" aca="1" ref="T15">_xlfn.IFNA(VLOOKUP(INDIRECT("T"&amp;ROW()-1)&amp;"_"&amp;$D$12,BEGIN_RENEW_HEALTH:END_RENEW_HEALTH,RENEW_COL_EO,FALSE),"")</f>
        <v/>
      </c>
      <c r="U15" s="412" t="str">
        <f ca="1">IF(E15="","",E15)</f>
        <v/>
      </c>
      <c r="V15" s="413"/>
      <c r="W15" s="414"/>
      <c r="X15" s="415" t="str">
        <f>IFERROR(IF($V14="Keep Contribution Same",H15,IF($V14="Enter Percentages",IF(V15="","",V15*T15),IF($V14="Keep Percentage Same",IF(G15="","",G15*T15),IF($V14="Enter Dollar Amount",IF(W15="","",W15),"")))),"")</f>
        <v/>
      </c>
      <c r="Y15" s="408" t="str">
        <f ca="1">IFERROR(T15-X15,"")</f>
        <v/>
      </c>
      <c r="Z15" s="410" t="str">
        <f>IFERROR(IF(X15="","",U15*X15),"")</f>
        <v/>
      </c>
    </row>
    <row r="16" spans="1:26" ht="18.75" customHeight="1">
      <c r="A16" s="140"/>
      <c r="B16" s="140"/>
      <c r="D16" s="172" t="s">
        <v>239</v>
      </c>
      <c r="E16" s="407" t="str">
        <f ca="1">_xlfn.IFNA(VLOOKUP(F14,BEGIN_CURRENT_HEALTH:END_CURRENT_HEALTH,CURRENT_COL_ES_count,FALSE),"")</f>
        <v/>
      </c>
      <c r="F16" s="408" t="str">
        <f ca="1">_xlfn.IFNA(VLOOKUP(F14,BEGIN_CURRENT_HEALTH:END_CURRENT_HEALTH,CURRENT_COL_ES,FALSE),"")</f>
        <v/>
      </c>
      <c r="G16" s="468" t="str">
        <f t="shared" ca="1" si="0"/>
        <v/>
      </c>
      <c r="H16" s="408" t="str">
        <f ca="1">_xlfn.IFNA(VLOOKUP(F14,BEGIN_CURRENT_HEALTH:END_CURRENT_HEALTH,CURRENT_COL_ESContrib,FALSE),"")</f>
        <v/>
      </c>
      <c r="I16" s="409" t="str">
        <f ca="1" t="shared" si="1" ref="I16:I18">IFERROR(F16-H16,"")</f>
        <v/>
      </c>
      <c r="J16" s="410" t="str">
        <f ca="1">IF(F16="","",H16*E16)</f>
        <v/>
      </c>
      <c r="K16" s="411"/>
      <c r="L16" s="408" t="str" cm="1">
        <f t="array" ca="1" aca="1" ref="L16">_xlfn.IFNA(VLOOKUP(INDIRECT("L"&amp;ROW()-2)&amp;"_"&amp;$D$12,BEGIN_RENEW_HEALTH:END_RENEW_HEALTH,RENEW_COL_ES,FALSE),"")</f>
        <v/>
      </c>
      <c r="M16" s="412" t="str">
        <f ca="1">IF(E16="","",E16)</f>
        <v/>
      </c>
      <c r="N16" s="413"/>
      <c r="O16" s="414"/>
      <c r="P16" s="415" t="str">
        <f>IFERROR(IF($N14="Keep Contribution Same",H16,IF($N14="Enter Percentages",IF(N16="","",N16*L16),IF($N14="Keep Percentage Same",IF(G16="","",G16*L16),IF($N14="Enter Dollar Amount",IF(O16="","",O16),"")))),"")</f>
        <v/>
      </c>
      <c r="Q16" s="408" t="str">
        <f ca="1">IFERROR(L16-P16,"")</f>
        <v/>
      </c>
      <c r="R16" s="410" t="str">
        <f>IFERROR(IF(P16="","",M16*P16),"")</f>
        <v/>
      </c>
      <c r="S16" s="411"/>
      <c r="T16" s="408" t="str" cm="1">
        <f t="array" ca="1" aca="1" ref="T16">_xlfn.IFNA(VLOOKUP(INDIRECT("T"&amp;ROW()-2)&amp;"_"&amp;$D$12,BEGIN_RENEW_HEALTH:END_RENEW_HEALTH,RENEW_COL_ES,FALSE),"")</f>
        <v/>
      </c>
      <c r="U16" s="412" t="str">
        <f ca="1" t="shared" si="2" ref="U16:U18">IF(E16="","",E16)</f>
        <v/>
      </c>
      <c r="V16" s="413"/>
      <c r="W16" s="414"/>
      <c r="X16" s="415" t="str">
        <f>IFERROR(IF($V14="Keep Contribution Same",H16,IF($V14="Enter Percentages",IF(V16="","",V16*T16),IF($V14="Keep Percentage Same",IF(G16="","",G16*T16),IF($V14="Enter Dollar Amount",IF(W16="","",W16),"")))),"")</f>
        <v/>
      </c>
      <c r="Y16" s="408" t="str">
        <f ca="1" t="shared" si="3" ref="Y16:Y18">IFERROR(T16-X16,"")</f>
        <v/>
      </c>
      <c r="Z16" s="410" t="str">
        <f t="shared" si="4" ref="Z16:Z18">IFERROR(IF(X16="","",U16*X16),"")</f>
        <v/>
      </c>
    </row>
    <row r="17" spans="1:26" ht="18.75" customHeight="1">
      <c r="A17" s="140"/>
      <c r="B17" s="140"/>
      <c r="D17" s="172" t="s">
        <v>240</v>
      </c>
      <c r="E17" s="407" t="str">
        <f ca="1">_xlfn.IFNA(VLOOKUP(F14,BEGIN_CURRENT_HEALTH:END_CURRENT_HEALTH,CURRENT_COL_EC_count,FALSE),"")</f>
        <v/>
      </c>
      <c r="F17" s="408" t="str">
        <f ca="1">_xlfn.IFNA(VLOOKUP(F14,BEGIN_CURRENT_HEALTH:END_CURRENT_HEALTH,CURRENT_COL_EC,FALSE),"")</f>
        <v/>
      </c>
      <c r="G17" s="468" t="str">
        <f t="shared" ca="1" si="0"/>
        <v/>
      </c>
      <c r="H17" s="408" t="str">
        <f ca="1">_xlfn.IFNA(VLOOKUP(F14,BEGIN_CURRENT_HEALTH:END_CURRENT_HEALTH,CURRENT_COL_ECContrib,FALSE),"")</f>
        <v/>
      </c>
      <c r="I17" s="409" t="str">
        <f t="shared" ca="1" si="1"/>
        <v/>
      </c>
      <c r="J17" s="410" t="str">
        <f ca="1">IF(F17="","",H17*E17)</f>
        <v/>
      </c>
      <c r="K17" s="411"/>
      <c r="L17" s="408" t="str" cm="1">
        <f t="array" ca="1" aca="1" ref="L17">_xlfn.IFNA(VLOOKUP(INDIRECT("L"&amp;ROW()-3)&amp;"_"&amp;$D$12,BEGIN_RENEW_HEALTH:END_RENEW_HEALTH,RENEW_COL_EC,FALSE),"")</f>
        <v/>
      </c>
      <c r="M17" s="412" t="str">
        <f ca="1">IF(E17="","",E17)</f>
        <v/>
      </c>
      <c r="N17" s="413"/>
      <c r="O17" s="414"/>
      <c r="P17" s="415" t="str">
        <f>IFERROR(IF($N14="Keep Contribution Same",H17,IF($N14="Enter Percentages",IF(N17="","",N17*L17),IF($N14="Keep Percentage Same",IF(G17="","",G17*L17),IF($N14="Enter Dollar Amount",IF(O17="","",O17),"")))),"")</f>
        <v/>
      </c>
      <c r="Q17" s="408" t="str">
        <f ca="1">IFERROR(L17-P17,"")</f>
        <v/>
      </c>
      <c r="R17" s="410" t="str">
        <f>IFERROR(IF(P17="","",M17*P17),"")</f>
        <v/>
      </c>
      <c r="S17" s="411"/>
      <c r="T17" s="408" t="str" cm="1">
        <f t="array" ca="1" aca="1" ref="T17">_xlfn.IFNA(VLOOKUP(INDIRECT("T"&amp;ROW()-3)&amp;"_"&amp;$D$12,BEGIN_RENEW_HEALTH:END_RENEW_HEALTH,RENEW_COL_EC,FALSE),"")</f>
        <v/>
      </c>
      <c r="U17" s="412" t="str">
        <f t="shared" ca="1" si="2"/>
        <v/>
      </c>
      <c r="V17" s="413"/>
      <c r="W17" s="414"/>
      <c r="X17" s="415" t="str">
        <f>IFERROR(IF($V14="Keep Contribution Same",H17,IF($V14="Enter Percentages",IF(V17="","",V17*T17),IF($V14="Keep Percentage Same",IF(G17="","",G17*T17),IF($V14="Enter Dollar Amount",IF(W17="","",W17),"")))),"")</f>
        <v/>
      </c>
      <c r="Y17" s="408" t="str">
        <f t="shared" ca="1" si="3"/>
        <v/>
      </c>
      <c r="Z17" s="410" t="str">
        <f t="shared" si="4"/>
        <v/>
      </c>
    </row>
    <row r="18" spans="1:26" ht="18.75" customHeight="1" thickBot="1">
      <c r="A18" s="140"/>
      <c r="B18" s="140"/>
      <c r="D18" s="174" t="s">
        <v>241</v>
      </c>
      <c r="E18" s="416" t="str">
        <f ca="1">_xlfn.IFNA(VLOOKUP(F14,BEGIN_CURRENT_HEALTH:END_CURRENT_HEALTH,CURRENT_COL_FAM_count,FALSE),"")</f>
        <v/>
      </c>
      <c r="F18" s="417" t="str">
        <f ca="1">_xlfn.IFNA(VLOOKUP(F14,BEGIN_CURRENT_HEALTH:END_CURRENT_HEALTH,CURRENT_COL_FAM,FALSE),"")</f>
        <v/>
      </c>
      <c r="G18" s="469" t="str">
        <f t="shared" ca="1" si="0"/>
        <v/>
      </c>
      <c r="H18" s="417" t="str">
        <f ca="1">_xlfn.IFNA(VLOOKUP(F14,BEGIN_CURRENT_HEALTH:END_CURRENT_HEALTH,CURRENT_COL_FAMContrib,FALSE),"")</f>
        <v/>
      </c>
      <c r="I18" s="418" t="str">
        <f t="shared" ca="1" si="1"/>
        <v/>
      </c>
      <c r="J18" s="419" t="str">
        <f ca="1">IF(F18="","",H18*E18)</f>
        <v/>
      </c>
      <c r="K18" s="411"/>
      <c r="L18" s="417" t="str" cm="1">
        <f t="array" ca="1" aca="1" ref="L18">_xlfn.IFNA(VLOOKUP(INDIRECT("L"&amp;ROW()-4)&amp;"_"&amp;$D$12,BEGIN_RENEW_HEALTH:END_RENEW_HEALTH,RENEW_COL_FAM,FALSE),"")</f>
        <v/>
      </c>
      <c r="M18" s="423" t="str">
        <f ca="1">IF(E18="","",E18)</f>
        <v/>
      </c>
      <c r="N18" s="420"/>
      <c r="O18" s="421"/>
      <c r="P18" s="422" t="str">
        <f>IFERROR(IF($N14="Keep Contribution Same",H18,IF($N14="Enter Percentages",IF(N18="","",N18*L18),IF($N14="Keep Percentage Same",IF(G18="","",G18*L18),IF($N14="Enter Dollar Amount",IF(O18="","",O18),"")))),"")</f>
        <v/>
      </c>
      <c r="Q18" s="417" t="str">
        <f ca="1">IFERROR(L18-P18,"")</f>
        <v/>
      </c>
      <c r="R18" s="419" t="str">
        <f>IFERROR(IF(P18="","",M18*P18),"")</f>
        <v/>
      </c>
      <c r="S18" s="411"/>
      <c r="T18" s="417" t="str" cm="1">
        <f t="array" ca="1" aca="1" ref="T18">_xlfn.IFNA(VLOOKUP(INDIRECT("T"&amp;ROW()-4)&amp;"_"&amp;$D$12,BEGIN_RENEW_HEALTH:END_RENEW_HEALTH,RENEW_COL_FAM,FALSE),"")</f>
        <v/>
      </c>
      <c r="U18" s="423" t="str">
        <f t="shared" ca="1" si="2"/>
        <v/>
      </c>
      <c r="V18" s="420"/>
      <c r="W18" s="421"/>
      <c r="X18" s="422" t="str">
        <f>IFERROR(IF($V14="Keep Contribution Same",H18,IF($V14="Enter Percentages",IF(V18="","",V18*T18),IF($V14="Keep Percentage Same",IF(G18="","",G18*T18),IF($V14="Enter Dollar Amount",IF(W18="","",W18),"")))),"")</f>
        <v/>
      </c>
      <c r="Y18" s="417" t="str">
        <f t="shared" ca="1" si="3"/>
        <v/>
      </c>
      <c r="Z18" s="419" t="str">
        <f t="shared" si="4"/>
        <v/>
      </c>
    </row>
    <row r="19" spans="1:26" ht="18.75" customHeight="1" thickTop="1">
      <c r="A19" s="140"/>
      <c r="B19" s="140"/>
      <c r="D19" s="175" t="s">
        <v>242</v>
      </c>
      <c r="E19" s="424"/>
      <c r="F19" s="447" t="str">
        <f ca="1">IFERROR((F15*E15)+(F16*E16)+(F17*E17)+(F18*E18),"")</f>
        <v/>
      </c>
      <c r="G19" s="426"/>
      <c r="H19" s="427"/>
      <c r="I19" s="428"/>
      <c r="J19" s="429" t="str">
        <f ca="1">IFERROR(IF(J15="","",SUM(J15:J18)),0)</f>
        <v/>
      </c>
      <c r="K19" s="1"/>
      <c r="L19" s="430" t="str">
        <f ca="1">IFERROR((M15*L15)+(M16*L16)+(M17*L17)+(M18*L18),"")</f>
        <v/>
      </c>
      <c r="M19" s="427"/>
      <c r="N19" s="426"/>
      <c r="O19" s="427"/>
      <c r="P19" s="431"/>
      <c r="Q19" s="432"/>
      <c r="R19" s="429" t="str">
        <f>IFERROR(IF(R15="","",SUM(R15:R18)),0)</f>
        <v/>
      </c>
      <c r="T19" s="430" t="str">
        <f ca="1">IFERROR((U15*T15)+(U16*T16)+(U17*T17)+(U18*T18),"")</f>
        <v/>
      </c>
      <c r="U19" s="427"/>
      <c r="V19" s="426"/>
      <c r="W19" s="427"/>
      <c r="X19" s="431"/>
      <c r="Y19" s="432"/>
      <c r="Z19" s="429" t="str">
        <f>IFERROR(IF(Z15="","",SUM(Z15:Z18)),0)</f>
        <v/>
      </c>
    </row>
    <row r="20" spans="1:26" ht="18.75" customHeight="1">
      <c r="A20" s="140"/>
      <c r="B20" s="140"/>
      <c r="D20" s="177" t="s">
        <v>243</v>
      </c>
      <c r="E20" s="433"/>
      <c r="F20" s="448" t="str">
        <f ca="1">IFERROR(F19*12,"")</f>
        <v/>
      </c>
      <c r="G20" s="435"/>
      <c r="H20" s="436"/>
      <c r="I20" s="432"/>
      <c r="J20" s="437" t="str">
        <f ca="1">IF(J19="","",J19*12)</f>
        <v/>
      </c>
      <c r="K20" s="1"/>
      <c r="L20" s="438" t="str">
        <f ca="1">IFERROR(L19*12,"")</f>
        <v/>
      </c>
      <c r="M20" s="436"/>
      <c r="N20" s="435"/>
      <c r="O20" s="436"/>
      <c r="P20" s="432"/>
      <c r="Q20" s="432"/>
      <c r="R20" s="437" t="str">
        <f>IF(R19="","",R19*12)</f>
        <v/>
      </c>
      <c r="T20" s="438" t="str">
        <f ca="1">IFERROR(T19*12,"")</f>
        <v/>
      </c>
      <c r="U20" s="436"/>
      <c r="V20" s="435"/>
      <c r="W20" s="436"/>
      <c r="X20" s="432"/>
      <c r="Y20" s="432"/>
      <c r="Z20" s="437" t="str">
        <f>IF(Z19="","",Z19*12)</f>
        <v/>
      </c>
    </row>
    <row r="21" spans="1:26" ht="18.75" customHeight="1">
      <c r="A21" s="140"/>
      <c r="B21" s="140"/>
      <c r="D21" s="177" t="s">
        <v>244</v>
      </c>
      <c r="E21" s="433"/>
      <c r="F21" s="436"/>
      <c r="G21" s="435"/>
      <c r="H21" s="436"/>
      <c r="I21" s="432"/>
      <c r="J21" s="437"/>
      <c r="K21" s="1"/>
      <c r="L21" s="434" t="str">
        <f ca="1">IFERROR(L20-F20,"")</f>
        <v/>
      </c>
      <c r="M21" s="436"/>
      <c r="N21" s="435"/>
      <c r="O21" s="436"/>
      <c r="P21" s="432"/>
      <c r="Q21" s="432"/>
      <c r="R21" s="437" t="str">
        <f ca="1">IFERROR(IF(J20="","",R20-J20),0)</f>
        <v/>
      </c>
      <c r="T21" s="434" t="str">
        <f ca="1">IFERROR(T20-F20,"")</f>
        <v/>
      </c>
      <c r="U21" s="436"/>
      <c r="V21" s="435"/>
      <c r="W21" s="436"/>
      <c r="X21" s="432"/>
      <c r="Y21" s="432"/>
      <c r="Z21" s="437" t="str">
        <f>IFERROR(IF(R20="","",Z20-R20),0)</f>
        <v/>
      </c>
    </row>
    <row r="22" spans="1:26" ht="18.75" customHeight="1" thickBot="1">
      <c r="A22" s="140"/>
      <c r="B22" s="140"/>
      <c r="D22" s="180" t="s">
        <v>245</v>
      </c>
      <c r="E22" s="439"/>
      <c r="F22" s="440"/>
      <c r="G22" s="441"/>
      <c r="H22" s="440"/>
      <c r="I22" s="442"/>
      <c r="J22" s="443"/>
      <c r="K22" s="1"/>
      <c r="L22" s="444" t="str">
        <f ca="1">IFERROR(L20/F20-1,"")</f>
        <v/>
      </c>
      <c r="M22" s="440"/>
      <c r="N22" s="441"/>
      <c r="O22" s="440"/>
      <c r="P22" s="445"/>
      <c r="Q22" s="445"/>
      <c r="R22" s="446" t="str">
        <f ca="1">IFERROR(IF(J20="","",(R20/J20)-1),0)</f>
        <v/>
      </c>
      <c r="T22" s="444" t="str">
        <f ca="1">IFERROR(T20/F20-1,"")</f>
        <v/>
      </c>
      <c r="U22" s="440"/>
      <c r="V22" s="441"/>
      <c r="W22" s="440"/>
      <c r="X22" s="445"/>
      <c r="Y22" s="445"/>
      <c r="Z22" s="446" t="str">
        <f>IFERROR(IF(R20="","",(Z20/R20)-1),0)</f>
        <v/>
      </c>
    </row>
    <row r="23" spans="1:26" ht="18.75" customHeight="1">
      <c r="A23" s="140"/>
      <c r="B23" s="140"/>
      <c r="D23" s="181" t="s">
        <v>246</v>
      </c>
      <c r="E23" s="182"/>
      <c r="F23" s="182"/>
      <c r="G23" s="182"/>
      <c r="H23" s="182"/>
      <c r="I23" s="182"/>
      <c r="J23" s="183"/>
      <c r="K23"/>
      <c r="L23" s="184"/>
      <c r="M23" s="182"/>
      <c r="N23" s="182"/>
      <c r="O23" s="182"/>
      <c r="P23" s="182"/>
      <c r="Q23" s="182"/>
      <c r="R23" s="183"/>
      <c r="T23" s="184"/>
      <c r="U23" s="182"/>
      <c r="V23" s="182"/>
      <c r="W23" s="182"/>
      <c r="X23" s="182"/>
      <c r="Y23" s="182"/>
      <c r="Z23" s="183"/>
    </row>
    <row r="24" spans="1:26" ht="18.75" customHeight="1" hidden="1">
      <c r="A24" s="140"/>
      <c r="B24" s="140"/>
      <c r="D24" s="185" t="s">
        <v>247</v>
      </c>
      <c r="E24" s="186"/>
      <c r="F24" s="186"/>
      <c r="G24" s="186"/>
      <c r="H24" s="186"/>
      <c r="I24" s="186"/>
      <c r="J24" s="187"/>
      <c r="K24"/>
      <c r="L24" s="188"/>
      <c r="M24" s="186"/>
      <c r="N24" s="186"/>
      <c r="O24" s="186"/>
      <c r="P24" s="186"/>
      <c r="Q24" s="186"/>
      <c r="R24" s="187"/>
      <c r="T24" s="188"/>
      <c r="U24" s="186"/>
      <c r="V24" s="186"/>
      <c r="W24" s="186"/>
      <c r="X24" s="186"/>
      <c r="Y24" s="186"/>
      <c r="Z24" s="187"/>
    </row>
    <row r="25" spans="1:26" ht="18.75" customHeight="1" hidden="1">
      <c r="A25" s="140"/>
      <c r="B25" s="140"/>
      <c r="D25" s="189" t="s">
        <v>248</v>
      </c>
      <c r="E25" s="190" t="str">
        <f>D14&amp;"_"&amp;D12</f>
        <v>_</v>
      </c>
      <c r="F25" s="191"/>
      <c r="G25" s="191"/>
      <c r="H25" s="191"/>
      <c r="I25" s="190"/>
      <c r="J25" s="192"/>
      <c r="K25"/>
      <c r="L25" s="193" t="str">
        <f ca="1">L14&amp;"_"&amp;D12</f>
        <v>SELECT PLAN_</v>
      </c>
      <c r="M25" s="191"/>
      <c r="N25" s="191"/>
      <c r="O25" s="191"/>
      <c r="P25" s="190"/>
      <c r="Q25" s="191"/>
      <c r="R25" s="192"/>
      <c r="T25" s="193" t="str">
        <f>T14&amp;"_"&amp;D12</f>
        <v>SELECT PLAN_</v>
      </c>
      <c r="U25" s="191"/>
      <c r="V25" s="191"/>
      <c r="W25" s="191"/>
      <c r="X25" s="190"/>
      <c r="Y25" s="191"/>
      <c r="Z25" s="192"/>
    </row>
    <row r="26" spans="1:26" ht="18.75" customHeight="1" hidden="1">
      <c r="A26" s="140"/>
      <c r="B26" s="140"/>
      <c r="D26" s="189" t="s">
        <v>249</v>
      </c>
      <c r="E26" s="191"/>
      <c r="F26" s="191"/>
      <c r="G26" s="191"/>
      <c r="H26" s="191"/>
      <c r="I26" s="191"/>
      <c r="J26" s="192"/>
      <c r="K26"/>
      <c r="L26" s="189"/>
      <c r="M26" s="191"/>
      <c r="N26" s="191"/>
      <c r="O26" s="191"/>
      <c r="P26" s="191"/>
      <c r="Q26" s="191"/>
      <c r="R26" s="192"/>
      <c r="T26" s="189"/>
      <c r="U26" s="191"/>
      <c r="V26" s="191"/>
      <c r="W26" s="191"/>
      <c r="X26" s="191"/>
      <c r="Y26" s="191"/>
      <c r="Z26" s="192"/>
    </row>
    <row r="27" spans="1:26" ht="18.75" customHeight="1" hidden="1">
      <c r="A27" s="140"/>
      <c r="B27" s="140"/>
      <c r="D27" s="194" t="s">
        <v>250</v>
      </c>
      <c r="E27" s="195"/>
      <c r="F27" s="195"/>
      <c r="G27" s="195"/>
      <c r="H27" s="195"/>
      <c r="I27" s="195"/>
      <c r="J27" s="196"/>
      <c r="K27"/>
      <c r="L27" s="197"/>
      <c r="M27" s="195"/>
      <c r="N27" s="195"/>
      <c r="O27" s="195"/>
      <c r="P27" s="195"/>
      <c r="Q27" s="195"/>
      <c r="R27" s="196"/>
      <c r="T27" s="197"/>
      <c r="U27" s="195"/>
      <c r="V27" s="195"/>
      <c r="W27" s="195"/>
      <c r="X27" s="195"/>
      <c r="Y27" s="195"/>
      <c r="Z27" s="196"/>
    </row>
    <row r="28" spans="1:26" ht="18.75" customHeight="1" hidden="1">
      <c r="A28" s="140"/>
      <c r="B28" s="140"/>
      <c r="D28" s="198" t="s">
        <v>251</v>
      </c>
      <c r="E28" s="199" t="str">
        <f>_xlfn.XLOOKUP(E25,CurrentPlans!B:B,CurrentPlans!X:X,"NA",0,1)</f>
        <v>NA</v>
      </c>
      <c r="F28" s="200"/>
      <c r="G28" s="200"/>
      <c r="H28" s="200"/>
      <c r="I28" s="199"/>
      <c r="J28" s="201"/>
      <c r="K28"/>
      <c r="L28" s="202" t="str">
        <f ca="1">_xlfn.XLOOKUP(L25,RenewalPlans!B:B,RenewalPlans!AA:AA,"NA",0,1)</f>
        <v>NA</v>
      </c>
      <c r="M28" s="200"/>
      <c r="N28" s="200"/>
      <c r="O28" s="200"/>
      <c r="P28" s="199"/>
      <c r="Q28" s="200"/>
      <c r="R28" s="201"/>
      <c r="T28" s="202" t="str">
        <f>_xlfn.XLOOKUP(T25,RenewalPlans!B:B,RenewalPlans!AA:AA,"NA",0,1)</f>
        <v>NA</v>
      </c>
      <c r="U28" s="200"/>
      <c r="V28" s="200"/>
      <c r="W28" s="200"/>
      <c r="X28" s="199"/>
      <c r="Y28" s="200"/>
      <c r="Z28" s="201"/>
    </row>
    <row r="29" spans="1:26" ht="18.75" customHeight="1" hidden="1">
      <c r="A29" s="140"/>
      <c r="B29" s="140"/>
      <c r="D29" s="198" t="s">
        <v>252</v>
      </c>
      <c r="E29" s="199" t="str">
        <f>_xlfn.XLOOKUP(E25,CurrentPlans!B:B,CurrentPlans!Y:Y,"NA",0,1)</f>
        <v>NA</v>
      </c>
      <c r="F29" s="200"/>
      <c r="G29" s="200"/>
      <c r="H29" s="200"/>
      <c r="I29" s="199"/>
      <c r="J29" s="201"/>
      <c r="K29"/>
      <c r="L29" s="202" t="str">
        <f ca="1">_xlfn.XLOOKUP(L25,RenewalPlans!B:B,RenewalPlans!AB:AB,"NA",0,1)</f>
        <v>NA</v>
      </c>
      <c r="M29" s="200"/>
      <c r="N29" s="200"/>
      <c r="O29" s="200"/>
      <c r="P29" s="199"/>
      <c r="Q29" s="200"/>
      <c r="R29" s="201"/>
      <c r="T29" s="202" t="str">
        <f>_xlfn.XLOOKUP(T25,RenewalPlans!B:B,RenewalPlans!AB:AB,"NA",0,1)</f>
        <v>NA</v>
      </c>
      <c r="U29" s="200"/>
      <c r="V29" s="200"/>
      <c r="W29" s="200"/>
      <c r="X29" s="199"/>
      <c r="Y29" s="200"/>
      <c r="Z29" s="201"/>
    </row>
    <row r="30" spans="1:26" ht="18.75" customHeight="1" hidden="1">
      <c r="A30" s="140"/>
      <c r="B30" s="140"/>
      <c r="D30" s="120" t="s">
        <v>253</v>
      </c>
      <c r="E30" s="121" t="str">
        <f>_xlfn.XLOOKUP(E25,CurrentPlans!B:B,CurrentPlans!W:W,"NA",0,1)</f>
        <v>NA</v>
      </c>
      <c r="F30" s="122"/>
      <c r="G30" s="122"/>
      <c r="H30" s="122"/>
      <c r="I30" s="121"/>
      <c r="J30" s="123"/>
      <c r="K30"/>
      <c r="L30" s="124" t="str">
        <f ca="1">_xlfn.XLOOKUP(L25,RenewalPlans!B:B,RenewalPlans!Z:Z,"NA",0,1)</f>
        <v>NA</v>
      </c>
      <c r="M30" s="122"/>
      <c r="N30" s="122"/>
      <c r="O30" s="122"/>
      <c r="P30" s="121"/>
      <c r="Q30" s="122"/>
      <c r="R30" s="123"/>
      <c r="T30" s="124" t="str">
        <f>_xlfn.XLOOKUP(T25,RenewalPlans!B:B,RenewalPlans!Z:Z,"NA",0,1)</f>
        <v>NA</v>
      </c>
      <c r="U30" s="122"/>
      <c r="V30" s="122"/>
      <c r="W30" s="122"/>
      <c r="X30" s="121"/>
      <c r="Y30" s="122"/>
      <c r="Z30" s="123"/>
    </row>
    <row r="31" spans="1:26" ht="18.75" customHeight="1" hidden="1">
      <c r="A31" s="140"/>
      <c r="B31" s="140"/>
      <c r="D31" s="203" t="s">
        <v>254</v>
      </c>
      <c r="E31" s="204"/>
      <c r="F31" s="205"/>
      <c r="G31" s="205"/>
      <c r="H31" s="205"/>
      <c r="I31" s="204"/>
      <c r="J31" s="206"/>
      <c r="K31"/>
      <c r="L31" s="207"/>
      <c r="M31" s="205"/>
      <c r="N31" s="205"/>
      <c r="O31" s="205"/>
      <c r="P31" s="204"/>
      <c r="Q31" s="205"/>
      <c r="R31" s="206"/>
      <c r="T31" s="207"/>
      <c r="U31" s="205"/>
      <c r="V31" s="205"/>
      <c r="W31" s="205"/>
      <c r="X31" s="204"/>
      <c r="Y31" s="205"/>
      <c r="Z31" s="206"/>
    </row>
    <row r="32" spans="1:26" ht="18.75" customHeight="1" hidden="1">
      <c r="A32" s="140"/>
      <c r="B32" s="140"/>
      <c r="D32" s="125" t="s">
        <v>255</v>
      </c>
      <c r="E32" s="126" t="str">
        <f>_xlfn.XLOOKUP(E25,CurrentPlans!B:B,CurrentPlans!Z:Z,"NA",0,1)</f>
        <v>NA</v>
      </c>
      <c r="F32" s="127"/>
      <c r="G32" s="127"/>
      <c r="H32" s="127"/>
      <c r="I32" s="126"/>
      <c r="J32" s="128"/>
      <c r="K32"/>
      <c r="L32" s="129" t="str">
        <f ca="1">_xlfn.XLOOKUP(L25,RenewalPlans!B:B,RenewalPlans!AC:AC,"NA",0,1)</f>
        <v>NA</v>
      </c>
      <c r="M32" s="127"/>
      <c r="N32" s="127"/>
      <c r="O32" s="127"/>
      <c r="P32" s="126"/>
      <c r="Q32" s="127"/>
      <c r="R32" s="128"/>
      <c r="T32" s="129" t="str">
        <f>_xlfn.XLOOKUP(T25,RenewalPlans!B:B,RenewalPlans!AC:AC,"NA",0,1)</f>
        <v>NA</v>
      </c>
      <c r="U32" s="127"/>
      <c r="V32" s="127"/>
      <c r="W32" s="127"/>
      <c r="X32" s="126"/>
      <c r="Y32" s="127"/>
      <c r="Z32" s="128"/>
    </row>
    <row r="33" spans="1:26" ht="18.75" customHeight="1" hidden="1">
      <c r="A33" s="140"/>
      <c r="B33" s="140"/>
      <c r="D33" s="198" t="s">
        <v>256</v>
      </c>
      <c r="E33" s="208" t="str">
        <f>_xlfn.XLOOKUP(E25,CurrentPlans!B:B,CurrentPlans!AA:AA,"NA",0,1)</f>
        <v>NA</v>
      </c>
      <c r="F33" s="200"/>
      <c r="G33" s="200"/>
      <c r="H33" s="200"/>
      <c r="I33" s="208"/>
      <c r="J33" s="201"/>
      <c r="K33"/>
      <c r="L33" s="209" t="str">
        <f ca="1">_xlfn.XLOOKUP(L25,RenewalPlans!B:B,RenewalPlans!AD:AD,"NA",0,1)</f>
        <v>NA</v>
      </c>
      <c r="M33" s="200"/>
      <c r="N33" s="200"/>
      <c r="O33" s="200"/>
      <c r="P33" s="208"/>
      <c r="Q33" s="200"/>
      <c r="R33" s="201"/>
      <c r="T33" s="209" t="str">
        <f>_xlfn.XLOOKUP(T25,RenewalPlans!B:B,RenewalPlans!AD:AD,"NA",0,1)</f>
        <v>NA</v>
      </c>
      <c r="U33" s="200"/>
      <c r="V33" s="200"/>
      <c r="W33" s="200"/>
      <c r="X33" s="208"/>
      <c r="Y33" s="200"/>
      <c r="Z33" s="201"/>
    </row>
    <row r="34" spans="1:26" ht="18.75" customHeight="1" hidden="1">
      <c r="A34" s="140"/>
      <c r="B34" s="140"/>
      <c r="D34" s="203" t="s">
        <v>257</v>
      </c>
      <c r="E34" s="204"/>
      <c r="F34" s="205"/>
      <c r="G34" s="205"/>
      <c r="H34" s="205"/>
      <c r="I34" s="204"/>
      <c r="J34" s="206"/>
      <c r="K34"/>
      <c r="L34" s="207"/>
      <c r="M34" s="205"/>
      <c r="N34" s="205"/>
      <c r="O34" s="205"/>
      <c r="P34" s="204"/>
      <c r="Q34" s="205"/>
      <c r="R34" s="206"/>
      <c r="T34" s="207"/>
      <c r="U34" s="205"/>
      <c r="V34" s="205"/>
      <c r="W34" s="205"/>
      <c r="X34" s="204"/>
      <c r="Y34" s="205"/>
      <c r="Z34" s="206"/>
    </row>
    <row r="35" spans="1:26" ht="18.75" customHeight="1" hidden="1">
      <c r="A35" s="140"/>
      <c r="B35" s="140"/>
      <c r="D35" s="198" t="s">
        <v>258</v>
      </c>
      <c r="E35" s="208" t="str">
        <f>_xlfn.XLOOKUP(E25,CurrentPlans!B:B,CurrentPlans!AB:AB,"NA",0,1)</f>
        <v>NA</v>
      </c>
      <c r="F35" s="200"/>
      <c r="G35" s="200"/>
      <c r="H35" s="200"/>
      <c r="I35" s="208"/>
      <c r="J35" s="201"/>
      <c r="K35"/>
      <c r="L35" s="209" t="str">
        <f ca="1">_xlfn.XLOOKUP(L25,RenewalPlans!B:B,RenewalPlans!AE:AE,"NA",0,1)</f>
        <v>NA</v>
      </c>
      <c r="M35" s="200"/>
      <c r="N35" s="200"/>
      <c r="O35" s="200"/>
      <c r="P35" s="208"/>
      <c r="Q35" s="200"/>
      <c r="R35" s="201"/>
      <c r="T35" s="209" t="str">
        <f>_xlfn.XLOOKUP(T25,RenewalPlans!B:B,RenewalPlans!AE:AE,"NA",0,1)</f>
        <v>NA</v>
      </c>
      <c r="U35" s="200"/>
      <c r="V35" s="200"/>
      <c r="W35" s="200"/>
      <c r="X35" s="208"/>
      <c r="Y35" s="200"/>
      <c r="Z35" s="201"/>
    </row>
    <row r="36" spans="1:26" ht="18.75" customHeight="1" hidden="1">
      <c r="A36" s="140"/>
      <c r="B36" s="140"/>
      <c r="D36" s="198" t="s">
        <v>259</v>
      </c>
      <c r="E36" s="208" t="str">
        <f>_xlfn.XLOOKUP(E25,CurrentPlans!B:B,CurrentPlans!AC:AC,"NA",0,1)</f>
        <v>NA</v>
      </c>
      <c r="F36" s="200"/>
      <c r="G36" s="200"/>
      <c r="H36" s="200"/>
      <c r="I36" s="208"/>
      <c r="J36" s="201"/>
      <c r="K36"/>
      <c r="L36" s="209" t="str">
        <f ca="1">_xlfn.XLOOKUP(L25,RenewalPlans!B:B,RenewalPlans!AF:AF,"NA",0,1)</f>
        <v>NA</v>
      </c>
      <c r="M36" s="200"/>
      <c r="N36" s="200"/>
      <c r="O36" s="200"/>
      <c r="P36" s="208"/>
      <c r="Q36" s="200"/>
      <c r="R36" s="201"/>
      <c r="T36" s="209" t="str">
        <f>_xlfn.XLOOKUP(T25,RenewalPlans!B:B,RenewalPlans!AF:AF,"NA",0,1)</f>
        <v>NA</v>
      </c>
      <c r="U36" s="200"/>
      <c r="V36" s="200"/>
      <c r="W36" s="200"/>
      <c r="X36" s="208"/>
      <c r="Y36" s="200"/>
      <c r="Z36" s="201"/>
    </row>
    <row r="37" spans="1:26" ht="18.75" customHeight="1" hidden="1">
      <c r="A37" s="140"/>
      <c r="B37" s="140"/>
      <c r="D37" s="210"/>
      <c r="E37" s="211"/>
      <c r="F37" s="211"/>
      <c r="G37" s="211"/>
      <c r="H37" s="211"/>
      <c r="I37" s="211"/>
      <c r="J37" s="212"/>
      <c r="K37"/>
      <c r="L37" s="210"/>
      <c r="M37" s="211"/>
      <c r="N37" s="211"/>
      <c r="O37" s="211"/>
      <c r="P37" s="211"/>
      <c r="Q37" s="211"/>
      <c r="R37" s="212"/>
      <c r="T37" s="210"/>
      <c r="U37" s="211"/>
      <c r="V37" s="211"/>
      <c r="W37" s="211"/>
      <c r="X37" s="211"/>
      <c r="Y37" s="211"/>
      <c r="Z37" s="212"/>
    </row>
    <row r="38" spans="1:26" ht="18.75" customHeight="1" hidden="1">
      <c r="A38" s="140"/>
      <c r="B38" s="140"/>
      <c r="D38" s="185" t="s">
        <v>260</v>
      </c>
      <c r="E38" s="186"/>
      <c r="F38" s="186"/>
      <c r="G38" s="186"/>
      <c r="H38" s="186"/>
      <c r="I38" s="186"/>
      <c r="J38" s="187"/>
      <c r="K38"/>
      <c r="L38" s="188"/>
      <c r="M38" s="186"/>
      <c r="N38" s="186"/>
      <c r="O38" s="186"/>
      <c r="P38" s="186"/>
      <c r="Q38" s="186"/>
      <c r="R38" s="187"/>
      <c r="T38" s="188"/>
      <c r="U38" s="186"/>
      <c r="V38" s="186"/>
      <c r="W38" s="186"/>
      <c r="X38" s="186"/>
      <c r="Y38" s="186"/>
      <c r="Z38" s="187"/>
    </row>
    <row r="39" spans="1:26" ht="18.75" customHeight="1" hidden="1">
      <c r="A39" s="140"/>
      <c r="B39" s="140"/>
      <c r="D39" s="213" t="s">
        <v>261</v>
      </c>
      <c r="E39" s="130" t="str">
        <f>_xlfn.XLOOKUP(E25,CurrentPlans!B:B,CurrentPlans!AJ:AJ,"NA",0,1)</f>
        <v>NA</v>
      </c>
      <c r="F39" s="214"/>
      <c r="G39" s="214"/>
      <c r="H39" s="214"/>
      <c r="I39" s="130"/>
      <c r="J39" s="215"/>
      <c r="K39"/>
      <c r="L39" s="131" t="str">
        <f ca="1">_xlfn.XLOOKUP(L25,RenewalPlans!B:B,RenewalPlans!AM:AM,"NA",0,1)</f>
        <v>NA</v>
      </c>
      <c r="M39" s="214"/>
      <c r="N39" s="214"/>
      <c r="O39" s="214"/>
      <c r="P39" s="130"/>
      <c r="Q39" s="214"/>
      <c r="R39" s="215"/>
      <c r="T39" s="131" t="str">
        <f>_xlfn.XLOOKUP(T25,RenewalPlans!B:B,RenewalPlans!AM:AM,"NA",0,1)</f>
        <v>NA</v>
      </c>
      <c r="U39" s="214"/>
      <c r="V39" s="214"/>
      <c r="W39" s="214"/>
      <c r="X39" s="130"/>
      <c r="Y39" s="214"/>
      <c r="Z39" s="215"/>
    </row>
    <row r="40" spans="1:26" ht="18.75" customHeight="1" hidden="1">
      <c r="A40" s="140"/>
      <c r="B40" s="140"/>
      <c r="D40" s="198" t="s">
        <v>262</v>
      </c>
      <c r="E40" s="130" t="str">
        <f>_xlfn.XLOOKUP(E25,CurrentPlans!B:B,CurrentPlans!AM:AM,"NA",0,1)</f>
        <v>NA</v>
      </c>
      <c r="F40" s="200"/>
      <c r="G40" s="200"/>
      <c r="H40" s="200"/>
      <c r="I40" s="130"/>
      <c r="J40" s="201"/>
      <c r="K40"/>
      <c r="L40" s="131" t="str">
        <f ca="1">_xlfn.XLOOKUP(L25,RenewalPlans!B:B,RenewalPlans!AP:AP,"NA",0,1)</f>
        <v>NA</v>
      </c>
      <c r="M40" s="200"/>
      <c r="N40" s="200"/>
      <c r="O40" s="200"/>
      <c r="P40" s="130"/>
      <c r="Q40" s="200"/>
      <c r="R40" s="201"/>
      <c r="T40" s="131" t="str">
        <f>_xlfn.XLOOKUP(T25,RenewalPlans!B:B,RenewalPlans!AP:AP,"NA",0,1)</f>
        <v>NA</v>
      </c>
      <c r="U40" s="200"/>
      <c r="V40" s="200"/>
      <c r="W40" s="200"/>
      <c r="X40" s="130"/>
      <c r="Y40" s="200"/>
      <c r="Z40" s="201"/>
    </row>
    <row r="41" spans="1:26" ht="18.75" customHeight="1" hidden="1">
      <c r="A41" s="140"/>
      <c r="B41" s="140"/>
      <c r="D41" s="198" t="s">
        <v>263</v>
      </c>
      <c r="E41" s="130" t="str">
        <f>_xlfn.XLOOKUP(E25,CurrentPlans!B:B,CurrentPlans!AI:AI,"NA",0,1)</f>
        <v>NA</v>
      </c>
      <c r="F41" s="200"/>
      <c r="G41" s="200"/>
      <c r="H41" s="200"/>
      <c r="I41" s="130"/>
      <c r="J41" s="201"/>
      <c r="K41"/>
      <c r="L41" s="131" t="str">
        <f ca="1">_xlfn.XLOOKUP(L25,RenewalPlans!B:B,RenewalPlans!AL:AL,"NA",0,1)</f>
        <v>NA</v>
      </c>
      <c r="M41" s="200"/>
      <c r="N41" s="200"/>
      <c r="O41" s="200"/>
      <c r="P41" s="130"/>
      <c r="Q41" s="200"/>
      <c r="R41" s="201"/>
      <c r="T41" s="131" t="str">
        <f>_xlfn.XLOOKUP(T25,RenewalPlans!B:B,RenewalPlans!AL:AL,"NA",0,1)</f>
        <v>NA</v>
      </c>
      <c r="U41" s="200"/>
      <c r="V41" s="200"/>
      <c r="W41" s="200"/>
      <c r="X41" s="130"/>
      <c r="Y41" s="200"/>
      <c r="Z41" s="201"/>
    </row>
    <row r="42" spans="1:26" ht="18.75" customHeight="1" hidden="1">
      <c r="A42" s="140"/>
      <c r="B42" s="140"/>
      <c r="D42" s="198" t="s">
        <v>264</v>
      </c>
      <c r="E42" s="208" t="str">
        <f>_xlfn.XLOOKUP(E25,CurrentPlans!B:B,CurrentPlans!AN:AN,"NA",0,1)</f>
        <v>NA</v>
      </c>
      <c r="F42" s="200"/>
      <c r="G42" s="200"/>
      <c r="H42" s="200"/>
      <c r="I42" s="208"/>
      <c r="J42" s="201"/>
      <c r="K42"/>
      <c r="L42" s="209" t="str">
        <f ca="1">_xlfn.XLOOKUP(L25,RenewalPlans!B:B,RenewalPlans!AQ:AQ,"NA",0,1)</f>
        <v>NA</v>
      </c>
      <c r="M42" s="200"/>
      <c r="N42" s="200"/>
      <c r="O42" s="200"/>
      <c r="P42" s="208"/>
      <c r="Q42" s="200"/>
      <c r="R42" s="201"/>
      <c r="T42" s="209" t="str">
        <f>_xlfn.XLOOKUP(T25,RenewalPlans!B:B,RenewalPlans!AQ:AQ,"NA",0,1)</f>
        <v>NA</v>
      </c>
      <c r="U42" s="200"/>
      <c r="V42" s="200"/>
      <c r="W42" s="200"/>
      <c r="X42" s="208"/>
      <c r="Y42" s="200"/>
      <c r="Z42" s="201"/>
    </row>
    <row r="43" spans="1:26" ht="18.75" customHeight="1" hidden="1">
      <c r="A43" s="140"/>
      <c r="B43" s="140"/>
      <c r="D43" s="210"/>
      <c r="E43" s="211"/>
      <c r="F43" s="211"/>
      <c r="G43" s="211"/>
      <c r="H43" s="211"/>
      <c r="I43" s="211"/>
      <c r="J43" s="212"/>
      <c r="K43"/>
      <c r="L43" s="210"/>
      <c r="M43" s="211"/>
      <c r="N43" s="211"/>
      <c r="O43" s="211"/>
      <c r="P43" s="211"/>
      <c r="Q43" s="211"/>
      <c r="R43" s="212"/>
      <c r="T43" s="210"/>
      <c r="U43" s="211"/>
      <c r="V43" s="211"/>
      <c r="W43" s="211"/>
      <c r="X43" s="211"/>
      <c r="Y43" s="211"/>
      <c r="Z43" s="212"/>
    </row>
    <row r="44" spans="1:26" ht="18.75" customHeight="1" hidden="1">
      <c r="A44" s="140"/>
      <c r="B44" s="140"/>
      <c r="D44" s="185" t="s">
        <v>265</v>
      </c>
      <c r="E44" s="186"/>
      <c r="F44" s="186"/>
      <c r="G44" s="186"/>
      <c r="H44" s="186"/>
      <c r="I44" s="186"/>
      <c r="J44" s="187"/>
      <c r="K44"/>
      <c r="L44" s="188"/>
      <c r="M44" s="186"/>
      <c r="N44" s="186"/>
      <c r="O44" s="186"/>
      <c r="P44" s="186"/>
      <c r="Q44" s="186"/>
      <c r="R44" s="187"/>
      <c r="T44" s="188"/>
      <c r="U44" s="186"/>
      <c r="V44" s="186"/>
      <c r="W44" s="186"/>
      <c r="X44" s="186"/>
      <c r="Y44" s="186"/>
      <c r="Z44" s="187"/>
    </row>
    <row r="45" spans="1:26" ht="18.75" customHeight="1" hidden="1">
      <c r="A45" s="140"/>
      <c r="B45" s="140"/>
      <c r="D45" s="132" t="s">
        <v>266</v>
      </c>
      <c r="E45" s="133" t="str">
        <f>_xlfn.XLOOKUP(E25,CurrentPlans!B:B,CurrentPlans!AE:AE,"NA",0,1)</f>
        <v>NA</v>
      </c>
      <c r="F45" s="134"/>
      <c r="G45" s="134"/>
      <c r="H45" s="134"/>
      <c r="I45" s="133"/>
      <c r="J45" s="135"/>
      <c r="K45"/>
      <c r="L45" s="136" t="str">
        <f ca="1">_xlfn.XLOOKUP(L25,RenewalPlans!B:B,RenewalPlans!AH:AH,"NA",0,1)</f>
        <v>NA</v>
      </c>
      <c r="M45" s="134"/>
      <c r="N45" s="134"/>
      <c r="O45" s="134"/>
      <c r="P45" s="133"/>
      <c r="Q45" s="134"/>
      <c r="R45" s="135"/>
      <c r="T45" s="136" t="str">
        <f>_xlfn.XLOOKUP(T25,RenewalPlans!B:B,RenewalPlans!AH:AH,"NA",0,1)</f>
        <v>NA</v>
      </c>
      <c r="U45" s="134"/>
      <c r="V45" s="134"/>
      <c r="W45" s="134"/>
      <c r="X45" s="133"/>
      <c r="Y45" s="134"/>
      <c r="Z45" s="135"/>
    </row>
    <row r="46" spans="1:26" ht="18.75" customHeight="1" hidden="1">
      <c r="A46" s="140"/>
      <c r="B46" s="140"/>
      <c r="D46" s="120" t="s">
        <v>267</v>
      </c>
      <c r="E46" s="130" t="str">
        <f>_xlfn.XLOOKUP(E25,CurrentPlans!B:B,CurrentPlans!AF:AF,"NA",0,1)</f>
        <v>NA</v>
      </c>
      <c r="F46" s="122"/>
      <c r="G46" s="122"/>
      <c r="H46" s="122"/>
      <c r="I46" s="130"/>
      <c r="J46" s="123"/>
      <c r="K46"/>
      <c r="L46" s="131" t="str">
        <f ca="1">_xlfn.XLOOKUP(L25,RenewalPlans!B:B,RenewalPlans!AI:AI,"NA",0,1)</f>
        <v>NA</v>
      </c>
      <c r="M46" s="122"/>
      <c r="N46" s="122"/>
      <c r="O46" s="122"/>
      <c r="P46" s="130"/>
      <c r="Q46" s="122"/>
      <c r="R46" s="123"/>
      <c r="T46" s="131" t="str">
        <f>_xlfn.XLOOKUP(T25,RenewalPlans!B:B,RenewalPlans!AI:AI,"NA",0,1)</f>
        <v>NA</v>
      </c>
      <c r="U46" s="122"/>
      <c r="V46" s="122"/>
      <c r="W46" s="122"/>
      <c r="X46" s="130"/>
      <c r="Y46" s="122"/>
      <c r="Z46" s="123"/>
    </row>
    <row r="47" spans="1:26" ht="18.75" customHeight="1" hidden="1">
      <c r="A47" s="140"/>
      <c r="B47" s="140"/>
      <c r="D47" s="198" t="s">
        <v>268</v>
      </c>
      <c r="E47" s="130" t="str">
        <f>_xlfn.XLOOKUP(E25,CurrentPlans!B:B,CurrentPlans!AH:AH,"NA",0,1)</f>
        <v>NA</v>
      </c>
      <c r="F47" s="200"/>
      <c r="G47" s="200"/>
      <c r="H47" s="200"/>
      <c r="I47" s="130"/>
      <c r="J47" s="201"/>
      <c r="K47"/>
      <c r="L47" s="131" t="str">
        <f ca="1">_xlfn.XLOOKUP(L25,RenewalPlans!B:B,RenewalPlans!AK:AK,"NA",0,1)</f>
        <v>NA</v>
      </c>
      <c r="M47" s="200"/>
      <c r="N47" s="200"/>
      <c r="O47" s="200"/>
      <c r="P47" s="130"/>
      <c r="Q47" s="200"/>
      <c r="R47" s="201"/>
      <c r="T47" s="131" t="str">
        <f>_xlfn.XLOOKUP(T25,RenewalPlans!B:B,RenewalPlans!AK:AK,"NA",0,1)</f>
        <v>NA</v>
      </c>
      <c r="U47" s="200"/>
      <c r="V47" s="200"/>
      <c r="W47" s="200"/>
      <c r="X47" s="130"/>
      <c r="Y47" s="200"/>
      <c r="Z47" s="201"/>
    </row>
    <row r="48" spans="1:26" ht="18.75" customHeight="1" hidden="1">
      <c r="A48" s="140"/>
      <c r="B48" s="140"/>
      <c r="D48" s="198" t="s">
        <v>269</v>
      </c>
      <c r="E48" s="130" t="str">
        <f>_xlfn.XLOOKUP(E25,CurrentPlans!B:B,CurrentPlans!AG:AG,"NA",0,1)</f>
        <v>NA</v>
      </c>
      <c r="F48" s="200"/>
      <c r="G48" s="200"/>
      <c r="H48" s="200"/>
      <c r="I48" s="130"/>
      <c r="J48" s="201"/>
      <c r="K48"/>
      <c r="L48" s="131" t="str">
        <f ca="1">_xlfn.XLOOKUP(L25,RenewalPlans!B:B,RenewalPlans!AJ:AJ,"NA",0,1)</f>
        <v>NA</v>
      </c>
      <c r="M48" s="200"/>
      <c r="N48" s="200"/>
      <c r="O48" s="200"/>
      <c r="P48" s="130"/>
      <c r="Q48" s="200"/>
      <c r="R48" s="201"/>
      <c r="T48" s="131" t="str">
        <f>_xlfn.XLOOKUP(T25,RenewalPlans!B:B,RenewalPlans!AJ:AJ,"NA",0,1)</f>
        <v>NA</v>
      </c>
      <c r="U48" s="200"/>
      <c r="V48" s="200"/>
      <c r="W48" s="200"/>
      <c r="X48" s="130"/>
      <c r="Y48" s="200"/>
      <c r="Z48" s="201"/>
    </row>
    <row r="49" spans="1:26" ht="18.75" customHeight="1" hidden="1">
      <c r="A49" s="140"/>
      <c r="B49" s="140"/>
      <c r="D49" s="213" t="s">
        <v>270</v>
      </c>
      <c r="E49" s="216" t="str">
        <f>_xlfn.XLOOKUP(E25,CurrentPlans!B:B,CurrentPlans!AU:AU,"NA",0,1)</f>
        <v>NA</v>
      </c>
      <c r="F49" s="214"/>
      <c r="G49" s="214"/>
      <c r="H49" s="214"/>
      <c r="I49" s="217"/>
      <c r="J49" s="215"/>
      <c r="K49"/>
      <c r="L49" s="218" t="str">
        <f ca="1">_xlfn.XLOOKUP(L25,RenewalPlans!B:B,RenewalPlans!AX:AX,"NA",0,1)</f>
        <v>NA</v>
      </c>
      <c r="M49" s="214"/>
      <c r="N49" s="214"/>
      <c r="O49" s="214"/>
      <c r="P49" s="217"/>
      <c r="Q49" s="214"/>
      <c r="R49" s="215"/>
      <c r="T49" s="218" t="str">
        <f>_xlfn.XLOOKUP(T25,RenewalPlans!B:B,RenewalPlans!AX:AX,"NA",0,1)</f>
        <v>NA</v>
      </c>
      <c r="U49" s="214"/>
      <c r="V49" s="214"/>
      <c r="W49" s="214"/>
      <c r="X49" s="217"/>
      <c r="Y49" s="214"/>
      <c r="Z49" s="215"/>
    </row>
    <row r="50" spans="1:26" ht="18.75" customHeight="1" hidden="1">
      <c r="A50" s="140"/>
      <c r="B50" s="140"/>
      <c r="D50" s="213" t="s">
        <v>271</v>
      </c>
      <c r="E50" s="216" t="str">
        <f>_xlfn.XLOOKUP(E25,CurrentPlans!B:B,CurrentPlans!AT:AT,"NA",0,1)</f>
        <v>NA</v>
      </c>
      <c r="F50" s="214"/>
      <c r="G50" s="214"/>
      <c r="H50" s="214"/>
      <c r="I50" s="217"/>
      <c r="J50" s="215"/>
      <c r="K50"/>
      <c r="L50" s="218" t="str">
        <f ca="1">_xlfn.XLOOKUP(L25,RenewalPlans!B:B,RenewalPlans!AW:AW,"NA",0,1)</f>
        <v>NA</v>
      </c>
      <c r="M50" s="214"/>
      <c r="N50" s="214"/>
      <c r="O50" s="214"/>
      <c r="P50" s="217"/>
      <c r="Q50" s="214"/>
      <c r="R50" s="215"/>
      <c r="T50" s="218" t="str">
        <f>_xlfn.XLOOKUP(T25,RenewalPlans!B:B,RenewalPlans!AW:AW,"NA",0,1)</f>
        <v>NA</v>
      </c>
      <c r="U50" s="214"/>
      <c r="V50" s="214"/>
      <c r="W50" s="214"/>
      <c r="X50" s="217"/>
      <c r="Y50" s="214"/>
      <c r="Z50" s="215"/>
    </row>
    <row r="51" spans="1:26" ht="18.75" customHeight="1" hidden="1">
      <c r="A51" s="140"/>
      <c r="B51" s="140"/>
      <c r="D51" s="198" t="s">
        <v>272</v>
      </c>
      <c r="E51" s="130" t="str">
        <f>_xlfn.XLOOKUP(E25,CurrentPlans!B:B,CurrentPlans!AD:AD,"NA",0,1)</f>
        <v>NA</v>
      </c>
      <c r="F51" s="200"/>
      <c r="G51" s="200"/>
      <c r="H51" s="200"/>
      <c r="I51" s="130"/>
      <c r="J51" s="201"/>
      <c r="K51"/>
      <c r="L51" s="131" t="str">
        <f ca="1">_xlfn.XLOOKUP(L25,RenewalPlans!B:B,RenewalPlans!AG:AG,"NA",0,1)</f>
        <v>NA</v>
      </c>
      <c r="M51" s="200"/>
      <c r="N51" s="200"/>
      <c r="O51" s="200"/>
      <c r="P51" s="130"/>
      <c r="Q51" s="200"/>
      <c r="R51" s="201"/>
      <c r="T51" s="131" t="str">
        <f>_xlfn.XLOOKUP(T25,RenewalPlans!B:B,RenewalPlans!AG:AG,"NA",0,1)</f>
        <v>NA</v>
      </c>
      <c r="U51" s="200"/>
      <c r="V51" s="200"/>
      <c r="W51" s="200"/>
      <c r="X51" s="130"/>
      <c r="Y51" s="200"/>
      <c r="Z51" s="201"/>
    </row>
    <row r="52" spans="1:26" ht="18.75" customHeight="1" hidden="1">
      <c r="A52" s="140"/>
      <c r="B52" s="140"/>
      <c r="D52" s="198" t="s">
        <v>273</v>
      </c>
      <c r="E52" s="200"/>
      <c r="F52" s="200"/>
      <c r="G52" s="200"/>
      <c r="H52" s="200"/>
      <c r="I52" s="200"/>
      <c r="J52" s="201"/>
      <c r="K52"/>
      <c r="L52" s="198"/>
      <c r="M52" s="200"/>
      <c r="N52" s="200"/>
      <c r="O52" s="200"/>
      <c r="P52" s="200"/>
      <c r="Q52" s="200"/>
      <c r="R52" s="201"/>
      <c r="T52" s="198"/>
      <c r="U52" s="200"/>
      <c r="V52" s="200"/>
      <c r="W52" s="200"/>
      <c r="X52" s="200"/>
      <c r="Y52" s="200"/>
      <c r="Z52" s="201"/>
    </row>
    <row r="53" spans="1:26" ht="18.75" customHeight="1" hidden="1">
      <c r="A53" s="140"/>
      <c r="B53" s="140"/>
      <c r="D53" s="210"/>
      <c r="E53" s="211"/>
      <c r="F53" s="211"/>
      <c r="G53" s="211"/>
      <c r="H53" s="211"/>
      <c r="I53" s="211"/>
      <c r="J53" s="212"/>
      <c r="K53"/>
      <c r="L53" s="210"/>
      <c r="M53" s="211"/>
      <c r="N53" s="211"/>
      <c r="O53" s="211"/>
      <c r="P53" s="211"/>
      <c r="Q53" s="211"/>
      <c r="R53" s="212"/>
      <c r="T53" s="210"/>
      <c r="U53" s="211"/>
      <c r="V53" s="211"/>
      <c r="W53" s="211"/>
      <c r="X53" s="211"/>
      <c r="Y53" s="211"/>
      <c r="Z53" s="212"/>
    </row>
    <row r="54" spans="1:26" ht="18.75" customHeight="1" hidden="1">
      <c r="A54" s="140"/>
      <c r="B54" s="140"/>
      <c r="D54" s="219" t="s">
        <v>274</v>
      </c>
      <c r="E54" s="220"/>
      <c r="F54" s="220"/>
      <c r="G54" s="220"/>
      <c r="H54" s="220"/>
      <c r="I54" s="220"/>
      <c r="J54" s="221"/>
      <c r="K54"/>
      <c r="L54" s="222"/>
      <c r="M54" s="220"/>
      <c r="N54" s="220"/>
      <c r="O54" s="220"/>
      <c r="P54" s="220"/>
      <c r="Q54" s="220"/>
      <c r="R54" s="221"/>
      <c r="T54" s="222"/>
      <c r="U54" s="220"/>
      <c r="V54" s="220"/>
      <c r="W54" s="220"/>
      <c r="X54" s="220"/>
      <c r="Y54" s="220"/>
      <c r="Z54" s="221"/>
    </row>
    <row r="55" spans="1:26" ht="18.75" customHeight="1" hidden="1">
      <c r="A55" s="140"/>
      <c r="B55" s="140"/>
      <c r="D55" s="223" t="s">
        <v>250</v>
      </c>
      <c r="E55" s="205"/>
      <c r="F55" s="205"/>
      <c r="G55" s="205"/>
      <c r="H55" s="205"/>
      <c r="I55" s="205"/>
      <c r="J55" s="206"/>
      <c r="K55"/>
      <c r="L55" s="203"/>
      <c r="M55" s="205"/>
      <c r="N55" s="205"/>
      <c r="O55" s="205"/>
      <c r="P55" s="205"/>
      <c r="Q55" s="205"/>
      <c r="R55" s="206"/>
      <c r="T55" s="203"/>
      <c r="U55" s="205"/>
      <c r="V55" s="205"/>
      <c r="W55" s="205"/>
      <c r="X55" s="205"/>
      <c r="Y55" s="205"/>
      <c r="Z55" s="206"/>
    </row>
    <row r="56" spans="1:26" ht="18.75" customHeight="1" hidden="1">
      <c r="A56" s="140"/>
      <c r="B56" s="140"/>
      <c r="D56" s="198" t="s">
        <v>251</v>
      </c>
      <c r="E56" s="130" t="str">
        <f>_xlfn.XLOOKUP(E25,CurrentPlans!B:B,CurrentPlans!AP:AP,"NA",0,1)</f>
        <v>NA</v>
      </c>
      <c r="F56" s="200"/>
      <c r="G56" s="200"/>
      <c r="H56" s="200"/>
      <c r="I56" s="130"/>
      <c r="J56" s="201"/>
      <c r="K56"/>
      <c r="L56" s="131" t="str">
        <f ca="1">_xlfn.XLOOKUP(L25,RenewalPlans!B:B,RenewalPlans!AS:AS,"NA",0,1)</f>
        <v>NA</v>
      </c>
      <c r="M56" s="200"/>
      <c r="N56" s="200"/>
      <c r="O56" s="200"/>
      <c r="P56" s="130"/>
      <c r="Q56" s="200"/>
      <c r="R56" s="201"/>
      <c r="T56" s="131" t="str">
        <f>_xlfn.XLOOKUP(T25,RenewalPlans!B:B,RenewalPlans!AS:AS,"NA",0,1)</f>
        <v>NA</v>
      </c>
      <c r="U56" s="200"/>
      <c r="V56" s="200"/>
      <c r="W56" s="200"/>
      <c r="X56" s="130"/>
      <c r="Y56" s="200"/>
      <c r="Z56" s="201"/>
    </row>
    <row r="57" spans="1:26" ht="18.75" customHeight="1" hidden="1">
      <c r="A57" s="140"/>
      <c r="B57" s="140"/>
      <c r="D57" s="198" t="s">
        <v>252</v>
      </c>
      <c r="E57" s="130" t="str">
        <f>_xlfn.XLOOKUP(E25,CurrentPlans!B:B,CurrentPlans!AQ:AQ,"NA",0,1)</f>
        <v>NA</v>
      </c>
      <c r="F57" s="200"/>
      <c r="G57" s="200"/>
      <c r="H57" s="200"/>
      <c r="I57" s="130"/>
      <c r="J57" s="201"/>
      <c r="K57"/>
      <c r="L57" s="131" t="str">
        <f ca="1">_xlfn.XLOOKUP(L25,RenewalPlans!B:B,RenewalPlans!AT:AT,"NA",0,1)</f>
        <v>NA</v>
      </c>
      <c r="M57" s="200"/>
      <c r="N57" s="200"/>
      <c r="O57" s="200"/>
      <c r="P57" s="130"/>
      <c r="Q57" s="200"/>
      <c r="R57" s="201"/>
      <c r="T57" s="131" t="str">
        <f>_xlfn.XLOOKUP(T25,RenewalPlans!B:B,RenewalPlans!AT:AT,"NA",0,1)</f>
        <v>NA</v>
      </c>
      <c r="U57" s="200"/>
      <c r="V57" s="200"/>
      <c r="W57" s="200"/>
      <c r="X57" s="130"/>
      <c r="Y57" s="200"/>
      <c r="Z57" s="201"/>
    </row>
    <row r="58" spans="1:26" ht="18.75" customHeight="1" hidden="1">
      <c r="A58" s="140"/>
      <c r="B58" s="140"/>
      <c r="D58" s="120" t="s">
        <v>253</v>
      </c>
      <c r="E58" s="133" t="str">
        <f>_xlfn.XLOOKUP(E25,CurrentPlans!B:B,CurrentPlans!AO:AO,"NA",0,1)</f>
        <v>NA</v>
      </c>
      <c r="F58" s="122"/>
      <c r="G58" s="122"/>
      <c r="H58" s="122"/>
      <c r="I58" s="133"/>
      <c r="J58" s="123"/>
      <c r="K58"/>
      <c r="L58" s="136" t="str">
        <f ca="1">_xlfn.XLOOKUP(L25,RenewalPlans!B:B,RenewalPlans!AR:AR,"NA",0,1)</f>
        <v>NA</v>
      </c>
      <c r="M58" s="122"/>
      <c r="N58" s="122"/>
      <c r="O58" s="122"/>
      <c r="P58" s="133"/>
      <c r="Q58" s="122"/>
      <c r="R58" s="123"/>
      <c r="T58" s="136" t="str">
        <f>_xlfn.XLOOKUP(T25,RenewalPlans!B:B,RenewalPlans!AR:AR,"NA",0,1)</f>
        <v>NA</v>
      </c>
      <c r="U58" s="122"/>
      <c r="V58" s="122"/>
      <c r="W58" s="122"/>
      <c r="X58" s="133"/>
      <c r="Y58" s="122"/>
      <c r="Z58" s="123"/>
    </row>
    <row r="59" spans="1:26" ht="18.75" customHeight="1" hidden="1">
      <c r="A59" s="140"/>
      <c r="B59" s="140"/>
      <c r="D59" s="223" t="s">
        <v>254</v>
      </c>
      <c r="E59" s="205"/>
      <c r="F59" s="205"/>
      <c r="G59" s="205"/>
      <c r="H59" s="205"/>
      <c r="I59" s="205"/>
      <c r="J59" s="206"/>
      <c r="K59"/>
      <c r="L59" s="203"/>
      <c r="M59" s="205"/>
      <c r="N59" s="205"/>
      <c r="O59" s="205"/>
      <c r="P59" s="205"/>
      <c r="Q59" s="205"/>
      <c r="R59" s="206"/>
      <c r="T59" s="203"/>
      <c r="U59" s="205"/>
      <c r="V59" s="205"/>
      <c r="W59" s="205"/>
      <c r="X59" s="205"/>
      <c r="Y59" s="205"/>
      <c r="Z59" s="206"/>
    </row>
    <row r="60" spans="1:26" ht="18.75" customHeight="1" hidden="1">
      <c r="A60" s="140"/>
      <c r="B60" s="140"/>
      <c r="D60" s="198" t="s">
        <v>255</v>
      </c>
      <c r="E60" s="130" t="str">
        <f>_xlfn.XLOOKUP(E25,CurrentPlans!B:B,CurrentPlans!AR:AR,"NA",0,1)</f>
        <v>NA</v>
      </c>
      <c r="F60" s="200"/>
      <c r="G60" s="200"/>
      <c r="H60" s="200"/>
      <c r="I60" s="130"/>
      <c r="J60" s="201"/>
      <c r="K60"/>
      <c r="L60" s="131" t="str">
        <f ca="1">_xlfn.XLOOKUP(L25,RenewalPlans!B:B,RenewalPlans!AU:AU,"NA",0,1)</f>
        <v>NA</v>
      </c>
      <c r="M60" s="200"/>
      <c r="N60" s="200"/>
      <c r="O60" s="200"/>
      <c r="P60" s="130"/>
      <c r="Q60" s="200"/>
      <c r="R60" s="201"/>
      <c r="T60" s="131" t="str">
        <f>_xlfn.XLOOKUP(T25,RenewalPlans!B:B,RenewalPlans!AU:AU,"NA",0,1)</f>
        <v>NA</v>
      </c>
      <c r="U60" s="200"/>
      <c r="V60" s="200"/>
      <c r="W60" s="200"/>
      <c r="X60" s="130"/>
      <c r="Y60" s="200"/>
      <c r="Z60" s="201"/>
    </row>
    <row r="61" spans="1:26" ht="18.75" customHeight="1" hidden="1" thickBot="1">
      <c r="A61" s="140"/>
      <c r="B61" s="140"/>
      <c r="D61" s="224" t="s">
        <v>256</v>
      </c>
      <c r="E61" s="137" t="str">
        <f>_xlfn.XLOOKUP(E25,CurrentPlans!B:B,CurrentPlans!AS:AS,"NA",0,1)</f>
        <v>NA</v>
      </c>
      <c r="F61" s="225"/>
      <c r="G61" s="225"/>
      <c r="H61" s="225"/>
      <c r="I61" s="137"/>
      <c r="J61" s="226"/>
      <c r="K61"/>
      <c r="L61" s="138" t="str">
        <f ca="1">_xlfn.XLOOKUP(L25,RenewalPlans!B:B,RenewalPlans!AV:AV,"NA",0,1)</f>
        <v>NA</v>
      </c>
      <c r="M61" s="225"/>
      <c r="N61" s="225"/>
      <c r="O61" s="225"/>
      <c r="P61" s="137"/>
      <c r="Q61" s="225"/>
      <c r="R61" s="226"/>
      <c r="T61" s="138" t="str">
        <f>_xlfn.XLOOKUP(T25,RenewalPlans!B:B,RenewalPlans!AV:AV,"NA",0,1)</f>
        <v>NA</v>
      </c>
      <c r="U61" s="225"/>
      <c r="V61" s="225"/>
      <c r="W61" s="225"/>
      <c r="X61" s="137"/>
      <c r="Y61" s="225"/>
      <c r="Z61" s="226"/>
    </row>
    <row r="62" spans="1:26" ht="18" customHeight="1">
      <c r="A62" s="140"/>
      <c r="B62" s="140"/>
      <c r="D62" s="227"/>
      <c r="E62" s="176"/>
      <c r="F62" s="178"/>
      <c r="G62" s="179"/>
      <c r="H62" s="178"/>
      <c r="I62" s="176"/>
      <c r="J62" s="228"/>
      <c r="K62"/>
      <c r="L62" s="178"/>
      <c r="M62" s="176"/>
      <c r="N62" s="139"/>
      <c r="O62" s="178"/>
      <c r="P62" s="178"/>
      <c r="Q62" s="178"/>
      <c r="R62" s="228"/>
      <c r="T62" s="178"/>
      <c r="U62" s="176"/>
      <c r="V62" s="139"/>
      <c r="W62" s="178"/>
      <c r="X62" s="178"/>
      <c r="Y62" s="178"/>
      <c r="Z62" s="228"/>
    </row>
    <row r="63" spans="1:26" ht="5.25" customHeight="1" thickBot="1">
      <c r="A63" s="140"/>
      <c r="B63" s="140"/>
      <c r="D63" s="229"/>
      <c r="E63" s="229"/>
      <c r="F63" s="230"/>
      <c r="G63" s="231"/>
      <c r="H63" s="232"/>
      <c r="I63" s="233"/>
      <c r="J63" s="233"/>
      <c r="K63"/>
      <c r="L63" s="233"/>
      <c r="M63" s="233"/>
      <c r="N63" s="233"/>
      <c r="O63" s="233"/>
      <c r="P63" s="233"/>
      <c r="Q63" s="233"/>
      <c r="R63" s="233"/>
      <c r="T63" s="233"/>
      <c r="U63" s="233"/>
      <c r="V63" s="233"/>
      <c r="W63" s="233"/>
      <c r="X63" s="233"/>
      <c r="Y63" s="233"/>
      <c r="Z63" s="233"/>
    </row>
    <row r="64" spans="1:26" ht="50.15" customHeight="1">
      <c r="A64" s="140">
        <v>2</v>
      </c>
      <c r="B64" s="140" t="str">
        <f>IF(A64&gt;Class6_CurrentHealthCount,"DELETE",Class6_CurrentHealthStart+A64)</f>
        <v>DELETE</v>
      </c>
      <c r="C64" s="164" t="s">
        <v>275</v>
      </c>
      <c r="D64" s="273" t="str">
        <f>IF(B64="Delete","",VLOOKUP(F64,BEGIN_CURRENT_HEALTH:END_CURRENT_HEALTH,3,FALSE))</f>
        <v/>
      </c>
      <c r="E64" s="165"/>
      <c r="F64" s="272" t="str" cm="1">
        <f t="array" ca="1" aca="1" ref="F64">IF(B64="Delete","",INDIRECT("CurrentPlans!A"&amp;B64,TRUE))</f>
        <v/>
      </c>
      <c r="G64" s="166"/>
      <c r="H64" s="167"/>
      <c r="I64" s="168"/>
      <c r="J64" s="169"/>
      <c r="K64"/>
      <c r="L64" s="274" t="str">
        <f ca="1">_xlfn.IFNA(VLOOKUP(F64,BEGIN_RENEWEDFROM_HEALTH:ROW_RenewHealth_PlanID,3,FALSE),"SELECT PLAN")</f>
        <v>SELECT PLAN</v>
      </c>
      <c r="M64" s="170"/>
      <c r="N64" s="274" t="s">
        <v>237</v>
      </c>
      <c r="O64" s="171"/>
      <c r="P64" s="171"/>
      <c r="Q64" s="171"/>
      <c r="R64" s="169"/>
      <c r="T64" s="274" t="s">
        <v>38</v>
      </c>
      <c r="U64" s="170"/>
      <c r="V64" s="274" t="s">
        <v>237</v>
      </c>
      <c r="W64" s="171"/>
      <c r="X64" s="171"/>
      <c r="Y64" s="171"/>
      <c r="Z64" s="169"/>
    </row>
    <row r="65" spans="1:26" ht="18.75" customHeight="1">
      <c r="A65" s="140"/>
      <c r="B65" s="140"/>
      <c r="D65" s="172" t="s">
        <v>238</v>
      </c>
      <c r="E65" s="407" t="str">
        <f ca="1">_xlfn.IFNA(VLOOKUP(F64,BEGIN_CURRENT_HEALTH:END_CURRENT_HEALTH,CURRENT_COL_EO_count,FALSE),"")</f>
        <v/>
      </c>
      <c r="F65" s="408" t="str">
        <f ca="1">_xlfn.IFNA(VLOOKUP(F64,BEGIN_CURRENT_HEALTH:END_CURRENT_HEALTH,CURRENT_COL_EO,FALSE),"")</f>
        <v/>
      </c>
      <c r="G65" s="468" t="str">
        <f ca="1" t="shared" si="5" ref="G65:G68">IF(F65="","",H65/F65)</f>
        <v/>
      </c>
      <c r="H65" s="408" t="str">
        <f ca="1">_xlfn.IFNA(VLOOKUP(F64,BEGIN_CURRENT_HEALTH:END_CURRENT_HEALTH,CURRENT_COL_EOContrib,FALSE),"")</f>
        <v/>
      </c>
      <c r="I65" s="409" t="str">
        <f ca="1">IFERROR(F65-H65,"")</f>
        <v/>
      </c>
      <c r="J65" s="410" t="str">
        <f ca="1">IF(F65="","",H65*E65)</f>
        <v/>
      </c>
      <c r="K65" s="411"/>
      <c r="L65" s="408" t="str" cm="1">
        <f t="array" ca="1" aca="1" ref="L65">_xlfn.IFNA(VLOOKUP(INDIRECT("L"&amp;ROW()-1)&amp;"_"&amp;$D$12,BEGIN_RENEW_HEALTH:END_RENEW_HEALTH,RENEW_COL_EO,FALSE),"")</f>
        <v/>
      </c>
      <c r="M65" s="412" t="str">
        <f ca="1">IF(E65="","",E65)</f>
        <v/>
      </c>
      <c r="N65" s="413"/>
      <c r="O65" s="414"/>
      <c r="P65" s="415" t="str">
        <f>IFERROR(IF($N64="Keep Contribution Same",H65,IF($N64="Enter Percentages",IF(N65="","",N65*L65),IF($N64="Keep Percentage Same",IF(G65="","",G65*L65),IF($N64="Enter Dollar Amount",IF(O65="","",O65),"")))),"")</f>
        <v/>
      </c>
      <c r="Q65" s="408" t="str">
        <f ca="1">IFERROR(L65-P65,"")</f>
        <v/>
      </c>
      <c r="R65" s="410" t="str">
        <f>IFERROR(IF(P65="","",M65*P65),"")</f>
        <v/>
      </c>
      <c r="S65" s="411"/>
      <c r="T65" s="408" t="str" cm="1">
        <f t="array" ca="1" aca="1" ref="T65">_xlfn.IFNA(VLOOKUP(INDIRECT("T"&amp;ROW()-1)&amp;"_"&amp;$D$12,BEGIN_RENEW_HEALTH:END_RENEW_HEALTH,RENEW_COL_EO,FALSE),"")</f>
        <v/>
      </c>
      <c r="U65" s="412" t="str">
        <f ca="1">IF(E65="","",E65)</f>
        <v/>
      </c>
      <c r="V65" s="413"/>
      <c r="W65" s="414"/>
      <c r="X65" s="415" t="str">
        <f>IFERROR(IF($V64="Keep Contribution Same",H65,IF($V64="Enter Percentages",IF(V65="","",V65*T65),IF($V64="Keep Percentage Same",IF(G65="","",G65*T65),IF($V64="Enter Dollar Amount",IF(W65="","",W65),"")))),"")</f>
        <v/>
      </c>
      <c r="Y65" s="408" t="str">
        <f ca="1">IFERROR(T65-X65,"")</f>
        <v/>
      </c>
      <c r="Z65" s="410" t="str">
        <f>IFERROR(IF(X65="","",U65*X65),"")</f>
        <v/>
      </c>
    </row>
    <row r="66" spans="1:26" ht="18.75" customHeight="1">
      <c r="A66" s="140"/>
      <c r="B66" s="140"/>
      <c r="D66" s="172" t="s">
        <v>239</v>
      </c>
      <c r="E66" s="407" t="str">
        <f ca="1">_xlfn.IFNA(VLOOKUP(F64,BEGIN_CURRENT_HEALTH:END_CURRENT_HEALTH,CURRENT_COL_ES_count,FALSE),"")</f>
        <v/>
      </c>
      <c r="F66" s="408" t="str">
        <f ca="1">_xlfn.IFNA(VLOOKUP(F64,BEGIN_CURRENT_HEALTH:END_CURRENT_HEALTH,CURRENT_COL_ES,FALSE),"")</f>
        <v/>
      </c>
      <c r="G66" s="468" t="str">
        <f t="shared" ca="1" si="5"/>
        <v/>
      </c>
      <c r="H66" s="408" t="str">
        <f ca="1">_xlfn.IFNA(VLOOKUP(F64,BEGIN_CURRENT_HEALTH:END_CURRENT_HEALTH,CURRENT_COL_ESContrib,FALSE),"")</f>
        <v/>
      </c>
      <c r="I66" s="409" t="str">
        <f ca="1" t="shared" si="6" ref="I66:I68">IFERROR(F66-H66,"")</f>
        <v/>
      </c>
      <c r="J66" s="410" t="str">
        <f ca="1">IF(F66="","",H66*E66)</f>
        <v/>
      </c>
      <c r="K66" s="411"/>
      <c r="L66" s="408" t="str" cm="1">
        <f t="array" ca="1" aca="1" ref="L66">_xlfn.IFNA(VLOOKUP(INDIRECT("L"&amp;ROW()-2)&amp;"_"&amp;$D$12,BEGIN_RENEW_HEALTH:END_RENEW_HEALTH,RENEW_COL_ES,FALSE),"")</f>
        <v/>
      </c>
      <c r="M66" s="412" t="str">
        <f ca="1">IF(E66="","",E66)</f>
        <v/>
      </c>
      <c r="N66" s="413"/>
      <c r="O66" s="414"/>
      <c r="P66" s="415" t="str">
        <f>IFERROR(IF($N64="Keep Contribution Same",H66,IF($N64="Enter Percentages",IF(N66="","",N66*L66),IF($N64="Keep Percentage Same",IF(G66="","",G66*L66),IF($N64="Enter Dollar Amount",IF(O66="","",O66),"")))),"")</f>
        <v/>
      </c>
      <c r="Q66" s="408" t="str">
        <f ca="1">IFERROR(L66-P66,"")</f>
        <v/>
      </c>
      <c r="R66" s="410" t="str">
        <f>IFERROR(IF(P66="","",M66*P66),"")</f>
        <v/>
      </c>
      <c r="S66" s="411"/>
      <c r="T66" s="408" t="str" cm="1">
        <f t="array" ca="1" aca="1" ref="T66">_xlfn.IFNA(VLOOKUP(INDIRECT("T"&amp;ROW()-2)&amp;"_"&amp;$D$12,BEGIN_RENEW_HEALTH:END_RENEW_HEALTH,RENEW_COL_ES,FALSE),"")</f>
        <v/>
      </c>
      <c r="U66" s="412" t="str">
        <f ca="1" t="shared" si="7" ref="U66:U68">IF(E66="","",E66)</f>
        <v/>
      </c>
      <c r="V66" s="413"/>
      <c r="W66" s="414"/>
      <c r="X66" s="415" t="str">
        <f>IFERROR(IF($V64="Keep Contribution Same",H66,IF($V64="Enter Percentages",IF(V66="","",V66*T66),IF($V64="Keep Percentage Same",IF(G66="","",G66*T66),IF($V64="Enter Dollar Amount",IF(W66="","",W66),"")))),"")</f>
        <v/>
      </c>
      <c r="Y66" s="408" t="str">
        <f ca="1" t="shared" si="8" ref="Y66:Y68">IFERROR(T66-X66,"")</f>
        <v/>
      </c>
      <c r="Z66" s="410" t="str">
        <f t="shared" si="9" ref="Z66:Z68">IFERROR(IF(X66="","",U66*X66),"")</f>
        <v/>
      </c>
    </row>
    <row r="67" spans="1:26" ht="18.75" customHeight="1">
      <c r="A67" s="140"/>
      <c r="B67" s="140"/>
      <c r="D67" s="172" t="s">
        <v>240</v>
      </c>
      <c r="E67" s="407" t="str">
        <f ca="1">_xlfn.IFNA(VLOOKUP(F64,BEGIN_CURRENT_HEALTH:END_CURRENT_HEALTH,CURRENT_COL_EC_count,FALSE),"")</f>
        <v/>
      </c>
      <c r="F67" s="408" t="str">
        <f ca="1">_xlfn.IFNA(VLOOKUP(F64,BEGIN_CURRENT_HEALTH:END_CURRENT_HEALTH,CURRENT_COL_EC,FALSE),"")</f>
        <v/>
      </c>
      <c r="G67" s="468" t="str">
        <f t="shared" ca="1" si="5"/>
        <v/>
      </c>
      <c r="H67" s="408" t="str">
        <f ca="1">_xlfn.IFNA(VLOOKUP(F64,BEGIN_CURRENT_HEALTH:END_CURRENT_HEALTH,CURRENT_COL_ECContrib,FALSE),"")</f>
        <v/>
      </c>
      <c r="I67" s="409" t="str">
        <f t="shared" ca="1" si="6"/>
        <v/>
      </c>
      <c r="J67" s="410" t="str">
        <f ca="1">IF(F67="","",H67*E67)</f>
        <v/>
      </c>
      <c r="K67" s="411"/>
      <c r="L67" s="408" t="str" cm="1">
        <f t="array" ca="1" aca="1" ref="L67">_xlfn.IFNA(VLOOKUP(INDIRECT("L"&amp;ROW()-3)&amp;"_"&amp;$D$12,BEGIN_RENEW_HEALTH:END_RENEW_HEALTH,RENEW_COL_EC,FALSE),"")</f>
        <v/>
      </c>
      <c r="M67" s="412" t="str">
        <f ca="1">IF(E67="","",E67)</f>
        <v/>
      </c>
      <c r="N67" s="413"/>
      <c r="O67" s="414"/>
      <c r="P67" s="415" t="str">
        <f>IFERROR(IF($N64="Keep Contribution Same",H67,IF($N64="Enter Percentages",IF(N67="","",N67*L67),IF($N64="Keep Percentage Same",IF(G67="","",G67*L67),IF($N64="Enter Dollar Amount",IF(O67="","",O67),"")))),"")</f>
        <v/>
      </c>
      <c r="Q67" s="408" t="str">
        <f ca="1">IFERROR(L67-P67,"")</f>
        <v/>
      </c>
      <c r="R67" s="410" t="str">
        <f>IFERROR(IF(P67="","",M67*P67),"")</f>
        <v/>
      </c>
      <c r="S67" s="411"/>
      <c r="T67" s="408" t="str" cm="1">
        <f t="array" ca="1" aca="1" ref="T67">_xlfn.IFNA(VLOOKUP(INDIRECT("T"&amp;ROW()-3)&amp;"_"&amp;$D$12,BEGIN_RENEW_HEALTH:END_RENEW_HEALTH,RENEW_COL_EC,FALSE),"")</f>
        <v/>
      </c>
      <c r="U67" s="412" t="str">
        <f t="shared" ca="1" si="7"/>
        <v/>
      </c>
      <c r="V67" s="413"/>
      <c r="W67" s="414"/>
      <c r="X67" s="415" t="str">
        <f>IFERROR(IF($V64="Keep Contribution Same",H67,IF($V64="Enter Percentages",IF(V67="","",V67*T67),IF($V64="Keep Percentage Same",IF(G67="","",G67*T67),IF($V64="Enter Dollar Amount",IF(W67="","",W67),"")))),"")</f>
        <v/>
      </c>
      <c r="Y67" s="408" t="str">
        <f t="shared" ca="1" si="8"/>
        <v/>
      </c>
      <c r="Z67" s="410" t="str">
        <f t="shared" si="9"/>
        <v/>
      </c>
    </row>
    <row r="68" spans="1:26" ht="18.75" customHeight="1" thickBot="1">
      <c r="A68" s="140"/>
      <c r="B68" s="140"/>
      <c r="D68" s="174" t="s">
        <v>241</v>
      </c>
      <c r="E68" s="416" t="str">
        <f ca="1">_xlfn.IFNA(VLOOKUP(F64,BEGIN_CURRENT_HEALTH:END_CURRENT_HEALTH,CURRENT_COL_FAM_count,FALSE),"")</f>
        <v/>
      </c>
      <c r="F68" s="417" t="str">
        <f ca="1">_xlfn.IFNA(VLOOKUP(F64,BEGIN_CURRENT_HEALTH:END_CURRENT_HEALTH,CURRENT_COL_FAM,FALSE),"")</f>
        <v/>
      </c>
      <c r="G68" s="469" t="str">
        <f t="shared" ca="1" si="5"/>
        <v/>
      </c>
      <c r="H68" s="417" t="str">
        <f ca="1">_xlfn.IFNA(VLOOKUP(F64,BEGIN_CURRENT_HEALTH:END_CURRENT_HEALTH,CURRENT_COL_FAMContrib,FALSE),"")</f>
        <v/>
      </c>
      <c r="I68" s="418" t="str">
        <f t="shared" ca="1" si="6"/>
        <v/>
      </c>
      <c r="J68" s="419" t="str">
        <f ca="1">IF(F68="","",H68*E68)</f>
        <v/>
      </c>
      <c r="K68" s="411"/>
      <c r="L68" s="417" t="str" cm="1">
        <f t="array" ca="1" aca="1" ref="L68">_xlfn.IFNA(VLOOKUP(INDIRECT("L"&amp;ROW()-4)&amp;"_"&amp;$D$12,BEGIN_RENEW_HEALTH:END_RENEW_HEALTH,RENEW_COL_FAM,FALSE),"")</f>
        <v/>
      </c>
      <c r="M68" s="423" t="str">
        <f ca="1">IF(E68="","",E68)</f>
        <v/>
      </c>
      <c r="N68" s="420"/>
      <c r="O68" s="421"/>
      <c r="P68" s="422" t="str">
        <f>IFERROR(IF($N64="Keep Contribution Same",H68,IF($N64="Enter Percentages",IF(N68="","",N68*L68),IF($N64="Keep Percentage Same",IF(G68="","",G68*L68),IF($N64="Enter Dollar Amount",IF(O68="","",O68),"")))),"")</f>
        <v/>
      </c>
      <c r="Q68" s="417" t="str">
        <f ca="1">IFERROR(L68-P68,"")</f>
        <v/>
      </c>
      <c r="R68" s="419" t="str">
        <f>IFERROR(IF(P68="","",M68*P68),"")</f>
        <v/>
      </c>
      <c r="S68" s="411"/>
      <c r="T68" s="417" t="str" cm="1">
        <f t="array" ca="1" aca="1" ref="T68">_xlfn.IFNA(VLOOKUP(INDIRECT("T"&amp;ROW()-4)&amp;"_"&amp;$D$12,BEGIN_RENEW_HEALTH:END_RENEW_HEALTH,RENEW_COL_FAM,FALSE),"")</f>
        <v/>
      </c>
      <c r="U68" s="423" t="str">
        <f t="shared" ca="1" si="7"/>
        <v/>
      </c>
      <c r="V68" s="420"/>
      <c r="W68" s="421"/>
      <c r="X68" s="422" t="str">
        <f>IFERROR(IF($V64="Keep Contribution Same",H68,IF($V64="Enter Percentages",IF(V68="","",V68*T68),IF($V64="Keep Percentage Same",IF(G68="","",G68*T68),IF($V64="Enter Dollar Amount",IF(W68="","",W68),"")))),"")</f>
        <v/>
      </c>
      <c r="Y68" s="417" t="str">
        <f t="shared" ca="1" si="8"/>
        <v/>
      </c>
      <c r="Z68" s="419" t="str">
        <f t="shared" si="9"/>
        <v/>
      </c>
    </row>
    <row r="69" spans="1:26" ht="18.75" customHeight="1" thickTop="1">
      <c r="A69" s="140"/>
      <c r="B69" s="140"/>
      <c r="D69" s="175" t="s">
        <v>242</v>
      </c>
      <c r="E69" s="424"/>
      <c r="F69" s="447" t="str">
        <f ca="1">IFERROR((F65*E65)+(F66*E66)+(F67*E67)+(F68*E68),"")</f>
        <v/>
      </c>
      <c r="G69" s="426"/>
      <c r="H69" s="427"/>
      <c r="I69" s="428"/>
      <c r="J69" s="429" t="str">
        <f ca="1">IFERROR(IF(J65="","",SUM(J65:J68)),0)</f>
        <v/>
      </c>
      <c r="K69" s="1"/>
      <c r="L69" s="430" t="str">
        <f ca="1">IFERROR((M65*L65)+(M66*L66)+(M67*L67)+(M68*L68),"")</f>
        <v/>
      </c>
      <c r="M69" s="427"/>
      <c r="N69" s="426"/>
      <c r="O69" s="427"/>
      <c r="P69" s="431"/>
      <c r="Q69" s="432"/>
      <c r="R69" s="429" t="str">
        <f>IFERROR(IF(R65="","",SUM(R65:R68)),0)</f>
        <v/>
      </c>
      <c r="T69" s="430" t="str">
        <f ca="1">IFERROR((U65*T65)+(U66*T66)+(U67*T67)+(U68*T68),"")</f>
        <v/>
      </c>
      <c r="U69" s="427"/>
      <c r="V69" s="426"/>
      <c r="W69" s="427"/>
      <c r="X69" s="431"/>
      <c r="Y69" s="432"/>
      <c r="Z69" s="429" t="str">
        <f>IFERROR(IF(Z65="","",SUM(Z65:Z68)),0)</f>
        <v/>
      </c>
    </row>
    <row r="70" spans="1:26" ht="18.75" customHeight="1">
      <c r="A70" s="140"/>
      <c r="B70" s="140"/>
      <c r="D70" s="177" t="s">
        <v>243</v>
      </c>
      <c r="E70" s="433"/>
      <c r="F70" s="448" t="str">
        <f ca="1">IFERROR(F69*12,"")</f>
        <v/>
      </c>
      <c r="G70" s="435"/>
      <c r="H70" s="436"/>
      <c r="I70" s="432"/>
      <c r="J70" s="437" t="str">
        <f ca="1">IF(J69="","",J69*12)</f>
        <v/>
      </c>
      <c r="K70" s="1"/>
      <c r="L70" s="438" t="str">
        <f ca="1">IFERROR(L69*12,"")</f>
        <v/>
      </c>
      <c r="M70" s="436"/>
      <c r="N70" s="435"/>
      <c r="O70" s="436"/>
      <c r="P70" s="432"/>
      <c r="Q70" s="432"/>
      <c r="R70" s="437" t="str">
        <f>IF(R69="","",R69*12)</f>
        <v/>
      </c>
      <c r="T70" s="438" t="str">
        <f ca="1">IFERROR(T69*12,"")</f>
        <v/>
      </c>
      <c r="U70" s="436"/>
      <c r="V70" s="435"/>
      <c r="W70" s="436"/>
      <c r="X70" s="432"/>
      <c r="Y70" s="432"/>
      <c r="Z70" s="437" t="str">
        <f>IF(Z69="","",Z69*12)</f>
        <v/>
      </c>
    </row>
    <row r="71" spans="1:26" ht="18.75" customHeight="1">
      <c r="A71" s="140"/>
      <c r="B71" s="140"/>
      <c r="D71" s="177" t="s">
        <v>244</v>
      </c>
      <c r="E71" s="433"/>
      <c r="F71" s="436"/>
      <c r="G71" s="435"/>
      <c r="H71" s="436"/>
      <c r="I71" s="432"/>
      <c r="J71" s="437"/>
      <c r="K71" s="1"/>
      <c r="L71" s="434" t="str">
        <f ca="1">IFERROR(L70-F70,"")</f>
        <v/>
      </c>
      <c r="M71" s="436"/>
      <c r="N71" s="435"/>
      <c r="O71" s="436"/>
      <c r="P71" s="432"/>
      <c r="Q71" s="432"/>
      <c r="R71" s="437" t="str">
        <f ca="1">IFERROR(IF(J70="","",R70-J70),0)</f>
        <v/>
      </c>
      <c r="T71" s="434" t="str">
        <f ca="1">IFERROR(T70-F70,"")</f>
        <v/>
      </c>
      <c r="U71" s="436"/>
      <c r="V71" s="435"/>
      <c r="W71" s="436"/>
      <c r="X71" s="432"/>
      <c r="Y71" s="432"/>
      <c r="Z71" s="437" t="str">
        <f>IFERROR(IF(R70="","",Z70-R70),0)</f>
        <v/>
      </c>
    </row>
    <row r="72" spans="1:26" ht="18.75" customHeight="1" thickBot="1">
      <c r="A72" s="140"/>
      <c r="B72" s="140"/>
      <c r="D72" s="180" t="s">
        <v>245</v>
      </c>
      <c r="E72" s="439"/>
      <c r="F72" s="440"/>
      <c r="G72" s="441"/>
      <c r="H72" s="440"/>
      <c r="I72" s="442"/>
      <c r="J72" s="443"/>
      <c r="K72" s="1"/>
      <c r="L72" s="444" t="str">
        <f ca="1">IFERROR(L70/F70-1,"")</f>
        <v/>
      </c>
      <c r="M72" s="440"/>
      <c r="N72" s="441"/>
      <c r="O72" s="440"/>
      <c r="P72" s="445"/>
      <c r="Q72" s="445"/>
      <c r="R72" s="446" t="str">
        <f ca="1">IFERROR(IF(J70="","",(R70/J70)-1),0)</f>
        <v/>
      </c>
      <c r="T72" s="444" t="str">
        <f ca="1">IFERROR(T70/F70-1,"")</f>
        <v/>
      </c>
      <c r="U72" s="440"/>
      <c r="V72" s="441"/>
      <c r="W72" s="440"/>
      <c r="X72" s="445"/>
      <c r="Y72" s="445"/>
      <c r="Z72" s="446" t="str">
        <f>IFERROR(IF(R70="","",(Z70/R70)-1),0)</f>
        <v/>
      </c>
    </row>
    <row r="73" spans="1:26" ht="18.75" customHeight="1">
      <c r="A73" s="140"/>
      <c r="B73" s="140"/>
      <c r="D73" s="181" t="s">
        <v>246</v>
      </c>
      <c r="E73" s="182"/>
      <c r="F73" s="182"/>
      <c r="G73" s="182"/>
      <c r="H73" s="182"/>
      <c r="I73" s="182"/>
      <c r="J73" s="183"/>
      <c r="K73"/>
      <c r="L73" s="184"/>
      <c r="M73" s="182"/>
      <c r="N73" s="182"/>
      <c r="O73" s="182"/>
      <c r="P73" s="182"/>
      <c r="Q73" s="182"/>
      <c r="R73" s="183"/>
      <c r="T73" s="184"/>
      <c r="U73" s="182"/>
      <c r="V73" s="182"/>
      <c r="W73" s="182"/>
      <c r="X73" s="182"/>
      <c r="Y73" s="182"/>
      <c r="Z73" s="183"/>
    </row>
    <row r="74" spans="1:26" ht="18.75" customHeight="1" hidden="1">
      <c r="A74" s="140"/>
      <c r="B74" s="140"/>
      <c r="D74" s="185" t="s">
        <v>247</v>
      </c>
      <c r="E74" s="186"/>
      <c r="F74" s="186"/>
      <c r="G74" s="186"/>
      <c r="H74" s="186"/>
      <c r="I74" s="186"/>
      <c r="J74" s="187"/>
      <c r="K74"/>
      <c r="L74" s="188"/>
      <c r="M74" s="186"/>
      <c r="N74" s="186"/>
      <c r="O74" s="186"/>
      <c r="P74" s="186"/>
      <c r="Q74" s="186"/>
      <c r="R74" s="187"/>
      <c r="T74" s="188"/>
      <c r="U74" s="186"/>
      <c r="V74" s="186"/>
      <c r="W74" s="186"/>
      <c r="X74" s="186"/>
      <c r="Y74" s="186"/>
      <c r="Z74" s="187"/>
    </row>
    <row r="75" spans="1:26" ht="18.75" customHeight="1" hidden="1">
      <c r="A75" s="140"/>
      <c r="B75" s="140"/>
      <c r="D75" s="189" t="s">
        <v>248</v>
      </c>
      <c r="E75" s="190" t="str">
        <f>D64&amp;"_"&amp;D12</f>
        <v>_</v>
      </c>
      <c r="F75" s="191"/>
      <c r="G75" s="191"/>
      <c r="H75" s="191"/>
      <c r="I75" s="190"/>
      <c r="J75" s="192"/>
      <c r="K75"/>
      <c r="L75" s="193" t="str">
        <f ca="1">L64&amp;"_"&amp;D12</f>
        <v>SELECT PLAN_</v>
      </c>
      <c r="M75" s="191"/>
      <c r="N75" s="191"/>
      <c r="O75" s="191"/>
      <c r="P75" s="190"/>
      <c r="Q75" s="191"/>
      <c r="R75" s="192"/>
      <c r="T75" s="193" t="str">
        <f>T64&amp;"_"&amp;D12</f>
        <v>SELECT PLAN_</v>
      </c>
      <c r="U75" s="191"/>
      <c r="V75" s="191"/>
      <c r="W75" s="191"/>
      <c r="X75" s="190"/>
      <c r="Y75" s="191"/>
      <c r="Z75" s="192"/>
    </row>
    <row r="76" spans="1:26" ht="18.75" customHeight="1" hidden="1">
      <c r="A76" s="140"/>
      <c r="B76" s="140"/>
      <c r="D76" s="189" t="s">
        <v>249</v>
      </c>
      <c r="E76" s="191"/>
      <c r="F76" s="191"/>
      <c r="G76" s="191"/>
      <c r="H76" s="191"/>
      <c r="I76" s="191"/>
      <c r="J76" s="192"/>
      <c r="K76"/>
      <c r="L76" s="189"/>
      <c r="M76" s="191"/>
      <c r="N76" s="191"/>
      <c r="O76" s="191"/>
      <c r="P76" s="191"/>
      <c r="Q76" s="191"/>
      <c r="R76" s="192"/>
      <c r="T76" s="189"/>
      <c r="U76" s="191"/>
      <c r="V76" s="191"/>
      <c r="W76" s="191"/>
      <c r="X76" s="191"/>
      <c r="Y76" s="191"/>
      <c r="Z76" s="192"/>
    </row>
    <row r="77" spans="1:26" ht="18.75" customHeight="1" hidden="1">
      <c r="A77" s="140"/>
      <c r="B77" s="140"/>
      <c r="D77" s="194" t="s">
        <v>250</v>
      </c>
      <c r="E77" s="195"/>
      <c r="F77" s="195"/>
      <c r="G77" s="195"/>
      <c r="H77" s="195"/>
      <c r="I77" s="195"/>
      <c r="J77" s="196"/>
      <c r="K77"/>
      <c r="L77" s="197"/>
      <c r="M77" s="195"/>
      <c r="N77" s="195"/>
      <c r="O77" s="195"/>
      <c r="P77" s="195"/>
      <c r="Q77" s="195"/>
      <c r="R77" s="196"/>
      <c r="T77" s="197"/>
      <c r="U77" s="195"/>
      <c r="V77" s="195"/>
      <c r="W77" s="195"/>
      <c r="X77" s="195"/>
      <c r="Y77" s="195"/>
      <c r="Z77" s="196"/>
    </row>
    <row r="78" spans="1:26" ht="18.75" customHeight="1" hidden="1">
      <c r="A78" s="140"/>
      <c r="B78" s="140"/>
      <c r="D78" s="198" t="s">
        <v>251</v>
      </c>
      <c r="E78" s="199" t="str">
        <f>_xlfn.XLOOKUP(E75,CurrentPlans!B:B,CurrentPlans!X:X,"NA",0,1)</f>
        <v>NA</v>
      </c>
      <c r="F78" s="200"/>
      <c r="G78" s="200"/>
      <c r="H78" s="200"/>
      <c r="I78" s="199"/>
      <c r="J78" s="201"/>
      <c r="K78"/>
      <c r="L78" s="202" t="str">
        <f ca="1">_xlfn.XLOOKUP(L75,RenewalPlans!B:B,RenewalPlans!AA:AA,"NA",0,1)</f>
        <v>NA</v>
      </c>
      <c r="M78" s="200"/>
      <c r="N78" s="200"/>
      <c r="O78" s="200"/>
      <c r="P78" s="199"/>
      <c r="Q78" s="200"/>
      <c r="R78" s="201"/>
      <c r="T78" s="202" t="str">
        <f>_xlfn.XLOOKUP(T75,RenewalPlans!B:B,RenewalPlans!AA:AA,"NA",0,1)</f>
        <v>NA</v>
      </c>
      <c r="U78" s="200"/>
      <c r="V78" s="200"/>
      <c r="W78" s="200"/>
      <c r="X78" s="199"/>
      <c r="Y78" s="200"/>
      <c r="Z78" s="201"/>
    </row>
    <row r="79" spans="1:26" ht="18.75" customHeight="1" hidden="1">
      <c r="A79" s="140"/>
      <c r="B79" s="140"/>
      <c r="D79" s="198" t="s">
        <v>252</v>
      </c>
      <c r="E79" s="199" t="str">
        <f>_xlfn.XLOOKUP(E75,CurrentPlans!B:B,CurrentPlans!Y:Y,"NA",0,1)</f>
        <v>NA</v>
      </c>
      <c r="F79" s="200"/>
      <c r="G79" s="200"/>
      <c r="H79" s="200"/>
      <c r="I79" s="199"/>
      <c r="J79" s="201"/>
      <c r="K79"/>
      <c r="L79" s="202" t="str">
        <f ca="1">_xlfn.XLOOKUP(L75,RenewalPlans!B:B,RenewalPlans!AB:AB,"NA",0,1)</f>
        <v>NA</v>
      </c>
      <c r="M79" s="200"/>
      <c r="N79" s="200"/>
      <c r="O79" s="200"/>
      <c r="P79" s="199"/>
      <c r="Q79" s="200"/>
      <c r="R79" s="201"/>
      <c r="T79" s="202" t="str">
        <f>_xlfn.XLOOKUP(T75,RenewalPlans!B:B,RenewalPlans!AB:AB,"NA",0,1)</f>
        <v>NA</v>
      </c>
      <c r="U79" s="200"/>
      <c r="V79" s="200"/>
      <c r="W79" s="200"/>
      <c r="X79" s="199"/>
      <c r="Y79" s="200"/>
      <c r="Z79" s="201"/>
    </row>
    <row r="80" spans="1:26" ht="18.75" customHeight="1" hidden="1">
      <c r="A80" s="140"/>
      <c r="B80" s="140"/>
      <c r="D80" s="120" t="s">
        <v>253</v>
      </c>
      <c r="E80" s="121" t="str">
        <f>_xlfn.XLOOKUP(E75,CurrentPlans!B:B,CurrentPlans!W:W,"NA",0,1)</f>
        <v>NA</v>
      </c>
      <c r="F80" s="122"/>
      <c r="G80" s="122"/>
      <c r="H80" s="122"/>
      <c r="I80" s="121"/>
      <c r="J80" s="123"/>
      <c r="K80"/>
      <c r="L80" s="124" t="str">
        <f ca="1">_xlfn.XLOOKUP(L75,RenewalPlans!B:B,RenewalPlans!Z:Z,"NA",0,1)</f>
        <v>NA</v>
      </c>
      <c r="M80" s="122"/>
      <c r="N80" s="122"/>
      <c r="O80" s="122"/>
      <c r="P80" s="121"/>
      <c r="Q80" s="122"/>
      <c r="R80" s="123"/>
      <c r="T80" s="124" t="str">
        <f>_xlfn.XLOOKUP(T75,RenewalPlans!B:B,RenewalPlans!Z:Z,"NA",0,1)</f>
        <v>NA</v>
      </c>
      <c r="U80" s="122"/>
      <c r="V80" s="122"/>
      <c r="W80" s="122"/>
      <c r="X80" s="121"/>
      <c r="Y80" s="122"/>
      <c r="Z80" s="123"/>
    </row>
    <row r="81" spans="1:26" ht="18.75" customHeight="1" hidden="1">
      <c r="A81" s="140"/>
      <c r="B81" s="140"/>
      <c r="D81" s="203" t="s">
        <v>254</v>
      </c>
      <c r="E81" s="204"/>
      <c r="F81" s="205"/>
      <c r="G81" s="205"/>
      <c r="H81" s="205"/>
      <c r="I81" s="204"/>
      <c r="J81" s="206"/>
      <c r="K81"/>
      <c r="L81" s="207"/>
      <c r="M81" s="205"/>
      <c r="N81" s="205"/>
      <c r="O81" s="205"/>
      <c r="P81" s="204"/>
      <c r="Q81" s="205"/>
      <c r="R81" s="206"/>
      <c r="T81" s="207"/>
      <c r="U81" s="205"/>
      <c r="V81" s="205"/>
      <c r="W81" s="205"/>
      <c r="X81" s="204"/>
      <c r="Y81" s="205"/>
      <c r="Z81" s="206"/>
    </row>
    <row r="82" spans="1:26" ht="18.75" customHeight="1" hidden="1">
      <c r="A82" s="140"/>
      <c r="B82" s="140"/>
      <c r="D82" s="125" t="s">
        <v>255</v>
      </c>
      <c r="E82" s="126" t="str">
        <f>_xlfn.XLOOKUP(E75,CurrentPlans!B:B,CurrentPlans!Z:Z,"NA",0,1)</f>
        <v>NA</v>
      </c>
      <c r="F82" s="127"/>
      <c r="G82" s="127"/>
      <c r="H82" s="127"/>
      <c r="I82" s="126"/>
      <c r="J82" s="128"/>
      <c r="K82"/>
      <c r="L82" s="129" t="str">
        <f ca="1">_xlfn.XLOOKUP(L75,RenewalPlans!B:B,RenewalPlans!AC:AC,"NA",0,1)</f>
        <v>NA</v>
      </c>
      <c r="M82" s="127"/>
      <c r="N82" s="127"/>
      <c r="O82" s="127"/>
      <c r="P82" s="126"/>
      <c r="Q82" s="127"/>
      <c r="R82" s="128"/>
      <c r="T82" s="129" t="str">
        <f>_xlfn.XLOOKUP(T75,RenewalPlans!B:B,RenewalPlans!AC:AC,"NA",0,1)</f>
        <v>NA</v>
      </c>
      <c r="U82" s="127"/>
      <c r="V82" s="127"/>
      <c r="W82" s="127"/>
      <c r="X82" s="126"/>
      <c r="Y82" s="127"/>
      <c r="Z82" s="128"/>
    </row>
    <row r="83" spans="1:26" ht="18.75" customHeight="1" hidden="1">
      <c r="A83" s="140"/>
      <c r="B83" s="140"/>
      <c r="D83" s="198" t="s">
        <v>256</v>
      </c>
      <c r="E83" s="208" t="str">
        <f>_xlfn.XLOOKUP(E75,CurrentPlans!B:B,CurrentPlans!AA:AA,"NA",0,1)</f>
        <v>NA</v>
      </c>
      <c r="F83" s="200"/>
      <c r="G83" s="200"/>
      <c r="H83" s="200"/>
      <c r="I83" s="208"/>
      <c r="J83" s="201"/>
      <c r="K83"/>
      <c r="L83" s="209" t="str">
        <f ca="1">_xlfn.XLOOKUP(L75,RenewalPlans!B:B,RenewalPlans!AD:AD,"NA",0,1)</f>
        <v>NA</v>
      </c>
      <c r="M83" s="200"/>
      <c r="N83" s="200"/>
      <c r="O83" s="200"/>
      <c r="P83" s="208"/>
      <c r="Q83" s="200"/>
      <c r="R83" s="201"/>
      <c r="T83" s="209" t="str">
        <f>_xlfn.XLOOKUP(T75,RenewalPlans!B:B,RenewalPlans!AD:AD,"NA",0,1)</f>
        <v>NA</v>
      </c>
      <c r="U83" s="200"/>
      <c r="V83" s="200"/>
      <c r="W83" s="200"/>
      <c r="X83" s="208"/>
      <c r="Y83" s="200"/>
      <c r="Z83" s="201"/>
    </row>
    <row r="84" spans="1:26" ht="18.75" customHeight="1" hidden="1">
      <c r="A84" s="140"/>
      <c r="B84" s="140"/>
      <c r="D84" s="203" t="s">
        <v>257</v>
      </c>
      <c r="E84" s="204"/>
      <c r="F84" s="205"/>
      <c r="G84" s="205"/>
      <c r="H84" s="205"/>
      <c r="I84" s="204"/>
      <c r="J84" s="206"/>
      <c r="K84"/>
      <c r="L84" s="207"/>
      <c r="M84" s="205"/>
      <c r="N84" s="205"/>
      <c r="O84" s="205"/>
      <c r="P84" s="204"/>
      <c r="Q84" s="205"/>
      <c r="R84" s="206"/>
      <c r="T84" s="207"/>
      <c r="U84" s="205"/>
      <c r="V84" s="205"/>
      <c r="W84" s="205"/>
      <c r="X84" s="204"/>
      <c r="Y84" s="205"/>
      <c r="Z84" s="206"/>
    </row>
    <row r="85" spans="1:26" ht="18.75" customHeight="1" hidden="1">
      <c r="A85" s="140"/>
      <c r="B85" s="140"/>
      <c r="D85" s="198" t="s">
        <v>258</v>
      </c>
      <c r="E85" s="208" t="str">
        <f>_xlfn.XLOOKUP(E75,CurrentPlans!B:B,CurrentPlans!AB:AB,"NA",0,1)</f>
        <v>NA</v>
      </c>
      <c r="F85" s="200"/>
      <c r="G85" s="200"/>
      <c r="H85" s="200"/>
      <c r="I85" s="208"/>
      <c r="J85" s="201"/>
      <c r="K85"/>
      <c r="L85" s="209" t="str">
        <f ca="1">_xlfn.XLOOKUP(L75,RenewalPlans!B:B,RenewalPlans!AE:AE,"NA",0,1)</f>
        <v>NA</v>
      </c>
      <c r="M85" s="200"/>
      <c r="N85" s="200"/>
      <c r="O85" s="200"/>
      <c r="P85" s="208"/>
      <c r="Q85" s="200"/>
      <c r="R85" s="201"/>
      <c r="T85" s="209" t="str">
        <f>_xlfn.XLOOKUP(T75,RenewalPlans!B:B,RenewalPlans!AE:AE,"NA",0,1)</f>
        <v>NA</v>
      </c>
      <c r="U85" s="200"/>
      <c r="V85" s="200"/>
      <c r="W85" s="200"/>
      <c r="X85" s="208"/>
      <c r="Y85" s="200"/>
      <c r="Z85" s="201"/>
    </row>
    <row r="86" spans="1:26" ht="18.75" customHeight="1" hidden="1">
      <c r="A86" s="140"/>
      <c r="B86" s="140"/>
      <c r="D86" s="198" t="s">
        <v>259</v>
      </c>
      <c r="E86" s="208" t="str">
        <f>_xlfn.XLOOKUP(E75,CurrentPlans!B:B,CurrentPlans!AC:AC,"NA",0,1)</f>
        <v>NA</v>
      </c>
      <c r="F86" s="200"/>
      <c r="G86" s="200"/>
      <c r="H86" s="200"/>
      <c r="I86" s="208"/>
      <c r="J86" s="201"/>
      <c r="K86"/>
      <c r="L86" s="209" t="str">
        <f ca="1">_xlfn.XLOOKUP(L75,RenewalPlans!B:B,RenewalPlans!AF:AF,"NA",0,1)</f>
        <v>NA</v>
      </c>
      <c r="M86" s="200"/>
      <c r="N86" s="200"/>
      <c r="O86" s="200"/>
      <c r="P86" s="208"/>
      <c r="Q86" s="200"/>
      <c r="R86" s="201"/>
      <c r="T86" s="209" t="str">
        <f>_xlfn.XLOOKUP(T75,RenewalPlans!B:B,RenewalPlans!AF:AF,"NA",0,1)</f>
        <v>NA</v>
      </c>
      <c r="U86" s="200"/>
      <c r="V86" s="200"/>
      <c r="W86" s="200"/>
      <c r="X86" s="208"/>
      <c r="Y86" s="200"/>
      <c r="Z86" s="201"/>
    </row>
    <row r="87" spans="1:26" ht="18.75" customHeight="1" hidden="1">
      <c r="A87" s="140"/>
      <c r="B87" s="140"/>
      <c r="D87" s="210"/>
      <c r="E87" s="211"/>
      <c r="F87" s="211"/>
      <c r="G87" s="211"/>
      <c r="H87" s="211"/>
      <c r="I87" s="211"/>
      <c r="J87" s="212"/>
      <c r="K87"/>
      <c r="L87" s="210"/>
      <c r="M87" s="211"/>
      <c r="N87" s="211"/>
      <c r="O87" s="211"/>
      <c r="P87" s="211"/>
      <c r="Q87" s="211"/>
      <c r="R87" s="212"/>
      <c r="T87" s="210"/>
      <c r="U87" s="211"/>
      <c r="V87" s="211"/>
      <c r="W87" s="211"/>
      <c r="X87" s="211"/>
      <c r="Y87" s="211"/>
      <c r="Z87" s="212"/>
    </row>
    <row r="88" spans="1:26" ht="18.75" customHeight="1" hidden="1">
      <c r="A88" s="140"/>
      <c r="B88" s="140"/>
      <c r="D88" s="185" t="s">
        <v>260</v>
      </c>
      <c r="E88" s="186"/>
      <c r="F88" s="186"/>
      <c r="G88" s="186"/>
      <c r="H88" s="186"/>
      <c r="I88" s="186"/>
      <c r="J88" s="187"/>
      <c r="K88"/>
      <c r="L88" s="188"/>
      <c r="M88" s="186"/>
      <c r="N88" s="186"/>
      <c r="O88" s="186"/>
      <c r="P88" s="186"/>
      <c r="Q88" s="186"/>
      <c r="R88" s="187"/>
      <c r="T88" s="188"/>
      <c r="U88" s="186"/>
      <c r="V88" s="186"/>
      <c r="W88" s="186"/>
      <c r="X88" s="186"/>
      <c r="Y88" s="186"/>
      <c r="Z88" s="187"/>
    </row>
    <row r="89" spans="1:26" ht="18.75" customHeight="1" hidden="1">
      <c r="A89" s="140"/>
      <c r="B89" s="140"/>
      <c r="D89" s="213" t="s">
        <v>261</v>
      </c>
      <c r="E89" s="130" t="str">
        <f>_xlfn.XLOOKUP(E75,CurrentPlans!B:B,CurrentPlans!AJ:AJ,"NA",0,1)</f>
        <v>NA</v>
      </c>
      <c r="F89" s="214"/>
      <c r="G89" s="214"/>
      <c r="H89" s="214"/>
      <c r="I89" s="130"/>
      <c r="J89" s="215"/>
      <c r="K89"/>
      <c r="L89" s="131" t="str">
        <f ca="1">_xlfn.XLOOKUP(L75,RenewalPlans!B:B,RenewalPlans!AM:AM,"NA",0,1)</f>
        <v>NA</v>
      </c>
      <c r="M89" s="214"/>
      <c r="N89" s="214"/>
      <c r="O89" s="214"/>
      <c r="P89" s="130"/>
      <c r="Q89" s="214"/>
      <c r="R89" s="215"/>
      <c r="T89" s="131" t="str">
        <f>_xlfn.XLOOKUP(T75,RenewalPlans!B:B,RenewalPlans!AM:AM,"NA",0,1)</f>
        <v>NA</v>
      </c>
      <c r="U89" s="214"/>
      <c r="V89" s="214"/>
      <c r="W89" s="214"/>
      <c r="X89" s="130"/>
      <c r="Y89" s="214"/>
      <c r="Z89" s="215"/>
    </row>
    <row r="90" spans="1:26" ht="18.75" customHeight="1" hidden="1">
      <c r="A90" s="140"/>
      <c r="B90" s="140"/>
      <c r="D90" s="198" t="s">
        <v>262</v>
      </c>
      <c r="E90" s="130" t="str">
        <f>_xlfn.XLOOKUP(E75,CurrentPlans!B:B,CurrentPlans!AM:AM,"NA",0,1)</f>
        <v>NA</v>
      </c>
      <c r="F90" s="200"/>
      <c r="G90" s="200"/>
      <c r="H90" s="200"/>
      <c r="I90" s="130"/>
      <c r="J90" s="201"/>
      <c r="K90"/>
      <c r="L90" s="131" t="str">
        <f ca="1">_xlfn.XLOOKUP(L75,RenewalPlans!B:B,RenewalPlans!AP:AP,"NA",0,1)</f>
        <v>NA</v>
      </c>
      <c r="M90" s="200"/>
      <c r="N90" s="200"/>
      <c r="O90" s="200"/>
      <c r="P90" s="130"/>
      <c r="Q90" s="200"/>
      <c r="R90" s="201"/>
      <c r="T90" s="131" t="str">
        <f>_xlfn.XLOOKUP(T75,RenewalPlans!B:B,RenewalPlans!AP:AP,"NA",0,1)</f>
        <v>NA</v>
      </c>
      <c r="U90" s="200"/>
      <c r="V90" s="200"/>
      <c r="W90" s="200"/>
      <c r="X90" s="130"/>
      <c r="Y90" s="200"/>
      <c r="Z90" s="201"/>
    </row>
    <row r="91" spans="1:26" ht="18.75" customHeight="1" hidden="1">
      <c r="A91" s="140"/>
      <c r="B91" s="140"/>
      <c r="D91" s="198" t="s">
        <v>263</v>
      </c>
      <c r="E91" s="130" t="str">
        <f>_xlfn.XLOOKUP(E75,CurrentPlans!B:B,CurrentPlans!AI:AI,"NA",0,1)</f>
        <v>NA</v>
      </c>
      <c r="F91" s="200"/>
      <c r="G91" s="200"/>
      <c r="H91" s="200"/>
      <c r="I91" s="130"/>
      <c r="J91" s="201"/>
      <c r="K91"/>
      <c r="L91" s="131" t="str">
        <f ca="1">_xlfn.XLOOKUP(L75,RenewalPlans!B:B,RenewalPlans!AL:AL,"NA",0,1)</f>
        <v>NA</v>
      </c>
      <c r="M91" s="200"/>
      <c r="N91" s="200"/>
      <c r="O91" s="200"/>
      <c r="P91" s="130"/>
      <c r="Q91" s="200"/>
      <c r="R91" s="201"/>
      <c r="T91" s="131" t="str">
        <f>_xlfn.XLOOKUP(T75,RenewalPlans!B:B,RenewalPlans!AL:AL,"NA",0,1)</f>
        <v>NA</v>
      </c>
      <c r="U91" s="200"/>
      <c r="V91" s="200"/>
      <c r="W91" s="200"/>
      <c r="X91" s="130"/>
      <c r="Y91" s="200"/>
      <c r="Z91" s="201"/>
    </row>
    <row r="92" spans="1:26" ht="18.75" customHeight="1" hidden="1">
      <c r="A92" s="140"/>
      <c r="B92" s="140"/>
      <c r="D92" s="198" t="s">
        <v>264</v>
      </c>
      <c r="E92" s="208" t="str">
        <f>_xlfn.XLOOKUP(E75,CurrentPlans!B:B,CurrentPlans!AN:AN,"NA",0,1)</f>
        <v>NA</v>
      </c>
      <c r="F92" s="200"/>
      <c r="G92" s="200"/>
      <c r="H92" s="200"/>
      <c r="I92" s="208"/>
      <c r="J92" s="201"/>
      <c r="K92"/>
      <c r="L92" s="209" t="str">
        <f ca="1">_xlfn.XLOOKUP(L75,RenewalPlans!B:B,RenewalPlans!AQ:AQ,"NA",0,1)</f>
        <v>NA</v>
      </c>
      <c r="M92" s="200"/>
      <c r="N92" s="200"/>
      <c r="O92" s="200"/>
      <c r="P92" s="208"/>
      <c r="Q92" s="200"/>
      <c r="R92" s="201"/>
      <c r="T92" s="209" t="str">
        <f>_xlfn.XLOOKUP(T75,RenewalPlans!B:B,RenewalPlans!AQ:AQ,"NA",0,1)</f>
        <v>NA</v>
      </c>
      <c r="U92" s="200"/>
      <c r="V92" s="200"/>
      <c r="W92" s="200"/>
      <c r="X92" s="208"/>
      <c r="Y92" s="200"/>
      <c r="Z92" s="201"/>
    </row>
    <row r="93" spans="1:26" ht="18.75" customHeight="1" hidden="1">
      <c r="A93" s="140"/>
      <c r="B93" s="140"/>
      <c r="D93" s="210"/>
      <c r="E93" s="211"/>
      <c r="F93" s="211"/>
      <c r="G93" s="211"/>
      <c r="H93" s="211"/>
      <c r="I93" s="211"/>
      <c r="J93" s="212"/>
      <c r="K93"/>
      <c r="L93" s="210"/>
      <c r="M93" s="211"/>
      <c r="N93" s="211"/>
      <c r="O93" s="211"/>
      <c r="P93" s="211"/>
      <c r="Q93" s="211"/>
      <c r="R93" s="212"/>
      <c r="T93" s="210"/>
      <c r="U93" s="211"/>
      <c r="V93" s="211"/>
      <c r="W93" s="211"/>
      <c r="X93" s="211"/>
      <c r="Y93" s="211"/>
      <c r="Z93" s="212"/>
    </row>
    <row r="94" spans="1:26" ht="18.75" customHeight="1" hidden="1">
      <c r="A94" s="140"/>
      <c r="B94" s="140"/>
      <c r="D94" s="185" t="s">
        <v>265</v>
      </c>
      <c r="E94" s="186"/>
      <c r="F94" s="186"/>
      <c r="G94" s="186"/>
      <c r="H94" s="186"/>
      <c r="I94" s="186"/>
      <c r="J94" s="187"/>
      <c r="K94"/>
      <c r="L94" s="188"/>
      <c r="M94" s="186"/>
      <c r="N94" s="186"/>
      <c r="O94" s="186"/>
      <c r="P94" s="186"/>
      <c r="Q94" s="186"/>
      <c r="R94" s="187"/>
      <c r="T94" s="188"/>
      <c r="U94" s="186"/>
      <c r="V94" s="186"/>
      <c r="W94" s="186"/>
      <c r="X94" s="186"/>
      <c r="Y94" s="186"/>
      <c r="Z94" s="187"/>
    </row>
    <row r="95" spans="1:26" ht="18.75" customHeight="1" hidden="1">
      <c r="A95" s="140"/>
      <c r="B95" s="140"/>
      <c r="D95" s="132" t="s">
        <v>266</v>
      </c>
      <c r="E95" s="133" t="str">
        <f>_xlfn.XLOOKUP(E75,CurrentPlans!B:B,CurrentPlans!AE:AE,"NA",0,1)</f>
        <v>NA</v>
      </c>
      <c r="F95" s="134"/>
      <c r="G95" s="134"/>
      <c r="H95" s="134"/>
      <c r="I95" s="133"/>
      <c r="J95" s="135"/>
      <c r="K95"/>
      <c r="L95" s="136" t="str">
        <f ca="1">_xlfn.XLOOKUP(L75,RenewalPlans!B:B,RenewalPlans!AH:AH,"NA",0,1)</f>
        <v>NA</v>
      </c>
      <c r="M95" s="134"/>
      <c r="N95" s="134"/>
      <c r="O95" s="134"/>
      <c r="P95" s="133"/>
      <c r="Q95" s="134"/>
      <c r="R95" s="135"/>
      <c r="T95" s="136" t="str">
        <f>_xlfn.XLOOKUP(T75,RenewalPlans!B:B,RenewalPlans!AH:AH,"NA",0,1)</f>
        <v>NA</v>
      </c>
      <c r="U95" s="134"/>
      <c r="V95" s="134"/>
      <c r="W95" s="134"/>
      <c r="X95" s="133"/>
      <c r="Y95" s="134"/>
      <c r="Z95" s="135"/>
    </row>
    <row r="96" spans="1:26" ht="18.75" customHeight="1" hidden="1">
      <c r="A96" s="140"/>
      <c r="B96" s="140"/>
      <c r="D96" s="120" t="s">
        <v>267</v>
      </c>
      <c r="E96" s="130" t="str">
        <f>_xlfn.XLOOKUP(E75,CurrentPlans!B:B,CurrentPlans!AF:AF,"NA",0,1)</f>
        <v>NA</v>
      </c>
      <c r="F96" s="122"/>
      <c r="G96" s="122"/>
      <c r="H96" s="122"/>
      <c r="I96" s="130"/>
      <c r="J96" s="123"/>
      <c r="K96"/>
      <c r="L96" s="131" t="str">
        <f ca="1">_xlfn.XLOOKUP(L75,RenewalPlans!B:B,RenewalPlans!AI:AI,"NA",0,1)</f>
        <v>NA</v>
      </c>
      <c r="M96" s="122"/>
      <c r="N96" s="122"/>
      <c r="O96" s="122"/>
      <c r="P96" s="130"/>
      <c r="Q96" s="122"/>
      <c r="R96" s="123"/>
      <c r="T96" s="131" t="str">
        <f>_xlfn.XLOOKUP(T75,RenewalPlans!B:B,RenewalPlans!AI:AI,"NA",0,1)</f>
        <v>NA</v>
      </c>
      <c r="U96" s="122"/>
      <c r="V96" s="122"/>
      <c r="W96" s="122"/>
      <c r="X96" s="130"/>
      <c r="Y96" s="122"/>
      <c r="Z96" s="123"/>
    </row>
    <row r="97" spans="1:26" ht="18.75" customHeight="1" hidden="1">
      <c r="A97" s="140"/>
      <c r="B97" s="140"/>
      <c r="D97" s="198" t="s">
        <v>268</v>
      </c>
      <c r="E97" s="130" t="str">
        <f>_xlfn.XLOOKUP(E75,CurrentPlans!B:B,CurrentPlans!AH:AH,"NA",0,1)</f>
        <v>NA</v>
      </c>
      <c r="F97" s="200"/>
      <c r="G97" s="200"/>
      <c r="H97" s="200"/>
      <c r="I97" s="130"/>
      <c r="J97" s="201"/>
      <c r="K97"/>
      <c r="L97" s="131" t="str">
        <f ca="1">_xlfn.XLOOKUP(L75,RenewalPlans!B:B,RenewalPlans!AK:AK,"NA",0,1)</f>
        <v>NA</v>
      </c>
      <c r="M97" s="200"/>
      <c r="N97" s="200"/>
      <c r="O97" s="200"/>
      <c r="P97" s="130"/>
      <c r="Q97" s="200"/>
      <c r="R97" s="201"/>
      <c r="T97" s="131" t="str">
        <f>_xlfn.XLOOKUP(T75,RenewalPlans!B:B,RenewalPlans!AK:AK,"NA",0,1)</f>
        <v>NA</v>
      </c>
      <c r="U97" s="200"/>
      <c r="V97" s="200"/>
      <c r="W97" s="200"/>
      <c r="X97" s="130"/>
      <c r="Y97" s="200"/>
      <c r="Z97" s="201"/>
    </row>
    <row r="98" spans="1:26" ht="18.75" customHeight="1" hidden="1">
      <c r="A98" s="140"/>
      <c r="B98" s="140"/>
      <c r="D98" s="198" t="s">
        <v>269</v>
      </c>
      <c r="E98" s="130" t="str">
        <f>_xlfn.XLOOKUP(E75,CurrentPlans!B:B,CurrentPlans!AG:AG,"NA",0,1)</f>
        <v>NA</v>
      </c>
      <c r="F98" s="200"/>
      <c r="G98" s="200"/>
      <c r="H98" s="200"/>
      <c r="I98" s="130"/>
      <c r="J98" s="201"/>
      <c r="K98"/>
      <c r="L98" s="131" t="str">
        <f ca="1">_xlfn.XLOOKUP(L75,RenewalPlans!B:B,RenewalPlans!AJ:AJ,"NA",0,1)</f>
        <v>NA</v>
      </c>
      <c r="M98" s="200"/>
      <c r="N98" s="200"/>
      <c r="O98" s="200"/>
      <c r="P98" s="130"/>
      <c r="Q98" s="200"/>
      <c r="R98" s="201"/>
      <c r="T98" s="131" t="str">
        <f>_xlfn.XLOOKUP(T75,RenewalPlans!B:B,RenewalPlans!AJ:AJ,"NA",0,1)</f>
        <v>NA</v>
      </c>
      <c r="U98" s="200"/>
      <c r="V98" s="200"/>
      <c r="W98" s="200"/>
      <c r="X98" s="130"/>
      <c r="Y98" s="200"/>
      <c r="Z98" s="201"/>
    </row>
    <row r="99" spans="1:26" ht="18.75" customHeight="1" hidden="1">
      <c r="A99" s="140"/>
      <c r="B99" s="140"/>
      <c r="D99" s="213" t="s">
        <v>270</v>
      </c>
      <c r="E99" s="216" t="str">
        <f>_xlfn.XLOOKUP(E75,CurrentPlans!B:B,CurrentPlans!AU:AU,"NA",0,1)</f>
        <v>NA</v>
      </c>
      <c r="F99" s="214"/>
      <c r="G99" s="214"/>
      <c r="H99" s="214"/>
      <c r="I99" s="217"/>
      <c r="J99" s="215"/>
      <c r="K99"/>
      <c r="L99" s="218" t="str">
        <f ca="1">_xlfn.XLOOKUP(L75,RenewalPlans!B:B,RenewalPlans!AX:AX,"NA",0,1)</f>
        <v>NA</v>
      </c>
      <c r="M99" s="214"/>
      <c r="N99" s="214"/>
      <c r="O99" s="214"/>
      <c r="P99" s="217"/>
      <c r="Q99" s="214"/>
      <c r="R99" s="215"/>
      <c r="T99" s="218" t="str">
        <f>_xlfn.XLOOKUP(T75,RenewalPlans!B:B,RenewalPlans!AX:AX,"NA",0,1)</f>
        <v>NA</v>
      </c>
      <c r="U99" s="214"/>
      <c r="V99" s="214"/>
      <c r="W99" s="214"/>
      <c r="X99" s="217"/>
      <c r="Y99" s="214"/>
      <c r="Z99" s="215"/>
    </row>
    <row r="100" spans="1:26" ht="18.75" customHeight="1" hidden="1">
      <c r="A100" s="140"/>
      <c r="B100" s="140"/>
      <c r="D100" s="213" t="s">
        <v>271</v>
      </c>
      <c r="E100" s="216" t="str">
        <f>_xlfn.XLOOKUP(E75,CurrentPlans!B:B,CurrentPlans!AT:AT,"NA",0,1)</f>
        <v>NA</v>
      </c>
      <c r="F100" s="214"/>
      <c r="G100" s="214"/>
      <c r="H100" s="214"/>
      <c r="I100" s="217"/>
      <c r="J100" s="215"/>
      <c r="K100"/>
      <c r="L100" s="218" t="str">
        <f ca="1">_xlfn.XLOOKUP(L75,RenewalPlans!B:B,RenewalPlans!AW:AW,"NA",0,1)</f>
        <v>NA</v>
      </c>
      <c r="M100" s="214"/>
      <c r="N100" s="214"/>
      <c r="O100" s="214"/>
      <c r="P100" s="217"/>
      <c r="Q100" s="214"/>
      <c r="R100" s="215"/>
      <c r="T100" s="218" t="str">
        <f>_xlfn.XLOOKUP(T75,RenewalPlans!B:B,RenewalPlans!AW:AW,"NA",0,1)</f>
        <v>NA</v>
      </c>
      <c r="U100" s="214"/>
      <c r="V100" s="214"/>
      <c r="W100" s="214"/>
      <c r="X100" s="217"/>
      <c r="Y100" s="214"/>
      <c r="Z100" s="215"/>
    </row>
    <row r="101" spans="1:26" ht="18.75" customHeight="1" hidden="1">
      <c r="A101" s="140"/>
      <c r="B101" s="140"/>
      <c r="D101" s="198" t="s">
        <v>272</v>
      </c>
      <c r="E101" s="130" t="str">
        <f>_xlfn.XLOOKUP(E75,CurrentPlans!B:B,CurrentPlans!AD:AD,"NA",0,1)</f>
        <v>NA</v>
      </c>
      <c r="F101" s="200"/>
      <c r="G101" s="200"/>
      <c r="H101" s="200"/>
      <c r="I101" s="130"/>
      <c r="J101" s="201"/>
      <c r="K101"/>
      <c r="L101" s="131" t="str">
        <f ca="1">_xlfn.XLOOKUP(L75,RenewalPlans!B:B,RenewalPlans!AG:AG,"NA",0,1)</f>
        <v>NA</v>
      </c>
      <c r="M101" s="200"/>
      <c r="N101" s="200"/>
      <c r="O101" s="200"/>
      <c r="P101" s="130"/>
      <c r="Q101" s="200"/>
      <c r="R101" s="201"/>
      <c r="T101" s="131" t="str">
        <f>_xlfn.XLOOKUP(T75,RenewalPlans!B:B,RenewalPlans!AG:AG,"NA",0,1)</f>
        <v>NA</v>
      </c>
      <c r="U101" s="200"/>
      <c r="V101" s="200"/>
      <c r="W101" s="200"/>
      <c r="X101" s="130"/>
      <c r="Y101" s="200"/>
      <c r="Z101" s="201"/>
    </row>
    <row r="102" spans="1:26" ht="18.75" customHeight="1" hidden="1">
      <c r="A102" s="140"/>
      <c r="B102" s="140"/>
      <c r="D102" s="198" t="s">
        <v>273</v>
      </c>
      <c r="E102" s="200"/>
      <c r="F102" s="200"/>
      <c r="G102" s="200"/>
      <c r="H102" s="200"/>
      <c r="I102" s="200"/>
      <c r="J102" s="201"/>
      <c r="K102"/>
      <c r="L102" s="198"/>
      <c r="M102" s="200"/>
      <c r="N102" s="200"/>
      <c r="O102" s="200"/>
      <c r="P102" s="200"/>
      <c r="Q102" s="200"/>
      <c r="R102" s="201"/>
      <c r="T102" s="198"/>
      <c r="U102" s="200"/>
      <c r="V102" s="200"/>
      <c r="W102" s="200"/>
      <c r="X102" s="200"/>
      <c r="Y102" s="200"/>
      <c r="Z102" s="201"/>
    </row>
    <row r="103" spans="1:26" ht="18.75" customHeight="1" hidden="1">
      <c r="A103" s="140"/>
      <c r="B103" s="140"/>
      <c r="D103" s="210"/>
      <c r="E103" s="211"/>
      <c r="F103" s="211"/>
      <c r="G103" s="211"/>
      <c r="H103" s="211"/>
      <c r="I103" s="211"/>
      <c r="J103" s="212"/>
      <c r="K103"/>
      <c r="L103" s="210"/>
      <c r="M103" s="211"/>
      <c r="N103" s="211"/>
      <c r="O103" s="211"/>
      <c r="P103" s="211"/>
      <c r="Q103" s="211"/>
      <c r="R103" s="212"/>
      <c r="T103" s="210"/>
      <c r="U103" s="211"/>
      <c r="V103" s="211"/>
      <c r="W103" s="211"/>
      <c r="X103" s="211"/>
      <c r="Y103" s="211"/>
      <c r="Z103" s="212"/>
    </row>
    <row r="104" spans="1:26" ht="18.75" customHeight="1" hidden="1">
      <c r="A104" s="140"/>
      <c r="B104" s="140"/>
      <c r="D104" s="219" t="s">
        <v>274</v>
      </c>
      <c r="E104" s="220"/>
      <c r="F104" s="220"/>
      <c r="G104" s="220"/>
      <c r="H104" s="220"/>
      <c r="I104" s="220"/>
      <c r="J104" s="221"/>
      <c r="K104"/>
      <c r="L104" s="222"/>
      <c r="M104" s="220"/>
      <c r="N104" s="220"/>
      <c r="O104" s="220"/>
      <c r="P104" s="220"/>
      <c r="Q104" s="220"/>
      <c r="R104" s="221"/>
      <c r="T104" s="222"/>
      <c r="U104" s="220"/>
      <c r="V104" s="220"/>
      <c r="W104" s="220"/>
      <c r="X104" s="220"/>
      <c r="Y104" s="220"/>
      <c r="Z104" s="221"/>
    </row>
    <row r="105" spans="1:26" ht="18.75" customHeight="1" hidden="1">
      <c r="A105" s="140"/>
      <c r="B105" s="140"/>
      <c r="D105" s="223" t="s">
        <v>250</v>
      </c>
      <c r="E105" s="205"/>
      <c r="F105" s="205"/>
      <c r="G105" s="205"/>
      <c r="H105" s="205"/>
      <c r="I105" s="205"/>
      <c r="J105" s="206"/>
      <c r="K105"/>
      <c r="L105" s="203"/>
      <c r="M105" s="205"/>
      <c r="N105" s="205"/>
      <c r="O105" s="205"/>
      <c r="P105" s="205"/>
      <c r="Q105" s="205"/>
      <c r="R105" s="206"/>
      <c r="T105" s="203"/>
      <c r="U105" s="205"/>
      <c r="V105" s="205"/>
      <c r="W105" s="205"/>
      <c r="X105" s="205"/>
      <c r="Y105" s="205"/>
      <c r="Z105" s="206"/>
    </row>
    <row r="106" spans="1:26" ht="18.75" customHeight="1" hidden="1">
      <c r="A106" s="140"/>
      <c r="B106" s="140"/>
      <c r="D106" s="198" t="s">
        <v>251</v>
      </c>
      <c r="E106" s="130" t="str">
        <f>_xlfn.XLOOKUP(E75,CurrentPlans!B:B,CurrentPlans!AP:AP,"NA",0,1)</f>
        <v>NA</v>
      </c>
      <c r="F106" s="200"/>
      <c r="G106" s="200"/>
      <c r="H106" s="200"/>
      <c r="I106" s="130"/>
      <c r="J106" s="201"/>
      <c r="K106"/>
      <c r="L106" s="131" t="str">
        <f ca="1">_xlfn.XLOOKUP(L75,RenewalPlans!B:B,RenewalPlans!AS:AS,"NA",0,1)</f>
        <v>NA</v>
      </c>
      <c r="M106" s="200"/>
      <c r="N106" s="200"/>
      <c r="O106" s="200"/>
      <c r="P106" s="130"/>
      <c r="Q106" s="200"/>
      <c r="R106" s="201"/>
      <c r="T106" s="131" t="str">
        <f>_xlfn.XLOOKUP(T75,RenewalPlans!B:B,RenewalPlans!AS:AS,"NA",0,1)</f>
        <v>NA</v>
      </c>
      <c r="U106" s="200"/>
      <c r="V106" s="200"/>
      <c r="W106" s="200"/>
      <c r="X106" s="130"/>
      <c r="Y106" s="200"/>
      <c r="Z106" s="201"/>
    </row>
    <row r="107" spans="1:26" ht="18.75" customHeight="1" hidden="1">
      <c r="A107" s="140"/>
      <c r="B107" s="140"/>
      <c r="D107" s="198" t="s">
        <v>252</v>
      </c>
      <c r="E107" s="130" t="str">
        <f>_xlfn.XLOOKUP(E75,CurrentPlans!B:B,CurrentPlans!AQ:AQ,"NA",0,1)</f>
        <v>NA</v>
      </c>
      <c r="F107" s="200"/>
      <c r="G107" s="200"/>
      <c r="H107" s="200"/>
      <c r="I107" s="130"/>
      <c r="J107" s="201"/>
      <c r="K107"/>
      <c r="L107" s="131" t="str">
        <f ca="1">_xlfn.XLOOKUP(L75,RenewalPlans!B:B,RenewalPlans!AT:AT,"NA",0,1)</f>
        <v>NA</v>
      </c>
      <c r="M107" s="200"/>
      <c r="N107" s="200"/>
      <c r="O107" s="200"/>
      <c r="P107" s="130"/>
      <c r="Q107" s="200"/>
      <c r="R107" s="201"/>
      <c r="T107" s="131" t="str">
        <f>_xlfn.XLOOKUP(T75,RenewalPlans!B:B,RenewalPlans!AT:AT,"NA",0,1)</f>
        <v>NA</v>
      </c>
      <c r="U107" s="200"/>
      <c r="V107" s="200"/>
      <c r="W107" s="200"/>
      <c r="X107" s="130"/>
      <c r="Y107" s="200"/>
      <c r="Z107" s="201"/>
    </row>
    <row r="108" spans="1:26" ht="18.75" customHeight="1" hidden="1">
      <c r="A108" s="140"/>
      <c r="B108" s="140"/>
      <c r="D108" s="120" t="s">
        <v>253</v>
      </c>
      <c r="E108" s="133" t="str">
        <f>_xlfn.XLOOKUP(E75,CurrentPlans!B:B,CurrentPlans!AO:AO,"NA",0,1)</f>
        <v>NA</v>
      </c>
      <c r="F108" s="122"/>
      <c r="G108" s="122"/>
      <c r="H108" s="122"/>
      <c r="I108" s="133"/>
      <c r="J108" s="123"/>
      <c r="K108"/>
      <c r="L108" s="136" t="str">
        <f ca="1">_xlfn.XLOOKUP(L75,RenewalPlans!B:B,RenewalPlans!AR:AR,"NA",0,1)</f>
        <v>NA</v>
      </c>
      <c r="M108" s="122"/>
      <c r="N108" s="122"/>
      <c r="O108" s="122"/>
      <c r="P108" s="133"/>
      <c r="Q108" s="122"/>
      <c r="R108" s="123"/>
      <c r="T108" s="136" t="str">
        <f>_xlfn.XLOOKUP(T75,RenewalPlans!B:B,RenewalPlans!AR:AR,"NA",0,1)</f>
        <v>NA</v>
      </c>
      <c r="U108" s="122"/>
      <c r="V108" s="122"/>
      <c r="W108" s="122"/>
      <c r="X108" s="133"/>
      <c r="Y108" s="122"/>
      <c r="Z108" s="123"/>
    </row>
    <row r="109" spans="1:26" ht="18.75" customHeight="1" hidden="1">
      <c r="A109" s="140"/>
      <c r="B109" s="140"/>
      <c r="D109" s="223" t="s">
        <v>254</v>
      </c>
      <c r="E109" s="205"/>
      <c r="F109" s="205"/>
      <c r="G109" s="205"/>
      <c r="H109" s="205"/>
      <c r="I109" s="205"/>
      <c r="J109" s="206"/>
      <c r="K109"/>
      <c r="L109" s="203"/>
      <c r="M109" s="205"/>
      <c r="N109" s="205"/>
      <c r="O109" s="205"/>
      <c r="P109" s="205"/>
      <c r="Q109" s="205"/>
      <c r="R109" s="206"/>
      <c r="T109" s="203"/>
      <c r="U109" s="205"/>
      <c r="V109" s="205"/>
      <c r="W109" s="205"/>
      <c r="X109" s="205"/>
      <c r="Y109" s="205"/>
      <c r="Z109" s="206"/>
    </row>
    <row r="110" spans="1:26" ht="18.75" customHeight="1" hidden="1">
      <c r="A110" s="140"/>
      <c r="B110" s="140"/>
      <c r="D110" s="198" t="s">
        <v>255</v>
      </c>
      <c r="E110" s="130" t="str">
        <f>_xlfn.XLOOKUP(E75,CurrentPlans!B:B,CurrentPlans!AR:AR,"NA",0,1)</f>
        <v>NA</v>
      </c>
      <c r="F110" s="200"/>
      <c r="G110" s="200"/>
      <c r="H110" s="200"/>
      <c r="I110" s="130"/>
      <c r="J110" s="201"/>
      <c r="K110"/>
      <c r="L110" s="131" t="str">
        <f ca="1">_xlfn.XLOOKUP(L75,RenewalPlans!B:B,RenewalPlans!AU:AU,"NA",0,1)</f>
        <v>NA</v>
      </c>
      <c r="M110" s="200"/>
      <c r="N110" s="200"/>
      <c r="O110" s="200"/>
      <c r="P110" s="130"/>
      <c r="Q110" s="200"/>
      <c r="R110" s="201"/>
      <c r="T110" s="131" t="str">
        <f>_xlfn.XLOOKUP(T75,RenewalPlans!B:B,RenewalPlans!AU:AU,"NA",0,1)</f>
        <v>NA</v>
      </c>
      <c r="U110" s="200"/>
      <c r="V110" s="200"/>
      <c r="W110" s="200"/>
      <c r="X110" s="130"/>
      <c r="Y110" s="200"/>
      <c r="Z110" s="201"/>
    </row>
    <row r="111" spans="1:26" ht="18" customHeight="1" hidden="1" thickBot="1">
      <c r="A111" s="140"/>
      <c r="B111" s="140"/>
      <c r="D111" s="224" t="s">
        <v>256</v>
      </c>
      <c r="E111" s="137" t="str">
        <f>_xlfn.XLOOKUP(E75,CurrentPlans!B:B,CurrentPlans!AS:AS,"NA",0,1)</f>
        <v>NA</v>
      </c>
      <c r="F111" s="225"/>
      <c r="G111" s="225"/>
      <c r="H111" s="225"/>
      <c r="I111" s="137"/>
      <c r="J111" s="226"/>
      <c r="K111"/>
      <c r="L111" s="138" t="str">
        <f ca="1">_xlfn.XLOOKUP(L75,RenewalPlans!B:B,RenewalPlans!AV:AV,"NA",0,1)</f>
        <v>NA</v>
      </c>
      <c r="M111" s="225"/>
      <c r="N111" s="225"/>
      <c r="O111" s="225"/>
      <c r="P111" s="137"/>
      <c r="Q111" s="225"/>
      <c r="R111" s="226"/>
      <c r="T111" s="138" t="str">
        <f>_xlfn.XLOOKUP(T75,RenewalPlans!B:B,RenewalPlans!AV:AV,"NA",0,1)</f>
        <v>NA</v>
      </c>
      <c r="U111" s="225"/>
      <c r="V111" s="225"/>
      <c r="W111" s="225"/>
      <c r="X111" s="137"/>
      <c r="Y111" s="225"/>
      <c r="Z111" s="226"/>
    </row>
    <row r="112" spans="1:26" ht="18" customHeight="1">
      <c r="A112" s="140"/>
      <c r="B112" s="140"/>
      <c r="D112" s="227"/>
      <c r="E112" s="176"/>
      <c r="F112" s="178"/>
      <c r="G112" s="179"/>
      <c r="H112" s="178"/>
      <c r="I112" s="176"/>
      <c r="J112" s="228"/>
      <c r="K112"/>
      <c r="L112" s="178"/>
      <c r="M112" s="176"/>
      <c r="N112" s="139"/>
      <c r="O112" s="178"/>
      <c r="P112" s="178"/>
      <c r="Q112" s="178"/>
      <c r="R112" s="228"/>
      <c r="T112" s="178"/>
      <c r="U112" s="176"/>
      <c r="V112" s="139"/>
      <c r="W112" s="178"/>
      <c r="X112" s="178"/>
      <c r="Y112" s="178"/>
      <c r="Z112" s="228"/>
    </row>
    <row r="113" spans="1:26" ht="5.25" customHeight="1" thickBot="1">
      <c r="A113" s="140"/>
      <c r="B113" s="140"/>
      <c r="D113" s="229"/>
      <c r="E113" s="229"/>
      <c r="F113" s="230"/>
      <c r="G113" s="231"/>
      <c r="H113" s="232"/>
      <c r="I113" s="233"/>
      <c r="J113" s="233"/>
      <c r="K113"/>
      <c r="L113" s="233"/>
      <c r="M113" s="233"/>
      <c r="N113" s="233"/>
      <c r="O113" s="233"/>
      <c r="P113" s="233"/>
      <c r="Q113" s="233"/>
      <c r="R113" s="233"/>
      <c r="T113" s="233"/>
      <c r="U113" s="233"/>
      <c r="V113" s="233"/>
      <c r="W113" s="233"/>
      <c r="X113" s="233"/>
      <c r="Y113" s="233"/>
      <c r="Z113" s="233"/>
    </row>
    <row r="114" spans="1:26" ht="50.15" customHeight="1">
      <c r="A114" s="140">
        <v>3</v>
      </c>
      <c r="B114" s="140" t="str">
        <f>IF(A114&gt;Class6_CurrentHealthCount,"DELETE",Class6_CurrentHealthStart+A114)</f>
        <v>DELETE</v>
      </c>
      <c r="C114" s="164" t="s">
        <v>276</v>
      </c>
      <c r="D114" s="273" t="str">
        <f>IF(B114="Delete","",VLOOKUP(F114,BEGIN_CURRENT_HEALTH:END_CURRENT_HEALTH,3,FALSE))</f>
        <v/>
      </c>
      <c r="E114" s="165"/>
      <c r="F114" s="272" t="str" cm="1">
        <f t="array" ca="1" aca="1" ref="F114">IF(B114="Delete","",INDIRECT("CurrentPlans!A"&amp;B114,TRUE))</f>
        <v/>
      </c>
      <c r="G114" s="166"/>
      <c r="H114" s="167"/>
      <c r="I114" s="168"/>
      <c r="J114" s="169"/>
      <c r="K114"/>
      <c r="L114" s="274" t="str">
        <f ca="1">_xlfn.IFNA(VLOOKUP(F114,BEGIN_RENEWEDFROM_HEALTH:ROW_RenewHealth_PlanID,3,FALSE),"SELECT PLAN")</f>
        <v>SELECT PLAN</v>
      </c>
      <c r="M114" s="170"/>
      <c r="N114" s="274" t="s">
        <v>237</v>
      </c>
      <c r="O114" s="171"/>
      <c r="P114" s="171"/>
      <c r="Q114" s="171"/>
      <c r="R114" s="169"/>
      <c r="T114" s="274" t="s">
        <v>38</v>
      </c>
      <c r="U114" s="170"/>
      <c r="V114" s="274" t="s">
        <v>237</v>
      </c>
      <c r="W114" s="171"/>
      <c r="X114" s="171"/>
      <c r="Y114" s="171"/>
      <c r="Z114" s="169"/>
    </row>
    <row r="115" spans="1:26" ht="18.75" customHeight="1">
      <c r="A115" s="140"/>
      <c r="B115" s="140"/>
      <c r="D115" s="172" t="s">
        <v>238</v>
      </c>
      <c r="E115" s="407" t="str">
        <f ca="1">_xlfn.IFNA(VLOOKUP(F114,BEGIN_CURRENT_HEALTH:END_CURRENT_HEALTH,CURRENT_COL_EO_count,FALSE),"")</f>
        <v/>
      </c>
      <c r="F115" s="408" t="str">
        <f ca="1">_xlfn.IFNA(VLOOKUP(F114,BEGIN_CURRENT_HEALTH:END_CURRENT_HEALTH,CURRENT_COL_EO,FALSE),"")</f>
        <v/>
      </c>
      <c r="G115" s="468" t="str">
        <f ca="1" t="shared" si="10" ref="G115:G118">IF(F115="","",H115/F115)</f>
        <v/>
      </c>
      <c r="H115" s="408" t="str">
        <f ca="1">_xlfn.IFNA(VLOOKUP(F114,BEGIN_CURRENT_HEALTH:END_CURRENT_HEALTH,CURRENT_COL_EOContrib,FALSE),"")</f>
        <v/>
      </c>
      <c r="I115" s="409" t="str">
        <f ca="1">IFERROR(F115-H115,"")</f>
        <v/>
      </c>
      <c r="J115" s="410" t="str">
        <f ca="1">IF(F115="","",H115*E115)</f>
        <v/>
      </c>
      <c r="K115" s="411"/>
      <c r="L115" s="408" t="str" cm="1">
        <f t="array" ca="1" aca="1" ref="L115">_xlfn.IFNA(VLOOKUP(INDIRECT("L"&amp;ROW()-1)&amp;"_"&amp;$D$12,BEGIN_RENEW_HEALTH:END_RENEW_HEALTH,RENEW_COL_EO,FALSE),"")</f>
        <v/>
      </c>
      <c r="M115" s="412" t="str">
        <f ca="1">IF(E115="","",E115)</f>
        <v/>
      </c>
      <c r="N115" s="413"/>
      <c r="O115" s="414"/>
      <c r="P115" s="415" t="str">
        <f>IFERROR(IF($N114="Keep Contribution Same",H115,IF($N114="Enter Percentages",IF(N115="","",N115*L115),IF($N114="Keep Percentage Same",IF(G115="","",G115*L115),IF($N114="Enter Dollar Amount",IF(O115="","",O115),"")))),"")</f>
        <v/>
      </c>
      <c r="Q115" s="408" t="str">
        <f ca="1">IFERROR(L115-P115,"")</f>
        <v/>
      </c>
      <c r="R115" s="410" t="str">
        <f>IFERROR(IF(P115="","",M115*P115),"")</f>
        <v/>
      </c>
      <c r="S115" s="411"/>
      <c r="T115" s="408" t="str" cm="1">
        <f t="array" ca="1" aca="1" ref="T115">_xlfn.IFNA(VLOOKUP(INDIRECT("T"&amp;ROW()-1)&amp;"_"&amp;$D$12,BEGIN_RENEW_HEALTH:END_RENEW_HEALTH,RENEW_COL_EO,FALSE),"")</f>
        <v/>
      </c>
      <c r="U115" s="412" t="str">
        <f ca="1">IF(E115="","",E115)</f>
        <v/>
      </c>
      <c r="V115" s="413"/>
      <c r="W115" s="414"/>
      <c r="X115" s="415" t="str">
        <f>IFERROR(IF($V114="Keep Contribution Same",H115,IF($V114="Enter Percentages",IF(V115="","",V115*T115),IF($V114="Keep Percentage Same",IF(G115="","",G115*T115),IF($V114="Enter Dollar Amount",IF(W115="","",W115),"")))),"")</f>
        <v/>
      </c>
      <c r="Y115" s="408" t="str">
        <f ca="1">IFERROR(T115-X115,"")</f>
        <v/>
      </c>
      <c r="Z115" s="410" t="str">
        <f>IFERROR(IF(X115="","",U115*X115),"")</f>
        <v/>
      </c>
    </row>
    <row r="116" spans="1:26" ht="18.75" customHeight="1">
      <c r="A116" s="140"/>
      <c r="B116" s="140"/>
      <c r="D116" s="172" t="s">
        <v>239</v>
      </c>
      <c r="E116" s="407" t="str">
        <f ca="1">_xlfn.IFNA(VLOOKUP(F114,BEGIN_CURRENT_HEALTH:END_CURRENT_HEALTH,CURRENT_COL_ES_count,FALSE),"")</f>
        <v/>
      </c>
      <c r="F116" s="408" t="str">
        <f ca="1">_xlfn.IFNA(VLOOKUP(F114,BEGIN_CURRENT_HEALTH:END_CURRENT_HEALTH,CURRENT_COL_ES,FALSE),"")</f>
        <v/>
      </c>
      <c r="G116" s="468" t="str">
        <f t="shared" ca="1" si="10"/>
        <v/>
      </c>
      <c r="H116" s="408" t="str">
        <f ca="1">_xlfn.IFNA(VLOOKUP(F114,BEGIN_CURRENT_HEALTH:END_CURRENT_HEALTH,CURRENT_COL_ESContrib,FALSE),"")</f>
        <v/>
      </c>
      <c r="I116" s="409" t="str">
        <f ca="1" t="shared" si="11" ref="I116:I118">IFERROR(F116-H116,"")</f>
        <v/>
      </c>
      <c r="J116" s="410" t="str">
        <f ca="1">IF(F116="","",H116*E116)</f>
        <v/>
      </c>
      <c r="K116" s="411"/>
      <c r="L116" s="408" t="str" cm="1">
        <f t="array" ca="1" aca="1" ref="L116">_xlfn.IFNA(VLOOKUP(INDIRECT("L"&amp;ROW()-2)&amp;"_"&amp;$D$12,BEGIN_RENEW_HEALTH:END_RENEW_HEALTH,RENEW_COL_ES,FALSE),"")</f>
        <v/>
      </c>
      <c r="M116" s="412" t="str">
        <f ca="1">IF(E116="","",E116)</f>
        <v/>
      </c>
      <c r="N116" s="413"/>
      <c r="O116" s="414"/>
      <c r="P116" s="415" t="str">
        <f>IFERROR(IF($N114="Keep Contribution Same",H116,IF($N114="Enter Percentages",IF(N116="","",N116*L116),IF($N114="Keep Percentage Same",IF(G116="","",G116*L116),IF($N114="Enter Dollar Amount",IF(O116="","",O116),"")))),"")</f>
        <v/>
      </c>
      <c r="Q116" s="408" t="str">
        <f ca="1">IFERROR(L116-P116,"")</f>
        <v/>
      </c>
      <c r="R116" s="410" t="str">
        <f>IFERROR(IF(P116="","",M116*P116),"")</f>
        <v/>
      </c>
      <c r="S116" s="411"/>
      <c r="T116" s="408" t="str" cm="1">
        <f t="array" ca="1" aca="1" ref="T116">_xlfn.IFNA(VLOOKUP(INDIRECT("T"&amp;ROW()-2)&amp;"_"&amp;$D$12,BEGIN_RENEW_HEALTH:END_RENEW_HEALTH,RENEW_COL_ES,FALSE),"")</f>
        <v/>
      </c>
      <c r="U116" s="412" t="str">
        <f ca="1" t="shared" si="12" ref="U116:U118">IF(E116="","",E116)</f>
        <v/>
      </c>
      <c r="V116" s="413"/>
      <c r="W116" s="414"/>
      <c r="X116" s="415" t="str">
        <f>IFERROR(IF($V114="Keep Contribution Same",H116,IF($V114="Enter Percentages",IF(V116="","",V116*T116),IF($V114="Keep Percentage Same",IF(G116="","",G116*T116),IF($V114="Enter Dollar Amount",IF(W116="","",W116),"")))),"")</f>
        <v/>
      </c>
      <c r="Y116" s="408" t="str">
        <f ca="1" t="shared" si="13" ref="Y116:Y118">IFERROR(T116-X116,"")</f>
        <v/>
      </c>
      <c r="Z116" s="410" t="str">
        <f t="shared" si="14" ref="Z116:Z118">IFERROR(IF(X116="","",U116*X116),"")</f>
        <v/>
      </c>
    </row>
    <row r="117" spans="1:26" ht="18.75" customHeight="1">
      <c r="A117" s="140"/>
      <c r="B117" s="140"/>
      <c r="D117" s="172" t="s">
        <v>240</v>
      </c>
      <c r="E117" s="407" t="str">
        <f ca="1">_xlfn.IFNA(VLOOKUP(F114,BEGIN_CURRENT_HEALTH:END_CURRENT_HEALTH,CURRENT_COL_EC_count,FALSE),"")</f>
        <v/>
      </c>
      <c r="F117" s="408" t="str">
        <f ca="1">_xlfn.IFNA(VLOOKUP(F114,BEGIN_CURRENT_HEALTH:END_CURRENT_HEALTH,CURRENT_COL_EC,FALSE),"")</f>
        <v/>
      </c>
      <c r="G117" s="468" t="str">
        <f t="shared" ca="1" si="10"/>
        <v/>
      </c>
      <c r="H117" s="408" t="str">
        <f ca="1">_xlfn.IFNA(VLOOKUP(F114,BEGIN_CURRENT_HEALTH:END_CURRENT_HEALTH,CURRENT_COL_ECContrib,FALSE),"")</f>
        <v/>
      </c>
      <c r="I117" s="409" t="str">
        <f t="shared" ca="1" si="11"/>
        <v/>
      </c>
      <c r="J117" s="410" t="str">
        <f ca="1">IF(F117="","",H117*E117)</f>
        <v/>
      </c>
      <c r="K117" s="411"/>
      <c r="L117" s="408" t="str" cm="1">
        <f t="array" ca="1" aca="1" ref="L117">_xlfn.IFNA(VLOOKUP(INDIRECT("L"&amp;ROW()-3)&amp;"_"&amp;$D$12,BEGIN_RENEW_HEALTH:END_RENEW_HEALTH,RENEW_COL_EC,FALSE),"")</f>
        <v/>
      </c>
      <c r="M117" s="412" t="str">
        <f ca="1">IF(E117="","",E117)</f>
        <v/>
      </c>
      <c r="N117" s="413"/>
      <c r="O117" s="414"/>
      <c r="P117" s="415" t="str">
        <f>IFERROR(IF($N114="Keep Contribution Same",H117,IF($N114="Enter Percentages",IF(N117="","",N117*L117),IF($N114="Keep Percentage Same",IF(G117="","",G117*L117),IF($N114="Enter Dollar Amount",IF(O117="","",O117),"")))),"")</f>
        <v/>
      </c>
      <c r="Q117" s="408" t="str">
        <f ca="1">IFERROR(L117-P117,"")</f>
        <v/>
      </c>
      <c r="R117" s="410" t="str">
        <f>IFERROR(IF(P117="","",M117*P117),"")</f>
        <v/>
      </c>
      <c r="S117" s="411"/>
      <c r="T117" s="408" t="str" cm="1">
        <f t="array" ca="1" aca="1" ref="T117">_xlfn.IFNA(VLOOKUP(INDIRECT("T"&amp;ROW()-3)&amp;"_"&amp;$D$12,BEGIN_RENEW_HEALTH:END_RENEW_HEALTH,RENEW_COL_EC,FALSE),"")</f>
        <v/>
      </c>
      <c r="U117" s="412" t="str">
        <f t="shared" ca="1" si="12"/>
        <v/>
      </c>
      <c r="V117" s="413"/>
      <c r="W117" s="414"/>
      <c r="X117" s="415" t="str">
        <f>IFERROR(IF($V114="Keep Contribution Same",H117,IF($V114="Enter Percentages",IF(V117="","",V117*T117),IF($V114="Keep Percentage Same",IF(G117="","",G117*T117),IF($V114="Enter Dollar Amount",IF(W117="","",W117),"")))),"")</f>
        <v/>
      </c>
      <c r="Y117" s="408" t="str">
        <f t="shared" ca="1" si="13"/>
        <v/>
      </c>
      <c r="Z117" s="410" t="str">
        <f t="shared" si="14"/>
        <v/>
      </c>
    </row>
    <row r="118" spans="1:26" ht="18.75" customHeight="1" thickBot="1">
      <c r="A118" s="140"/>
      <c r="B118" s="140"/>
      <c r="D118" s="174" t="s">
        <v>241</v>
      </c>
      <c r="E118" s="416" t="str">
        <f ca="1">_xlfn.IFNA(VLOOKUP(F114,BEGIN_CURRENT_HEALTH:END_CURRENT_HEALTH,CURRENT_COL_FAM_count,FALSE),"")</f>
        <v/>
      </c>
      <c r="F118" s="417" t="str">
        <f ca="1">_xlfn.IFNA(VLOOKUP(F114,BEGIN_CURRENT_HEALTH:END_CURRENT_HEALTH,CURRENT_COL_FAM,FALSE),"")</f>
        <v/>
      </c>
      <c r="G118" s="469" t="str">
        <f t="shared" ca="1" si="10"/>
        <v/>
      </c>
      <c r="H118" s="417" t="str">
        <f ca="1">_xlfn.IFNA(VLOOKUP(F114,BEGIN_CURRENT_HEALTH:END_CURRENT_HEALTH,CURRENT_COL_FAMContrib,FALSE),"")</f>
        <v/>
      </c>
      <c r="I118" s="418" t="str">
        <f t="shared" ca="1" si="11"/>
        <v/>
      </c>
      <c r="J118" s="419" t="str">
        <f ca="1">IF(F118="","",H118*E118)</f>
        <v/>
      </c>
      <c r="K118" s="411"/>
      <c r="L118" s="417" t="str" cm="1">
        <f t="array" ca="1" aca="1" ref="L118">_xlfn.IFNA(VLOOKUP(INDIRECT("L"&amp;ROW()-4)&amp;"_"&amp;$D$12,BEGIN_RENEW_HEALTH:END_RENEW_HEALTH,RENEW_COL_FAM,FALSE),"")</f>
        <v/>
      </c>
      <c r="M118" s="423" t="str">
        <f ca="1">IF(E118="","",E118)</f>
        <v/>
      </c>
      <c r="N118" s="420"/>
      <c r="O118" s="421"/>
      <c r="P118" s="422" t="str">
        <f>IFERROR(IF($N114="Keep Contribution Same",H118,IF($N114="Enter Percentages",IF(N118="","",N118*L118),IF($N114="Keep Percentage Same",IF(G118="","",G118*L118),IF($N114="Enter Dollar Amount",IF(O118="","",O118),"")))),"")</f>
        <v/>
      </c>
      <c r="Q118" s="417" t="str">
        <f ca="1">IFERROR(L118-P118,"")</f>
        <v/>
      </c>
      <c r="R118" s="419" t="str">
        <f>IFERROR(IF(P118="","",M118*P118),"")</f>
        <v/>
      </c>
      <c r="S118" s="411"/>
      <c r="T118" s="417" t="str" cm="1">
        <f t="array" ca="1" aca="1" ref="T118">_xlfn.IFNA(VLOOKUP(INDIRECT("T"&amp;ROW()-4)&amp;"_"&amp;$D$12,BEGIN_RENEW_HEALTH:END_RENEW_HEALTH,RENEW_COL_FAM,FALSE),"")</f>
        <v/>
      </c>
      <c r="U118" s="423" t="str">
        <f t="shared" ca="1" si="12"/>
        <v/>
      </c>
      <c r="V118" s="420"/>
      <c r="W118" s="421"/>
      <c r="X118" s="422" t="str">
        <f>IFERROR(IF($V114="Keep Contribution Same",H118,IF($V114="Enter Percentages",IF(V118="","",V118*T118),IF($V114="Keep Percentage Same",IF(G118="","",G118*T118),IF($V114="Enter Dollar Amount",IF(W118="","",W118),"")))),"")</f>
        <v/>
      </c>
      <c r="Y118" s="417" t="str">
        <f t="shared" ca="1" si="13"/>
        <v/>
      </c>
      <c r="Z118" s="419" t="str">
        <f t="shared" si="14"/>
        <v/>
      </c>
    </row>
    <row r="119" spans="1:26" ht="18.75" customHeight="1" thickTop="1">
      <c r="A119" s="140"/>
      <c r="B119" s="140"/>
      <c r="D119" s="175" t="s">
        <v>242</v>
      </c>
      <c r="E119" s="424"/>
      <c r="F119" s="447" t="str">
        <f ca="1">IFERROR((F115*E115)+(F116*E116)+(F117*E117)+(F118*E118),"")</f>
        <v/>
      </c>
      <c r="G119" s="426"/>
      <c r="H119" s="427"/>
      <c r="I119" s="428"/>
      <c r="J119" s="429" t="str">
        <f ca="1">IFERROR(IF(J115="","",SUM(J115:J118)),0)</f>
        <v/>
      </c>
      <c r="K119" s="1"/>
      <c r="L119" s="430" t="str">
        <f ca="1">IFERROR((M115*L115)+(M116*L116)+(M117*L117)+(M118*L118),"")</f>
        <v/>
      </c>
      <c r="M119" s="427"/>
      <c r="N119" s="426"/>
      <c r="O119" s="427"/>
      <c r="P119" s="431"/>
      <c r="Q119" s="432"/>
      <c r="R119" s="429" t="str">
        <f>IFERROR(IF(R115="","",SUM(R115:R118)),0)</f>
        <v/>
      </c>
      <c r="T119" s="430" t="str">
        <f ca="1">IFERROR((U115*T115)+(U116*T116)+(U117*T117)+(U118*T118),"")</f>
        <v/>
      </c>
      <c r="U119" s="427"/>
      <c r="V119" s="426"/>
      <c r="W119" s="427"/>
      <c r="X119" s="431"/>
      <c r="Y119" s="432"/>
      <c r="Z119" s="429" t="str">
        <f>IFERROR(IF(Z115="","",SUM(Z115:Z118)),0)</f>
        <v/>
      </c>
    </row>
    <row r="120" spans="1:26" ht="18.75" customHeight="1">
      <c r="A120" s="140"/>
      <c r="B120" s="140"/>
      <c r="D120" s="177" t="s">
        <v>243</v>
      </c>
      <c r="E120" s="433"/>
      <c r="F120" s="448" t="str">
        <f ca="1">IFERROR(F119*12,"")</f>
        <v/>
      </c>
      <c r="G120" s="435"/>
      <c r="H120" s="436"/>
      <c r="I120" s="432"/>
      <c r="J120" s="437" t="str">
        <f ca="1">IF(J119="","",J119*12)</f>
        <v/>
      </c>
      <c r="K120" s="1"/>
      <c r="L120" s="438" t="str">
        <f ca="1">IFERROR(L119*12,"")</f>
        <v/>
      </c>
      <c r="M120" s="436"/>
      <c r="N120" s="435"/>
      <c r="O120" s="436"/>
      <c r="P120" s="432"/>
      <c r="Q120" s="432"/>
      <c r="R120" s="437" t="str">
        <f>IF(R119="","",R119*12)</f>
        <v/>
      </c>
      <c r="T120" s="438" t="str">
        <f ca="1">IFERROR(T119*12,"")</f>
        <v/>
      </c>
      <c r="U120" s="436"/>
      <c r="V120" s="435"/>
      <c r="W120" s="436"/>
      <c r="X120" s="432"/>
      <c r="Y120" s="432"/>
      <c r="Z120" s="437" t="str">
        <f>IF(Z119="","",Z119*12)</f>
        <v/>
      </c>
    </row>
    <row r="121" spans="1:26" ht="18" customHeight="1">
      <c r="A121" s="140"/>
      <c r="B121" s="140"/>
      <c r="D121" s="177" t="s">
        <v>244</v>
      </c>
      <c r="E121" s="433"/>
      <c r="F121" s="436"/>
      <c r="G121" s="435"/>
      <c r="H121" s="436"/>
      <c r="I121" s="432"/>
      <c r="J121" s="437"/>
      <c r="K121" s="1"/>
      <c r="L121" s="434" t="str">
        <f ca="1">IFERROR(L120-F120,"")</f>
        <v/>
      </c>
      <c r="M121" s="436"/>
      <c r="N121" s="435"/>
      <c r="O121" s="436"/>
      <c r="P121" s="432"/>
      <c r="Q121" s="432"/>
      <c r="R121" s="437" t="str">
        <f ca="1">IFERROR(IF(J120="","",R120-J120),0)</f>
        <v/>
      </c>
      <c r="T121" s="434" t="str">
        <f ca="1">IFERROR(T120-F120,"")</f>
        <v/>
      </c>
      <c r="U121" s="436"/>
      <c r="V121" s="435"/>
      <c r="W121" s="436"/>
      <c r="X121" s="432"/>
      <c r="Y121" s="432"/>
      <c r="Z121" s="437" t="str">
        <f>IFERROR(IF(R120="","",Z120-R120),0)</f>
        <v/>
      </c>
    </row>
    <row r="122" spans="1:26" ht="18" customHeight="1" thickBot="1">
      <c r="A122" s="140"/>
      <c r="B122" s="140"/>
      <c r="D122" s="180" t="s">
        <v>245</v>
      </c>
      <c r="E122" s="439"/>
      <c r="F122" s="440"/>
      <c r="G122" s="441"/>
      <c r="H122" s="440"/>
      <c r="I122" s="442"/>
      <c r="J122" s="443"/>
      <c r="K122" s="1"/>
      <c r="L122" s="444" t="str">
        <f ca="1">IFERROR(L120/F120-1,"")</f>
        <v/>
      </c>
      <c r="M122" s="440"/>
      <c r="N122" s="441"/>
      <c r="O122" s="440"/>
      <c r="P122" s="445"/>
      <c r="Q122" s="445"/>
      <c r="R122" s="446" t="str">
        <f ca="1">IFERROR(IF(J120="","",(R120/J120)-1),0)</f>
        <v/>
      </c>
      <c r="T122" s="444" t="str">
        <f ca="1">IFERROR(T120/F120-1,"")</f>
        <v/>
      </c>
      <c r="U122" s="440"/>
      <c r="V122" s="441"/>
      <c r="W122" s="440"/>
      <c r="X122" s="445"/>
      <c r="Y122" s="445"/>
      <c r="Z122" s="446" t="str">
        <f>IFERROR(IF(R120="","",(Z120/R120)-1),0)</f>
        <v/>
      </c>
    </row>
    <row r="123" spans="1:26" ht="18" customHeight="1">
      <c r="A123" s="140"/>
      <c r="B123" s="140"/>
      <c r="D123" s="181" t="s">
        <v>246</v>
      </c>
      <c r="E123" s="182"/>
      <c r="F123" s="182"/>
      <c r="G123" s="182"/>
      <c r="H123" s="182"/>
      <c r="I123" s="182"/>
      <c r="J123" s="183"/>
      <c r="K123"/>
      <c r="L123" s="184"/>
      <c r="M123" s="182"/>
      <c r="N123" s="182"/>
      <c r="O123" s="182"/>
      <c r="P123" s="182"/>
      <c r="Q123" s="182"/>
      <c r="R123" s="183"/>
      <c r="T123" s="184"/>
      <c r="U123" s="182"/>
      <c r="V123" s="182"/>
      <c r="W123" s="182"/>
      <c r="X123" s="182"/>
      <c r="Y123" s="182"/>
      <c r="Z123" s="183"/>
    </row>
    <row r="124" spans="1:26" ht="18" customHeight="1" hidden="1">
      <c r="A124" s="140"/>
      <c r="B124" s="140"/>
      <c r="D124" s="185" t="s">
        <v>247</v>
      </c>
      <c r="E124" s="186"/>
      <c r="F124" s="186"/>
      <c r="G124" s="186"/>
      <c r="H124" s="186"/>
      <c r="I124" s="186"/>
      <c r="J124" s="187"/>
      <c r="K124"/>
      <c r="L124" s="188"/>
      <c r="M124" s="186"/>
      <c r="N124" s="186"/>
      <c r="O124" s="186"/>
      <c r="P124" s="186"/>
      <c r="Q124" s="186"/>
      <c r="R124" s="187"/>
      <c r="T124" s="188"/>
      <c r="U124" s="186"/>
      <c r="V124" s="186"/>
      <c r="W124" s="186"/>
      <c r="X124" s="186"/>
      <c r="Y124" s="186"/>
      <c r="Z124" s="187"/>
    </row>
    <row r="125" spans="1:26" ht="18" customHeight="1" hidden="1">
      <c r="A125" s="140"/>
      <c r="B125" s="140"/>
      <c r="D125" s="189" t="s">
        <v>248</v>
      </c>
      <c r="E125" s="190" t="str">
        <f>D114&amp;"_"&amp;D12</f>
        <v>_</v>
      </c>
      <c r="F125" s="191"/>
      <c r="G125" s="191"/>
      <c r="H125" s="191"/>
      <c r="I125" s="190"/>
      <c r="J125" s="192"/>
      <c r="K125"/>
      <c r="L125" s="193" t="str">
        <f ca="1">L114&amp;"_"&amp;D12</f>
        <v>SELECT PLAN_</v>
      </c>
      <c r="M125" s="191"/>
      <c r="N125" s="191"/>
      <c r="O125" s="191"/>
      <c r="P125" s="190"/>
      <c r="Q125" s="191"/>
      <c r="R125" s="192"/>
      <c r="T125" s="193" t="str">
        <f>T114&amp;"_"&amp;D12</f>
        <v>SELECT PLAN_</v>
      </c>
      <c r="U125" s="191"/>
      <c r="V125" s="191"/>
      <c r="W125" s="191"/>
      <c r="X125" s="190"/>
      <c r="Y125" s="191"/>
      <c r="Z125" s="192"/>
    </row>
    <row r="126" spans="1:26" ht="18" customHeight="1" hidden="1">
      <c r="A126" s="140"/>
      <c r="B126" s="140"/>
      <c r="D126" s="189" t="s">
        <v>249</v>
      </c>
      <c r="E126" s="191"/>
      <c r="F126" s="191"/>
      <c r="G126" s="191"/>
      <c r="H126" s="191"/>
      <c r="I126" s="191"/>
      <c r="J126" s="192"/>
      <c r="K126"/>
      <c r="L126" s="189"/>
      <c r="M126" s="191"/>
      <c r="N126" s="191"/>
      <c r="O126" s="191"/>
      <c r="P126" s="191"/>
      <c r="Q126" s="191"/>
      <c r="R126" s="192"/>
      <c r="T126" s="189"/>
      <c r="U126" s="191"/>
      <c r="V126" s="191"/>
      <c r="W126" s="191"/>
      <c r="X126" s="191"/>
      <c r="Y126" s="191"/>
      <c r="Z126" s="192"/>
    </row>
    <row r="127" spans="1:26" ht="18" customHeight="1" hidden="1">
      <c r="A127" s="140"/>
      <c r="B127" s="140"/>
      <c r="D127" s="194" t="s">
        <v>250</v>
      </c>
      <c r="E127" s="195"/>
      <c r="F127" s="195"/>
      <c r="G127" s="195"/>
      <c r="H127" s="195"/>
      <c r="I127" s="195"/>
      <c r="J127" s="196"/>
      <c r="K127"/>
      <c r="L127" s="197"/>
      <c r="M127" s="195"/>
      <c r="N127" s="195"/>
      <c r="O127" s="195"/>
      <c r="P127" s="195"/>
      <c r="Q127" s="195"/>
      <c r="R127" s="196"/>
      <c r="T127" s="197"/>
      <c r="U127" s="195"/>
      <c r="V127" s="195"/>
      <c r="W127" s="195"/>
      <c r="X127" s="195"/>
      <c r="Y127" s="195"/>
      <c r="Z127" s="196"/>
    </row>
    <row r="128" spans="1:26" ht="18" customHeight="1" hidden="1">
      <c r="A128" s="140"/>
      <c r="B128" s="140"/>
      <c r="D128" s="198" t="s">
        <v>251</v>
      </c>
      <c r="E128" s="199" t="str">
        <f>_xlfn.XLOOKUP(E125,CurrentPlans!B:B,CurrentPlans!X:X,"NA",0,1)</f>
        <v>NA</v>
      </c>
      <c r="F128" s="200"/>
      <c r="G128" s="200"/>
      <c r="H128" s="200"/>
      <c r="I128" s="199"/>
      <c r="J128" s="201"/>
      <c r="K128"/>
      <c r="L128" s="202" t="str">
        <f ca="1">_xlfn.XLOOKUP(L125,RenewalPlans!B:B,RenewalPlans!AA:AA,"NA",0,1)</f>
        <v>NA</v>
      </c>
      <c r="M128" s="200"/>
      <c r="N128" s="200"/>
      <c r="O128" s="200"/>
      <c r="P128" s="199"/>
      <c r="Q128" s="200"/>
      <c r="R128" s="201"/>
      <c r="T128" s="202" t="str">
        <f>_xlfn.XLOOKUP(T125,RenewalPlans!B:B,RenewalPlans!AA:AA,"NA",0,1)</f>
        <v>NA</v>
      </c>
      <c r="U128" s="200"/>
      <c r="V128" s="200"/>
      <c r="W128" s="200"/>
      <c r="X128" s="199"/>
      <c r="Y128" s="200"/>
      <c r="Z128" s="201"/>
    </row>
    <row r="129" spans="1:26" ht="18" customHeight="1" hidden="1">
      <c r="A129" s="140"/>
      <c r="B129" s="140"/>
      <c r="D129" s="198" t="s">
        <v>252</v>
      </c>
      <c r="E129" s="199" t="str">
        <f>_xlfn.XLOOKUP(E125,CurrentPlans!B:B,CurrentPlans!Y:Y,"NA",0,1)</f>
        <v>NA</v>
      </c>
      <c r="F129" s="200"/>
      <c r="G129" s="200"/>
      <c r="H129" s="200"/>
      <c r="I129" s="199"/>
      <c r="J129" s="201"/>
      <c r="K129"/>
      <c r="L129" s="202" t="str">
        <f ca="1">_xlfn.XLOOKUP(L125,RenewalPlans!B:B,RenewalPlans!AB:AB,"NA",0,1)</f>
        <v>NA</v>
      </c>
      <c r="M129" s="200"/>
      <c r="N129" s="200"/>
      <c r="O129" s="200"/>
      <c r="P129" s="199"/>
      <c r="Q129" s="200"/>
      <c r="R129" s="201"/>
      <c r="T129" s="202" t="str">
        <f>_xlfn.XLOOKUP(T125,RenewalPlans!B:B,RenewalPlans!AB:AB,"NA",0,1)</f>
        <v>NA</v>
      </c>
      <c r="U129" s="200"/>
      <c r="V129" s="200"/>
      <c r="W129" s="200"/>
      <c r="X129" s="199"/>
      <c r="Y129" s="200"/>
      <c r="Z129" s="201"/>
    </row>
    <row r="130" spans="1:26" ht="18" customHeight="1" hidden="1">
      <c r="A130" s="140"/>
      <c r="B130" s="140"/>
      <c r="D130" s="120" t="s">
        <v>253</v>
      </c>
      <c r="E130" s="121" t="str">
        <f>_xlfn.XLOOKUP(E125,CurrentPlans!B:B,CurrentPlans!W:W,"NA",0,1)</f>
        <v>NA</v>
      </c>
      <c r="F130" s="122"/>
      <c r="G130" s="122"/>
      <c r="H130" s="122"/>
      <c r="I130" s="121"/>
      <c r="J130" s="123"/>
      <c r="K130"/>
      <c r="L130" s="124" t="str">
        <f ca="1">_xlfn.XLOOKUP(L125,RenewalPlans!B:B,RenewalPlans!Z:Z,"NA",0,1)</f>
        <v>NA</v>
      </c>
      <c r="M130" s="122"/>
      <c r="N130" s="122"/>
      <c r="O130" s="122"/>
      <c r="P130" s="121"/>
      <c r="Q130" s="122"/>
      <c r="R130" s="123"/>
      <c r="T130" s="124" t="str">
        <f>_xlfn.XLOOKUP(T125,RenewalPlans!B:B,RenewalPlans!Z:Z,"NA",0,1)</f>
        <v>NA</v>
      </c>
      <c r="U130" s="122"/>
      <c r="V130" s="122"/>
      <c r="W130" s="122"/>
      <c r="X130" s="121"/>
      <c r="Y130" s="122"/>
      <c r="Z130" s="123"/>
    </row>
    <row r="131" spans="1:26" ht="18" customHeight="1" hidden="1">
      <c r="A131" s="140"/>
      <c r="B131" s="140"/>
      <c r="D131" s="203" t="s">
        <v>254</v>
      </c>
      <c r="E131" s="204"/>
      <c r="F131" s="205"/>
      <c r="G131" s="205"/>
      <c r="H131" s="205"/>
      <c r="I131" s="204"/>
      <c r="J131" s="206"/>
      <c r="K131"/>
      <c r="L131" s="207"/>
      <c r="M131" s="205"/>
      <c r="N131" s="205"/>
      <c r="O131" s="205"/>
      <c r="P131" s="204"/>
      <c r="Q131" s="205"/>
      <c r="R131" s="206"/>
      <c r="T131" s="207"/>
      <c r="U131" s="205"/>
      <c r="V131" s="205"/>
      <c r="W131" s="205"/>
      <c r="X131" s="204"/>
      <c r="Y131" s="205"/>
      <c r="Z131" s="206"/>
    </row>
    <row r="132" spans="1:26" ht="18" customHeight="1" hidden="1">
      <c r="A132" s="140"/>
      <c r="B132" s="140"/>
      <c r="D132" s="125" t="s">
        <v>255</v>
      </c>
      <c r="E132" s="126" t="str">
        <f>_xlfn.XLOOKUP(E125,CurrentPlans!B:B,CurrentPlans!Z:Z,"NA",0,1)</f>
        <v>NA</v>
      </c>
      <c r="F132" s="127"/>
      <c r="G132" s="127"/>
      <c r="H132" s="127"/>
      <c r="I132" s="126"/>
      <c r="J132" s="128"/>
      <c r="K132"/>
      <c r="L132" s="129" t="str">
        <f ca="1">_xlfn.XLOOKUP(L125,RenewalPlans!B:B,RenewalPlans!AC:AC,"NA",0,1)</f>
        <v>NA</v>
      </c>
      <c r="M132" s="127"/>
      <c r="N132" s="127"/>
      <c r="O132" s="127"/>
      <c r="P132" s="126"/>
      <c r="Q132" s="127"/>
      <c r="R132" s="128"/>
      <c r="T132" s="129" t="str">
        <f>_xlfn.XLOOKUP(T125,RenewalPlans!B:B,RenewalPlans!AC:AC,"NA",0,1)</f>
        <v>NA</v>
      </c>
      <c r="U132" s="127"/>
      <c r="V132" s="127"/>
      <c r="W132" s="127"/>
      <c r="X132" s="126"/>
      <c r="Y132" s="127"/>
      <c r="Z132" s="128"/>
    </row>
    <row r="133" spans="1:26" ht="18" customHeight="1" hidden="1">
      <c r="A133" s="140"/>
      <c r="B133" s="140"/>
      <c r="D133" s="198" t="s">
        <v>256</v>
      </c>
      <c r="E133" s="208" t="str">
        <f>_xlfn.XLOOKUP(E125,CurrentPlans!B:B,CurrentPlans!AA:AA,"NA",0,1)</f>
        <v>NA</v>
      </c>
      <c r="F133" s="200"/>
      <c r="G133" s="200"/>
      <c r="H133" s="200"/>
      <c r="I133" s="208"/>
      <c r="J133" s="201"/>
      <c r="K133"/>
      <c r="L133" s="209" t="str">
        <f ca="1">_xlfn.XLOOKUP(L125,RenewalPlans!B:B,RenewalPlans!AD:AD,"NA",0,1)</f>
        <v>NA</v>
      </c>
      <c r="M133" s="200"/>
      <c r="N133" s="200"/>
      <c r="O133" s="200"/>
      <c r="P133" s="208"/>
      <c r="Q133" s="200"/>
      <c r="R133" s="201"/>
      <c r="T133" s="209" t="str">
        <f>_xlfn.XLOOKUP(T125,RenewalPlans!B:B,RenewalPlans!AD:AD,"NA",0,1)</f>
        <v>NA</v>
      </c>
      <c r="U133" s="200"/>
      <c r="V133" s="200"/>
      <c r="W133" s="200"/>
      <c r="X133" s="208"/>
      <c r="Y133" s="200"/>
      <c r="Z133" s="201"/>
    </row>
    <row r="134" spans="1:26" ht="18" customHeight="1" hidden="1">
      <c r="A134" s="140"/>
      <c r="B134" s="140"/>
      <c r="D134" s="203" t="s">
        <v>257</v>
      </c>
      <c r="E134" s="204"/>
      <c r="F134" s="205"/>
      <c r="G134" s="205"/>
      <c r="H134" s="205"/>
      <c r="I134" s="204"/>
      <c r="J134" s="206"/>
      <c r="K134"/>
      <c r="L134" s="207"/>
      <c r="M134" s="205"/>
      <c r="N134" s="205"/>
      <c r="O134" s="205"/>
      <c r="P134" s="204"/>
      <c r="Q134" s="205"/>
      <c r="R134" s="206"/>
      <c r="T134" s="207"/>
      <c r="U134" s="205"/>
      <c r="V134" s="205"/>
      <c r="W134" s="205"/>
      <c r="X134" s="204"/>
      <c r="Y134" s="205"/>
      <c r="Z134" s="206"/>
    </row>
    <row r="135" spans="1:26" ht="18" customHeight="1" hidden="1">
      <c r="A135" s="140"/>
      <c r="B135" s="140"/>
      <c r="D135" s="198" t="s">
        <v>258</v>
      </c>
      <c r="E135" s="208" t="str">
        <f>_xlfn.XLOOKUP(E125,CurrentPlans!B:B,CurrentPlans!AB:AB,"NA",0,1)</f>
        <v>NA</v>
      </c>
      <c r="F135" s="200"/>
      <c r="G135" s="200"/>
      <c r="H135" s="200"/>
      <c r="I135" s="208"/>
      <c r="J135" s="201"/>
      <c r="K135"/>
      <c r="L135" s="209" t="str">
        <f ca="1">_xlfn.XLOOKUP(L125,RenewalPlans!B:B,RenewalPlans!AE:AE,"NA",0,1)</f>
        <v>NA</v>
      </c>
      <c r="M135" s="200"/>
      <c r="N135" s="200"/>
      <c r="O135" s="200"/>
      <c r="P135" s="208"/>
      <c r="Q135" s="200"/>
      <c r="R135" s="201"/>
      <c r="T135" s="209" t="str">
        <f>_xlfn.XLOOKUP(T125,RenewalPlans!B:B,RenewalPlans!AE:AE,"NA",0,1)</f>
        <v>NA</v>
      </c>
      <c r="U135" s="200"/>
      <c r="V135" s="200"/>
      <c r="W135" s="200"/>
      <c r="X135" s="208"/>
      <c r="Y135" s="200"/>
      <c r="Z135" s="201"/>
    </row>
    <row r="136" spans="1:26" ht="18" customHeight="1" hidden="1">
      <c r="A136" s="140"/>
      <c r="B136" s="140"/>
      <c r="D136" s="198" t="s">
        <v>259</v>
      </c>
      <c r="E136" s="208" t="str">
        <f>_xlfn.XLOOKUP(E125,CurrentPlans!B:B,CurrentPlans!AC:AC,"NA",0,1)</f>
        <v>NA</v>
      </c>
      <c r="F136" s="200"/>
      <c r="G136" s="200"/>
      <c r="H136" s="200"/>
      <c r="I136" s="208"/>
      <c r="J136" s="201"/>
      <c r="K136"/>
      <c r="L136" s="209" t="str">
        <f ca="1">_xlfn.XLOOKUP(L125,RenewalPlans!B:B,RenewalPlans!AF:AF,"NA",0,1)</f>
        <v>NA</v>
      </c>
      <c r="M136" s="200"/>
      <c r="N136" s="200"/>
      <c r="O136" s="200"/>
      <c r="P136" s="208"/>
      <c r="Q136" s="200"/>
      <c r="R136" s="201"/>
      <c r="T136" s="209" t="str">
        <f>_xlfn.XLOOKUP(T125,RenewalPlans!B:B,RenewalPlans!AF:AF,"NA",0,1)</f>
        <v>NA</v>
      </c>
      <c r="U136" s="200"/>
      <c r="V136" s="200"/>
      <c r="W136" s="200"/>
      <c r="X136" s="208"/>
      <c r="Y136" s="200"/>
      <c r="Z136" s="201"/>
    </row>
    <row r="137" spans="1:26" ht="18" customHeight="1" hidden="1">
      <c r="A137" s="140"/>
      <c r="B137" s="140"/>
      <c r="D137" s="210"/>
      <c r="E137" s="211"/>
      <c r="F137" s="211"/>
      <c r="G137" s="211"/>
      <c r="H137" s="211"/>
      <c r="I137" s="211"/>
      <c r="J137" s="212"/>
      <c r="K137"/>
      <c r="L137" s="210"/>
      <c r="M137" s="211"/>
      <c r="N137" s="211"/>
      <c r="O137" s="211"/>
      <c r="P137" s="211"/>
      <c r="Q137" s="211"/>
      <c r="R137" s="212"/>
      <c r="T137" s="210"/>
      <c r="U137" s="211"/>
      <c r="V137" s="211"/>
      <c r="W137" s="211"/>
      <c r="X137" s="211"/>
      <c r="Y137" s="211"/>
      <c r="Z137" s="212"/>
    </row>
    <row r="138" spans="1:26" ht="18" customHeight="1" hidden="1">
      <c r="A138" s="140"/>
      <c r="B138" s="140"/>
      <c r="D138" s="185" t="s">
        <v>260</v>
      </c>
      <c r="E138" s="186"/>
      <c r="F138" s="186"/>
      <c r="G138" s="186"/>
      <c r="H138" s="186"/>
      <c r="I138" s="186"/>
      <c r="J138" s="187"/>
      <c r="K138"/>
      <c r="L138" s="188"/>
      <c r="M138" s="186"/>
      <c r="N138" s="186"/>
      <c r="O138" s="186"/>
      <c r="P138" s="186"/>
      <c r="Q138" s="186"/>
      <c r="R138" s="187"/>
      <c r="T138" s="188"/>
      <c r="U138" s="186"/>
      <c r="V138" s="186"/>
      <c r="W138" s="186"/>
      <c r="X138" s="186"/>
      <c r="Y138" s="186"/>
      <c r="Z138" s="187"/>
    </row>
    <row r="139" spans="1:26" ht="18" customHeight="1" hidden="1">
      <c r="A139" s="140"/>
      <c r="B139" s="140"/>
      <c r="D139" s="213" t="s">
        <v>261</v>
      </c>
      <c r="E139" s="130" t="str">
        <f>_xlfn.XLOOKUP(E125,CurrentPlans!B:B,CurrentPlans!AJ:AJ,"NA",0,1)</f>
        <v>NA</v>
      </c>
      <c r="F139" s="214"/>
      <c r="G139" s="214"/>
      <c r="H139" s="214"/>
      <c r="I139" s="130"/>
      <c r="J139" s="215"/>
      <c r="K139"/>
      <c r="L139" s="131" t="str">
        <f ca="1">_xlfn.XLOOKUP(L125,RenewalPlans!B:B,RenewalPlans!AM:AM,"NA",0,1)</f>
        <v>NA</v>
      </c>
      <c r="M139" s="214"/>
      <c r="N139" s="214"/>
      <c r="O139" s="214"/>
      <c r="P139" s="130"/>
      <c r="Q139" s="214"/>
      <c r="R139" s="215"/>
      <c r="T139" s="131" t="str">
        <f>_xlfn.XLOOKUP(T125,RenewalPlans!B:B,RenewalPlans!AM:AM,"NA",0,1)</f>
        <v>NA</v>
      </c>
      <c r="U139" s="214"/>
      <c r="V139" s="214"/>
      <c r="W139" s="214"/>
      <c r="X139" s="130"/>
      <c r="Y139" s="214"/>
      <c r="Z139" s="215"/>
    </row>
    <row r="140" spans="1:26" ht="18" customHeight="1" hidden="1">
      <c r="A140" s="140"/>
      <c r="B140" s="140"/>
      <c r="D140" s="198" t="s">
        <v>262</v>
      </c>
      <c r="E140" s="130" t="str">
        <f>_xlfn.XLOOKUP(E125,CurrentPlans!B:B,CurrentPlans!AM:AM,"NA",0,1)</f>
        <v>NA</v>
      </c>
      <c r="F140" s="200"/>
      <c r="G140" s="200"/>
      <c r="H140" s="200"/>
      <c r="I140" s="130"/>
      <c r="J140" s="201"/>
      <c r="K140"/>
      <c r="L140" s="131" t="str">
        <f ca="1">_xlfn.XLOOKUP(L125,RenewalPlans!B:B,RenewalPlans!AP:AP,"NA",0,1)</f>
        <v>NA</v>
      </c>
      <c r="M140" s="200"/>
      <c r="N140" s="200"/>
      <c r="O140" s="200"/>
      <c r="P140" s="130"/>
      <c r="Q140" s="200"/>
      <c r="R140" s="201"/>
      <c r="T140" s="131" t="str">
        <f>_xlfn.XLOOKUP(T125,RenewalPlans!B:B,RenewalPlans!AP:AP,"NA",0,1)</f>
        <v>NA</v>
      </c>
      <c r="U140" s="200"/>
      <c r="V140" s="200"/>
      <c r="W140" s="200"/>
      <c r="X140" s="130"/>
      <c r="Y140" s="200"/>
      <c r="Z140" s="201"/>
    </row>
    <row r="141" spans="1:26" ht="18" customHeight="1" hidden="1">
      <c r="A141" s="140"/>
      <c r="B141" s="140"/>
      <c r="D141" s="198" t="s">
        <v>263</v>
      </c>
      <c r="E141" s="130" t="str">
        <f>_xlfn.XLOOKUP(E125,CurrentPlans!B:B,CurrentPlans!AI:AI,"NA",0,1)</f>
        <v>NA</v>
      </c>
      <c r="F141" s="200"/>
      <c r="G141" s="200"/>
      <c r="H141" s="200"/>
      <c r="I141" s="130"/>
      <c r="J141" s="201"/>
      <c r="K141"/>
      <c r="L141" s="131" t="str">
        <f ca="1">_xlfn.XLOOKUP(L125,RenewalPlans!B:B,RenewalPlans!AL:AL,"NA",0,1)</f>
        <v>NA</v>
      </c>
      <c r="M141" s="200"/>
      <c r="N141" s="200"/>
      <c r="O141" s="200"/>
      <c r="P141" s="130"/>
      <c r="Q141" s="200"/>
      <c r="R141" s="201"/>
      <c r="T141" s="131" t="str">
        <f>_xlfn.XLOOKUP(T125,RenewalPlans!B:B,RenewalPlans!AL:AL,"NA",0,1)</f>
        <v>NA</v>
      </c>
      <c r="U141" s="200"/>
      <c r="V141" s="200"/>
      <c r="W141" s="200"/>
      <c r="X141" s="130"/>
      <c r="Y141" s="200"/>
      <c r="Z141" s="201"/>
    </row>
    <row r="142" spans="1:26" ht="18" customHeight="1" hidden="1">
      <c r="A142" s="140"/>
      <c r="B142" s="140"/>
      <c r="D142" s="198" t="s">
        <v>264</v>
      </c>
      <c r="E142" s="208" t="str">
        <f>_xlfn.XLOOKUP(E125,CurrentPlans!B:B,CurrentPlans!AN:AN,"NA",0,1)</f>
        <v>NA</v>
      </c>
      <c r="F142" s="200"/>
      <c r="G142" s="200"/>
      <c r="H142" s="200"/>
      <c r="I142" s="208"/>
      <c r="J142" s="201"/>
      <c r="K142"/>
      <c r="L142" s="209" t="str">
        <f ca="1">_xlfn.XLOOKUP(L125,RenewalPlans!B:B,RenewalPlans!AQ:AQ,"NA",0,1)</f>
        <v>NA</v>
      </c>
      <c r="M142" s="200"/>
      <c r="N142" s="200"/>
      <c r="O142" s="200"/>
      <c r="P142" s="208"/>
      <c r="Q142" s="200"/>
      <c r="R142" s="201"/>
      <c r="T142" s="209" t="str">
        <f>_xlfn.XLOOKUP(T125,RenewalPlans!B:B,RenewalPlans!AQ:AQ,"NA",0,1)</f>
        <v>NA</v>
      </c>
      <c r="U142" s="200"/>
      <c r="V142" s="200"/>
      <c r="W142" s="200"/>
      <c r="X142" s="208"/>
      <c r="Y142" s="200"/>
      <c r="Z142" s="201"/>
    </row>
    <row r="143" spans="1:26" ht="18" customHeight="1" hidden="1">
      <c r="A143" s="140"/>
      <c r="B143" s="140"/>
      <c r="D143" s="210"/>
      <c r="E143" s="211"/>
      <c r="F143" s="211"/>
      <c r="G143" s="211"/>
      <c r="H143" s="211"/>
      <c r="I143" s="211"/>
      <c r="J143" s="212"/>
      <c r="K143"/>
      <c r="L143" s="210"/>
      <c r="M143" s="211"/>
      <c r="N143" s="211"/>
      <c r="O143" s="211"/>
      <c r="P143" s="211"/>
      <c r="Q143" s="211"/>
      <c r="R143" s="212"/>
      <c r="T143" s="210"/>
      <c r="U143" s="211"/>
      <c r="V143" s="211"/>
      <c r="W143" s="211"/>
      <c r="X143" s="211"/>
      <c r="Y143" s="211"/>
      <c r="Z143" s="212"/>
    </row>
    <row r="144" spans="1:26" ht="18" customHeight="1" hidden="1">
      <c r="A144" s="140"/>
      <c r="B144" s="140"/>
      <c r="D144" s="185" t="s">
        <v>265</v>
      </c>
      <c r="E144" s="186"/>
      <c r="F144" s="186"/>
      <c r="G144" s="186"/>
      <c r="H144" s="186"/>
      <c r="I144" s="186"/>
      <c r="J144" s="187"/>
      <c r="K144"/>
      <c r="L144" s="188"/>
      <c r="M144" s="186"/>
      <c r="N144" s="186"/>
      <c r="O144" s="186"/>
      <c r="P144" s="186"/>
      <c r="Q144" s="186"/>
      <c r="R144" s="187"/>
      <c r="T144" s="188"/>
      <c r="U144" s="186"/>
      <c r="V144" s="186"/>
      <c r="W144" s="186"/>
      <c r="X144" s="186"/>
      <c r="Y144" s="186"/>
      <c r="Z144" s="187"/>
    </row>
    <row r="145" spans="1:26" ht="18" customHeight="1" hidden="1">
      <c r="A145" s="140"/>
      <c r="B145" s="140"/>
      <c r="D145" s="132" t="s">
        <v>266</v>
      </c>
      <c r="E145" s="133" t="str">
        <f>_xlfn.XLOOKUP(E125,CurrentPlans!B:B,CurrentPlans!AE:AE,"NA",0,1)</f>
        <v>NA</v>
      </c>
      <c r="F145" s="134"/>
      <c r="G145" s="134"/>
      <c r="H145" s="134"/>
      <c r="I145" s="133"/>
      <c r="J145" s="135"/>
      <c r="K145"/>
      <c r="L145" s="136" t="str">
        <f ca="1">_xlfn.XLOOKUP(L125,RenewalPlans!B:B,RenewalPlans!AH:AH,"NA",0,1)</f>
        <v>NA</v>
      </c>
      <c r="M145" s="134"/>
      <c r="N145" s="134"/>
      <c r="O145" s="134"/>
      <c r="P145" s="133"/>
      <c r="Q145" s="134"/>
      <c r="R145" s="135"/>
      <c r="T145" s="136" t="str">
        <f>_xlfn.XLOOKUP(T125,RenewalPlans!B:B,RenewalPlans!AH:AH,"NA",0,1)</f>
        <v>NA</v>
      </c>
      <c r="U145" s="134"/>
      <c r="V145" s="134"/>
      <c r="W145" s="134"/>
      <c r="X145" s="133"/>
      <c r="Y145" s="134"/>
      <c r="Z145" s="135"/>
    </row>
    <row r="146" spans="1:26" ht="18" customHeight="1" hidden="1">
      <c r="A146" s="140"/>
      <c r="B146" s="140"/>
      <c r="D146" s="120" t="s">
        <v>267</v>
      </c>
      <c r="E146" s="130" t="str">
        <f>_xlfn.XLOOKUP(E125,CurrentPlans!B:B,CurrentPlans!AF:AF,"NA",0,1)</f>
        <v>NA</v>
      </c>
      <c r="F146" s="122"/>
      <c r="G146" s="122"/>
      <c r="H146" s="122"/>
      <c r="I146" s="130"/>
      <c r="J146" s="123"/>
      <c r="K146"/>
      <c r="L146" s="131" t="str">
        <f ca="1">_xlfn.XLOOKUP(L125,RenewalPlans!B:B,RenewalPlans!AI:AI,"NA",0,1)</f>
        <v>NA</v>
      </c>
      <c r="M146" s="122"/>
      <c r="N146" s="122"/>
      <c r="O146" s="122"/>
      <c r="P146" s="130"/>
      <c r="Q146" s="122"/>
      <c r="R146" s="123"/>
      <c r="T146" s="131" t="str">
        <f>_xlfn.XLOOKUP(T125,RenewalPlans!B:B,RenewalPlans!AI:AI,"NA",0,1)</f>
        <v>NA</v>
      </c>
      <c r="U146" s="122"/>
      <c r="V146" s="122"/>
      <c r="W146" s="122"/>
      <c r="X146" s="130"/>
      <c r="Y146" s="122"/>
      <c r="Z146" s="123"/>
    </row>
    <row r="147" spans="1:26" ht="18" customHeight="1" hidden="1">
      <c r="A147" s="140"/>
      <c r="B147" s="140"/>
      <c r="D147" s="198" t="s">
        <v>268</v>
      </c>
      <c r="E147" s="130" t="str">
        <f>_xlfn.XLOOKUP(E125,CurrentPlans!B:B,CurrentPlans!AH:AH,"NA",0,1)</f>
        <v>NA</v>
      </c>
      <c r="F147" s="200"/>
      <c r="G147" s="200"/>
      <c r="H147" s="200"/>
      <c r="I147" s="130"/>
      <c r="J147" s="201"/>
      <c r="K147"/>
      <c r="L147" s="131" t="str">
        <f ca="1">_xlfn.XLOOKUP(L125,RenewalPlans!B:B,RenewalPlans!AK:AK,"NA",0,1)</f>
        <v>NA</v>
      </c>
      <c r="M147" s="200"/>
      <c r="N147" s="200"/>
      <c r="O147" s="200"/>
      <c r="P147" s="130"/>
      <c r="Q147" s="200"/>
      <c r="R147" s="201"/>
      <c r="T147" s="131" t="str">
        <f>_xlfn.XLOOKUP(T125,RenewalPlans!B:B,RenewalPlans!AK:AK,"NA",0,1)</f>
        <v>NA</v>
      </c>
      <c r="U147" s="200"/>
      <c r="V147" s="200"/>
      <c r="W147" s="200"/>
      <c r="X147" s="130"/>
      <c r="Y147" s="200"/>
      <c r="Z147" s="201"/>
    </row>
    <row r="148" spans="1:26" ht="18" customHeight="1" hidden="1">
      <c r="A148" s="140"/>
      <c r="B148" s="140"/>
      <c r="D148" s="198" t="s">
        <v>269</v>
      </c>
      <c r="E148" s="130" t="str">
        <f>_xlfn.XLOOKUP(E125,CurrentPlans!B:B,CurrentPlans!AG:AG,"NA",0,1)</f>
        <v>NA</v>
      </c>
      <c r="F148" s="200"/>
      <c r="G148" s="200"/>
      <c r="H148" s="200"/>
      <c r="I148" s="130"/>
      <c r="J148" s="201"/>
      <c r="K148"/>
      <c r="L148" s="131" t="str">
        <f ca="1">_xlfn.XLOOKUP(L125,RenewalPlans!B:B,RenewalPlans!AJ:AJ,"NA",0,1)</f>
        <v>NA</v>
      </c>
      <c r="M148" s="200"/>
      <c r="N148" s="200"/>
      <c r="O148" s="200"/>
      <c r="P148" s="130"/>
      <c r="Q148" s="200"/>
      <c r="R148" s="201"/>
      <c r="T148" s="131" t="str">
        <f>_xlfn.XLOOKUP(T125,RenewalPlans!B:B,RenewalPlans!AJ:AJ,"NA",0,1)</f>
        <v>NA</v>
      </c>
      <c r="U148" s="200"/>
      <c r="V148" s="200"/>
      <c r="W148" s="200"/>
      <c r="X148" s="130"/>
      <c r="Y148" s="200"/>
      <c r="Z148" s="201"/>
    </row>
    <row r="149" spans="1:26" ht="18" customHeight="1" hidden="1">
      <c r="A149" s="140"/>
      <c r="B149" s="140"/>
      <c r="D149" s="213" t="s">
        <v>270</v>
      </c>
      <c r="E149" s="216" t="str">
        <f>_xlfn.XLOOKUP(E125,CurrentPlans!B:B,CurrentPlans!AU:AU,"NA",0,1)</f>
        <v>NA</v>
      </c>
      <c r="F149" s="214"/>
      <c r="G149" s="214"/>
      <c r="H149" s="214"/>
      <c r="I149" s="217"/>
      <c r="J149" s="215"/>
      <c r="K149"/>
      <c r="L149" s="218" t="str">
        <f ca="1">_xlfn.XLOOKUP(L125,RenewalPlans!B:B,RenewalPlans!AX:AX,"NA",0,1)</f>
        <v>NA</v>
      </c>
      <c r="M149" s="214"/>
      <c r="N149" s="214"/>
      <c r="O149" s="214"/>
      <c r="P149" s="217"/>
      <c r="Q149" s="214"/>
      <c r="R149" s="215"/>
      <c r="T149" s="218" t="str">
        <f>_xlfn.XLOOKUP(T125,RenewalPlans!B:B,RenewalPlans!AX:AX,"NA",0,1)</f>
        <v>NA</v>
      </c>
      <c r="U149" s="214"/>
      <c r="V149" s="214"/>
      <c r="W149" s="214"/>
      <c r="X149" s="217"/>
      <c r="Y149" s="214"/>
      <c r="Z149" s="215"/>
    </row>
    <row r="150" spans="1:26" ht="18" customHeight="1" hidden="1">
      <c r="A150" s="140"/>
      <c r="B150" s="140"/>
      <c r="D150" s="213" t="s">
        <v>271</v>
      </c>
      <c r="E150" s="216" t="str">
        <f>_xlfn.XLOOKUP(E125,CurrentPlans!B:B,CurrentPlans!AT:AT,"NA",0,1)</f>
        <v>NA</v>
      </c>
      <c r="F150" s="214"/>
      <c r="G150" s="214"/>
      <c r="H150" s="214"/>
      <c r="I150" s="217"/>
      <c r="J150" s="215"/>
      <c r="K150"/>
      <c r="L150" s="218" t="str">
        <f ca="1">_xlfn.XLOOKUP(L125,RenewalPlans!B:B,RenewalPlans!AW:AW,"NA",0,1)</f>
        <v>NA</v>
      </c>
      <c r="M150" s="214"/>
      <c r="N150" s="214"/>
      <c r="O150" s="214"/>
      <c r="P150" s="217"/>
      <c r="Q150" s="214"/>
      <c r="R150" s="215"/>
      <c r="T150" s="218" t="str">
        <f>_xlfn.XLOOKUP(T125,RenewalPlans!B:B,RenewalPlans!AW:AW,"NA",0,1)</f>
        <v>NA</v>
      </c>
      <c r="U150" s="214"/>
      <c r="V150" s="214"/>
      <c r="W150" s="214"/>
      <c r="X150" s="217"/>
      <c r="Y150" s="214"/>
      <c r="Z150" s="215"/>
    </row>
    <row r="151" spans="1:26" ht="18" customHeight="1" hidden="1">
      <c r="A151" s="140"/>
      <c r="B151" s="140"/>
      <c r="D151" s="198" t="s">
        <v>272</v>
      </c>
      <c r="E151" s="130" t="str">
        <f>_xlfn.XLOOKUP(E125,CurrentPlans!B:B,CurrentPlans!AD:AD,"NA",0,1)</f>
        <v>NA</v>
      </c>
      <c r="F151" s="200"/>
      <c r="G151" s="200"/>
      <c r="H151" s="200"/>
      <c r="I151" s="130"/>
      <c r="J151" s="201"/>
      <c r="K151"/>
      <c r="L151" s="131" t="str">
        <f ca="1">_xlfn.XLOOKUP(L125,RenewalPlans!B:B,RenewalPlans!AG:AG,"NA",0,1)</f>
        <v>NA</v>
      </c>
      <c r="M151" s="200"/>
      <c r="N151" s="200"/>
      <c r="O151" s="200"/>
      <c r="P151" s="130"/>
      <c r="Q151" s="200"/>
      <c r="R151" s="201"/>
      <c r="T151" s="131" t="str">
        <f>_xlfn.XLOOKUP(T125,RenewalPlans!B:B,RenewalPlans!AG:AG,"NA",0,1)</f>
        <v>NA</v>
      </c>
      <c r="U151" s="200"/>
      <c r="V151" s="200"/>
      <c r="W151" s="200"/>
      <c r="X151" s="130"/>
      <c r="Y151" s="200"/>
      <c r="Z151" s="201"/>
    </row>
    <row r="152" spans="1:26" ht="18" customHeight="1" hidden="1">
      <c r="A152" s="140"/>
      <c r="B152" s="140"/>
      <c r="D152" s="198" t="s">
        <v>273</v>
      </c>
      <c r="E152" s="200"/>
      <c r="F152" s="200"/>
      <c r="G152" s="200"/>
      <c r="H152" s="200"/>
      <c r="I152" s="200"/>
      <c r="J152" s="201"/>
      <c r="K152"/>
      <c r="L152" s="198"/>
      <c r="M152" s="200"/>
      <c r="N152" s="200"/>
      <c r="O152" s="200"/>
      <c r="P152" s="200"/>
      <c r="Q152" s="200"/>
      <c r="R152" s="201"/>
      <c r="T152" s="198"/>
      <c r="U152" s="200"/>
      <c r="V152" s="200"/>
      <c r="W152" s="200"/>
      <c r="X152" s="200"/>
      <c r="Y152" s="200"/>
      <c r="Z152" s="201"/>
    </row>
    <row r="153" spans="1:26" ht="18" customHeight="1" hidden="1">
      <c r="A153" s="140"/>
      <c r="B153" s="140"/>
      <c r="D153" s="210"/>
      <c r="E153" s="211"/>
      <c r="F153" s="211"/>
      <c r="G153" s="211"/>
      <c r="H153" s="211"/>
      <c r="I153" s="211"/>
      <c r="J153" s="212"/>
      <c r="K153"/>
      <c r="L153" s="210"/>
      <c r="M153" s="211"/>
      <c r="N153" s="211"/>
      <c r="O153" s="211"/>
      <c r="P153" s="211"/>
      <c r="Q153" s="211"/>
      <c r="R153" s="212"/>
      <c r="T153" s="210"/>
      <c r="U153" s="211"/>
      <c r="V153" s="211"/>
      <c r="W153" s="211"/>
      <c r="X153" s="211"/>
      <c r="Y153" s="211"/>
      <c r="Z153" s="212"/>
    </row>
    <row r="154" spans="1:26" ht="18" customHeight="1" hidden="1">
      <c r="A154" s="140"/>
      <c r="B154" s="140"/>
      <c r="D154" s="219" t="s">
        <v>274</v>
      </c>
      <c r="E154" s="220"/>
      <c r="F154" s="220"/>
      <c r="G154" s="220"/>
      <c r="H154" s="220"/>
      <c r="I154" s="220"/>
      <c r="J154" s="221"/>
      <c r="K154"/>
      <c r="L154" s="222"/>
      <c r="M154" s="220"/>
      <c r="N154" s="220"/>
      <c r="O154" s="220"/>
      <c r="P154" s="220"/>
      <c r="Q154" s="220"/>
      <c r="R154" s="221"/>
      <c r="T154" s="222"/>
      <c r="U154" s="220"/>
      <c r="V154" s="220"/>
      <c r="W154" s="220"/>
      <c r="X154" s="220"/>
      <c r="Y154" s="220"/>
      <c r="Z154" s="221"/>
    </row>
    <row r="155" spans="1:26" ht="18" customHeight="1" hidden="1">
      <c r="A155" s="140"/>
      <c r="B155" s="140"/>
      <c r="D155" s="223" t="s">
        <v>250</v>
      </c>
      <c r="E155" s="205"/>
      <c r="F155" s="205"/>
      <c r="G155" s="205"/>
      <c r="H155" s="205"/>
      <c r="I155" s="205"/>
      <c r="J155" s="206"/>
      <c r="K155"/>
      <c r="L155" s="203"/>
      <c r="M155" s="205"/>
      <c r="N155" s="205"/>
      <c r="O155" s="205"/>
      <c r="P155" s="205"/>
      <c r="Q155" s="205"/>
      <c r="R155" s="206"/>
      <c r="T155" s="203"/>
      <c r="U155" s="205"/>
      <c r="V155" s="205"/>
      <c r="W155" s="205"/>
      <c r="X155" s="205"/>
      <c r="Y155" s="205"/>
      <c r="Z155" s="206"/>
    </row>
    <row r="156" spans="1:26" ht="18" customHeight="1" hidden="1">
      <c r="A156" s="140"/>
      <c r="B156" s="140"/>
      <c r="D156" s="198" t="s">
        <v>251</v>
      </c>
      <c r="E156" s="130" t="str">
        <f>_xlfn.XLOOKUP(E125,CurrentPlans!B:B,CurrentPlans!AP:AP,"NA",0,1)</f>
        <v>NA</v>
      </c>
      <c r="F156" s="200"/>
      <c r="G156" s="200"/>
      <c r="H156" s="200"/>
      <c r="I156" s="130"/>
      <c r="J156" s="201"/>
      <c r="K156"/>
      <c r="L156" s="131" t="str">
        <f ca="1">_xlfn.XLOOKUP(L125,RenewalPlans!B:B,RenewalPlans!AS:AS,"NA",0,1)</f>
        <v>NA</v>
      </c>
      <c r="M156" s="200"/>
      <c r="N156" s="200"/>
      <c r="O156" s="200"/>
      <c r="P156" s="130"/>
      <c r="Q156" s="200"/>
      <c r="R156" s="201"/>
      <c r="T156" s="131" t="str">
        <f>_xlfn.XLOOKUP(T125,RenewalPlans!B:B,RenewalPlans!AS:AS,"NA",0,1)</f>
        <v>NA</v>
      </c>
      <c r="U156" s="200"/>
      <c r="V156" s="200"/>
      <c r="W156" s="200"/>
      <c r="X156" s="130"/>
      <c r="Y156" s="200"/>
      <c r="Z156" s="201"/>
    </row>
    <row r="157" spans="1:26" ht="18" customHeight="1" hidden="1">
      <c r="A157" s="140"/>
      <c r="B157" s="140"/>
      <c r="D157" s="198" t="s">
        <v>252</v>
      </c>
      <c r="E157" s="130" t="str">
        <f>_xlfn.XLOOKUP(E125,CurrentPlans!B:B,CurrentPlans!AQ:AQ,"NA",0,1)</f>
        <v>NA</v>
      </c>
      <c r="F157" s="200"/>
      <c r="G157" s="200"/>
      <c r="H157" s="200"/>
      <c r="I157" s="130"/>
      <c r="J157" s="201"/>
      <c r="K157"/>
      <c r="L157" s="131" t="str">
        <f ca="1">_xlfn.XLOOKUP(L125,RenewalPlans!B:B,RenewalPlans!AT:AT,"NA",0,1)</f>
        <v>NA</v>
      </c>
      <c r="M157" s="200"/>
      <c r="N157" s="200"/>
      <c r="O157" s="200"/>
      <c r="P157" s="130"/>
      <c r="Q157" s="200"/>
      <c r="R157" s="201"/>
      <c r="T157" s="131" t="str">
        <f>_xlfn.XLOOKUP(T125,RenewalPlans!B:B,RenewalPlans!AT:AT,"NA",0,1)</f>
        <v>NA</v>
      </c>
      <c r="U157" s="200"/>
      <c r="V157" s="200"/>
      <c r="W157" s="200"/>
      <c r="X157" s="130"/>
      <c r="Y157" s="200"/>
      <c r="Z157" s="201"/>
    </row>
    <row r="158" spans="1:26" ht="18" customHeight="1" hidden="1">
      <c r="A158" s="140"/>
      <c r="B158" s="140"/>
      <c r="D158" s="120" t="s">
        <v>253</v>
      </c>
      <c r="E158" s="133" t="str">
        <f>_xlfn.XLOOKUP(E125,CurrentPlans!B:B,CurrentPlans!AO:AO,"NA",0,1)</f>
        <v>NA</v>
      </c>
      <c r="F158" s="122"/>
      <c r="G158" s="122"/>
      <c r="H158" s="122"/>
      <c r="I158" s="133"/>
      <c r="J158" s="123"/>
      <c r="K158"/>
      <c r="L158" s="136" t="str">
        <f ca="1">_xlfn.XLOOKUP(L125,RenewalPlans!B:B,RenewalPlans!AR:AR,"NA",0,1)</f>
        <v>NA</v>
      </c>
      <c r="M158" s="122"/>
      <c r="N158" s="122"/>
      <c r="O158" s="122"/>
      <c r="P158" s="133"/>
      <c r="Q158" s="122"/>
      <c r="R158" s="123"/>
      <c r="T158" s="136" t="str">
        <f>_xlfn.XLOOKUP(T125,RenewalPlans!B:B,RenewalPlans!AR:AR,"NA",0,1)</f>
        <v>NA</v>
      </c>
      <c r="U158" s="122"/>
      <c r="V158" s="122"/>
      <c r="W158" s="122"/>
      <c r="X158" s="133"/>
      <c r="Y158" s="122"/>
      <c r="Z158" s="123"/>
    </row>
    <row r="159" spans="1:26" ht="18" customHeight="1" hidden="1">
      <c r="A159" s="140"/>
      <c r="B159" s="140"/>
      <c r="D159" s="223" t="s">
        <v>254</v>
      </c>
      <c r="E159" s="205"/>
      <c r="F159" s="205"/>
      <c r="G159" s="205"/>
      <c r="H159" s="205"/>
      <c r="I159" s="205"/>
      <c r="J159" s="206"/>
      <c r="K159"/>
      <c r="L159" s="203"/>
      <c r="M159" s="205"/>
      <c r="N159" s="205"/>
      <c r="O159" s="205"/>
      <c r="P159" s="205"/>
      <c r="Q159" s="205"/>
      <c r="R159" s="206"/>
      <c r="T159" s="203"/>
      <c r="U159" s="205"/>
      <c r="V159" s="205"/>
      <c r="W159" s="205"/>
      <c r="X159" s="205"/>
      <c r="Y159" s="205"/>
      <c r="Z159" s="206"/>
    </row>
    <row r="160" spans="1:26" ht="18" customHeight="1" hidden="1">
      <c r="A160" s="140"/>
      <c r="B160" s="140"/>
      <c r="D160" s="198" t="s">
        <v>255</v>
      </c>
      <c r="E160" s="130" t="str">
        <f>_xlfn.XLOOKUP(E125,CurrentPlans!B:B,CurrentPlans!AR:AR,"NA",0,1)</f>
        <v>NA</v>
      </c>
      <c r="F160" s="200"/>
      <c r="G160" s="200"/>
      <c r="H160" s="200"/>
      <c r="I160" s="130"/>
      <c r="J160" s="201"/>
      <c r="K160"/>
      <c r="L160" s="131" t="str">
        <f ca="1">_xlfn.XLOOKUP(L125,RenewalPlans!B:B,RenewalPlans!AU:AU,"NA",0,1)</f>
        <v>NA</v>
      </c>
      <c r="M160" s="200"/>
      <c r="N160" s="200"/>
      <c r="O160" s="200"/>
      <c r="P160" s="130"/>
      <c r="Q160" s="200"/>
      <c r="R160" s="201"/>
      <c r="T160" s="131" t="str">
        <f>_xlfn.XLOOKUP(T125,RenewalPlans!B:B,RenewalPlans!AU:AU,"NA",0,1)</f>
        <v>NA</v>
      </c>
      <c r="U160" s="200"/>
      <c r="V160" s="200"/>
      <c r="W160" s="200"/>
      <c r="X160" s="130"/>
      <c r="Y160" s="200"/>
      <c r="Z160" s="201"/>
    </row>
    <row r="161" spans="1:26" ht="18" customHeight="1" hidden="1" thickBot="1">
      <c r="A161" s="140"/>
      <c r="B161" s="140"/>
      <c r="D161" s="224" t="s">
        <v>256</v>
      </c>
      <c r="E161" s="137" t="str">
        <f>_xlfn.XLOOKUP(E125,CurrentPlans!B:B,CurrentPlans!AS:AS,"NA",0,1)</f>
        <v>NA</v>
      </c>
      <c r="F161" s="225"/>
      <c r="G161" s="225"/>
      <c r="H161" s="225"/>
      <c r="I161" s="137"/>
      <c r="J161" s="226"/>
      <c r="K161"/>
      <c r="L161" s="138" t="str">
        <f ca="1">_xlfn.XLOOKUP(L125,RenewalPlans!B:B,RenewalPlans!AV:AV,"NA",0,1)</f>
        <v>NA</v>
      </c>
      <c r="M161" s="225"/>
      <c r="N161" s="225"/>
      <c r="O161" s="225"/>
      <c r="P161" s="137"/>
      <c r="Q161" s="225"/>
      <c r="R161" s="226"/>
      <c r="T161" s="138" t="str">
        <f>_xlfn.XLOOKUP(T125,RenewalPlans!B:B,RenewalPlans!AV:AV,"NA",0,1)</f>
        <v>NA</v>
      </c>
      <c r="U161" s="225"/>
      <c r="V161" s="225"/>
      <c r="W161" s="225"/>
      <c r="X161" s="137"/>
      <c r="Y161" s="225"/>
      <c r="Z161" s="226"/>
    </row>
    <row r="162" spans="1:26" ht="18" customHeight="1">
      <c r="A162" s="140"/>
      <c r="B162" s="140"/>
      <c r="D162" s="227"/>
      <c r="E162" s="176"/>
      <c r="F162" s="178"/>
      <c r="G162" s="179"/>
      <c r="H162" s="178"/>
      <c r="I162" s="176"/>
      <c r="J162" s="228"/>
      <c r="K162"/>
      <c r="L162" s="178"/>
      <c r="M162" s="176"/>
      <c r="N162" s="139"/>
      <c r="O162" s="178"/>
      <c r="P162" s="178"/>
      <c r="Q162" s="178"/>
      <c r="R162" s="228"/>
      <c r="T162" s="178"/>
      <c r="U162" s="176"/>
      <c r="V162" s="139"/>
      <c r="W162" s="178"/>
      <c r="X162" s="178"/>
      <c r="Y162" s="178"/>
      <c r="Z162" s="228"/>
    </row>
    <row r="163" spans="1:26" ht="5.25" customHeight="1" thickBot="1">
      <c r="A163" s="140"/>
      <c r="B163" s="140"/>
      <c r="D163" s="229"/>
      <c r="E163" s="229"/>
      <c r="F163" s="230"/>
      <c r="G163" s="231"/>
      <c r="H163" s="232"/>
      <c r="I163" s="233"/>
      <c r="J163" s="233"/>
      <c r="K163"/>
      <c r="L163" s="233"/>
      <c r="M163" s="233"/>
      <c r="N163" s="233"/>
      <c r="O163" s="233"/>
      <c r="P163" s="233"/>
      <c r="Q163" s="233"/>
      <c r="R163" s="233"/>
      <c r="T163" s="233"/>
      <c r="U163" s="233"/>
      <c r="V163" s="233"/>
      <c r="W163" s="233"/>
      <c r="X163" s="233"/>
      <c r="Y163" s="233"/>
      <c r="Z163" s="233"/>
    </row>
    <row r="164" spans="1:26" ht="50.15" customHeight="1">
      <c r="A164" s="140">
        <v>4</v>
      </c>
      <c r="B164" s="140" t="str">
        <f>IF(A164&gt;Class6_CurrentHealthCount,"DELETE",Class6_CurrentHealthStart+A164)</f>
        <v>DELETE</v>
      </c>
      <c r="C164" s="164" t="s">
        <v>277</v>
      </c>
      <c r="D164" s="273" t="str">
        <f>IF(B164="Delete","",VLOOKUP(F164,BEGIN_CURRENT_HEALTH:END_CURRENT_HEALTH,3,FALSE))</f>
        <v/>
      </c>
      <c r="E164" s="165"/>
      <c r="F164" s="272" t="str" cm="1">
        <f t="array" ca="1" aca="1" ref="F164">IF(B164="Delete","",INDIRECT("CurrentPlans!A"&amp;B164,TRUE))</f>
        <v/>
      </c>
      <c r="G164" s="166"/>
      <c r="H164" s="167"/>
      <c r="I164" s="168"/>
      <c r="J164" s="169"/>
      <c r="K164"/>
      <c r="L164" s="274" t="str">
        <f ca="1">_xlfn.IFNA(VLOOKUP(F164,BEGIN_RENEWEDFROM_HEALTH:ROW_RenewHealth_PlanID,3,FALSE),"SELECT PLAN")</f>
        <v>SELECT PLAN</v>
      </c>
      <c r="M164" s="170"/>
      <c r="N164" s="274" t="s">
        <v>237</v>
      </c>
      <c r="O164" s="171"/>
      <c r="P164" s="171"/>
      <c r="Q164" s="171"/>
      <c r="R164" s="169"/>
      <c r="T164" s="274" t="s">
        <v>38</v>
      </c>
      <c r="U164" s="170"/>
      <c r="V164" s="274" t="s">
        <v>237</v>
      </c>
      <c r="W164" s="171"/>
      <c r="X164" s="171"/>
      <c r="Y164" s="171"/>
      <c r="Z164" s="169"/>
    </row>
    <row r="165" spans="1:26" ht="18.75" customHeight="1">
      <c r="A165" s="140"/>
      <c r="B165" s="140"/>
      <c r="D165" s="172" t="s">
        <v>238</v>
      </c>
      <c r="E165" s="407" t="str">
        <f ca="1">_xlfn.IFNA(VLOOKUP(F164,BEGIN_CURRENT_HEALTH:END_CURRENT_HEALTH,CURRENT_COL_EO_count,FALSE),"")</f>
        <v/>
      </c>
      <c r="F165" s="408" t="str">
        <f ca="1">_xlfn.IFNA(VLOOKUP(F164,BEGIN_CURRENT_HEALTH:END_CURRENT_HEALTH,CURRENT_COL_EO,FALSE),"")</f>
        <v/>
      </c>
      <c r="G165" s="468" t="str">
        <f ca="1" t="shared" si="15" ref="G165:G168">IF(F165="","",H165/F165)</f>
        <v/>
      </c>
      <c r="H165" s="408" t="str">
        <f ca="1">_xlfn.IFNA(VLOOKUP(F164,BEGIN_CURRENT_HEALTH:END_CURRENT_HEALTH,CURRENT_COL_EOContrib,FALSE),"")</f>
        <v/>
      </c>
      <c r="I165" s="409" t="str">
        <f ca="1">IFERROR(F165-H165,"")</f>
        <v/>
      </c>
      <c r="J165" s="410" t="str">
        <f ca="1">IF(F165="","",H165*E165)</f>
        <v/>
      </c>
      <c r="K165" s="411"/>
      <c r="L165" s="408" t="str" cm="1">
        <f t="array" ca="1" aca="1" ref="L165">_xlfn.IFNA(VLOOKUP(INDIRECT("L"&amp;ROW()-1)&amp;"_"&amp;$D$12,BEGIN_RENEW_HEALTH:END_RENEW_HEALTH,RENEW_COL_EO,FALSE),"")</f>
        <v/>
      </c>
      <c r="M165" s="412" t="str">
        <f ca="1">IF(E165="","",E165)</f>
        <v/>
      </c>
      <c r="N165" s="413"/>
      <c r="O165" s="414"/>
      <c r="P165" s="415" t="str">
        <f>IFERROR(IF($N164="Keep Contribution Same",H165,IF($N164="Enter Percentages",IF(N165="","",N165*L165),IF($N164="Keep Percentage Same",IF(G165="","",G165*L165),IF($N164="Enter Dollar Amount",IF(O165="","",O165),"")))),"")</f>
        <v/>
      </c>
      <c r="Q165" s="408" t="str">
        <f ca="1">IFERROR(L165-P165,"")</f>
        <v/>
      </c>
      <c r="R165" s="410" t="str">
        <f>IFERROR(IF(P165="","",M165*P165),"")</f>
        <v/>
      </c>
      <c r="S165" s="411"/>
      <c r="T165" s="408" t="str" cm="1">
        <f t="array" ca="1" aca="1" ref="T165">_xlfn.IFNA(VLOOKUP(INDIRECT("T"&amp;ROW()-1)&amp;"_"&amp;$D$12,BEGIN_RENEW_HEALTH:END_RENEW_HEALTH,RENEW_COL_EO,FALSE),"")</f>
        <v/>
      </c>
      <c r="U165" s="412" t="str">
        <f ca="1">IF(E165="","",E165)</f>
        <v/>
      </c>
      <c r="V165" s="413"/>
      <c r="W165" s="414"/>
      <c r="X165" s="415" t="str">
        <f>IFERROR(IF($V164="Keep Contribution Same",H165,IF($V164="Enter Percentages",IF(V165="","",V165*T165),IF($V164="Keep Percentage Same",IF(G165="","",G165*T165),IF($V164="Enter Dollar Amount",IF(W165="","",W165),"")))),"")</f>
        <v/>
      </c>
      <c r="Y165" s="408" t="str">
        <f ca="1">IFERROR(T165-X165,"")</f>
        <v/>
      </c>
      <c r="Z165" s="410" t="str">
        <f>IFERROR(IF(X165="","",U165*X165),"")</f>
        <v/>
      </c>
    </row>
    <row r="166" spans="1:26" ht="18.75" customHeight="1">
      <c r="A166" s="140"/>
      <c r="B166" s="140"/>
      <c r="D166" s="172" t="s">
        <v>239</v>
      </c>
      <c r="E166" s="407" t="str">
        <f ca="1">_xlfn.IFNA(VLOOKUP(F164,BEGIN_CURRENT_HEALTH:END_CURRENT_HEALTH,CURRENT_COL_ES_count,FALSE),"")</f>
        <v/>
      </c>
      <c r="F166" s="408" t="str">
        <f ca="1">_xlfn.IFNA(VLOOKUP(F164,BEGIN_CURRENT_HEALTH:END_CURRENT_HEALTH,CURRENT_COL_ES,FALSE),"")</f>
        <v/>
      </c>
      <c r="G166" s="468" t="str">
        <f t="shared" ca="1" si="15"/>
        <v/>
      </c>
      <c r="H166" s="408" t="str">
        <f ca="1">_xlfn.IFNA(VLOOKUP(F164,BEGIN_CURRENT_HEALTH:END_CURRENT_HEALTH,CURRENT_COL_ESContrib,FALSE),"")</f>
        <v/>
      </c>
      <c r="I166" s="409" t="str">
        <f ca="1" t="shared" si="16" ref="I166:I168">IFERROR(F166-H166,"")</f>
        <v/>
      </c>
      <c r="J166" s="410" t="str">
        <f ca="1">IF(F166="","",H166*E166)</f>
        <v/>
      </c>
      <c r="K166" s="411"/>
      <c r="L166" s="408" t="str" cm="1">
        <f t="array" ca="1" aca="1" ref="L166">_xlfn.IFNA(VLOOKUP(INDIRECT("L"&amp;ROW()-2)&amp;"_"&amp;$D$12,BEGIN_RENEW_HEALTH:END_RENEW_HEALTH,RENEW_COL_ES,FALSE),"")</f>
        <v/>
      </c>
      <c r="M166" s="412" t="str">
        <f ca="1">IF(E166="","",E166)</f>
        <v/>
      </c>
      <c r="N166" s="413"/>
      <c r="O166" s="414"/>
      <c r="P166" s="415" t="str">
        <f>IFERROR(IF($N164="Keep Contribution Same",H166,IF($N164="Enter Percentages",IF(N166="","",N166*L166),IF($N164="Keep Percentage Same",IF(G166="","",G166*L166),IF($N164="Enter Dollar Amount",IF(O166="","",O166),"")))),"")</f>
        <v/>
      </c>
      <c r="Q166" s="408" t="str">
        <f ca="1">IFERROR(L166-P166,"")</f>
        <v/>
      </c>
      <c r="R166" s="410" t="str">
        <f>IFERROR(IF(P166="","",M166*P166),"")</f>
        <v/>
      </c>
      <c r="S166" s="411"/>
      <c r="T166" s="408" t="str" cm="1">
        <f t="array" ca="1" aca="1" ref="T166">_xlfn.IFNA(VLOOKUP(INDIRECT("T"&amp;ROW()-2)&amp;"_"&amp;$D$12,BEGIN_RENEW_HEALTH:END_RENEW_HEALTH,RENEW_COL_ES,FALSE),"")</f>
        <v/>
      </c>
      <c r="U166" s="412" t="str">
        <f ca="1" t="shared" si="17" ref="U166:U168">IF(E166="","",E166)</f>
        <v/>
      </c>
      <c r="V166" s="413"/>
      <c r="W166" s="414"/>
      <c r="X166" s="415" t="str">
        <f>IFERROR(IF($V164="Keep Contribution Same",H166,IF($V164="Enter Percentages",IF(V166="","",V166*T166),IF($V164="Keep Percentage Same",IF(G166="","",G166*T166),IF($V164="Enter Dollar Amount",IF(W166="","",W166),"")))),"")</f>
        <v/>
      </c>
      <c r="Y166" s="408" t="str">
        <f ca="1" t="shared" si="18" ref="Y166:Y168">IFERROR(T166-X166,"")</f>
        <v/>
      </c>
      <c r="Z166" s="410" t="str">
        <f t="shared" si="19" ref="Z166:Z168">IFERROR(IF(X166="","",U166*X166),"")</f>
        <v/>
      </c>
    </row>
    <row r="167" spans="1:26" ht="18.75" customHeight="1">
      <c r="A167" s="140"/>
      <c r="B167" s="140"/>
      <c r="D167" s="172" t="s">
        <v>240</v>
      </c>
      <c r="E167" s="407" t="str">
        <f ca="1">_xlfn.IFNA(VLOOKUP(F164,BEGIN_CURRENT_HEALTH:END_CURRENT_HEALTH,CURRENT_COL_EC_count,FALSE),"")</f>
        <v/>
      </c>
      <c r="F167" s="408" t="str">
        <f ca="1">_xlfn.IFNA(VLOOKUP(F164,BEGIN_CURRENT_HEALTH:END_CURRENT_HEALTH,CURRENT_COL_EC,FALSE),"")</f>
        <v/>
      </c>
      <c r="G167" s="468" t="str">
        <f t="shared" ca="1" si="15"/>
        <v/>
      </c>
      <c r="H167" s="408" t="str">
        <f ca="1">_xlfn.IFNA(VLOOKUP(F164,BEGIN_CURRENT_HEALTH:END_CURRENT_HEALTH,CURRENT_COL_ECContrib,FALSE),"")</f>
        <v/>
      </c>
      <c r="I167" s="409" t="str">
        <f t="shared" ca="1" si="16"/>
        <v/>
      </c>
      <c r="J167" s="410" t="str">
        <f ca="1">IF(F167="","",H167*E167)</f>
        <v/>
      </c>
      <c r="K167" s="411"/>
      <c r="L167" s="408" t="str" cm="1">
        <f t="array" ca="1" aca="1" ref="L167">_xlfn.IFNA(VLOOKUP(INDIRECT("L"&amp;ROW()-3)&amp;"_"&amp;$D$12,BEGIN_RENEW_HEALTH:END_RENEW_HEALTH,RENEW_COL_EC,FALSE),"")</f>
        <v/>
      </c>
      <c r="M167" s="412" t="str">
        <f ca="1">IF(E167="","",E167)</f>
        <v/>
      </c>
      <c r="N167" s="413"/>
      <c r="O167" s="414"/>
      <c r="P167" s="415" t="str">
        <f>IFERROR(IF($N164="Keep Contribution Same",H167,IF($N164="Enter Percentages",IF(N167="","",N167*L167),IF($N164="Keep Percentage Same",IF(G167="","",G167*L167),IF($N164="Enter Dollar Amount",IF(O167="","",O167),"")))),"")</f>
        <v/>
      </c>
      <c r="Q167" s="408" t="str">
        <f ca="1">IFERROR(L167-P167,"")</f>
        <v/>
      </c>
      <c r="R167" s="410" t="str">
        <f>IFERROR(IF(P167="","",M167*P167),"")</f>
        <v/>
      </c>
      <c r="S167" s="411"/>
      <c r="T167" s="408" t="str" cm="1">
        <f t="array" ca="1" aca="1" ref="T167">_xlfn.IFNA(VLOOKUP(INDIRECT("T"&amp;ROW()-3)&amp;"_"&amp;$D$12,BEGIN_RENEW_HEALTH:END_RENEW_HEALTH,RENEW_COL_EC,FALSE),"")</f>
        <v/>
      </c>
      <c r="U167" s="412" t="str">
        <f t="shared" ca="1" si="17"/>
        <v/>
      </c>
      <c r="V167" s="413"/>
      <c r="W167" s="414"/>
      <c r="X167" s="415" t="str">
        <f>IFERROR(IF($V164="Keep Contribution Same",H167,IF($V164="Enter Percentages",IF(V167="","",V167*T167),IF($V164="Keep Percentage Same",IF(G167="","",G167*T167),IF($V164="Enter Dollar Amount",IF(W167="","",W167),"")))),"")</f>
        <v/>
      </c>
      <c r="Y167" s="408" t="str">
        <f t="shared" ca="1" si="18"/>
        <v/>
      </c>
      <c r="Z167" s="410" t="str">
        <f t="shared" si="19"/>
        <v/>
      </c>
    </row>
    <row r="168" spans="1:26" ht="18.75" customHeight="1" thickBot="1">
      <c r="A168" s="140"/>
      <c r="B168" s="140"/>
      <c r="D168" s="174" t="s">
        <v>241</v>
      </c>
      <c r="E168" s="416" t="str">
        <f ca="1">_xlfn.IFNA(VLOOKUP(F164,BEGIN_CURRENT_HEALTH:END_CURRENT_HEALTH,CURRENT_COL_FAM_count,FALSE),"")</f>
        <v/>
      </c>
      <c r="F168" s="417" t="str">
        <f ca="1">_xlfn.IFNA(VLOOKUP(F164,BEGIN_CURRENT_HEALTH:END_CURRENT_HEALTH,CURRENT_COL_FAM,FALSE),"")</f>
        <v/>
      </c>
      <c r="G168" s="469" t="str">
        <f t="shared" ca="1" si="15"/>
        <v/>
      </c>
      <c r="H168" s="417" t="str">
        <f ca="1">_xlfn.IFNA(VLOOKUP(F164,BEGIN_CURRENT_HEALTH:END_CURRENT_HEALTH,CURRENT_COL_FAMContrib,FALSE),"")</f>
        <v/>
      </c>
      <c r="I168" s="418" t="str">
        <f t="shared" ca="1" si="16"/>
        <v/>
      </c>
      <c r="J168" s="419" t="str">
        <f ca="1">IF(F168="","",H168*E168)</f>
        <v/>
      </c>
      <c r="K168" s="411"/>
      <c r="L168" s="417" t="str" cm="1">
        <f t="array" ca="1" aca="1" ref="L168">_xlfn.IFNA(VLOOKUP(INDIRECT("L"&amp;ROW()-4)&amp;"_"&amp;$D$12,BEGIN_RENEW_HEALTH:END_RENEW_HEALTH,RENEW_COL_FAM,FALSE),"")</f>
        <v/>
      </c>
      <c r="M168" s="423" t="str">
        <f ca="1">IF(E168="","",E168)</f>
        <v/>
      </c>
      <c r="N168" s="420"/>
      <c r="O168" s="421"/>
      <c r="P168" s="422" t="str">
        <f>IFERROR(IF($N164="Keep Contribution Same",H168,IF($N164="Enter Percentages",IF(N168="","",N168*L168),IF($N164="Keep Percentage Same",IF(G168="","",G168*L168),IF($N164="Enter Dollar Amount",IF(O168="","",O168),"")))),"")</f>
        <v/>
      </c>
      <c r="Q168" s="417" t="str">
        <f ca="1">IFERROR(L168-P168,"")</f>
        <v/>
      </c>
      <c r="R168" s="419" t="str">
        <f>IFERROR(IF(P168="","",M168*P168),"")</f>
        <v/>
      </c>
      <c r="S168" s="411"/>
      <c r="T168" s="417" t="str" cm="1">
        <f t="array" ca="1" aca="1" ref="T168">_xlfn.IFNA(VLOOKUP(INDIRECT("T"&amp;ROW()-4)&amp;"_"&amp;$D$12,BEGIN_RENEW_HEALTH:END_RENEW_HEALTH,RENEW_COL_FAM,FALSE),"")</f>
        <v/>
      </c>
      <c r="U168" s="423" t="str">
        <f t="shared" ca="1" si="17"/>
        <v/>
      </c>
      <c r="V168" s="420"/>
      <c r="W168" s="421"/>
      <c r="X168" s="422" t="str">
        <f>IFERROR(IF($V164="Keep Contribution Same",H168,IF($V164="Enter Percentages",IF(V168="","",V168*T168),IF($V164="Keep Percentage Same",IF(G168="","",G168*T168),IF($V164="Enter Dollar Amount",IF(W168="","",W168),"")))),"")</f>
        <v/>
      </c>
      <c r="Y168" s="417" t="str">
        <f t="shared" ca="1" si="18"/>
        <v/>
      </c>
      <c r="Z168" s="419" t="str">
        <f t="shared" si="19"/>
        <v/>
      </c>
    </row>
    <row r="169" spans="1:26" ht="18.75" customHeight="1" thickTop="1">
      <c r="A169" s="140"/>
      <c r="B169" s="140"/>
      <c r="D169" s="175" t="s">
        <v>242</v>
      </c>
      <c r="E169" s="424"/>
      <c r="F169" s="447" t="str">
        <f ca="1">IFERROR((F165*E165)+(F166*E166)+(F167*E167)+(F168*E168),"")</f>
        <v/>
      </c>
      <c r="G169" s="426"/>
      <c r="H169" s="427"/>
      <c r="I169" s="428"/>
      <c r="J169" s="429" t="str">
        <f ca="1">IFERROR(IF(J165="","",SUM(J165:J168)),0)</f>
        <v/>
      </c>
      <c r="K169" s="1"/>
      <c r="L169" s="430" t="str">
        <f ca="1">IFERROR((M165*L165)+(M166*L166)+(M167*L167)+(M168*L168),"")</f>
        <v/>
      </c>
      <c r="M169" s="427"/>
      <c r="N169" s="426"/>
      <c r="O169" s="427"/>
      <c r="P169" s="431"/>
      <c r="Q169" s="432"/>
      <c r="R169" s="429" t="str">
        <f>IFERROR(IF(R165="","",SUM(R165:R168)),0)</f>
        <v/>
      </c>
      <c r="T169" s="430" t="str">
        <f ca="1">IFERROR((U165*T165)+(U166*T166)+(U167*T167)+(U168*T168),"")</f>
        <v/>
      </c>
      <c r="U169" s="427"/>
      <c r="V169" s="426"/>
      <c r="W169" s="427"/>
      <c r="X169" s="431"/>
      <c r="Y169" s="432"/>
      <c r="Z169" s="429" t="str">
        <f>IFERROR(IF(Z165="","",SUM(Z165:Z168)),0)</f>
        <v/>
      </c>
    </row>
    <row r="170" spans="1:26" ht="18.75" customHeight="1">
      <c r="A170" s="140"/>
      <c r="B170" s="140"/>
      <c r="D170" s="177" t="s">
        <v>243</v>
      </c>
      <c r="E170" s="433"/>
      <c r="F170" s="448" t="str">
        <f ca="1">IFERROR(F169*12,"")</f>
        <v/>
      </c>
      <c r="G170" s="435"/>
      <c r="H170" s="436"/>
      <c r="I170" s="432"/>
      <c r="J170" s="437" t="str">
        <f ca="1">IF(J169="","",J169*12)</f>
        <v/>
      </c>
      <c r="K170" s="1"/>
      <c r="L170" s="438" t="str">
        <f ca="1">IFERROR(L169*12,"")</f>
        <v/>
      </c>
      <c r="M170" s="436"/>
      <c r="N170" s="435"/>
      <c r="O170" s="436"/>
      <c r="P170" s="432"/>
      <c r="Q170" s="432"/>
      <c r="R170" s="437" t="str">
        <f>IF(R169="","",R169*12)</f>
        <v/>
      </c>
      <c r="T170" s="438" t="str">
        <f ca="1">IFERROR(T169*12,"")</f>
        <v/>
      </c>
      <c r="U170" s="436"/>
      <c r="V170" s="435"/>
      <c r="W170" s="436"/>
      <c r="X170" s="432"/>
      <c r="Y170" s="432"/>
      <c r="Z170" s="437" t="str">
        <f>IF(Z169="","",Z169*12)</f>
        <v/>
      </c>
    </row>
    <row r="171" spans="1:26" ht="18" customHeight="1">
      <c r="A171" s="140"/>
      <c r="B171" s="140"/>
      <c r="D171" s="177" t="s">
        <v>244</v>
      </c>
      <c r="E171" s="433"/>
      <c r="F171" s="436"/>
      <c r="G171" s="435"/>
      <c r="H171" s="436"/>
      <c r="I171" s="432"/>
      <c r="J171" s="437"/>
      <c r="K171" s="1"/>
      <c r="L171" s="434" t="str">
        <f ca="1">IFERROR(L170-F170,"")</f>
        <v/>
      </c>
      <c r="M171" s="436"/>
      <c r="N171" s="435"/>
      <c r="O171" s="436"/>
      <c r="P171" s="432"/>
      <c r="Q171" s="432"/>
      <c r="R171" s="437" t="str">
        <f ca="1">IFERROR(IF(J170="","",R170-J170),0)</f>
        <v/>
      </c>
      <c r="T171" s="434" t="str">
        <f ca="1">IFERROR(T170-F170,"")</f>
        <v/>
      </c>
      <c r="U171" s="436"/>
      <c r="V171" s="435"/>
      <c r="W171" s="436"/>
      <c r="X171" s="432"/>
      <c r="Y171" s="432"/>
      <c r="Z171" s="437" t="str">
        <f>IFERROR(IF(R170="","",Z170-R170),0)</f>
        <v/>
      </c>
    </row>
    <row r="172" spans="1:26" ht="18" customHeight="1" thickBot="1">
      <c r="A172" s="140"/>
      <c r="B172" s="140"/>
      <c r="D172" s="180" t="s">
        <v>245</v>
      </c>
      <c r="E172" s="439"/>
      <c r="F172" s="440"/>
      <c r="G172" s="441"/>
      <c r="H172" s="440"/>
      <c r="I172" s="442"/>
      <c r="J172" s="443"/>
      <c r="K172" s="1"/>
      <c r="L172" s="444" t="str">
        <f ca="1">IFERROR(L170/F170-1,"")</f>
        <v/>
      </c>
      <c r="M172" s="440"/>
      <c r="N172" s="441"/>
      <c r="O172" s="440"/>
      <c r="P172" s="445"/>
      <c r="Q172" s="445"/>
      <c r="R172" s="446" t="str">
        <f ca="1">IFERROR(IF(J170="","",(R170/J170)-1),0)</f>
        <v/>
      </c>
      <c r="T172" s="444" t="str">
        <f ca="1">IFERROR(T170/F170-1,"")</f>
        <v/>
      </c>
      <c r="U172" s="440"/>
      <c r="V172" s="441"/>
      <c r="W172" s="440"/>
      <c r="X172" s="445"/>
      <c r="Y172" s="445"/>
      <c r="Z172" s="446" t="str">
        <f>IFERROR(IF(R170="","",(Z170/R170)-1),0)</f>
        <v/>
      </c>
    </row>
    <row r="173" spans="4:26" ht="18" customHeight="1">
      <c r="D173" s="181" t="s">
        <v>246</v>
      </c>
      <c r="E173" s="182"/>
      <c r="F173" s="182"/>
      <c r="G173" s="182"/>
      <c r="H173" s="182"/>
      <c r="I173" s="182"/>
      <c r="J173" s="183"/>
      <c r="K173"/>
      <c r="L173" s="184"/>
      <c r="M173" s="182"/>
      <c r="N173" s="182"/>
      <c r="O173" s="182"/>
      <c r="P173" s="182"/>
      <c r="Q173" s="182"/>
      <c r="R173" s="183"/>
      <c r="T173" s="184"/>
      <c r="U173" s="182"/>
      <c r="V173" s="182"/>
      <c r="W173" s="182"/>
      <c r="X173" s="182"/>
      <c r="Y173" s="182"/>
      <c r="Z173" s="183"/>
    </row>
    <row r="174" spans="4:26" ht="18" customHeight="1" hidden="1">
      <c r="D174" s="185" t="s">
        <v>247</v>
      </c>
      <c r="E174" s="186"/>
      <c r="F174" s="186"/>
      <c r="G174" s="186"/>
      <c r="H174" s="186"/>
      <c r="I174" s="186"/>
      <c r="J174" s="187"/>
      <c r="K174"/>
      <c r="L174" s="188"/>
      <c r="M174" s="186"/>
      <c r="N174" s="186"/>
      <c r="O174" s="186"/>
      <c r="P174" s="186"/>
      <c r="Q174" s="186"/>
      <c r="R174" s="187"/>
      <c r="T174" s="188"/>
      <c r="U174" s="186"/>
      <c r="V174" s="186"/>
      <c r="W174" s="186"/>
      <c r="X174" s="186"/>
      <c r="Y174" s="186"/>
      <c r="Z174" s="187"/>
    </row>
    <row r="175" spans="4:26" ht="18" customHeight="1" hidden="1">
      <c r="D175" s="189" t="s">
        <v>248</v>
      </c>
      <c r="E175" s="190" t="str">
        <f>D164&amp;"_"&amp;D12</f>
        <v>_</v>
      </c>
      <c r="F175" s="191"/>
      <c r="G175" s="191"/>
      <c r="H175" s="191"/>
      <c r="I175" s="190"/>
      <c r="J175" s="192"/>
      <c r="K175"/>
      <c r="L175" s="193" t="str">
        <f ca="1">L164&amp;"_"&amp;D12</f>
        <v>SELECT PLAN_</v>
      </c>
      <c r="M175" s="191"/>
      <c r="N175" s="191"/>
      <c r="O175" s="191"/>
      <c r="P175" s="190"/>
      <c r="Q175" s="191"/>
      <c r="R175" s="192"/>
      <c r="T175" s="193" t="str">
        <f>T164&amp;"_"&amp;D12</f>
        <v>SELECT PLAN_</v>
      </c>
      <c r="U175" s="191"/>
      <c r="V175" s="191"/>
      <c r="W175" s="191"/>
      <c r="X175" s="190"/>
      <c r="Y175" s="191"/>
      <c r="Z175" s="192"/>
    </row>
    <row r="176" spans="4:26" ht="18" customHeight="1" hidden="1">
      <c r="D176" s="189" t="s">
        <v>249</v>
      </c>
      <c r="E176" s="191"/>
      <c r="F176" s="191"/>
      <c r="G176" s="191"/>
      <c r="H176" s="191"/>
      <c r="I176" s="191"/>
      <c r="J176" s="192"/>
      <c r="K176"/>
      <c r="L176" s="189"/>
      <c r="M176" s="191"/>
      <c r="N176" s="191"/>
      <c r="O176" s="191"/>
      <c r="P176" s="191"/>
      <c r="Q176" s="191"/>
      <c r="R176" s="192"/>
      <c r="T176" s="189"/>
      <c r="U176" s="191"/>
      <c r="V176" s="191"/>
      <c r="W176" s="191"/>
      <c r="X176" s="191"/>
      <c r="Y176" s="191"/>
      <c r="Z176" s="192"/>
    </row>
    <row r="177" spans="4:26" ht="18" customHeight="1" hidden="1">
      <c r="D177" s="194" t="s">
        <v>250</v>
      </c>
      <c r="E177" s="195"/>
      <c r="F177" s="195"/>
      <c r="G177" s="195"/>
      <c r="H177" s="195"/>
      <c r="I177" s="195"/>
      <c r="J177" s="196"/>
      <c r="K177"/>
      <c r="L177" s="197"/>
      <c r="M177" s="195"/>
      <c r="N177" s="195"/>
      <c r="O177" s="195"/>
      <c r="P177" s="195"/>
      <c r="Q177" s="195"/>
      <c r="R177" s="196"/>
      <c r="T177" s="197"/>
      <c r="U177" s="195"/>
      <c r="V177" s="195"/>
      <c r="W177" s="195"/>
      <c r="X177" s="195"/>
      <c r="Y177" s="195"/>
      <c r="Z177" s="196"/>
    </row>
    <row r="178" spans="4:26" ht="18" customHeight="1" hidden="1">
      <c r="D178" s="198" t="s">
        <v>251</v>
      </c>
      <c r="E178" s="199" t="str">
        <f>_xlfn.XLOOKUP(E175,CurrentPlans!B:B,CurrentPlans!X:X,"NA",0,1)</f>
        <v>NA</v>
      </c>
      <c r="F178" s="200"/>
      <c r="G178" s="200"/>
      <c r="H178" s="200"/>
      <c r="I178" s="199"/>
      <c r="J178" s="201"/>
      <c r="K178"/>
      <c r="L178" s="202" t="str">
        <f ca="1">_xlfn.XLOOKUP(L175,RenewalPlans!B:B,RenewalPlans!AA:AA,"NA",0,1)</f>
        <v>NA</v>
      </c>
      <c r="M178" s="200"/>
      <c r="N178" s="200"/>
      <c r="O178" s="200"/>
      <c r="P178" s="199"/>
      <c r="Q178" s="200"/>
      <c r="R178" s="201"/>
      <c r="T178" s="202" t="str">
        <f>_xlfn.XLOOKUP(T175,RenewalPlans!B:B,RenewalPlans!AA:AA,"NA",0,1)</f>
        <v>NA</v>
      </c>
      <c r="U178" s="200"/>
      <c r="V178" s="200"/>
      <c r="W178" s="200"/>
      <c r="X178" s="199"/>
      <c r="Y178" s="200"/>
      <c r="Z178" s="201"/>
    </row>
    <row r="179" spans="4:26" ht="18" customHeight="1" hidden="1">
      <c r="D179" s="198" t="s">
        <v>252</v>
      </c>
      <c r="E179" s="199" t="str">
        <f>_xlfn.XLOOKUP(E175,CurrentPlans!B:B,CurrentPlans!Y:Y,"NA",0,1)</f>
        <v>NA</v>
      </c>
      <c r="F179" s="200"/>
      <c r="G179" s="200"/>
      <c r="H179" s="200"/>
      <c r="I179" s="199"/>
      <c r="J179" s="201"/>
      <c r="K179"/>
      <c r="L179" s="202" t="str">
        <f ca="1">_xlfn.XLOOKUP(L175,RenewalPlans!B:B,RenewalPlans!AB:AB,"NA",0,1)</f>
        <v>NA</v>
      </c>
      <c r="M179" s="200"/>
      <c r="N179" s="200"/>
      <c r="O179" s="200"/>
      <c r="P179" s="199"/>
      <c r="Q179" s="200"/>
      <c r="R179" s="201"/>
      <c r="T179" s="202" t="str">
        <f>_xlfn.XLOOKUP(T175,RenewalPlans!B:B,RenewalPlans!AB:AB,"NA",0,1)</f>
        <v>NA</v>
      </c>
      <c r="U179" s="200"/>
      <c r="V179" s="200"/>
      <c r="W179" s="200"/>
      <c r="X179" s="199"/>
      <c r="Y179" s="200"/>
      <c r="Z179" s="201"/>
    </row>
    <row r="180" spans="4:26" ht="18" customHeight="1" hidden="1">
      <c r="D180" s="120" t="s">
        <v>253</v>
      </c>
      <c r="E180" s="121" t="str">
        <f>_xlfn.XLOOKUP(E175,CurrentPlans!B:B,CurrentPlans!W:W,"NA",0,1)</f>
        <v>NA</v>
      </c>
      <c r="F180" s="122"/>
      <c r="G180" s="122"/>
      <c r="H180" s="122"/>
      <c r="I180" s="121"/>
      <c r="J180" s="123"/>
      <c r="K180"/>
      <c r="L180" s="124" t="str">
        <f ca="1">_xlfn.XLOOKUP(L175,RenewalPlans!B:B,RenewalPlans!Z:Z,"NA",0,1)</f>
        <v>NA</v>
      </c>
      <c r="M180" s="122"/>
      <c r="N180" s="122"/>
      <c r="O180" s="122"/>
      <c r="P180" s="121"/>
      <c r="Q180" s="122"/>
      <c r="R180" s="123"/>
      <c r="T180" s="124" t="str">
        <f>_xlfn.XLOOKUP(T175,RenewalPlans!B:B,RenewalPlans!Z:Z,"NA",0,1)</f>
        <v>NA</v>
      </c>
      <c r="U180" s="122"/>
      <c r="V180" s="122"/>
      <c r="W180" s="122"/>
      <c r="X180" s="121"/>
      <c r="Y180" s="122"/>
      <c r="Z180" s="123"/>
    </row>
    <row r="181" spans="4:26" ht="18" customHeight="1" hidden="1">
      <c r="D181" s="203" t="s">
        <v>254</v>
      </c>
      <c r="E181" s="204"/>
      <c r="F181" s="205"/>
      <c r="G181" s="205"/>
      <c r="H181" s="205"/>
      <c r="I181" s="204"/>
      <c r="J181" s="206"/>
      <c r="K181"/>
      <c r="L181" s="207"/>
      <c r="M181" s="205"/>
      <c r="N181" s="205"/>
      <c r="O181" s="205"/>
      <c r="P181" s="204"/>
      <c r="Q181" s="205"/>
      <c r="R181" s="206"/>
      <c r="T181" s="207"/>
      <c r="U181" s="205"/>
      <c r="V181" s="205"/>
      <c r="W181" s="205"/>
      <c r="X181" s="204"/>
      <c r="Y181" s="205"/>
      <c r="Z181" s="206"/>
    </row>
    <row r="182" spans="4:26" ht="18" customHeight="1" hidden="1">
      <c r="D182" s="125" t="s">
        <v>255</v>
      </c>
      <c r="E182" s="126" t="str">
        <f>_xlfn.XLOOKUP(E175,CurrentPlans!B:B,CurrentPlans!Z:Z,"NA",0,1)</f>
        <v>NA</v>
      </c>
      <c r="F182" s="127"/>
      <c r="G182" s="127"/>
      <c r="H182" s="127"/>
      <c r="I182" s="126"/>
      <c r="J182" s="128"/>
      <c r="K182"/>
      <c r="L182" s="129" t="str">
        <f ca="1">_xlfn.XLOOKUP(L175,RenewalPlans!B:B,RenewalPlans!AC:AC,"NA",0,1)</f>
        <v>NA</v>
      </c>
      <c r="M182" s="127"/>
      <c r="N182" s="127"/>
      <c r="O182" s="127"/>
      <c r="P182" s="126"/>
      <c r="Q182" s="127"/>
      <c r="R182" s="128"/>
      <c r="T182" s="129" t="str">
        <f>_xlfn.XLOOKUP(T175,RenewalPlans!B:B,RenewalPlans!AC:AC,"NA",0,1)</f>
        <v>NA</v>
      </c>
      <c r="U182" s="127"/>
      <c r="V182" s="127"/>
      <c r="W182" s="127"/>
      <c r="X182" s="126"/>
      <c r="Y182" s="127"/>
      <c r="Z182" s="128"/>
    </row>
    <row r="183" spans="4:26" ht="18" customHeight="1" hidden="1">
      <c r="D183" s="198" t="s">
        <v>256</v>
      </c>
      <c r="E183" s="208" t="str">
        <f>_xlfn.XLOOKUP(E175,CurrentPlans!B:B,CurrentPlans!AA:AA,"NA",0,1)</f>
        <v>NA</v>
      </c>
      <c r="F183" s="200"/>
      <c r="G183" s="200"/>
      <c r="H183" s="200"/>
      <c r="I183" s="208"/>
      <c r="J183" s="201"/>
      <c r="K183"/>
      <c r="L183" s="209" t="str">
        <f ca="1">_xlfn.XLOOKUP(L175,RenewalPlans!B:B,RenewalPlans!AD:AD,"NA",0,1)</f>
        <v>NA</v>
      </c>
      <c r="M183" s="200"/>
      <c r="N183" s="200"/>
      <c r="O183" s="200"/>
      <c r="P183" s="208"/>
      <c r="Q183" s="200"/>
      <c r="R183" s="201"/>
      <c r="T183" s="209" t="str">
        <f>_xlfn.XLOOKUP(T175,RenewalPlans!B:B,RenewalPlans!AD:AD,"NA",0,1)</f>
        <v>NA</v>
      </c>
      <c r="U183" s="200"/>
      <c r="V183" s="200"/>
      <c r="W183" s="200"/>
      <c r="X183" s="208"/>
      <c r="Y183" s="200"/>
      <c r="Z183" s="201"/>
    </row>
    <row r="184" spans="4:26" ht="18" customHeight="1" hidden="1">
      <c r="D184" s="203" t="s">
        <v>257</v>
      </c>
      <c r="E184" s="204"/>
      <c r="F184" s="205"/>
      <c r="G184" s="205"/>
      <c r="H184" s="205"/>
      <c r="I184" s="204"/>
      <c r="J184" s="206"/>
      <c r="K184"/>
      <c r="L184" s="207"/>
      <c r="M184" s="205"/>
      <c r="N184" s="205"/>
      <c r="O184" s="205"/>
      <c r="P184" s="204"/>
      <c r="Q184" s="205"/>
      <c r="R184" s="206"/>
      <c r="T184" s="207"/>
      <c r="U184" s="205"/>
      <c r="V184" s="205"/>
      <c r="W184" s="205"/>
      <c r="X184" s="204"/>
      <c r="Y184" s="205"/>
      <c r="Z184" s="206"/>
    </row>
    <row r="185" spans="4:26" ht="18" customHeight="1" hidden="1">
      <c r="D185" s="198" t="s">
        <v>258</v>
      </c>
      <c r="E185" s="208" t="str">
        <f>_xlfn.XLOOKUP(E175,CurrentPlans!B:B,CurrentPlans!AB:AB,"NA",0,1)</f>
        <v>NA</v>
      </c>
      <c r="F185" s="200"/>
      <c r="G185" s="200"/>
      <c r="H185" s="200"/>
      <c r="I185" s="208"/>
      <c r="J185" s="201"/>
      <c r="K185"/>
      <c r="L185" s="209" t="str">
        <f ca="1">_xlfn.XLOOKUP(L175,RenewalPlans!B:B,RenewalPlans!AE:AE,"NA",0,1)</f>
        <v>NA</v>
      </c>
      <c r="M185" s="200"/>
      <c r="N185" s="200"/>
      <c r="O185" s="200"/>
      <c r="P185" s="208"/>
      <c r="Q185" s="200"/>
      <c r="R185" s="201"/>
      <c r="T185" s="209" t="str">
        <f>_xlfn.XLOOKUP(T175,RenewalPlans!B:B,RenewalPlans!AE:AE,"NA",0,1)</f>
        <v>NA</v>
      </c>
      <c r="U185" s="200"/>
      <c r="V185" s="200"/>
      <c r="W185" s="200"/>
      <c r="X185" s="208"/>
      <c r="Y185" s="200"/>
      <c r="Z185" s="201"/>
    </row>
    <row r="186" spans="4:26" ht="18" customHeight="1" hidden="1">
      <c r="D186" s="198" t="s">
        <v>259</v>
      </c>
      <c r="E186" s="208" t="str">
        <f>_xlfn.XLOOKUP(E175,CurrentPlans!B:B,CurrentPlans!AC:AC,"NA",0,1)</f>
        <v>NA</v>
      </c>
      <c r="F186" s="200"/>
      <c r="G186" s="200"/>
      <c r="H186" s="200"/>
      <c r="I186" s="208"/>
      <c r="J186" s="201"/>
      <c r="K186"/>
      <c r="L186" s="209" t="str">
        <f ca="1">_xlfn.XLOOKUP(L175,RenewalPlans!B:B,RenewalPlans!AF:AF,"NA",0,1)</f>
        <v>NA</v>
      </c>
      <c r="M186" s="200"/>
      <c r="N186" s="200"/>
      <c r="O186" s="200"/>
      <c r="P186" s="208"/>
      <c r="Q186" s="200"/>
      <c r="R186" s="201"/>
      <c r="T186" s="209" t="str">
        <f>_xlfn.XLOOKUP(T175,RenewalPlans!B:B,RenewalPlans!AF:AF,"NA",0,1)</f>
        <v>NA</v>
      </c>
      <c r="U186" s="200"/>
      <c r="V186" s="200"/>
      <c r="W186" s="200"/>
      <c r="X186" s="208"/>
      <c r="Y186" s="200"/>
      <c r="Z186" s="201"/>
    </row>
    <row r="187" spans="4:26" ht="18" customHeight="1" hidden="1">
      <c r="D187" s="210"/>
      <c r="E187" s="211"/>
      <c r="F187" s="211"/>
      <c r="G187" s="211"/>
      <c r="H187" s="211"/>
      <c r="I187" s="211"/>
      <c r="J187" s="212"/>
      <c r="K187"/>
      <c r="L187" s="210"/>
      <c r="M187" s="211"/>
      <c r="N187" s="211"/>
      <c r="O187" s="211"/>
      <c r="P187" s="211"/>
      <c r="Q187" s="211"/>
      <c r="R187" s="212"/>
      <c r="T187" s="210"/>
      <c r="U187" s="211"/>
      <c r="V187" s="211"/>
      <c r="W187" s="211"/>
      <c r="X187" s="211"/>
      <c r="Y187" s="211"/>
      <c r="Z187" s="212"/>
    </row>
    <row r="188" spans="4:26" ht="18" customHeight="1" hidden="1">
      <c r="D188" s="185" t="s">
        <v>260</v>
      </c>
      <c r="E188" s="186"/>
      <c r="F188" s="186"/>
      <c r="G188" s="186"/>
      <c r="H188" s="186"/>
      <c r="I188" s="186"/>
      <c r="J188" s="187"/>
      <c r="K188"/>
      <c r="L188" s="188"/>
      <c r="M188" s="186"/>
      <c r="N188" s="186"/>
      <c r="O188" s="186"/>
      <c r="P188" s="186"/>
      <c r="Q188" s="186"/>
      <c r="R188" s="187"/>
      <c r="T188" s="188"/>
      <c r="U188" s="186"/>
      <c r="V188" s="186"/>
      <c r="W188" s="186"/>
      <c r="X188" s="186"/>
      <c r="Y188" s="186"/>
      <c r="Z188" s="187"/>
    </row>
    <row r="189" spans="4:26" ht="18" customHeight="1" hidden="1">
      <c r="D189" s="213" t="s">
        <v>261</v>
      </c>
      <c r="E189" s="130" t="str">
        <f>_xlfn.XLOOKUP(E175,CurrentPlans!B:B,CurrentPlans!AJ:AJ,"NA",0,1)</f>
        <v>NA</v>
      </c>
      <c r="F189" s="214"/>
      <c r="G189" s="214"/>
      <c r="H189" s="214"/>
      <c r="I189" s="130"/>
      <c r="J189" s="215"/>
      <c r="K189"/>
      <c r="L189" s="131" t="str">
        <f ca="1">_xlfn.XLOOKUP(L175,RenewalPlans!B:B,RenewalPlans!AM:AM,"NA",0,1)</f>
        <v>NA</v>
      </c>
      <c r="M189" s="214"/>
      <c r="N189" s="214"/>
      <c r="O189" s="214"/>
      <c r="P189" s="130"/>
      <c r="Q189" s="214"/>
      <c r="R189" s="215"/>
      <c r="T189" s="131" t="str">
        <f>_xlfn.XLOOKUP(T175,RenewalPlans!B:B,RenewalPlans!AM:AM,"NA",0,1)</f>
        <v>NA</v>
      </c>
      <c r="U189" s="214"/>
      <c r="V189" s="214"/>
      <c r="W189" s="214"/>
      <c r="X189" s="130"/>
      <c r="Y189" s="214"/>
      <c r="Z189" s="215"/>
    </row>
    <row r="190" spans="4:26" ht="18" customHeight="1" hidden="1">
      <c r="D190" s="198" t="s">
        <v>262</v>
      </c>
      <c r="E190" s="130" t="str">
        <f>_xlfn.XLOOKUP(E175,CurrentPlans!B:B,CurrentPlans!AM:AM,"NA",0,1)</f>
        <v>NA</v>
      </c>
      <c r="F190" s="200"/>
      <c r="G190" s="200"/>
      <c r="H190" s="200"/>
      <c r="I190" s="130"/>
      <c r="J190" s="201"/>
      <c r="K190"/>
      <c r="L190" s="131" t="str">
        <f ca="1">_xlfn.XLOOKUP(L175,RenewalPlans!B:B,RenewalPlans!AP:AP,"NA",0,1)</f>
        <v>NA</v>
      </c>
      <c r="M190" s="200"/>
      <c r="N190" s="200"/>
      <c r="O190" s="200"/>
      <c r="P190" s="130"/>
      <c r="Q190" s="200"/>
      <c r="R190" s="201"/>
      <c r="T190" s="131" t="str">
        <f>_xlfn.XLOOKUP(T175,RenewalPlans!B:B,RenewalPlans!AP:AP,"NA",0,1)</f>
        <v>NA</v>
      </c>
      <c r="U190" s="200"/>
      <c r="V190" s="200"/>
      <c r="W190" s="200"/>
      <c r="X190" s="130"/>
      <c r="Y190" s="200"/>
      <c r="Z190" s="201"/>
    </row>
    <row r="191" spans="4:26" ht="18" customHeight="1" hidden="1">
      <c r="D191" s="198" t="s">
        <v>263</v>
      </c>
      <c r="E191" s="130" t="str">
        <f>_xlfn.XLOOKUP(E175,CurrentPlans!B:B,CurrentPlans!AI:AI,"NA",0,1)</f>
        <v>NA</v>
      </c>
      <c r="F191" s="200"/>
      <c r="G191" s="200"/>
      <c r="H191" s="200"/>
      <c r="I191" s="130"/>
      <c r="J191" s="201"/>
      <c r="K191"/>
      <c r="L191" s="131" t="str">
        <f ca="1">_xlfn.XLOOKUP(L175,RenewalPlans!B:B,RenewalPlans!AL:AL,"NA",0,1)</f>
        <v>NA</v>
      </c>
      <c r="M191" s="200"/>
      <c r="N191" s="200"/>
      <c r="O191" s="200"/>
      <c r="P191" s="130"/>
      <c r="Q191" s="200"/>
      <c r="R191" s="201"/>
      <c r="T191" s="131" t="str">
        <f>_xlfn.XLOOKUP(T175,RenewalPlans!B:B,RenewalPlans!AL:AL,"NA",0,1)</f>
        <v>NA</v>
      </c>
      <c r="U191" s="200"/>
      <c r="V191" s="200"/>
      <c r="W191" s="200"/>
      <c r="X191" s="130"/>
      <c r="Y191" s="200"/>
      <c r="Z191" s="201"/>
    </row>
    <row r="192" spans="4:26" ht="18" customHeight="1" hidden="1">
      <c r="D192" s="198" t="s">
        <v>264</v>
      </c>
      <c r="E192" s="208" t="str">
        <f>_xlfn.XLOOKUP(E175,CurrentPlans!B:B,CurrentPlans!AN:AN,"NA",0,1)</f>
        <v>NA</v>
      </c>
      <c r="F192" s="200"/>
      <c r="G192" s="200"/>
      <c r="H192" s="200"/>
      <c r="I192" s="208"/>
      <c r="J192" s="201"/>
      <c r="K192"/>
      <c r="L192" s="209" t="str">
        <f ca="1">_xlfn.XLOOKUP(L175,RenewalPlans!B:B,RenewalPlans!AQ:AQ,"NA",0,1)</f>
        <v>NA</v>
      </c>
      <c r="M192" s="200"/>
      <c r="N192" s="200"/>
      <c r="O192" s="200"/>
      <c r="P192" s="208"/>
      <c r="Q192" s="200"/>
      <c r="R192" s="201"/>
      <c r="T192" s="209" t="str">
        <f>_xlfn.XLOOKUP(T175,RenewalPlans!B:B,RenewalPlans!AQ:AQ,"NA",0,1)</f>
        <v>NA</v>
      </c>
      <c r="U192" s="200"/>
      <c r="V192" s="200"/>
      <c r="W192" s="200"/>
      <c r="X192" s="208"/>
      <c r="Y192" s="200"/>
      <c r="Z192" s="201"/>
    </row>
    <row r="193" spans="4:26" ht="18" customHeight="1" hidden="1">
      <c r="D193" s="210"/>
      <c r="E193" s="211"/>
      <c r="F193" s="211"/>
      <c r="G193" s="211"/>
      <c r="H193" s="211"/>
      <c r="I193" s="211"/>
      <c r="J193" s="212"/>
      <c r="K193"/>
      <c r="L193" s="210"/>
      <c r="M193" s="211"/>
      <c r="N193" s="211"/>
      <c r="O193" s="211"/>
      <c r="P193" s="211"/>
      <c r="Q193" s="211"/>
      <c r="R193" s="212"/>
      <c r="T193" s="210"/>
      <c r="U193" s="211"/>
      <c r="V193" s="211"/>
      <c r="W193" s="211"/>
      <c r="X193" s="211"/>
      <c r="Y193" s="211"/>
      <c r="Z193" s="212"/>
    </row>
    <row r="194" spans="4:26" ht="18" customHeight="1" hidden="1">
      <c r="D194" s="185" t="s">
        <v>265</v>
      </c>
      <c r="E194" s="186"/>
      <c r="F194" s="186"/>
      <c r="G194" s="186"/>
      <c r="H194" s="186"/>
      <c r="I194" s="186"/>
      <c r="J194" s="187"/>
      <c r="K194"/>
      <c r="L194" s="188"/>
      <c r="M194" s="186"/>
      <c r="N194" s="186"/>
      <c r="O194" s="186"/>
      <c r="P194" s="186"/>
      <c r="Q194" s="186"/>
      <c r="R194" s="187"/>
      <c r="T194" s="188"/>
      <c r="U194" s="186"/>
      <c r="V194" s="186"/>
      <c r="W194" s="186"/>
      <c r="X194" s="186"/>
      <c r="Y194" s="186"/>
      <c r="Z194" s="187"/>
    </row>
    <row r="195" spans="4:26" ht="18" customHeight="1" hidden="1">
      <c r="D195" s="132" t="s">
        <v>266</v>
      </c>
      <c r="E195" s="133" t="str">
        <f>_xlfn.XLOOKUP(E175,CurrentPlans!B:B,CurrentPlans!AE:AE,"NA",0,1)</f>
        <v>NA</v>
      </c>
      <c r="F195" s="134"/>
      <c r="G195" s="134"/>
      <c r="H195" s="134"/>
      <c r="I195" s="133"/>
      <c r="J195" s="135"/>
      <c r="K195"/>
      <c r="L195" s="136" t="str">
        <f ca="1">_xlfn.XLOOKUP(L175,RenewalPlans!B:B,RenewalPlans!AH:AH,"NA",0,1)</f>
        <v>NA</v>
      </c>
      <c r="M195" s="134"/>
      <c r="N195" s="134"/>
      <c r="O195" s="134"/>
      <c r="P195" s="133"/>
      <c r="Q195" s="134"/>
      <c r="R195" s="135"/>
      <c r="T195" s="136" t="str">
        <f>_xlfn.XLOOKUP(T175,RenewalPlans!B:B,RenewalPlans!AH:AH,"NA",0,1)</f>
        <v>NA</v>
      </c>
      <c r="U195" s="134"/>
      <c r="V195" s="134"/>
      <c r="W195" s="134"/>
      <c r="X195" s="133"/>
      <c r="Y195" s="134"/>
      <c r="Z195" s="135"/>
    </row>
    <row r="196" spans="4:26" ht="18" customHeight="1" hidden="1">
      <c r="D196" s="120" t="s">
        <v>267</v>
      </c>
      <c r="E196" s="130" t="str">
        <f>_xlfn.XLOOKUP(E175,CurrentPlans!B:B,CurrentPlans!AF:AF,"NA",0,1)</f>
        <v>NA</v>
      </c>
      <c r="F196" s="122"/>
      <c r="G196" s="122"/>
      <c r="H196" s="122"/>
      <c r="I196" s="130"/>
      <c r="J196" s="123"/>
      <c r="K196"/>
      <c r="L196" s="131" t="str">
        <f ca="1">_xlfn.XLOOKUP(L175,RenewalPlans!B:B,RenewalPlans!AI:AI,"NA",0,1)</f>
        <v>NA</v>
      </c>
      <c r="M196" s="122"/>
      <c r="N196" s="122"/>
      <c r="O196" s="122"/>
      <c r="P196" s="130"/>
      <c r="Q196" s="122"/>
      <c r="R196" s="123"/>
      <c r="T196" s="131" t="str">
        <f>_xlfn.XLOOKUP(T175,RenewalPlans!B:B,RenewalPlans!AI:AI,"NA",0,1)</f>
        <v>NA</v>
      </c>
      <c r="U196" s="122"/>
      <c r="V196" s="122"/>
      <c r="W196" s="122"/>
      <c r="X196" s="130"/>
      <c r="Y196" s="122"/>
      <c r="Z196" s="123"/>
    </row>
    <row r="197" spans="4:26" ht="18" customHeight="1" hidden="1">
      <c r="D197" s="198" t="s">
        <v>268</v>
      </c>
      <c r="E197" s="130" t="str">
        <f>_xlfn.XLOOKUP(E175,CurrentPlans!B:B,CurrentPlans!AH:AH,"NA",0,1)</f>
        <v>NA</v>
      </c>
      <c r="F197" s="200"/>
      <c r="G197" s="200"/>
      <c r="H197" s="200"/>
      <c r="I197" s="130"/>
      <c r="J197" s="201"/>
      <c r="K197"/>
      <c r="L197" s="131" t="str">
        <f ca="1">_xlfn.XLOOKUP(L175,RenewalPlans!B:B,RenewalPlans!AK:AK,"NA",0,1)</f>
        <v>NA</v>
      </c>
      <c r="M197" s="200"/>
      <c r="N197" s="200"/>
      <c r="O197" s="200"/>
      <c r="P197" s="130"/>
      <c r="Q197" s="200"/>
      <c r="R197" s="201"/>
      <c r="T197" s="131" t="str">
        <f>_xlfn.XLOOKUP(T175,RenewalPlans!B:B,RenewalPlans!AK:AK,"NA",0,1)</f>
        <v>NA</v>
      </c>
      <c r="U197" s="200"/>
      <c r="V197" s="200"/>
      <c r="W197" s="200"/>
      <c r="X197" s="130"/>
      <c r="Y197" s="200"/>
      <c r="Z197" s="201"/>
    </row>
    <row r="198" spans="4:26" ht="18" customHeight="1" hidden="1">
      <c r="D198" s="198" t="s">
        <v>269</v>
      </c>
      <c r="E198" s="130" t="str">
        <f>_xlfn.XLOOKUP(E175,CurrentPlans!B:B,CurrentPlans!AG:AG,"NA",0,1)</f>
        <v>NA</v>
      </c>
      <c r="F198" s="200"/>
      <c r="G198" s="200"/>
      <c r="H198" s="200"/>
      <c r="I198" s="130"/>
      <c r="J198" s="201"/>
      <c r="K198"/>
      <c r="L198" s="131" t="str">
        <f ca="1">_xlfn.XLOOKUP(L175,RenewalPlans!B:B,RenewalPlans!AJ:AJ,"NA",0,1)</f>
        <v>NA</v>
      </c>
      <c r="M198" s="200"/>
      <c r="N198" s="200"/>
      <c r="O198" s="200"/>
      <c r="P198" s="130"/>
      <c r="Q198" s="200"/>
      <c r="R198" s="201"/>
      <c r="T198" s="131" t="str">
        <f>_xlfn.XLOOKUP(T175,RenewalPlans!B:B,RenewalPlans!AJ:AJ,"NA",0,1)</f>
        <v>NA</v>
      </c>
      <c r="U198" s="200"/>
      <c r="V198" s="200"/>
      <c r="W198" s="200"/>
      <c r="X198" s="130"/>
      <c r="Y198" s="200"/>
      <c r="Z198" s="201"/>
    </row>
    <row r="199" spans="4:26" ht="18" customHeight="1" hidden="1">
      <c r="D199" s="213" t="s">
        <v>270</v>
      </c>
      <c r="E199" s="216" t="str">
        <f>_xlfn.XLOOKUP(E175,CurrentPlans!B:B,CurrentPlans!AU:AU,"NA",0,1)</f>
        <v>NA</v>
      </c>
      <c r="F199" s="214"/>
      <c r="G199" s="214"/>
      <c r="H199" s="214"/>
      <c r="I199" s="217"/>
      <c r="J199" s="215"/>
      <c r="K199"/>
      <c r="L199" s="218" t="str">
        <f ca="1">_xlfn.XLOOKUP(L175,RenewalPlans!B:B,RenewalPlans!AX:AX,"NA",0,1)</f>
        <v>NA</v>
      </c>
      <c r="M199" s="214"/>
      <c r="N199" s="214"/>
      <c r="O199" s="214"/>
      <c r="P199" s="217"/>
      <c r="Q199" s="214"/>
      <c r="R199" s="215"/>
      <c r="T199" s="218" t="str">
        <f>_xlfn.XLOOKUP(T175,RenewalPlans!B:B,RenewalPlans!AX:AX,"NA",0,1)</f>
        <v>NA</v>
      </c>
      <c r="U199" s="214"/>
      <c r="V199" s="214"/>
      <c r="W199" s="214"/>
      <c r="X199" s="217"/>
      <c r="Y199" s="214"/>
      <c r="Z199" s="215"/>
    </row>
    <row r="200" spans="4:26" ht="18" customHeight="1" hidden="1">
      <c r="D200" s="213" t="s">
        <v>271</v>
      </c>
      <c r="E200" s="216" t="str">
        <f>_xlfn.XLOOKUP(E175,CurrentPlans!B:B,CurrentPlans!AT:AT,"NA",0,1)</f>
        <v>NA</v>
      </c>
      <c r="F200" s="214"/>
      <c r="G200" s="214"/>
      <c r="H200" s="214"/>
      <c r="I200" s="217"/>
      <c r="J200" s="215"/>
      <c r="K200"/>
      <c r="L200" s="218" t="str">
        <f ca="1">_xlfn.XLOOKUP(L175,RenewalPlans!B:B,RenewalPlans!AW:AW,"NA",0,1)</f>
        <v>NA</v>
      </c>
      <c r="M200" s="214"/>
      <c r="N200" s="214"/>
      <c r="O200" s="214"/>
      <c r="P200" s="217"/>
      <c r="Q200" s="214"/>
      <c r="R200" s="215"/>
      <c r="T200" s="218" t="str">
        <f>_xlfn.XLOOKUP(T175,RenewalPlans!B:B,RenewalPlans!AW:AW,"NA",0,1)</f>
        <v>NA</v>
      </c>
      <c r="U200" s="214"/>
      <c r="V200" s="214"/>
      <c r="W200" s="214"/>
      <c r="X200" s="217"/>
      <c r="Y200" s="214"/>
      <c r="Z200" s="215"/>
    </row>
    <row r="201" spans="4:26" ht="18" customHeight="1" hidden="1">
      <c r="D201" s="198" t="s">
        <v>272</v>
      </c>
      <c r="E201" s="130" t="str">
        <f>_xlfn.XLOOKUP(E175,CurrentPlans!B:B,CurrentPlans!AD:AD,"NA",0,1)</f>
        <v>NA</v>
      </c>
      <c r="F201" s="200"/>
      <c r="G201" s="200"/>
      <c r="H201" s="200"/>
      <c r="I201" s="130"/>
      <c r="J201" s="201"/>
      <c r="K201"/>
      <c r="L201" s="131" t="str">
        <f ca="1">_xlfn.XLOOKUP(L175,RenewalPlans!B:B,RenewalPlans!AG:AG,"NA",0,1)</f>
        <v>NA</v>
      </c>
      <c r="M201" s="200"/>
      <c r="N201" s="200"/>
      <c r="O201" s="200"/>
      <c r="P201" s="130"/>
      <c r="Q201" s="200"/>
      <c r="R201" s="201"/>
      <c r="T201" s="131" t="str">
        <f>_xlfn.XLOOKUP(T175,RenewalPlans!B:B,RenewalPlans!AG:AG,"NA",0,1)</f>
        <v>NA</v>
      </c>
      <c r="U201" s="200"/>
      <c r="V201" s="200"/>
      <c r="W201" s="200"/>
      <c r="X201" s="130"/>
      <c r="Y201" s="200"/>
      <c r="Z201" s="201"/>
    </row>
    <row r="202" spans="4:26" ht="18" customHeight="1" hidden="1">
      <c r="D202" s="198" t="s">
        <v>273</v>
      </c>
      <c r="E202" s="200"/>
      <c r="F202" s="200"/>
      <c r="G202" s="200"/>
      <c r="H202" s="200"/>
      <c r="I202" s="200"/>
      <c r="J202" s="201"/>
      <c r="K202"/>
      <c r="L202" s="198"/>
      <c r="M202" s="200"/>
      <c r="N202" s="200"/>
      <c r="O202" s="200"/>
      <c r="P202" s="200"/>
      <c r="Q202" s="200"/>
      <c r="R202" s="201"/>
      <c r="T202" s="198"/>
      <c r="U202" s="200"/>
      <c r="V202" s="200"/>
      <c r="W202" s="200"/>
      <c r="X202" s="200"/>
      <c r="Y202" s="200"/>
      <c r="Z202" s="201"/>
    </row>
    <row r="203" spans="4:26" ht="18" customHeight="1" hidden="1">
      <c r="D203" s="210"/>
      <c r="E203" s="211"/>
      <c r="F203" s="211"/>
      <c r="G203" s="211"/>
      <c r="H203" s="211"/>
      <c r="I203" s="211"/>
      <c r="J203" s="212"/>
      <c r="K203"/>
      <c r="L203" s="210"/>
      <c r="M203" s="211"/>
      <c r="N203" s="211"/>
      <c r="O203" s="211"/>
      <c r="P203" s="211"/>
      <c r="Q203" s="211"/>
      <c r="R203" s="212"/>
      <c r="T203" s="210"/>
      <c r="U203" s="211"/>
      <c r="V203" s="211"/>
      <c r="W203" s="211"/>
      <c r="X203" s="211"/>
      <c r="Y203" s="211"/>
      <c r="Z203" s="212"/>
    </row>
    <row r="204" spans="4:26" ht="18" customHeight="1" hidden="1">
      <c r="D204" s="219" t="s">
        <v>274</v>
      </c>
      <c r="E204" s="220"/>
      <c r="F204" s="220"/>
      <c r="G204" s="220"/>
      <c r="H204" s="220"/>
      <c r="I204" s="220"/>
      <c r="J204" s="221"/>
      <c r="K204"/>
      <c r="L204" s="222"/>
      <c r="M204" s="220"/>
      <c r="N204" s="220"/>
      <c r="O204" s="220"/>
      <c r="P204" s="220"/>
      <c r="Q204" s="220"/>
      <c r="R204" s="221"/>
      <c r="T204" s="222"/>
      <c r="U204" s="220"/>
      <c r="V204" s="220"/>
      <c r="W204" s="220"/>
      <c r="X204" s="220"/>
      <c r="Y204" s="220"/>
      <c r="Z204" s="221"/>
    </row>
    <row r="205" spans="4:26" ht="18" customHeight="1" hidden="1">
      <c r="D205" s="223" t="s">
        <v>250</v>
      </c>
      <c r="E205" s="205"/>
      <c r="F205" s="205"/>
      <c r="G205" s="205"/>
      <c r="H205" s="205"/>
      <c r="I205" s="205"/>
      <c r="J205" s="206"/>
      <c r="K205"/>
      <c r="L205" s="203"/>
      <c r="M205" s="205"/>
      <c r="N205" s="205"/>
      <c r="O205" s="205"/>
      <c r="P205" s="205"/>
      <c r="Q205" s="205"/>
      <c r="R205" s="206"/>
      <c r="T205" s="203"/>
      <c r="U205" s="205"/>
      <c r="V205" s="205"/>
      <c r="W205" s="205"/>
      <c r="X205" s="205"/>
      <c r="Y205" s="205"/>
      <c r="Z205" s="206"/>
    </row>
    <row r="206" spans="4:26" ht="18" customHeight="1" hidden="1">
      <c r="D206" s="198" t="s">
        <v>251</v>
      </c>
      <c r="E206" s="130" t="str">
        <f>_xlfn.XLOOKUP(E175,CurrentPlans!B:B,CurrentPlans!AP:AP,"NA",0,1)</f>
        <v>NA</v>
      </c>
      <c r="F206" s="200"/>
      <c r="G206" s="200"/>
      <c r="H206" s="200"/>
      <c r="I206" s="130"/>
      <c r="J206" s="201"/>
      <c r="K206"/>
      <c r="L206" s="131" t="str">
        <f ca="1">_xlfn.XLOOKUP(L175,RenewalPlans!B:B,RenewalPlans!AS:AS,"NA",0,1)</f>
        <v>NA</v>
      </c>
      <c r="M206" s="200"/>
      <c r="N206" s="200"/>
      <c r="O206" s="200"/>
      <c r="P206" s="130"/>
      <c r="Q206" s="200"/>
      <c r="R206" s="201"/>
      <c r="T206" s="131" t="str">
        <f>_xlfn.XLOOKUP(T175,RenewalPlans!B:B,RenewalPlans!AS:AS,"NA",0,1)</f>
        <v>NA</v>
      </c>
      <c r="U206" s="200"/>
      <c r="V206" s="200"/>
      <c r="W206" s="200"/>
      <c r="X206" s="130"/>
      <c r="Y206" s="200"/>
      <c r="Z206" s="201"/>
    </row>
    <row r="207" spans="4:26" ht="18" customHeight="1" hidden="1">
      <c r="D207" s="198" t="s">
        <v>252</v>
      </c>
      <c r="E207" s="130" t="str">
        <f>_xlfn.XLOOKUP(E175,CurrentPlans!B:B,CurrentPlans!AQ:AQ,"NA",0,1)</f>
        <v>NA</v>
      </c>
      <c r="F207" s="200"/>
      <c r="G207" s="200"/>
      <c r="H207" s="200"/>
      <c r="I207" s="130"/>
      <c r="J207" s="201"/>
      <c r="K207"/>
      <c r="L207" s="131" t="str">
        <f ca="1">_xlfn.XLOOKUP(L175,RenewalPlans!B:B,RenewalPlans!AT:AT,"NA",0,1)</f>
        <v>NA</v>
      </c>
      <c r="M207" s="200"/>
      <c r="N207" s="200"/>
      <c r="O207" s="200"/>
      <c r="P207" s="130"/>
      <c r="Q207" s="200"/>
      <c r="R207" s="201"/>
      <c r="T207" s="131" t="str">
        <f>_xlfn.XLOOKUP(T175,RenewalPlans!B:B,RenewalPlans!AT:AT,"NA",0,1)</f>
        <v>NA</v>
      </c>
      <c r="U207" s="200"/>
      <c r="V207" s="200"/>
      <c r="W207" s="200"/>
      <c r="X207" s="130"/>
      <c r="Y207" s="200"/>
      <c r="Z207" s="201"/>
    </row>
    <row r="208" spans="4:26" ht="18" customHeight="1" hidden="1">
      <c r="D208" s="120" t="s">
        <v>253</v>
      </c>
      <c r="E208" s="133" t="str">
        <f>_xlfn.XLOOKUP(E175,CurrentPlans!B:B,CurrentPlans!AO:AO,"NA",0,1)</f>
        <v>NA</v>
      </c>
      <c r="F208" s="122"/>
      <c r="G208" s="122"/>
      <c r="H208" s="122"/>
      <c r="I208" s="133"/>
      <c r="J208" s="123"/>
      <c r="K208"/>
      <c r="L208" s="136" t="str">
        <f ca="1">_xlfn.XLOOKUP(L175,RenewalPlans!B:B,RenewalPlans!AR:AR,"NA",0,1)</f>
        <v>NA</v>
      </c>
      <c r="M208" s="122"/>
      <c r="N208" s="122"/>
      <c r="O208" s="122"/>
      <c r="P208" s="133"/>
      <c r="Q208" s="122"/>
      <c r="R208" s="123"/>
      <c r="T208" s="136" t="str">
        <f>_xlfn.XLOOKUP(T175,RenewalPlans!B:B,RenewalPlans!AR:AR,"NA",0,1)</f>
        <v>NA</v>
      </c>
      <c r="U208" s="122"/>
      <c r="V208" s="122"/>
      <c r="W208" s="122"/>
      <c r="X208" s="133"/>
      <c r="Y208" s="122"/>
      <c r="Z208" s="123"/>
    </row>
    <row r="209" spans="4:26" ht="18" customHeight="1" hidden="1">
      <c r="D209" s="223" t="s">
        <v>254</v>
      </c>
      <c r="E209" s="205"/>
      <c r="F209" s="205"/>
      <c r="G209" s="205"/>
      <c r="H209" s="205"/>
      <c r="I209" s="205"/>
      <c r="J209" s="206"/>
      <c r="K209"/>
      <c r="L209" s="203"/>
      <c r="M209" s="205"/>
      <c r="N209" s="205"/>
      <c r="O209" s="205"/>
      <c r="P209" s="205"/>
      <c r="Q209" s="205"/>
      <c r="R209" s="206"/>
      <c r="T209" s="203"/>
      <c r="U209" s="205"/>
      <c r="V209" s="205"/>
      <c r="W209" s="205"/>
      <c r="X209" s="205"/>
      <c r="Y209" s="205"/>
      <c r="Z209" s="206"/>
    </row>
    <row r="210" spans="4:26" ht="18" customHeight="1" hidden="1">
      <c r="D210" s="198" t="s">
        <v>255</v>
      </c>
      <c r="E210" s="130" t="str">
        <f>_xlfn.XLOOKUP(E175,CurrentPlans!B:B,CurrentPlans!AR:AR,"NA",0,1)</f>
        <v>NA</v>
      </c>
      <c r="F210" s="200"/>
      <c r="G210" s="200"/>
      <c r="H210" s="200"/>
      <c r="I210" s="130"/>
      <c r="J210" s="201"/>
      <c r="K210"/>
      <c r="L210" s="131" t="str">
        <f ca="1">_xlfn.XLOOKUP(L175,RenewalPlans!B:B,RenewalPlans!AU:AU,"NA",0,1)</f>
        <v>NA</v>
      </c>
      <c r="M210" s="200"/>
      <c r="N210" s="200"/>
      <c r="O210" s="200"/>
      <c r="P210" s="130"/>
      <c r="Q210" s="200"/>
      <c r="R210" s="201"/>
      <c r="T210" s="131" t="str">
        <f>_xlfn.XLOOKUP(T175,RenewalPlans!B:B,RenewalPlans!AU:AU,"NA",0,1)</f>
        <v>NA</v>
      </c>
      <c r="U210" s="200"/>
      <c r="V210" s="200"/>
      <c r="W210" s="200"/>
      <c r="X210" s="130"/>
      <c r="Y210" s="200"/>
      <c r="Z210" s="201"/>
    </row>
    <row r="211" spans="4:26" ht="18" customHeight="1" hidden="1" thickBot="1">
      <c r="D211" s="224" t="s">
        <v>256</v>
      </c>
      <c r="E211" s="137" t="str">
        <f>_xlfn.XLOOKUP(E175,CurrentPlans!B:B,CurrentPlans!AS:AS,"NA",0,1)</f>
        <v>NA</v>
      </c>
      <c r="F211" s="225"/>
      <c r="G211" s="225"/>
      <c r="H211" s="225"/>
      <c r="I211" s="137"/>
      <c r="J211" s="226"/>
      <c r="K211"/>
      <c r="L211" s="138" t="str">
        <f ca="1">_xlfn.XLOOKUP(L175,RenewalPlans!B:B,RenewalPlans!AV:AV,"NA",0,1)</f>
        <v>NA</v>
      </c>
      <c r="M211" s="225"/>
      <c r="N211" s="225"/>
      <c r="O211" s="225"/>
      <c r="P211" s="137"/>
      <c r="Q211" s="225"/>
      <c r="R211" s="226"/>
      <c r="T211" s="138" t="str">
        <f>_xlfn.XLOOKUP(T175,RenewalPlans!B:B,RenewalPlans!AV:AV,"NA",0,1)</f>
        <v>NA</v>
      </c>
      <c r="U211" s="225"/>
      <c r="V211" s="225"/>
      <c r="W211" s="225"/>
      <c r="X211" s="137"/>
      <c r="Y211" s="225"/>
      <c r="Z211" s="226"/>
    </row>
    <row r="212" spans="1:26" ht="18" customHeight="1">
      <c r="A212" s="140"/>
      <c r="B212" s="140"/>
      <c r="D212" s="227"/>
      <c r="E212" s="176"/>
      <c r="F212" s="178"/>
      <c r="G212" s="179"/>
      <c r="H212" s="178"/>
      <c r="I212" s="176"/>
      <c r="J212" s="228"/>
      <c r="K212"/>
      <c r="L212" s="178"/>
      <c r="M212" s="176"/>
      <c r="N212" s="139"/>
      <c r="O212" s="178"/>
      <c r="P212" s="178"/>
      <c r="Q212" s="178"/>
      <c r="R212" s="228"/>
      <c r="T212" s="178"/>
      <c r="U212" s="176"/>
      <c r="V212" s="139"/>
      <c r="W212" s="178"/>
      <c r="X212" s="178"/>
      <c r="Y212" s="178"/>
      <c r="Z212" s="228"/>
    </row>
    <row r="213" spans="1:26" ht="5.25" customHeight="1" thickBot="1">
      <c r="A213" s="140"/>
      <c r="B213" s="140"/>
      <c r="D213" s="229"/>
      <c r="E213" s="229"/>
      <c r="F213" s="230"/>
      <c r="G213" s="231"/>
      <c r="H213" s="232"/>
      <c r="I213" s="233"/>
      <c r="J213" s="233"/>
      <c r="K213"/>
      <c r="L213" s="233"/>
      <c r="M213" s="233"/>
      <c r="N213" s="233"/>
      <c r="O213" s="233"/>
      <c r="P213" s="233"/>
      <c r="Q213" s="233"/>
      <c r="R213" s="233"/>
      <c r="T213" s="233"/>
      <c r="U213" s="233"/>
      <c r="V213" s="233"/>
      <c r="W213" s="233"/>
      <c r="X213" s="233"/>
      <c r="Y213" s="233"/>
      <c r="Z213" s="233"/>
    </row>
    <row r="214" spans="1:26" ht="50.15" customHeight="1">
      <c r="A214" s="140">
        <v>5</v>
      </c>
      <c r="B214" s="140" t="str">
        <f>IF(A214&gt;Class6_CurrentHealthCount,"DELETE",Class6_CurrentHealthStart+A214)</f>
        <v>DELETE</v>
      </c>
      <c r="C214" s="164" t="s">
        <v>278</v>
      </c>
      <c r="D214" s="273" t="str">
        <f>IF(B214="Delete","",VLOOKUP(F214,BEGIN_CURRENT_HEALTH:END_CURRENT_HEALTH,3,FALSE))</f>
        <v/>
      </c>
      <c r="E214" s="165"/>
      <c r="F214" s="272" t="str" cm="1">
        <f t="array" ca="1" aca="1" ref="F214">IF(B214="Delete","",INDIRECT("CurrentPlans!A"&amp;B214,TRUE))</f>
        <v/>
      </c>
      <c r="G214" s="166"/>
      <c r="H214" s="167"/>
      <c r="I214" s="168"/>
      <c r="J214" s="169"/>
      <c r="K214"/>
      <c r="L214" s="274" t="str">
        <f ca="1">_xlfn.IFNA(VLOOKUP(F214,BEGIN_RENEWEDFROM_HEALTH:ROW_RenewHealth_PlanID,3,FALSE),"SELECT PLAN")</f>
        <v>SELECT PLAN</v>
      </c>
      <c r="M214" s="170"/>
      <c r="N214" s="274" t="s">
        <v>237</v>
      </c>
      <c r="O214" s="171"/>
      <c r="P214" s="171"/>
      <c r="Q214" s="171"/>
      <c r="R214" s="169"/>
      <c r="T214" s="274" t="s">
        <v>38</v>
      </c>
      <c r="U214" s="170"/>
      <c r="V214" s="274" t="s">
        <v>237</v>
      </c>
      <c r="W214" s="171"/>
      <c r="X214" s="171"/>
      <c r="Y214" s="171"/>
      <c r="Z214" s="169"/>
    </row>
    <row r="215" spans="1:26" ht="18.75" customHeight="1">
      <c r="A215" s="140"/>
      <c r="B215" s="140"/>
      <c r="D215" s="172" t="s">
        <v>238</v>
      </c>
      <c r="E215" s="407" t="str">
        <f ca="1">_xlfn.IFNA(VLOOKUP(F214,BEGIN_CURRENT_HEALTH:END_CURRENT_HEALTH,CURRENT_COL_EO_count,FALSE),"")</f>
        <v/>
      </c>
      <c r="F215" s="408" t="str">
        <f ca="1">_xlfn.IFNA(VLOOKUP(F214,BEGIN_CURRENT_HEALTH:END_CURRENT_HEALTH,CURRENT_COL_EO,FALSE),"")</f>
        <v/>
      </c>
      <c r="G215" s="468" t="str">
        <f ca="1" t="shared" si="20" ref="G215:G218">IF(F215="","",H215/F215)</f>
        <v/>
      </c>
      <c r="H215" s="408" t="str">
        <f ca="1">_xlfn.IFNA(VLOOKUP(F214,BEGIN_CURRENT_HEALTH:END_CURRENT_HEALTH,CURRENT_COL_EOContrib,FALSE),"")</f>
        <v/>
      </c>
      <c r="I215" s="409" t="str">
        <f ca="1">IFERROR(F215-H215,"")</f>
        <v/>
      </c>
      <c r="J215" s="410" t="str">
        <f ca="1">IF(F215="","",H215*E215)</f>
        <v/>
      </c>
      <c r="K215" s="411"/>
      <c r="L215" s="408" t="str" cm="1">
        <f t="array" ca="1" aca="1" ref="L215">_xlfn.IFNA(VLOOKUP(INDIRECT("L"&amp;ROW()-1)&amp;"_"&amp;$D$12,BEGIN_RENEW_HEALTH:END_RENEW_HEALTH,RENEW_COL_EO,FALSE),"")</f>
        <v/>
      </c>
      <c r="M215" s="412" t="str">
        <f ca="1">IF(E215="","",E215)</f>
        <v/>
      </c>
      <c r="N215" s="413"/>
      <c r="O215" s="414"/>
      <c r="P215" s="415" t="str">
        <f>IFERROR(IF($N214="Keep Contribution Same",H215,IF($N214="Enter Percentages",IF(N215="","",N215*L215),IF($N214="Keep Percentage Same",IF(G215="","",G215*L215),IF($N214="Enter Dollar Amount",IF(O215="","",O215),"")))),"")</f>
        <v/>
      </c>
      <c r="Q215" s="408" t="str">
        <f ca="1">IFERROR(L215-P215,"")</f>
        <v/>
      </c>
      <c r="R215" s="410" t="str">
        <f>IFERROR(IF(P215="","",M215*P215),"")</f>
        <v/>
      </c>
      <c r="S215" s="411"/>
      <c r="T215" s="408" t="str" cm="1">
        <f t="array" ca="1" aca="1" ref="T215">_xlfn.IFNA(VLOOKUP(INDIRECT("T"&amp;ROW()-1)&amp;"_"&amp;$D$12,BEGIN_RENEW_HEALTH:END_RENEW_HEALTH,RENEW_COL_EO,FALSE),"")</f>
        <v/>
      </c>
      <c r="U215" s="412" t="str">
        <f ca="1">IF(E215="","",E215)</f>
        <v/>
      </c>
      <c r="V215" s="413"/>
      <c r="W215" s="414"/>
      <c r="X215" s="415" t="str">
        <f>IFERROR(IF($V214="Keep Contribution Same",H215,IF($V214="Enter Percentages",IF(V215="","",V215*T215),IF($V214="Keep Percentage Same",IF(G215="","",G215*T215),IF($V214="Enter Dollar Amount",IF(W215="","",W215),"")))),"")</f>
        <v/>
      </c>
      <c r="Y215" s="408" t="str">
        <f ca="1">IFERROR(T215-X215,"")</f>
        <v/>
      </c>
      <c r="Z215" s="410" t="str">
        <f>IFERROR(IF(X215="","",U215*X215),"")</f>
        <v/>
      </c>
    </row>
    <row r="216" spans="1:26" ht="18.75" customHeight="1">
      <c r="A216" s="140"/>
      <c r="B216" s="140"/>
      <c r="D216" s="172" t="s">
        <v>239</v>
      </c>
      <c r="E216" s="407" t="str">
        <f ca="1">_xlfn.IFNA(VLOOKUP(F214,BEGIN_CURRENT_HEALTH:END_CURRENT_HEALTH,CURRENT_COL_ES_count,FALSE),"")</f>
        <v/>
      </c>
      <c r="F216" s="408" t="str">
        <f ca="1">_xlfn.IFNA(VLOOKUP(F214,BEGIN_CURRENT_HEALTH:END_CURRENT_HEALTH,CURRENT_COL_ES,FALSE),"")</f>
        <v/>
      </c>
      <c r="G216" s="468" t="str">
        <f t="shared" ca="1" si="20"/>
        <v/>
      </c>
      <c r="H216" s="408" t="str">
        <f ca="1">_xlfn.IFNA(VLOOKUP(F214,BEGIN_CURRENT_HEALTH:END_CURRENT_HEALTH,CURRENT_COL_ESContrib,FALSE),"")</f>
        <v/>
      </c>
      <c r="I216" s="409" t="str">
        <f ca="1" t="shared" si="21" ref="I216:I218">IFERROR(F216-H216,"")</f>
        <v/>
      </c>
      <c r="J216" s="410" t="str">
        <f ca="1">IF(F216="","",H216*E216)</f>
        <v/>
      </c>
      <c r="K216" s="411"/>
      <c r="L216" s="408" t="str" cm="1">
        <f t="array" ca="1" aca="1" ref="L216">_xlfn.IFNA(VLOOKUP(INDIRECT("L"&amp;ROW()-2)&amp;"_"&amp;$D$12,BEGIN_RENEW_HEALTH:END_RENEW_HEALTH,RENEW_COL_ES,FALSE),"")</f>
        <v/>
      </c>
      <c r="M216" s="412" t="str">
        <f ca="1">IF(E216="","",E216)</f>
        <v/>
      </c>
      <c r="N216" s="413"/>
      <c r="O216" s="414"/>
      <c r="P216" s="415" t="str">
        <f>IFERROR(IF($N214="Keep Contribution Same",H216,IF($N214="Enter Percentages",IF(N216="","",N216*L216),IF($N214="Keep Percentage Same",IF(G216="","",G216*L216),IF($N214="Enter Dollar Amount",IF(O216="","",O216),"")))),"")</f>
        <v/>
      </c>
      <c r="Q216" s="408" t="str">
        <f ca="1">IFERROR(L216-P216,"")</f>
        <v/>
      </c>
      <c r="R216" s="410" t="str">
        <f>IFERROR(IF(P216="","",M216*P216),"")</f>
        <v/>
      </c>
      <c r="S216" s="411"/>
      <c r="T216" s="408" t="str" cm="1">
        <f t="array" ca="1" aca="1" ref="T216">_xlfn.IFNA(VLOOKUP(INDIRECT("T"&amp;ROW()-2)&amp;"_"&amp;$D$12,BEGIN_RENEW_HEALTH:END_RENEW_HEALTH,RENEW_COL_ES,FALSE),"")</f>
        <v/>
      </c>
      <c r="U216" s="412" t="str">
        <f ca="1" t="shared" si="22" ref="U216:U218">IF(E216="","",E216)</f>
        <v/>
      </c>
      <c r="V216" s="413"/>
      <c r="W216" s="414"/>
      <c r="X216" s="415" t="str">
        <f>IFERROR(IF($V214="Keep Contribution Same",H216,IF($V214="Enter Percentages",IF(V216="","",V216*T216),IF($V214="Keep Percentage Same",IF(G216="","",G216*T216),IF($V214="Enter Dollar Amount",IF(W216="","",W216),"")))),"")</f>
        <v/>
      </c>
      <c r="Y216" s="408" t="str">
        <f ca="1" t="shared" si="23" ref="Y216:Y218">IFERROR(T216-X216,"")</f>
        <v/>
      </c>
      <c r="Z216" s="410" t="str">
        <f t="shared" si="24" ref="Z216:Z218">IFERROR(IF(X216="","",U216*X216),"")</f>
        <v/>
      </c>
    </row>
    <row r="217" spans="1:26" ht="18.75" customHeight="1">
      <c r="A217" s="140"/>
      <c r="B217" s="140"/>
      <c r="D217" s="172" t="s">
        <v>240</v>
      </c>
      <c r="E217" s="407" t="str">
        <f ca="1">_xlfn.IFNA(VLOOKUP(F214,BEGIN_CURRENT_HEALTH:END_CURRENT_HEALTH,CURRENT_COL_EC_count,FALSE),"")</f>
        <v/>
      </c>
      <c r="F217" s="408" t="str">
        <f ca="1">_xlfn.IFNA(VLOOKUP(F214,BEGIN_CURRENT_HEALTH:END_CURRENT_HEALTH,CURRENT_COL_EC,FALSE),"")</f>
        <v/>
      </c>
      <c r="G217" s="468" t="str">
        <f t="shared" ca="1" si="20"/>
        <v/>
      </c>
      <c r="H217" s="408" t="str">
        <f ca="1">_xlfn.IFNA(VLOOKUP(F214,BEGIN_CURRENT_HEALTH:END_CURRENT_HEALTH,CURRENT_COL_ECContrib,FALSE),"")</f>
        <v/>
      </c>
      <c r="I217" s="409" t="str">
        <f t="shared" ca="1" si="21"/>
        <v/>
      </c>
      <c r="J217" s="410" t="str">
        <f ca="1">IF(F217="","",H217*E217)</f>
        <v/>
      </c>
      <c r="K217" s="411"/>
      <c r="L217" s="408" t="str" cm="1">
        <f t="array" ca="1" aca="1" ref="L217">_xlfn.IFNA(VLOOKUP(INDIRECT("L"&amp;ROW()-3)&amp;"_"&amp;$D$12,BEGIN_RENEW_HEALTH:END_RENEW_HEALTH,RENEW_COL_EC,FALSE),"")</f>
        <v/>
      </c>
      <c r="M217" s="412" t="str">
        <f ca="1">IF(E217="","",E217)</f>
        <v/>
      </c>
      <c r="N217" s="413"/>
      <c r="O217" s="414"/>
      <c r="P217" s="415" t="str">
        <f>IFERROR(IF($N214="Keep Contribution Same",H217,IF($N214="Enter Percentages",IF(N217="","",N217*L217),IF($N214="Keep Percentage Same",IF(G217="","",G217*L217),IF($N214="Enter Dollar Amount",IF(O217="","",O217),"")))),"")</f>
        <v/>
      </c>
      <c r="Q217" s="408" t="str">
        <f ca="1">IFERROR(L217-P217,"")</f>
        <v/>
      </c>
      <c r="R217" s="410" t="str">
        <f>IFERROR(IF(P217="","",M217*P217),"")</f>
        <v/>
      </c>
      <c r="S217" s="411"/>
      <c r="T217" s="408" t="str" cm="1">
        <f t="array" ca="1" aca="1" ref="T217">_xlfn.IFNA(VLOOKUP(INDIRECT("T"&amp;ROW()-3)&amp;"_"&amp;$D$12,BEGIN_RENEW_HEALTH:END_RENEW_HEALTH,RENEW_COL_EC,FALSE),"")</f>
        <v/>
      </c>
      <c r="U217" s="412" t="str">
        <f t="shared" ca="1" si="22"/>
        <v/>
      </c>
      <c r="V217" s="413"/>
      <c r="W217" s="414"/>
      <c r="X217" s="415" t="str">
        <f>IFERROR(IF($V214="Keep Contribution Same",H217,IF($V214="Enter Percentages",IF(V217="","",V217*T217),IF($V214="Keep Percentage Same",IF(G217="","",G217*T217),IF($V214="Enter Dollar Amount",IF(W217="","",W217),"")))),"")</f>
        <v/>
      </c>
      <c r="Y217" s="408" t="str">
        <f t="shared" ca="1" si="23"/>
        <v/>
      </c>
      <c r="Z217" s="410" t="str">
        <f t="shared" si="24"/>
        <v/>
      </c>
    </row>
    <row r="218" spans="1:26" ht="18.75" customHeight="1" thickBot="1">
      <c r="A218" s="140"/>
      <c r="B218" s="140"/>
      <c r="D218" s="174" t="s">
        <v>241</v>
      </c>
      <c r="E218" s="416" t="str">
        <f ca="1">_xlfn.IFNA(VLOOKUP(F214,BEGIN_CURRENT_HEALTH:END_CURRENT_HEALTH,CURRENT_COL_FAM_count,FALSE),"")</f>
        <v/>
      </c>
      <c r="F218" s="417" t="str">
        <f ca="1">_xlfn.IFNA(VLOOKUP(F214,BEGIN_CURRENT_HEALTH:END_CURRENT_HEALTH,CURRENT_COL_FAM,FALSE),"")</f>
        <v/>
      </c>
      <c r="G218" s="469" t="str">
        <f t="shared" ca="1" si="20"/>
        <v/>
      </c>
      <c r="H218" s="417" t="str">
        <f ca="1">_xlfn.IFNA(VLOOKUP(F214,BEGIN_CURRENT_HEALTH:END_CURRENT_HEALTH,CURRENT_COL_FAMContrib,FALSE),"")</f>
        <v/>
      </c>
      <c r="I218" s="418" t="str">
        <f t="shared" ca="1" si="21"/>
        <v/>
      </c>
      <c r="J218" s="419" t="str">
        <f ca="1">IF(F218="","",H218*E218)</f>
        <v/>
      </c>
      <c r="K218" s="411"/>
      <c r="L218" s="417" t="str" cm="1">
        <f t="array" ca="1" aca="1" ref="L218">_xlfn.IFNA(VLOOKUP(INDIRECT("L"&amp;ROW()-4)&amp;"_"&amp;$D$12,BEGIN_RENEW_HEALTH:END_RENEW_HEALTH,RENEW_COL_FAM,FALSE),"")</f>
        <v/>
      </c>
      <c r="M218" s="423" t="str">
        <f ca="1">IF(E218="","",E218)</f>
        <v/>
      </c>
      <c r="N218" s="420"/>
      <c r="O218" s="421"/>
      <c r="P218" s="422" t="str">
        <f>IFERROR(IF($N214="Keep Contribution Same",H218,IF($N214="Enter Percentages",IF(N218="","",N218*L218),IF($N214="Keep Percentage Same",IF(G218="","",G218*L218),IF($N214="Enter Dollar Amount",IF(O218="","",O218),"")))),"")</f>
        <v/>
      </c>
      <c r="Q218" s="417" t="str">
        <f ca="1">IFERROR(L218-P218,"")</f>
        <v/>
      </c>
      <c r="R218" s="419" t="str">
        <f>IFERROR(IF(P218="","",M218*P218),"")</f>
        <v/>
      </c>
      <c r="S218" s="411"/>
      <c r="T218" s="417" t="str" cm="1">
        <f t="array" ca="1" aca="1" ref="T218">_xlfn.IFNA(VLOOKUP(INDIRECT("T"&amp;ROW()-4)&amp;"_"&amp;$D$12,BEGIN_RENEW_HEALTH:END_RENEW_HEALTH,RENEW_COL_FAM,FALSE),"")</f>
        <v/>
      </c>
      <c r="U218" s="423" t="str">
        <f t="shared" ca="1" si="22"/>
        <v/>
      </c>
      <c r="V218" s="420"/>
      <c r="W218" s="421"/>
      <c r="X218" s="422" t="str">
        <f>IFERROR(IF($V214="Keep Contribution Same",H218,IF($V214="Enter Percentages",IF(V218="","",V218*T218),IF($V214="Keep Percentage Same",IF(G218="","",G218*T218),IF($V214="Enter Dollar Amount",IF(W218="","",W218),"")))),"")</f>
        <v/>
      </c>
      <c r="Y218" s="417" t="str">
        <f t="shared" ca="1" si="23"/>
        <v/>
      </c>
      <c r="Z218" s="419" t="str">
        <f t="shared" si="24"/>
        <v/>
      </c>
    </row>
    <row r="219" spans="1:26" ht="18.75" customHeight="1" thickTop="1">
      <c r="A219" s="140"/>
      <c r="B219" s="140"/>
      <c r="D219" s="175" t="s">
        <v>242</v>
      </c>
      <c r="E219" s="424"/>
      <c r="F219" s="447" t="str">
        <f ca="1">IFERROR((F215*E215)+(F216*E216)+(F217*E217)+(F218*E218),"")</f>
        <v/>
      </c>
      <c r="G219" s="426"/>
      <c r="H219" s="427"/>
      <c r="I219" s="428"/>
      <c r="J219" s="429" t="str">
        <f ca="1">IFERROR(IF(J215="","",SUM(J215:J218)),0)</f>
        <v/>
      </c>
      <c r="K219" s="1"/>
      <c r="L219" s="430" t="str">
        <f ca="1">IFERROR((M215*L215)+(M216*L216)+(M217*L217)+(M218*L218),"")</f>
        <v/>
      </c>
      <c r="M219" s="427"/>
      <c r="N219" s="426"/>
      <c r="O219" s="427"/>
      <c r="P219" s="431"/>
      <c r="Q219" s="432"/>
      <c r="R219" s="429" t="str">
        <f>IFERROR(IF(R215="","",SUM(R215:R218)),0)</f>
        <v/>
      </c>
      <c r="T219" s="430" t="str">
        <f ca="1">IFERROR((U215*T215)+(U216*T216)+(U217*T217)+(U218*T218),"")</f>
        <v/>
      </c>
      <c r="U219" s="427"/>
      <c r="V219" s="426"/>
      <c r="W219" s="427"/>
      <c r="X219" s="431"/>
      <c r="Y219" s="432"/>
      <c r="Z219" s="429" t="str">
        <f>IFERROR(IF(Z215="","",SUM(Z215:Z218)),0)</f>
        <v/>
      </c>
    </row>
    <row r="220" spans="1:26" ht="18.75" customHeight="1">
      <c r="A220" s="140"/>
      <c r="B220" s="140"/>
      <c r="D220" s="177" t="s">
        <v>243</v>
      </c>
      <c r="E220" s="433"/>
      <c r="F220" s="448" t="str">
        <f ca="1">IFERROR(F219*12,"")</f>
        <v/>
      </c>
      <c r="G220" s="435"/>
      <c r="H220" s="436"/>
      <c r="I220" s="432"/>
      <c r="J220" s="437" t="str">
        <f ca="1">IF(J219="","",J219*12)</f>
        <v/>
      </c>
      <c r="K220" s="1"/>
      <c r="L220" s="438" t="str">
        <f ca="1">IFERROR(L219*12,"")</f>
        <v/>
      </c>
      <c r="M220" s="436"/>
      <c r="N220" s="435"/>
      <c r="O220" s="436"/>
      <c r="P220" s="432"/>
      <c r="Q220" s="432"/>
      <c r="R220" s="437" t="str">
        <f>IF(R219="","",R219*12)</f>
        <v/>
      </c>
      <c r="T220" s="438" t="str">
        <f ca="1">IFERROR(T219*12,"")</f>
        <v/>
      </c>
      <c r="U220" s="436"/>
      <c r="V220" s="435"/>
      <c r="W220" s="436"/>
      <c r="X220" s="432"/>
      <c r="Y220" s="432"/>
      <c r="Z220" s="437" t="str">
        <f>IF(Z219="","",Z219*12)</f>
        <v/>
      </c>
    </row>
    <row r="221" spans="1:26" ht="18" customHeight="1">
      <c r="A221" s="140"/>
      <c r="B221" s="140"/>
      <c r="D221" s="177" t="s">
        <v>244</v>
      </c>
      <c r="E221" s="433"/>
      <c r="F221" s="436"/>
      <c r="G221" s="435"/>
      <c r="H221" s="436"/>
      <c r="I221" s="432"/>
      <c r="J221" s="437"/>
      <c r="K221" s="1"/>
      <c r="L221" s="434" t="str">
        <f ca="1">IFERROR(L220-F220,"")</f>
        <v/>
      </c>
      <c r="M221" s="436"/>
      <c r="N221" s="435"/>
      <c r="O221" s="436"/>
      <c r="P221" s="432"/>
      <c r="Q221" s="432"/>
      <c r="R221" s="437" t="str">
        <f ca="1">IFERROR(IF(J220="","",R220-J220),0)</f>
        <v/>
      </c>
      <c r="T221" s="434" t="str">
        <f ca="1">IFERROR(T220-F220,"")</f>
        <v/>
      </c>
      <c r="U221" s="436"/>
      <c r="V221" s="435"/>
      <c r="W221" s="436"/>
      <c r="X221" s="432"/>
      <c r="Y221" s="432"/>
      <c r="Z221" s="437" t="str">
        <f>IFERROR(IF(R220="","",Z220-R220),0)</f>
        <v/>
      </c>
    </row>
    <row r="222" spans="1:26" ht="18" customHeight="1" thickBot="1">
      <c r="A222" s="140"/>
      <c r="B222" s="140"/>
      <c r="D222" s="180" t="s">
        <v>245</v>
      </c>
      <c r="E222" s="439"/>
      <c r="F222" s="440"/>
      <c r="G222" s="441"/>
      <c r="H222" s="440"/>
      <c r="I222" s="442"/>
      <c r="J222" s="443"/>
      <c r="K222" s="1"/>
      <c r="L222" s="444" t="str">
        <f ca="1">IFERROR(L220/F220-1,"")</f>
        <v/>
      </c>
      <c r="M222" s="440"/>
      <c r="N222" s="441"/>
      <c r="O222" s="440"/>
      <c r="P222" s="445"/>
      <c r="Q222" s="445"/>
      <c r="R222" s="446" t="str">
        <f ca="1">IFERROR(IF(J220="","",(R220/J220)-1),0)</f>
        <v/>
      </c>
      <c r="T222" s="444" t="str">
        <f ca="1">IFERROR(T220/F220-1,"")</f>
        <v/>
      </c>
      <c r="U222" s="440"/>
      <c r="V222" s="441"/>
      <c r="W222" s="440"/>
      <c r="X222" s="445"/>
      <c r="Y222" s="445"/>
      <c r="Z222" s="446" t="str">
        <f>IFERROR(IF(R220="","",(Z220/R220)-1),0)</f>
        <v/>
      </c>
    </row>
    <row r="223" spans="4:26" ht="18" customHeight="1">
      <c r="D223" s="181" t="s">
        <v>246</v>
      </c>
      <c r="E223" s="182"/>
      <c r="F223" s="182"/>
      <c r="G223" s="182"/>
      <c r="H223" s="182"/>
      <c r="I223" s="182"/>
      <c r="J223" s="183"/>
      <c r="K223"/>
      <c r="L223" s="184"/>
      <c r="M223" s="182"/>
      <c r="N223" s="182"/>
      <c r="O223" s="182"/>
      <c r="P223" s="182"/>
      <c r="Q223" s="182"/>
      <c r="R223" s="183"/>
      <c r="T223" s="184"/>
      <c r="U223" s="182"/>
      <c r="V223" s="182"/>
      <c r="W223" s="182"/>
      <c r="X223" s="182"/>
      <c r="Y223" s="182"/>
      <c r="Z223" s="183"/>
    </row>
    <row r="224" spans="4:26" ht="18" customHeight="1" hidden="1">
      <c r="D224" s="185" t="s">
        <v>247</v>
      </c>
      <c r="E224" s="186"/>
      <c r="F224" s="186"/>
      <c r="G224" s="186"/>
      <c r="H224" s="186"/>
      <c r="I224" s="186"/>
      <c r="J224" s="187"/>
      <c r="K224"/>
      <c r="L224" s="188"/>
      <c r="M224" s="186"/>
      <c r="N224" s="186"/>
      <c r="O224" s="186"/>
      <c r="P224" s="186"/>
      <c r="Q224" s="186"/>
      <c r="R224" s="187"/>
      <c r="T224" s="188"/>
      <c r="U224" s="186"/>
      <c r="V224" s="186"/>
      <c r="W224" s="186"/>
      <c r="X224" s="186"/>
      <c r="Y224" s="186"/>
      <c r="Z224" s="187"/>
    </row>
    <row r="225" spans="4:26" ht="18" customHeight="1" hidden="1">
      <c r="D225" s="189" t="s">
        <v>248</v>
      </c>
      <c r="E225" s="190" t="str">
        <f>D214&amp;"_"&amp;D12</f>
        <v>_</v>
      </c>
      <c r="F225" s="191"/>
      <c r="G225" s="191"/>
      <c r="H225" s="191"/>
      <c r="I225" s="190"/>
      <c r="J225" s="192"/>
      <c r="K225"/>
      <c r="L225" s="193" t="str">
        <f ca="1">L214&amp;"_"&amp;D12</f>
        <v>SELECT PLAN_</v>
      </c>
      <c r="M225" s="191"/>
      <c r="N225" s="191"/>
      <c r="O225" s="191"/>
      <c r="P225" s="190"/>
      <c r="Q225" s="191"/>
      <c r="R225" s="192"/>
      <c r="T225" s="193" t="str">
        <f>T214&amp;"_"&amp;D12</f>
        <v>SELECT PLAN_</v>
      </c>
      <c r="U225" s="191"/>
      <c r="V225" s="191"/>
      <c r="W225" s="191"/>
      <c r="X225" s="190"/>
      <c r="Y225" s="191"/>
      <c r="Z225" s="192"/>
    </row>
    <row r="226" spans="4:26" ht="18" customHeight="1" hidden="1">
      <c r="D226" s="189" t="s">
        <v>249</v>
      </c>
      <c r="E226" s="191"/>
      <c r="F226" s="191"/>
      <c r="G226" s="191"/>
      <c r="H226" s="191"/>
      <c r="I226" s="191"/>
      <c r="J226" s="192"/>
      <c r="K226"/>
      <c r="L226" s="189"/>
      <c r="M226" s="191"/>
      <c r="N226" s="191"/>
      <c r="O226" s="191"/>
      <c r="P226" s="191"/>
      <c r="Q226" s="191"/>
      <c r="R226" s="192"/>
      <c r="T226" s="189"/>
      <c r="U226" s="191"/>
      <c r="V226" s="191"/>
      <c r="W226" s="191"/>
      <c r="X226" s="191"/>
      <c r="Y226" s="191"/>
      <c r="Z226" s="192"/>
    </row>
    <row r="227" spans="4:26" ht="18" customHeight="1" hidden="1">
      <c r="D227" s="194" t="s">
        <v>250</v>
      </c>
      <c r="E227" s="195"/>
      <c r="F227" s="195"/>
      <c r="G227" s="195"/>
      <c r="H227" s="195"/>
      <c r="I227" s="195"/>
      <c r="J227" s="196"/>
      <c r="K227"/>
      <c r="L227" s="197"/>
      <c r="M227" s="195"/>
      <c r="N227" s="195"/>
      <c r="O227" s="195"/>
      <c r="P227" s="195"/>
      <c r="Q227" s="195"/>
      <c r="R227" s="196"/>
      <c r="T227" s="197"/>
      <c r="U227" s="195"/>
      <c r="V227" s="195"/>
      <c r="W227" s="195"/>
      <c r="X227" s="195"/>
      <c r="Y227" s="195"/>
      <c r="Z227" s="196"/>
    </row>
    <row r="228" spans="4:26" ht="18" customHeight="1" hidden="1">
      <c r="D228" s="198" t="s">
        <v>251</v>
      </c>
      <c r="E228" s="199" t="str">
        <f>_xlfn.XLOOKUP(E225,CurrentPlans!B:B,CurrentPlans!X:X,"NA",0,1)</f>
        <v>NA</v>
      </c>
      <c r="F228" s="200"/>
      <c r="G228" s="200"/>
      <c r="H228" s="200"/>
      <c r="I228" s="199"/>
      <c r="J228" s="201"/>
      <c r="K228"/>
      <c r="L228" s="202" t="str">
        <f ca="1">_xlfn.XLOOKUP(L225,RenewalPlans!B:B,RenewalPlans!AA:AA,"NA",0,1)</f>
        <v>NA</v>
      </c>
      <c r="M228" s="200"/>
      <c r="N228" s="200"/>
      <c r="O228" s="200"/>
      <c r="P228" s="199"/>
      <c r="Q228" s="200"/>
      <c r="R228" s="201"/>
      <c r="T228" s="202" t="str">
        <f>_xlfn.XLOOKUP(T225,RenewalPlans!B:B,RenewalPlans!AA:AA,"NA",0,1)</f>
        <v>NA</v>
      </c>
      <c r="U228" s="200"/>
      <c r="V228" s="200"/>
      <c r="W228" s="200"/>
      <c r="X228" s="199"/>
      <c r="Y228" s="200"/>
      <c r="Z228" s="201"/>
    </row>
    <row r="229" spans="4:26" ht="18" customHeight="1" hidden="1">
      <c r="D229" s="198" t="s">
        <v>252</v>
      </c>
      <c r="E229" s="199" t="str">
        <f>_xlfn.XLOOKUP(E225,CurrentPlans!B:B,CurrentPlans!Y:Y,"NA",0,1)</f>
        <v>NA</v>
      </c>
      <c r="F229" s="200"/>
      <c r="G229" s="200"/>
      <c r="H229" s="200"/>
      <c r="I229" s="199"/>
      <c r="J229" s="201"/>
      <c r="K229"/>
      <c r="L229" s="202" t="str">
        <f ca="1">_xlfn.XLOOKUP(L225,RenewalPlans!B:B,RenewalPlans!AB:AB,"NA",0,1)</f>
        <v>NA</v>
      </c>
      <c r="M229" s="200"/>
      <c r="N229" s="200"/>
      <c r="O229" s="200"/>
      <c r="P229" s="199"/>
      <c r="Q229" s="200"/>
      <c r="R229" s="201"/>
      <c r="T229" s="202" t="str">
        <f>_xlfn.XLOOKUP(T225,RenewalPlans!B:B,RenewalPlans!AB:AB,"NA",0,1)</f>
        <v>NA</v>
      </c>
      <c r="U229" s="200"/>
      <c r="V229" s="200"/>
      <c r="W229" s="200"/>
      <c r="X229" s="199"/>
      <c r="Y229" s="200"/>
      <c r="Z229" s="201"/>
    </row>
    <row r="230" spans="4:26" ht="18" customHeight="1" hidden="1">
      <c r="D230" s="120" t="s">
        <v>253</v>
      </c>
      <c r="E230" s="121" t="str">
        <f>_xlfn.XLOOKUP(E225,CurrentPlans!B:B,CurrentPlans!W:W,"NA",0,1)</f>
        <v>NA</v>
      </c>
      <c r="F230" s="122"/>
      <c r="G230" s="122"/>
      <c r="H230" s="122"/>
      <c r="I230" s="121"/>
      <c r="J230" s="123"/>
      <c r="K230"/>
      <c r="L230" s="124" t="str">
        <f ca="1">_xlfn.XLOOKUP(L225,RenewalPlans!B:B,RenewalPlans!Z:Z,"NA",0,1)</f>
        <v>NA</v>
      </c>
      <c r="M230" s="122"/>
      <c r="N230" s="122"/>
      <c r="O230" s="122"/>
      <c r="P230" s="121"/>
      <c r="Q230" s="122"/>
      <c r="R230" s="123"/>
      <c r="T230" s="124" t="str">
        <f>_xlfn.XLOOKUP(T225,RenewalPlans!B:B,RenewalPlans!Z:Z,"NA",0,1)</f>
        <v>NA</v>
      </c>
      <c r="U230" s="122"/>
      <c r="V230" s="122"/>
      <c r="W230" s="122"/>
      <c r="X230" s="121"/>
      <c r="Y230" s="122"/>
      <c r="Z230" s="123"/>
    </row>
    <row r="231" spans="4:26" ht="18" customHeight="1" hidden="1">
      <c r="D231" s="203" t="s">
        <v>254</v>
      </c>
      <c r="E231" s="204"/>
      <c r="F231" s="205"/>
      <c r="G231" s="205"/>
      <c r="H231" s="205"/>
      <c r="I231" s="204"/>
      <c r="J231" s="206"/>
      <c r="K231"/>
      <c r="L231" s="207"/>
      <c r="M231" s="205"/>
      <c r="N231" s="205"/>
      <c r="O231" s="205"/>
      <c r="P231" s="204"/>
      <c r="Q231" s="205"/>
      <c r="R231" s="206"/>
      <c r="T231" s="207"/>
      <c r="U231" s="205"/>
      <c r="V231" s="205"/>
      <c r="W231" s="205"/>
      <c r="X231" s="204"/>
      <c r="Y231" s="205"/>
      <c r="Z231" s="206"/>
    </row>
    <row r="232" spans="4:26" ht="18" customHeight="1" hidden="1">
      <c r="D232" s="125" t="s">
        <v>255</v>
      </c>
      <c r="E232" s="126" t="str">
        <f>_xlfn.XLOOKUP(E225,CurrentPlans!B:B,CurrentPlans!Z:Z,"NA",0,1)</f>
        <v>NA</v>
      </c>
      <c r="F232" s="127"/>
      <c r="G232" s="127"/>
      <c r="H232" s="127"/>
      <c r="I232" s="126"/>
      <c r="J232" s="128"/>
      <c r="K232"/>
      <c r="L232" s="129" t="str">
        <f ca="1">_xlfn.XLOOKUP(L225,RenewalPlans!B:B,RenewalPlans!AC:AC,"NA",0,1)</f>
        <v>NA</v>
      </c>
      <c r="M232" s="127"/>
      <c r="N232" s="127"/>
      <c r="O232" s="127"/>
      <c r="P232" s="126"/>
      <c r="Q232" s="127"/>
      <c r="R232" s="128"/>
      <c r="T232" s="129" t="str">
        <f>_xlfn.XLOOKUP(T225,RenewalPlans!B:B,RenewalPlans!AC:AC,"NA",0,1)</f>
        <v>NA</v>
      </c>
      <c r="U232" s="127"/>
      <c r="V232" s="127"/>
      <c r="W232" s="127"/>
      <c r="X232" s="126"/>
      <c r="Y232" s="127"/>
      <c r="Z232" s="128"/>
    </row>
    <row r="233" spans="4:26" ht="18" customHeight="1" hidden="1">
      <c r="D233" s="198" t="s">
        <v>256</v>
      </c>
      <c r="E233" s="208" t="str">
        <f>_xlfn.XLOOKUP(E225,CurrentPlans!B:B,CurrentPlans!AA:AA,"NA",0,1)</f>
        <v>NA</v>
      </c>
      <c r="F233" s="200"/>
      <c r="G233" s="200"/>
      <c r="H233" s="200"/>
      <c r="I233" s="208"/>
      <c r="J233" s="201"/>
      <c r="K233"/>
      <c r="L233" s="209" t="str">
        <f ca="1">_xlfn.XLOOKUP(L225,RenewalPlans!B:B,RenewalPlans!AD:AD,"NA",0,1)</f>
        <v>NA</v>
      </c>
      <c r="M233" s="200"/>
      <c r="N233" s="200"/>
      <c r="O233" s="200"/>
      <c r="P233" s="208"/>
      <c r="Q233" s="200"/>
      <c r="R233" s="201"/>
      <c r="T233" s="209" t="str">
        <f>_xlfn.XLOOKUP(T225,RenewalPlans!B:B,RenewalPlans!AD:AD,"NA",0,1)</f>
        <v>NA</v>
      </c>
      <c r="U233" s="200"/>
      <c r="V233" s="200"/>
      <c r="W233" s="200"/>
      <c r="X233" s="208"/>
      <c r="Y233" s="200"/>
      <c r="Z233" s="201"/>
    </row>
    <row r="234" spans="4:26" ht="18" customHeight="1" hidden="1">
      <c r="D234" s="203" t="s">
        <v>257</v>
      </c>
      <c r="E234" s="204"/>
      <c r="F234" s="205"/>
      <c r="G234" s="205"/>
      <c r="H234" s="205"/>
      <c r="I234" s="204"/>
      <c r="J234" s="206"/>
      <c r="K234"/>
      <c r="L234" s="207"/>
      <c r="M234" s="205"/>
      <c r="N234" s="205"/>
      <c r="O234" s="205"/>
      <c r="P234" s="204"/>
      <c r="Q234" s="205"/>
      <c r="R234" s="206"/>
      <c r="T234" s="207"/>
      <c r="U234" s="205"/>
      <c r="V234" s="205"/>
      <c r="W234" s="205"/>
      <c r="X234" s="204"/>
      <c r="Y234" s="205"/>
      <c r="Z234" s="206"/>
    </row>
    <row r="235" spans="4:26" ht="18" customHeight="1" hidden="1">
      <c r="D235" s="198" t="s">
        <v>258</v>
      </c>
      <c r="E235" s="208" t="str">
        <f>_xlfn.XLOOKUP(E225,CurrentPlans!B:B,CurrentPlans!AB:AB,"NA",0,1)</f>
        <v>NA</v>
      </c>
      <c r="F235" s="200"/>
      <c r="G235" s="200"/>
      <c r="H235" s="200"/>
      <c r="I235" s="208"/>
      <c r="J235" s="201"/>
      <c r="K235"/>
      <c r="L235" s="209" t="str">
        <f ca="1">_xlfn.XLOOKUP(L225,RenewalPlans!B:B,RenewalPlans!AE:AE,"NA",0,1)</f>
        <v>NA</v>
      </c>
      <c r="M235" s="200"/>
      <c r="N235" s="200"/>
      <c r="O235" s="200"/>
      <c r="P235" s="208"/>
      <c r="Q235" s="200"/>
      <c r="R235" s="201"/>
      <c r="T235" s="209" t="str">
        <f>_xlfn.XLOOKUP(T225,RenewalPlans!B:B,RenewalPlans!AE:AE,"NA",0,1)</f>
        <v>NA</v>
      </c>
      <c r="U235" s="200"/>
      <c r="V235" s="200"/>
      <c r="W235" s="200"/>
      <c r="X235" s="208"/>
      <c r="Y235" s="200"/>
      <c r="Z235" s="201"/>
    </row>
    <row r="236" spans="4:26" ht="18" customHeight="1" hidden="1">
      <c r="D236" s="198" t="s">
        <v>259</v>
      </c>
      <c r="E236" s="208" t="str">
        <f>_xlfn.XLOOKUP(E225,CurrentPlans!B:B,CurrentPlans!AC:AC,"NA",0,1)</f>
        <v>NA</v>
      </c>
      <c r="F236" s="200"/>
      <c r="G236" s="200"/>
      <c r="H236" s="200"/>
      <c r="I236" s="208"/>
      <c r="J236" s="201"/>
      <c r="K236"/>
      <c r="L236" s="209" t="str">
        <f ca="1">_xlfn.XLOOKUP(L225,RenewalPlans!B:B,RenewalPlans!AF:AF,"NA",0,1)</f>
        <v>NA</v>
      </c>
      <c r="M236" s="200"/>
      <c r="N236" s="200"/>
      <c r="O236" s="200"/>
      <c r="P236" s="208"/>
      <c r="Q236" s="200"/>
      <c r="R236" s="201"/>
      <c r="T236" s="209" t="str">
        <f>_xlfn.XLOOKUP(T225,RenewalPlans!B:B,RenewalPlans!AF:AF,"NA",0,1)</f>
        <v>NA</v>
      </c>
      <c r="U236" s="200"/>
      <c r="V236" s="200"/>
      <c r="W236" s="200"/>
      <c r="X236" s="208"/>
      <c r="Y236" s="200"/>
      <c r="Z236" s="201"/>
    </row>
    <row r="237" spans="4:26" ht="18" customHeight="1" hidden="1">
      <c r="D237" s="210"/>
      <c r="E237" s="211"/>
      <c r="F237" s="211"/>
      <c r="G237" s="211"/>
      <c r="H237" s="211"/>
      <c r="I237" s="211"/>
      <c r="J237" s="212"/>
      <c r="K237"/>
      <c r="L237" s="210"/>
      <c r="M237" s="211"/>
      <c r="N237" s="211"/>
      <c r="O237" s="211"/>
      <c r="P237" s="211"/>
      <c r="Q237" s="211"/>
      <c r="R237" s="212"/>
      <c r="T237" s="210"/>
      <c r="U237" s="211"/>
      <c r="V237" s="211"/>
      <c r="W237" s="211"/>
      <c r="X237" s="211"/>
      <c r="Y237" s="211"/>
      <c r="Z237" s="212"/>
    </row>
    <row r="238" spans="4:26" ht="18" customHeight="1" hidden="1">
      <c r="D238" s="185" t="s">
        <v>260</v>
      </c>
      <c r="E238" s="186"/>
      <c r="F238" s="186"/>
      <c r="G238" s="186"/>
      <c r="H238" s="186"/>
      <c r="I238" s="186"/>
      <c r="J238" s="187"/>
      <c r="K238"/>
      <c r="L238" s="188"/>
      <c r="M238" s="186"/>
      <c r="N238" s="186"/>
      <c r="O238" s="186"/>
      <c r="P238" s="186"/>
      <c r="Q238" s="186"/>
      <c r="R238" s="187"/>
      <c r="T238" s="188"/>
      <c r="U238" s="186"/>
      <c r="V238" s="186"/>
      <c r="W238" s="186"/>
      <c r="X238" s="186"/>
      <c r="Y238" s="186"/>
      <c r="Z238" s="187"/>
    </row>
    <row r="239" spans="4:26" ht="18" customHeight="1" hidden="1">
      <c r="D239" s="213" t="s">
        <v>261</v>
      </c>
      <c r="E239" s="130" t="str">
        <f>_xlfn.XLOOKUP(E225,CurrentPlans!B:B,CurrentPlans!AJ:AJ,"NA",0,1)</f>
        <v>NA</v>
      </c>
      <c r="F239" s="214"/>
      <c r="G239" s="214"/>
      <c r="H239" s="214"/>
      <c r="I239" s="130"/>
      <c r="J239" s="215"/>
      <c r="K239"/>
      <c r="L239" s="131" t="str">
        <f ca="1">_xlfn.XLOOKUP(L225,RenewalPlans!B:B,RenewalPlans!AM:AM,"NA",0,1)</f>
        <v>NA</v>
      </c>
      <c r="M239" s="214"/>
      <c r="N239" s="214"/>
      <c r="O239" s="214"/>
      <c r="P239" s="130"/>
      <c r="Q239" s="214"/>
      <c r="R239" s="215"/>
      <c r="T239" s="131" t="str">
        <f>_xlfn.XLOOKUP(T225,RenewalPlans!B:B,RenewalPlans!AM:AM,"NA",0,1)</f>
        <v>NA</v>
      </c>
      <c r="U239" s="214"/>
      <c r="V239" s="214"/>
      <c r="W239" s="214"/>
      <c r="X239" s="130"/>
      <c r="Y239" s="214"/>
      <c r="Z239" s="215"/>
    </row>
    <row r="240" spans="4:26" ht="18" customHeight="1" hidden="1">
      <c r="D240" s="198" t="s">
        <v>262</v>
      </c>
      <c r="E240" s="130" t="str">
        <f>_xlfn.XLOOKUP(E225,CurrentPlans!B:B,CurrentPlans!AM:AM,"NA",0,1)</f>
        <v>NA</v>
      </c>
      <c r="F240" s="200"/>
      <c r="G240" s="200"/>
      <c r="H240" s="200"/>
      <c r="I240" s="130"/>
      <c r="J240" s="201"/>
      <c r="K240"/>
      <c r="L240" s="131" t="str">
        <f ca="1">_xlfn.XLOOKUP(L225,RenewalPlans!B:B,RenewalPlans!AP:AP,"NA",0,1)</f>
        <v>NA</v>
      </c>
      <c r="M240" s="200"/>
      <c r="N240" s="200"/>
      <c r="O240" s="200"/>
      <c r="P240" s="130"/>
      <c r="Q240" s="200"/>
      <c r="R240" s="201"/>
      <c r="T240" s="131" t="str">
        <f>_xlfn.XLOOKUP(T225,RenewalPlans!B:B,RenewalPlans!AP:AP,"NA",0,1)</f>
        <v>NA</v>
      </c>
      <c r="U240" s="200"/>
      <c r="V240" s="200"/>
      <c r="W240" s="200"/>
      <c r="X240" s="130"/>
      <c r="Y240" s="200"/>
      <c r="Z240" s="201"/>
    </row>
    <row r="241" spans="4:26" ht="18" customHeight="1" hidden="1">
      <c r="D241" s="198" t="s">
        <v>263</v>
      </c>
      <c r="E241" s="130" t="str">
        <f>_xlfn.XLOOKUP(E225,CurrentPlans!B:B,CurrentPlans!AI:AI,"NA",0,1)</f>
        <v>NA</v>
      </c>
      <c r="F241" s="200"/>
      <c r="G241" s="200"/>
      <c r="H241" s="200"/>
      <c r="I241" s="130"/>
      <c r="J241" s="201"/>
      <c r="K241"/>
      <c r="L241" s="131" t="str">
        <f ca="1">_xlfn.XLOOKUP(L225,RenewalPlans!B:B,RenewalPlans!AL:AL,"NA",0,1)</f>
        <v>NA</v>
      </c>
      <c r="M241" s="200"/>
      <c r="N241" s="200"/>
      <c r="O241" s="200"/>
      <c r="P241" s="130"/>
      <c r="Q241" s="200"/>
      <c r="R241" s="201"/>
      <c r="T241" s="131" t="str">
        <f>_xlfn.XLOOKUP(T225,RenewalPlans!B:B,RenewalPlans!AL:AL,"NA",0,1)</f>
        <v>NA</v>
      </c>
      <c r="U241" s="200"/>
      <c r="V241" s="200"/>
      <c r="W241" s="200"/>
      <c r="X241" s="130"/>
      <c r="Y241" s="200"/>
      <c r="Z241" s="201"/>
    </row>
    <row r="242" spans="4:26" ht="18" customHeight="1" hidden="1">
      <c r="D242" s="198" t="s">
        <v>264</v>
      </c>
      <c r="E242" s="208" t="str">
        <f>_xlfn.XLOOKUP(E225,CurrentPlans!B:B,CurrentPlans!AN:AN,"NA",0,1)</f>
        <v>NA</v>
      </c>
      <c r="F242" s="200"/>
      <c r="G242" s="200"/>
      <c r="H242" s="200"/>
      <c r="I242" s="208"/>
      <c r="J242" s="201"/>
      <c r="K242"/>
      <c r="L242" s="209" t="str">
        <f ca="1">_xlfn.XLOOKUP(L225,RenewalPlans!B:B,RenewalPlans!AQ:AQ,"NA",0,1)</f>
        <v>NA</v>
      </c>
      <c r="M242" s="200"/>
      <c r="N242" s="200"/>
      <c r="O242" s="200"/>
      <c r="P242" s="208"/>
      <c r="Q242" s="200"/>
      <c r="R242" s="201"/>
      <c r="T242" s="209" t="str">
        <f>_xlfn.XLOOKUP(T225,RenewalPlans!B:B,RenewalPlans!AQ:AQ,"NA",0,1)</f>
        <v>NA</v>
      </c>
      <c r="U242" s="200"/>
      <c r="V242" s="200"/>
      <c r="W242" s="200"/>
      <c r="X242" s="208"/>
      <c r="Y242" s="200"/>
      <c r="Z242" s="201"/>
    </row>
    <row r="243" spans="4:26" ht="18" customHeight="1" hidden="1">
      <c r="D243" s="210"/>
      <c r="E243" s="211"/>
      <c r="F243" s="211"/>
      <c r="G243" s="211"/>
      <c r="H243" s="211"/>
      <c r="I243" s="211"/>
      <c r="J243" s="212"/>
      <c r="K243"/>
      <c r="L243" s="210"/>
      <c r="M243" s="211"/>
      <c r="N243" s="211"/>
      <c r="O243" s="211"/>
      <c r="P243" s="211"/>
      <c r="Q243" s="211"/>
      <c r="R243" s="212"/>
      <c r="T243" s="210"/>
      <c r="U243" s="211"/>
      <c r="V243" s="211"/>
      <c r="W243" s="211"/>
      <c r="X243" s="211"/>
      <c r="Y243" s="211"/>
      <c r="Z243" s="212"/>
    </row>
    <row r="244" spans="4:26" ht="18" customHeight="1" hidden="1">
      <c r="D244" s="185" t="s">
        <v>265</v>
      </c>
      <c r="E244" s="186"/>
      <c r="F244" s="186"/>
      <c r="G244" s="186"/>
      <c r="H244" s="186"/>
      <c r="I244" s="186"/>
      <c r="J244" s="187"/>
      <c r="K244"/>
      <c r="L244" s="188"/>
      <c r="M244" s="186"/>
      <c r="N244" s="186"/>
      <c r="O244" s="186"/>
      <c r="P244" s="186"/>
      <c r="Q244" s="186"/>
      <c r="R244" s="187"/>
      <c r="T244" s="188"/>
      <c r="U244" s="186"/>
      <c r="V244" s="186"/>
      <c r="W244" s="186"/>
      <c r="X244" s="186"/>
      <c r="Y244" s="186"/>
      <c r="Z244" s="187"/>
    </row>
    <row r="245" spans="4:26" ht="18" customHeight="1" hidden="1">
      <c r="D245" s="132" t="s">
        <v>266</v>
      </c>
      <c r="E245" s="133" t="str">
        <f>_xlfn.XLOOKUP(E225,CurrentPlans!B:B,CurrentPlans!AE:AE,"NA",0,1)</f>
        <v>NA</v>
      </c>
      <c r="F245" s="134"/>
      <c r="G245" s="134"/>
      <c r="H245" s="134"/>
      <c r="I245" s="133"/>
      <c r="J245" s="135"/>
      <c r="K245"/>
      <c r="L245" s="136" t="str">
        <f ca="1">_xlfn.XLOOKUP(L225,RenewalPlans!B:B,RenewalPlans!AH:AH,"NA",0,1)</f>
        <v>NA</v>
      </c>
      <c r="M245" s="134"/>
      <c r="N245" s="134"/>
      <c r="O245" s="134"/>
      <c r="P245" s="133"/>
      <c r="Q245" s="134"/>
      <c r="R245" s="135"/>
      <c r="T245" s="136" t="str">
        <f>_xlfn.XLOOKUP(T225,RenewalPlans!B:B,RenewalPlans!AH:AH,"NA",0,1)</f>
        <v>NA</v>
      </c>
      <c r="U245" s="134"/>
      <c r="V245" s="134"/>
      <c r="W245" s="134"/>
      <c r="X245" s="133"/>
      <c r="Y245" s="134"/>
      <c r="Z245" s="135"/>
    </row>
    <row r="246" spans="4:26" ht="18" customHeight="1" hidden="1">
      <c r="D246" s="120" t="s">
        <v>267</v>
      </c>
      <c r="E246" s="130" t="str">
        <f>_xlfn.XLOOKUP(E225,CurrentPlans!B:B,CurrentPlans!AF:AF,"NA",0,1)</f>
        <v>NA</v>
      </c>
      <c r="F246" s="122"/>
      <c r="G246" s="122"/>
      <c r="H246" s="122"/>
      <c r="I246" s="130"/>
      <c r="J246" s="123"/>
      <c r="K246"/>
      <c r="L246" s="131" t="str">
        <f ca="1">_xlfn.XLOOKUP(L225,RenewalPlans!B:B,RenewalPlans!AI:AI,"NA",0,1)</f>
        <v>NA</v>
      </c>
      <c r="M246" s="122"/>
      <c r="N246" s="122"/>
      <c r="O246" s="122"/>
      <c r="P246" s="130"/>
      <c r="Q246" s="122"/>
      <c r="R246" s="123"/>
      <c r="T246" s="131" t="str">
        <f>_xlfn.XLOOKUP(T225,RenewalPlans!B:B,RenewalPlans!AI:AI,"NA",0,1)</f>
        <v>NA</v>
      </c>
      <c r="U246" s="122"/>
      <c r="V246" s="122"/>
      <c r="W246" s="122"/>
      <c r="X246" s="130"/>
      <c r="Y246" s="122"/>
      <c r="Z246" s="123"/>
    </row>
    <row r="247" spans="4:26" ht="18" customHeight="1" hidden="1">
      <c r="D247" s="198" t="s">
        <v>268</v>
      </c>
      <c r="E247" s="130" t="str">
        <f>_xlfn.XLOOKUP(E225,CurrentPlans!B:B,CurrentPlans!AH:AH,"NA",0,1)</f>
        <v>NA</v>
      </c>
      <c r="F247" s="200"/>
      <c r="G247" s="200"/>
      <c r="H247" s="200"/>
      <c r="I247" s="130"/>
      <c r="J247" s="201"/>
      <c r="K247"/>
      <c r="L247" s="131" t="str">
        <f ca="1">_xlfn.XLOOKUP(L225,RenewalPlans!B:B,RenewalPlans!AK:AK,"NA",0,1)</f>
        <v>NA</v>
      </c>
      <c r="M247" s="200"/>
      <c r="N247" s="200"/>
      <c r="O247" s="200"/>
      <c r="P247" s="130"/>
      <c r="Q247" s="200"/>
      <c r="R247" s="201"/>
      <c r="T247" s="131" t="str">
        <f>_xlfn.XLOOKUP(T225,RenewalPlans!B:B,RenewalPlans!AK:AK,"NA",0,1)</f>
        <v>NA</v>
      </c>
      <c r="U247" s="200"/>
      <c r="V247" s="200"/>
      <c r="W247" s="200"/>
      <c r="X247" s="130"/>
      <c r="Y247" s="200"/>
      <c r="Z247" s="201"/>
    </row>
    <row r="248" spans="4:26" ht="18" customHeight="1" hidden="1">
      <c r="D248" s="198" t="s">
        <v>269</v>
      </c>
      <c r="E248" s="130" t="str">
        <f>_xlfn.XLOOKUP(E225,CurrentPlans!B:B,CurrentPlans!AG:AG,"NA",0,1)</f>
        <v>NA</v>
      </c>
      <c r="F248" s="200"/>
      <c r="G248" s="200"/>
      <c r="H248" s="200"/>
      <c r="I248" s="130"/>
      <c r="J248" s="201"/>
      <c r="K248"/>
      <c r="L248" s="131" t="str">
        <f ca="1">_xlfn.XLOOKUP(L225,RenewalPlans!B:B,RenewalPlans!AJ:AJ,"NA",0,1)</f>
        <v>NA</v>
      </c>
      <c r="M248" s="200"/>
      <c r="N248" s="200"/>
      <c r="O248" s="200"/>
      <c r="P248" s="130"/>
      <c r="Q248" s="200"/>
      <c r="R248" s="201"/>
      <c r="T248" s="131" t="str">
        <f>_xlfn.XLOOKUP(T225,RenewalPlans!B:B,RenewalPlans!AJ:AJ,"NA",0,1)</f>
        <v>NA</v>
      </c>
      <c r="U248" s="200"/>
      <c r="V248" s="200"/>
      <c r="W248" s="200"/>
      <c r="X248" s="130"/>
      <c r="Y248" s="200"/>
      <c r="Z248" s="201"/>
    </row>
    <row r="249" spans="4:26" ht="18" customHeight="1" hidden="1">
      <c r="D249" s="213" t="s">
        <v>270</v>
      </c>
      <c r="E249" s="216" t="str">
        <f>_xlfn.XLOOKUP(E225,CurrentPlans!B:B,CurrentPlans!AU:AU,"NA",0,1)</f>
        <v>NA</v>
      </c>
      <c r="F249" s="214"/>
      <c r="G249" s="214"/>
      <c r="H249" s="214"/>
      <c r="I249" s="217"/>
      <c r="J249" s="215"/>
      <c r="K249"/>
      <c r="L249" s="218" t="str">
        <f ca="1">_xlfn.XLOOKUP(L225,RenewalPlans!B:B,RenewalPlans!AX:AX,"NA",0,1)</f>
        <v>NA</v>
      </c>
      <c r="M249" s="214"/>
      <c r="N249" s="214"/>
      <c r="O249" s="214"/>
      <c r="P249" s="217"/>
      <c r="Q249" s="214"/>
      <c r="R249" s="215"/>
      <c r="T249" s="218" t="str">
        <f>_xlfn.XLOOKUP(T225,RenewalPlans!B:B,RenewalPlans!AX:AX,"NA",0,1)</f>
        <v>NA</v>
      </c>
      <c r="U249" s="214"/>
      <c r="V249" s="214"/>
      <c r="W249" s="214"/>
      <c r="X249" s="217"/>
      <c r="Y249" s="214"/>
      <c r="Z249" s="215"/>
    </row>
    <row r="250" spans="4:26" ht="18" customHeight="1" hidden="1">
      <c r="D250" s="213" t="s">
        <v>271</v>
      </c>
      <c r="E250" s="216" t="str">
        <f>_xlfn.XLOOKUP(E225,CurrentPlans!B:B,CurrentPlans!AT:AT,"NA",0,1)</f>
        <v>NA</v>
      </c>
      <c r="F250" s="214"/>
      <c r="G250" s="214"/>
      <c r="H250" s="214"/>
      <c r="I250" s="217"/>
      <c r="J250" s="215"/>
      <c r="K250"/>
      <c r="L250" s="218" t="str">
        <f ca="1">_xlfn.XLOOKUP(L225,RenewalPlans!B:B,RenewalPlans!AW:AW,"NA",0,1)</f>
        <v>NA</v>
      </c>
      <c r="M250" s="214"/>
      <c r="N250" s="214"/>
      <c r="O250" s="214"/>
      <c r="P250" s="217"/>
      <c r="Q250" s="214"/>
      <c r="R250" s="215"/>
      <c r="T250" s="218" t="str">
        <f>_xlfn.XLOOKUP(T225,RenewalPlans!B:B,RenewalPlans!AW:AW,"NA",0,1)</f>
        <v>NA</v>
      </c>
      <c r="U250" s="214"/>
      <c r="V250" s="214"/>
      <c r="W250" s="214"/>
      <c r="X250" s="217"/>
      <c r="Y250" s="214"/>
      <c r="Z250" s="215"/>
    </row>
    <row r="251" spans="4:26" ht="18" customHeight="1" hidden="1">
      <c r="D251" s="198" t="s">
        <v>272</v>
      </c>
      <c r="E251" s="130" t="str">
        <f>_xlfn.XLOOKUP(E225,CurrentPlans!B:B,CurrentPlans!AD:AD,"NA",0,1)</f>
        <v>NA</v>
      </c>
      <c r="F251" s="200"/>
      <c r="G251" s="200"/>
      <c r="H251" s="200"/>
      <c r="I251" s="130"/>
      <c r="J251" s="201"/>
      <c r="K251"/>
      <c r="L251" s="131" t="str">
        <f ca="1">_xlfn.XLOOKUP(L225,RenewalPlans!B:B,RenewalPlans!AG:AG,"NA",0,1)</f>
        <v>NA</v>
      </c>
      <c r="M251" s="200"/>
      <c r="N251" s="200"/>
      <c r="O251" s="200"/>
      <c r="P251" s="130"/>
      <c r="Q251" s="200"/>
      <c r="R251" s="201"/>
      <c r="T251" s="131" t="str">
        <f>_xlfn.XLOOKUP(T225,RenewalPlans!B:B,RenewalPlans!AG:AG,"NA",0,1)</f>
        <v>NA</v>
      </c>
      <c r="U251" s="200"/>
      <c r="V251" s="200"/>
      <c r="W251" s="200"/>
      <c r="X251" s="130"/>
      <c r="Y251" s="200"/>
      <c r="Z251" s="201"/>
    </row>
    <row r="252" spans="4:26" ht="18" customHeight="1" hidden="1">
      <c r="D252" s="198" t="s">
        <v>273</v>
      </c>
      <c r="E252" s="200"/>
      <c r="F252" s="200"/>
      <c r="G252" s="200"/>
      <c r="H252" s="200"/>
      <c r="I252" s="200"/>
      <c r="J252" s="201"/>
      <c r="K252"/>
      <c r="L252" s="198"/>
      <c r="M252" s="200"/>
      <c r="N252" s="200"/>
      <c r="O252" s="200"/>
      <c r="P252" s="200"/>
      <c r="Q252" s="200"/>
      <c r="R252" s="201"/>
      <c r="T252" s="198"/>
      <c r="U252" s="200"/>
      <c r="V252" s="200"/>
      <c r="W252" s="200"/>
      <c r="X252" s="200"/>
      <c r="Y252" s="200"/>
      <c r="Z252" s="201"/>
    </row>
    <row r="253" spans="4:26" ht="18" customHeight="1" hidden="1">
      <c r="D253" s="210"/>
      <c r="E253" s="211"/>
      <c r="F253" s="211"/>
      <c r="G253" s="211"/>
      <c r="H253" s="211"/>
      <c r="I253" s="211"/>
      <c r="J253" s="212"/>
      <c r="K253"/>
      <c r="L253" s="210"/>
      <c r="M253" s="211"/>
      <c r="N253" s="211"/>
      <c r="O253" s="211"/>
      <c r="P253" s="211"/>
      <c r="Q253" s="211"/>
      <c r="R253" s="212"/>
      <c r="T253" s="210"/>
      <c r="U253" s="211"/>
      <c r="V253" s="211"/>
      <c r="W253" s="211"/>
      <c r="X253" s="211"/>
      <c r="Y253" s="211"/>
      <c r="Z253" s="212"/>
    </row>
    <row r="254" spans="4:26" ht="18" customHeight="1" hidden="1">
      <c r="D254" s="219" t="s">
        <v>274</v>
      </c>
      <c r="E254" s="220"/>
      <c r="F254" s="220"/>
      <c r="G254" s="220"/>
      <c r="H254" s="220"/>
      <c r="I254" s="220"/>
      <c r="J254" s="221"/>
      <c r="K254"/>
      <c r="L254" s="222"/>
      <c r="M254" s="220"/>
      <c r="N254" s="220"/>
      <c r="O254" s="220"/>
      <c r="P254" s="220"/>
      <c r="Q254" s="220"/>
      <c r="R254" s="221"/>
      <c r="T254" s="222"/>
      <c r="U254" s="220"/>
      <c r="V254" s="220"/>
      <c r="W254" s="220"/>
      <c r="X254" s="220"/>
      <c r="Y254" s="220"/>
      <c r="Z254" s="221"/>
    </row>
    <row r="255" spans="4:26" ht="18" customHeight="1" hidden="1">
      <c r="D255" s="223" t="s">
        <v>250</v>
      </c>
      <c r="E255" s="205"/>
      <c r="F255" s="205"/>
      <c r="G255" s="205"/>
      <c r="H255" s="205"/>
      <c r="I255" s="205"/>
      <c r="J255" s="206"/>
      <c r="K255"/>
      <c r="L255" s="203"/>
      <c r="M255" s="205"/>
      <c r="N255" s="205"/>
      <c r="O255" s="205"/>
      <c r="P255" s="205"/>
      <c r="Q255" s="205"/>
      <c r="R255" s="206"/>
      <c r="T255" s="203"/>
      <c r="U255" s="205"/>
      <c r="V255" s="205"/>
      <c r="W255" s="205"/>
      <c r="X255" s="205"/>
      <c r="Y255" s="205"/>
      <c r="Z255" s="206"/>
    </row>
    <row r="256" spans="4:26" ht="18" customHeight="1" hidden="1">
      <c r="D256" s="198" t="s">
        <v>251</v>
      </c>
      <c r="E256" s="130" t="str">
        <f>_xlfn.XLOOKUP(E225,CurrentPlans!B:B,CurrentPlans!AP:AP,"NA",0,1)</f>
        <v>NA</v>
      </c>
      <c r="F256" s="200"/>
      <c r="G256" s="200"/>
      <c r="H256" s="200"/>
      <c r="I256" s="130"/>
      <c r="J256" s="201"/>
      <c r="K256"/>
      <c r="L256" s="131" t="str">
        <f ca="1">_xlfn.XLOOKUP(L225,RenewalPlans!B:B,RenewalPlans!AS:AS,"NA",0,1)</f>
        <v>NA</v>
      </c>
      <c r="M256" s="200"/>
      <c r="N256" s="200"/>
      <c r="O256" s="200"/>
      <c r="P256" s="130"/>
      <c r="Q256" s="200"/>
      <c r="R256" s="201"/>
      <c r="T256" s="131" t="str">
        <f>_xlfn.XLOOKUP(T225,RenewalPlans!B:B,RenewalPlans!AS:AS,"NA",0,1)</f>
        <v>NA</v>
      </c>
      <c r="U256" s="200"/>
      <c r="V256" s="200"/>
      <c r="W256" s="200"/>
      <c r="X256" s="130"/>
      <c r="Y256" s="200"/>
      <c r="Z256" s="201"/>
    </row>
    <row r="257" spans="4:26" ht="18" customHeight="1" hidden="1">
      <c r="D257" s="198" t="s">
        <v>252</v>
      </c>
      <c r="E257" s="130" t="str">
        <f>_xlfn.XLOOKUP(E225,CurrentPlans!B:B,CurrentPlans!AQ:AQ,"NA",0,1)</f>
        <v>NA</v>
      </c>
      <c r="F257" s="200"/>
      <c r="G257" s="200"/>
      <c r="H257" s="200"/>
      <c r="I257" s="130"/>
      <c r="J257" s="201"/>
      <c r="K257"/>
      <c r="L257" s="131" t="str">
        <f ca="1">_xlfn.XLOOKUP(L225,RenewalPlans!B:B,RenewalPlans!AT:AT,"NA",0,1)</f>
        <v>NA</v>
      </c>
      <c r="M257" s="200"/>
      <c r="N257" s="200"/>
      <c r="O257" s="200"/>
      <c r="P257" s="130"/>
      <c r="Q257" s="200"/>
      <c r="R257" s="201"/>
      <c r="T257" s="131" t="str">
        <f>_xlfn.XLOOKUP(T225,RenewalPlans!B:B,RenewalPlans!AT:AT,"NA",0,1)</f>
        <v>NA</v>
      </c>
      <c r="U257" s="200"/>
      <c r="V257" s="200"/>
      <c r="W257" s="200"/>
      <c r="X257" s="130"/>
      <c r="Y257" s="200"/>
      <c r="Z257" s="201"/>
    </row>
    <row r="258" spans="4:26" ht="18" customHeight="1" hidden="1">
      <c r="D258" s="120" t="s">
        <v>253</v>
      </c>
      <c r="E258" s="133" t="str">
        <f>_xlfn.XLOOKUP(E225,CurrentPlans!B:B,CurrentPlans!AO:AO,"NA",0,1)</f>
        <v>NA</v>
      </c>
      <c r="F258" s="122"/>
      <c r="G258" s="122"/>
      <c r="H258" s="122"/>
      <c r="I258" s="133"/>
      <c r="J258" s="123"/>
      <c r="K258"/>
      <c r="L258" s="136" t="str">
        <f ca="1">_xlfn.XLOOKUP(L225,RenewalPlans!B:B,RenewalPlans!AR:AR,"NA",0,1)</f>
        <v>NA</v>
      </c>
      <c r="M258" s="122"/>
      <c r="N258" s="122"/>
      <c r="O258" s="122"/>
      <c r="P258" s="133"/>
      <c r="Q258" s="122"/>
      <c r="R258" s="123"/>
      <c r="T258" s="136" t="str">
        <f>_xlfn.XLOOKUP(T225,RenewalPlans!B:B,RenewalPlans!AR:AR,"NA",0,1)</f>
        <v>NA</v>
      </c>
      <c r="U258" s="122"/>
      <c r="V258" s="122"/>
      <c r="W258" s="122"/>
      <c r="X258" s="133"/>
      <c r="Y258" s="122"/>
      <c r="Z258" s="123"/>
    </row>
    <row r="259" spans="4:26" ht="18" customHeight="1" hidden="1">
      <c r="D259" s="223" t="s">
        <v>254</v>
      </c>
      <c r="E259" s="205"/>
      <c r="F259" s="205"/>
      <c r="G259" s="205"/>
      <c r="H259" s="205"/>
      <c r="I259" s="205"/>
      <c r="J259" s="206"/>
      <c r="K259"/>
      <c r="L259" s="203"/>
      <c r="M259" s="205"/>
      <c r="N259" s="205"/>
      <c r="O259" s="205"/>
      <c r="P259" s="205"/>
      <c r="Q259" s="205"/>
      <c r="R259" s="206"/>
      <c r="T259" s="203"/>
      <c r="U259" s="205"/>
      <c r="V259" s="205"/>
      <c r="W259" s="205"/>
      <c r="X259" s="205"/>
      <c r="Y259" s="205"/>
      <c r="Z259" s="206"/>
    </row>
    <row r="260" spans="4:26" ht="18" customHeight="1" hidden="1">
      <c r="D260" s="198" t="s">
        <v>255</v>
      </c>
      <c r="E260" s="130" t="str">
        <f>_xlfn.XLOOKUP(E225,CurrentPlans!B:B,CurrentPlans!AR:AR,"NA",0,1)</f>
        <v>NA</v>
      </c>
      <c r="F260" s="200"/>
      <c r="G260" s="200"/>
      <c r="H260" s="200"/>
      <c r="I260" s="130"/>
      <c r="J260" s="201"/>
      <c r="K260"/>
      <c r="L260" s="131" t="str">
        <f ca="1">_xlfn.XLOOKUP(L225,RenewalPlans!B:B,RenewalPlans!AU:AU,"NA",0,1)</f>
        <v>NA</v>
      </c>
      <c r="M260" s="200"/>
      <c r="N260" s="200"/>
      <c r="O260" s="200"/>
      <c r="P260" s="130"/>
      <c r="Q260" s="200"/>
      <c r="R260" s="201"/>
      <c r="T260" s="131" t="str">
        <f>_xlfn.XLOOKUP(T225,RenewalPlans!B:B,RenewalPlans!AU:AU,"NA",0,1)</f>
        <v>NA</v>
      </c>
      <c r="U260" s="200"/>
      <c r="V260" s="200"/>
      <c r="W260" s="200"/>
      <c r="X260" s="130"/>
      <c r="Y260" s="200"/>
      <c r="Z260" s="201"/>
    </row>
    <row r="261" spans="4:26" ht="18" customHeight="1" hidden="1" thickBot="1">
      <c r="D261" s="224" t="s">
        <v>256</v>
      </c>
      <c r="E261" s="137" t="str">
        <f>_xlfn.XLOOKUP(E225,CurrentPlans!B:B,CurrentPlans!AS:AS,"NA",0,1)</f>
        <v>NA</v>
      </c>
      <c r="F261" s="225"/>
      <c r="G261" s="225"/>
      <c r="H261" s="225"/>
      <c r="I261" s="137"/>
      <c r="J261" s="226"/>
      <c r="K261"/>
      <c r="L261" s="138" t="str">
        <f ca="1">_xlfn.XLOOKUP(L225,RenewalPlans!B:B,RenewalPlans!AV:AV,"NA",0,1)</f>
        <v>NA</v>
      </c>
      <c r="M261" s="225"/>
      <c r="N261" s="225"/>
      <c r="O261" s="225"/>
      <c r="P261" s="137"/>
      <c r="Q261" s="225"/>
      <c r="R261" s="226"/>
      <c r="T261" s="138" t="str">
        <f>_xlfn.XLOOKUP(T225,RenewalPlans!B:B,RenewalPlans!AV:AV,"NA",0,1)</f>
        <v>NA</v>
      </c>
      <c r="U261" s="225"/>
      <c r="V261" s="225"/>
      <c r="W261" s="225"/>
      <c r="X261" s="137"/>
      <c r="Y261" s="225"/>
      <c r="Z261" s="226"/>
    </row>
    <row r="262" spans="4:26" ht="18" customHeight="1">
      <c r="D262" s="227"/>
      <c r="E262" s="176"/>
      <c r="F262" s="178"/>
      <c r="G262" s="179"/>
      <c r="H262" s="178"/>
      <c r="I262" s="176"/>
      <c r="J262" s="228"/>
      <c r="K262"/>
      <c r="L262" s="178"/>
      <c r="M262" s="176"/>
      <c r="N262" s="139"/>
      <c r="O262" s="178"/>
      <c r="P262" s="178"/>
      <c r="Q262" s="178"/>
      <c r="R262" s="228"/>
      <c r="T262" s="178"/>
      <c r="U262" s="176"/>
      <c r="V262" s="139"/>
      <c r="W262" s="178"/>
      <c r="X262" s="178"/>
      <c r="Y262" s="178"/>
      <c r="Z262" s="228"/>
    </row>
    <row r="263" spans="1:26" ht="5.25" customHeight="1" thickBot="1">
      <c r="A263" s="140"/>
      <c r="B263" s="140"/>
      <c r="D263" s="229"/>
      <c r="E263" s="229"/>
      <c r="F263" s="230"/>
      <c r="G263" s="231"/>
      <c r="H263" s="232"/>
      <c r="I263" s="233"/>
      <c r="J263" s="233"/>
      <c r="K263"/>
      <c r="L263" s="233"/>
      <c r="M263" s="233"/>
      <c r="N263" s="233"/>
      <c r="O263" s="233"/>
      <c r="P263" s="233"/>
      <c r="Q263" s="233"/>
      <c r="R263" s="233"/>
      <c r="T263" s="233"/>
      <c r="U263" s="233"/>
      <c r="V263" s="233"/>
      <c r="W263" s="233"/>
      <c r="X263" s="233"/>
      <c r="Y263" s="233"/>
      <c r="Z263" s="233"/>
    </row>
    <row r="264" spans="1:26" ht="50.15" customHeight="1">
      <c r="A264" s="140">
        <v>6</v>
      </c>
      <c r="B264" s="140" t="str">
        <f>IF(A264&gt;Class6_CurrentHealthCount,"DELETE",Class6_CurrentHealthStart+A264)</f>
        <v>DELETE</v>
      </c>
      <c r="C264" s="164" t="s">
        <v>279</v>
      </c>
      <c r="D264" s="273" t="str">
        <f>IF(B264="Delete","",VLOOKUP(F264,BEGIN_CURRENT_HEALTH:END_CURRENT_HEALTH,3,FALSE))</f>
        <v/>
      </c>
      <c r="E264" s="165"/>
      <c r="F264" s="272" t="str" cm="1">
        <f t="array" ca="1" aca="1" ref="F264">IF(B264="Delete","",INDIRECT("CurrentPlans!A"&amp;B264,TRUE))</f>
        <v/>
      </c>
      <c r="G264" s="166"/>
      <c r="H264" s="167"/>
      <c r="I264" s="168"/>
      <c r="J264" s="169"/>
      <c r="K264"/>
      <c r="L264" s="274" t="str">
        <f ca="1">_xlfn.IFNA(VLOOKUP(F264,BEGIN_RENEWEDFROM_HEALTH:ROW_RenewHealth_PlanID,3,FALSE),"SELECT PLAN")</f>
        <v>SELECT PLAN</v>
      </c>
      <c r="M264" s="170"/>
      <c r="N264" s="274" t="s">
        <v>237</v>
      </c>
      <c r="O264" s="171"/>
      <c r="P264" s="171"/>
      <c r="Q264" s="171"/>
      <c r="R264" s="169"/>
      <c r="T264" s="274" t="s">
        <v>38</v>
      </c>
      <c r="U264" s="170"/>
      <c r="V264" s="274" t="s">
        <v>237</v>
      </c>
      <c r="W264" s="171"/>
      <c r="X264" s="171"/>
      <c r="Y264" s="171"/>
      <c r="Z264" s="169"/>
    </row>
    <row r="265" spans="1:26" ht="18.75" customHeight="1">
      <c r="A265" s="140"/>
      <c r="B265" s="140"/>
      <c r="D265" s="172" t="s">
        <v>238</v>
      </c>
      <c r="E265" s="407" t="str">
        <f ca="1">_xlfn.IFNA(VLOOKUP(F264,BEGIN_CURRENT_HEALTH:END_CURRENT_HEALTH,CURRENT_COL_EO_count,FALSE),"")</f>
        <v/>
      </c>
      <c r="F265" s="408" t="str">
        <f ca="1">_xlfn.IFNA(VLOOKUP(F264,BEGIN_CURRENT_HEALTH:END_CURRENT_HEALTH,CURRENT_COL_EO,FALSE),"")</f>
        <v/>
      </c>
      <c r="G265" s="468" t="str">
        <f ca="1" t="shared" si="25" ref="G265:G268">IF(F265="","",H265/F265)</f>
        <v/>
      </c>
      <c r="H265" s="408" t="str">
        <f ca="1">_xlfn.IFNA(VLOOKUP(F264,BEGIN_CURRENT_HEALTH:END_CURRENT_HEALTH,CURRENT_COL_EOContrib,FALSE),"")</f>
        <v/>
      </c>
      <c r="I265" s="409" t="str">
        <f ca="1">IFERROR(F265-H265,"")</f>
        <v/>
      </c>
      <c r="J265" s="410" t="str">
        <f ca="1">IF(F265="","",H265*E265)</f>
        <v/>
      </c>
      <c r="K265" s="411"/>
      <c r="L265" s="408" t="str" cm="1">
        <f t="array" ca="1" aca="1" ref="L265">_xlfn.IFNA(VLOOKUP(INDIRECT("L"&amp;ROW()-1)&amp;"_"&amp;$D$12,BEGIN_RENEW_HEALTH:END_RENEW_HEALTH,RENEW_COL_EO,FALSE),"")</f>
        <v/>
      </c>
      <c r="M265" s="412" t="str">
        <f ca="1">IF(E265="","",E265)</f>
        <v/>
      </c>
      <c r="N265" s="413"/>
      <c r="O265" s="414"/>
      <c r="P265" s="415" t="str">
        <f>IFERROR(IF($N264="Keep Contribution Same",H265,IF($N264="Enter Percentages",IF(N265="","",N265*L265),IF($N264="Keep Percentage Same",IF(G265="","",G265*L265),IF($N264="Enter Dollar Amount",IF(O265="","",O265),"")))),"")</f>
        <v/>
      </c>
      <c r="Q265" s="408" t="str">
        <f ca="1">IFERROR(L265-P265,"")</f>
        <v/>
      </c>
      <c r="R265" s="410" t="str">
        <f>IFERROR(IF(P265="","",M265*P265),"")</f>
        <v/>
      </c>
      <c r="S265" s="411"/>
      <c r="T265" s="408" t="str" cm="1">
        <f t="array" ca="1" aca="1" ref="T265">_xlfn.IFNA(VLOOKUP(INDIRECT("T"&amp;ROW()-1)&amp;"_"&amp;$D$12,BEGIN_RENEW_HEALTH:END_RENEW_HEALTH,RENEW_COL_EO,FALSE),"")</f>
        <v/>
      </c>
      <c r="U265" s="412" t="str">
        <f ca="1">IF(E265="","",E265)</f>
        <v/>
      </c>
      <c r="V265" s="413"/>
      <c r="W265" s="414"/>
      <c r="X265" s="415" t="str">
        <f>IFERROR(IF($V264="Keep Contribution Same",H265,IF($V264="Enter Percentages",IF(V265="","",V265*T265),IF($V264="Keep Percentage Same",IF(G265="","",G265*T265),IF($V264="Enter Dollar Amount",IF(W265="","",W265),"")))),"")</f>
        <v/>
      </c>
      <c r="Y265" s="408" t="str">
        <f ca="1">IFERROR(T265-X265,"")</f>
        <v/>
      </c>
      <c r="Z265" s="410" t="str">
        <f>IFERROR(IF(X265="","",U265*X265),"")</f>
        <v/>
      </c>
    </row>
    <row r="266" spans="1:26" ht="18.75" customHeight="1">
      <c r="A266" s="140"/>
      <c r="B266" s="140"/>
      <c r="D266" s="172" t="s">
        <v>239</v>
      </c>
      <c r="E266" s="407" t="str">
        <f ca="1">_xlfn.IFNA(VLOOKUP(F264,BEGIN_CURRENT_HEALTH:END_CURRENT_HEALTH,CURRENT_COL_ES_count,FALSE),"")</f>
        <v/>
      </c>
      <c r="F266" s="408" t="str">
        <f ca="1">_xlfn.IFNA(VLOOKUP(F264,BEGIN_CURRENT_HEALTH:END_CURRENT_HEALTH,CURRENT_COL_ES,FALSE),"")</f>
        <v/>
      </c>
      <c r="G266" s="468" t="str">
        <f t="shared" ca="1" si="25"/>
        <v/>
      </c>
      <c r="H266" s="408" t="str">
        <f ca="1">_xlfn.IFNA(VLOOKUP(F264,BEGIN_CURRENT_HEALTH:END_CURRENT_HEALTH,CURRENT_COL_ESContrib,FALSE),"")</f>
        <v/>
      </c>
      <c r="I266" s="409" t="str">
        <f ca="1" t="shared" si="26" ref="I266:I268">IFERROR(F266-H266,"")</f>
        <v/>
      </c>
      <c r="J266" s="410" t="str">
        <f ca="1">IF(F266="","",H266*E266)</f>
        <v/>
      </c>
      <c r="K266" s="411"/>
      <c r="L266" s="408" t="str" cm="1">
        <f t="array" ca="1" aca="1" ref="L266">_xlfn.IFNA(VLOOKUP(INDIRECT("L"&amp;ROW()-2)&amp;"_"&amp;$D$12,BEGIN_RENEW_HEALTH:END_RENEW_HEALTH,RENEW_COL_ES,FALSE),"")</f>
        <v/>
      </c>
      <c r="M266" s="412" t="str">
        <f ca="1">IF(E266="","",E266)</f>
        <v/>
      </c>
      <c r="N266" s="413"/>
      <c r="O266" s="414"/>
      <c r="P266" s="415" t="str">
        <f>IFERROR(IF($N264="Keep Contribution Same",H266,IF($N264="Enter Percentages",IF(N266="","",N266*L266),IF($N264="Keep Percentage Same",IF(G266="","",G266*L266),IF($N264="Enter Dollar Amount",IF(O266="","",O266),"")))),"")</f>
        <v/>
      </c>
      <c r="Q266" s="408" t="str">
        <f ca="1">IFERROR(L266-P266,"")</f>
        <v/>
      </c>
      <c r="R266" s="410" t="str">
        <f>IFERROR(IF(P266="","",M266*P266),"")</f>
        <v/>
      </c>
      <c r="S266" s="411"/>
      <c r="T266" s="408" t="str" cm="1">
        <f t="array" ca="1" aca="1" ref="T266">_xlfn.IFNA(VLOOKUP(INDIRECT("T"&amp;ROW()-2)&amp;"_"&amp;$D$12,BEGIN_RENEW_HEALTH:END_RENEW_HEALTH,RENEW_COL_ES,FALSE),"")</f>
        <v/>
      </c>
      <c r="U266" s="412" t="str">
        <f ca="1" t="shared" si="27" ref="U266:U268">IF(E266="","",E266)</f>
        <v/>
      </c>
      <c r="V266" s="413"/>
      <c r="W266" s="414"/>
      <c r="X266" s="415" t="str">
        <f>IFERROR(IF($V264="Keep Contribution Same",H266,IF($V264="Enter Percentages",IF(V266="","",V266*T266),IF($V264="Keep Percentage Same",IF(G266="","",G266*T266),IF($V264="Enter Dollar Amount",IF(W266="","",W266),"")))),"")</f>
        <v/>
      </c>
      <c r="Y266" s="408" t="str">
        <f ca="1" t="shared" si="28" ref="Y266:Y268">IFERROR(T266-X266,"")</f>
        <v/>
      </c>
      <c r="Z266" s="410" t="str">
        <f t="shared" si="29" ref="Z266:Z268">IFERROR(IF(X266="","",U266*X266),"")</f>
        <v/>
      </c>
    </row>
    <row r="267" spans="1:26" ht="18.75" customHeight="1">
      <c r="A267" s="140"/>
      <c r="B267" s="140"/>
      <c r="D267" s="172" t="s">
        <v>240</v>
      </c>
      <c r="E267" s="407" t="str">
        <f ca="1">_xlfn.IFNA(VLOOKUP(F264,BEGIN_CURRENT_HEALTH:END_CURRENT_HEALTH,CURRENT_COL_EC_count,FALSE),"")</f>
        <v/>
      </c>
      <c r="F267" s="408" t="str">
        <f ca="1">_xlfn.IFNA(VLOOKUP(F264,BEGIN_CURRENT_HEALTH:END_CURRENT_HEALTH,CURRENT_COL_EC,FALSE),"")</f>
        <v/>
      </c>
      <c r="G267" s="468" t="str">
        <f t="shared" ca="1" si="25"/>
        <v/>
      </c>
      <c r="H267" s="408" t="str">
        <f ca="1">_xlfn.IFNA(VLOOKUP(F264,BEGIN_CURRENT_HEALTH:END_CURRENT_HEALTH,CURRENT_COL_ECContrib,FALSE),"")</f>
        <v/>
      </c>
      <c r="I267" s="409" t="str">
        <f t="shared" ca="1" si="26"/>
        <v/>
      </c>
      <c r="J267" s="410" t="str">
        <f ca="1">IF(F267="","",H267*E267)</f>
        <v/>
      </c>
      <c r="K267" s="411"/>
      <c r="L267" s="408" t="str" cm="1">
        <f t="array" ca="1" aca="1" ref="L267">_xlfn.IFNA(VLOOKUP(INDIRECT("L"&amp;ROW()-3)&amp;"_"&amp;$D$12,BEGIN_RENEW_HEALTH:END_RENEW_HEALTH,RENEW_COL_EC,FALSE),"")</f>
        <v/>
      </c>
      <c r="M267" s="412" t="str">
        <f ca="1">IF(E267="","",E267)</f>
        <v/>
      </c>
      <c r="N267" s="413"/>
      <c r="O267" s="414"/>
      <c r="P267" s="415" t="str">
        <f>IFERROR(IF($N264="Keep Contribution Same",H267,IF($N264="Enter Percentages",IF(N267="","",N267*L267),IF($N264="Keep Percentage Same",IF(G267="","",G267*L267),IF($N264="Enter Dollar Amount",IF(O267="","",O267),"")))),"")</f>
        <v/>
      </c>
      <c r="Q267" s="408" t="str">
        <f ca="1">IFERROR(L267-P267,"")</f>
        <v/>
      </c>
      <c r="R267" s="410" t="str">
        <f>IFERROR(IF(P267="","",M267*P267),"")</f>
        <v/>
      </c>
      <c r="S267" s="411"/>
      <c r="T267" s="408" t="str" cm="1">
        <f t="array" ca="1" aca="1" ref="T267">_xlfn.IFNA(VLOOKUP(INDIRECT("T"&amp;ROW()-3)&amp;"_"&amp;$D$12,BEGIN_RENEW_HEALTH:END_RENEW_HEALTH,RENEW_COL_EC,FALSE),"")</f>
        <v/>
      </c>
      <c r="U267" s="412" t="str">
        <f t="shared" ca="1" si="27"/>
        <v/>
      </c>
      <c r="V267" s="413"/>
      <c r="W267" s="414"/>
      <c r="X267" s="415" t="str">
        <f>IFERROR(IF($V264="Keep Contribution Same",H267,IF($V264="Enter Percentages",IF(V267="","",V267*T267),IF($V264="Keep Percentage Same",IF(G267="","",G267*T267),IF($V264="Enter Dollar Amount",IF(W267="","",W267),"")))),"")</f>
        <v/>
      </c>
      <c r="Y267" s="408" t="str">
        <f t="shared" ca="1" si="28"/>
        <v/>
      </c>
      <c r="Z267" s="410" t="str">
        <f t="shared" si="29"/>
        <v/>
      </c>
    </row>
    <row r="268" spans="1:26" ht="18.75" customHeight="1" thickBot="1">
      <c r="A268" s="140"/>
      <c r="B268" s="140"/>
      <c r="D268" s="174" t="s">
        <v>241</v>
      </c>
      <c r="E268" s="416" t="str">
        <f ca="1">_xlfn.IFNA(VLOOKUP(F264,BEGIN_CURRENT_HEALTH:END_CURRENT_HEALTH,CURRENT_COL_FAM_count,FALSE),"")</f>
        <v/>
      </c>
      <c r="F268" s="417" t="str">
        <f ca="1">_xlfn.IFNA(VLOOKUP(F264,BEGIN_CURRENT_HEALTH:END_CURRENT_HEALTH,CURRENT_COL_FAM,FALSE),"")</f>
        <v/>
      </c>
      <c r="G268" s="469" t="str">
        <f t="shared" ca="1" si="25"/>
        <v/>
      </c>
      <c r="H268" s="417" t="str">
        <f ca="1">_xlfn.IFNA(VLOOKUP(F264,BEGIN_CURRENT_HEALTH:END_CURRENT_HEALTH,CURRENT_COL_FAMContrib,FALSE),"")</f>
        <v/>
      </c>
      <c r="I268" s="418" t="str">
        <f t="shared" ca="1" si="26"/>
        <v/>
      </c>
      <c r="J268" s="419" t="str">
        <f ca="1">IF(F268="","",H268*E268)</f>
        <v/>
      </c>
      <c r="K268" s="411"/>
      <c r="L268" s="417" t="str" cm="1">
        <f t="array" ca="1" aca="1" ref="L268">_xlfn.IFNA(VLOOKUP(INDIRECT("L"&amp;ROW()-4)&amp;"_"&amp;$D$12,BEGIN_RENEW_HEALTH:END_RENEW_HEALTH,RENEW_COL_FAM,FALSE),"")</f>
        <v/>
      </c>
      <c r="M268" s="423" t="str">
        <f ca="1">IF(E268="","",E268)</f>
        <v/>
      </c>
      <c r="N268" s="420"/>
      <c r="O268" s="421"/>
      <c r="P268" s="422" t="str">
        <f>IFERROR(IF($N264="Keep Contribution Same",H268,IF($N264="Enter Percentages",IF(N268="","",N268*L268),IF($N264="Keep Percentage Same",IF(G268="","",G268*L268),IF($N264="Enter Dollar Amount",IF(O268="","",O268),"")))),"")</f>
        <v/>
      </c>
      <c r="Q268" s="417" t="str">
        <f ca="1">IFERROR(L268-P268,"")</f>
        <v/>
      </c>
      <c r="R268" s="419" t="str">
        <f>IFERROR(IF(P268="","",M268*P268),"")</f>
        <v/>
      </c>
      <c r="S268" s="411"/>
      <c r="T268" s="417" t="str" cm="1">
        <f t="array" ca="1" aca="1" ref="T268">_xlfn.IFNA(VLOOKUP(INDIRECT("T"&amp;ROW()-4)&amp;"_"&amp;$D$12,BEGIN_RENEW_HEALTH:END_RENEW_HEALTH,RENEW_COL_FAM,FALSE),"")</f>
        <v/>
      </c>
      <c r="U268" s="423" t="str">
        <f t="shared" ca="1" si="27"/>
        <v/>
      </c>
      <c r="V268" s="420"/>
      <c r="W268" s="421"/>
      <c r="X268" s="422" t="str">
        <f>IFERROR(IF($V264="Keep Contribution Same",H268,IF($V264="Enter Percentages",IF(V268="","",V268*T268),IF($V264="Keep Percentage Same",IF(G268="","",G268*T268),IF($V264="Enter Dollar Amount",IF(W268="","",W268),"")))),"")</f>
        <v/>
      </c>
      <c r="Y268" s="417" t="str">
        <f t="shared" ca="1" si="28"/>
        <v/>
      </c>
      <c r="Z268" s="419" t="str">
        <f t="shared" si="29"/>
        <v/>
      </c>
    </row>
    <row r="269" spans="1:26" ht="18.75" customHeight="1" thickTop="1">
      <c r="A269" s="140"/>
      <c r="B269" s="140"/>
      <c r="D269" s="175" t="s">
        <v>242</v>
      </c>
      <c r="E269" s="424"/>
      <c r="F269" s="447" t="str">
        <f ca="1">IFERROR((F265*E265)+(F266*E266)+(F267*E267)+(F268*E268),"")</f>
        <v/>
      </c>
      <c r="G269" s="426"/>
      <c r="H269" s="427"/>
      <c r="I269" s="428"/>
      <c r="J269" s="429" t="str">
        <f ca="1">IFERROR(IF(J265="","",SUM(J265:J268)),0)</f>
        <v/>
      </c>
      <c r="K269" s="1"/>
      <c r="L269" s="430" t="str">
        <f ca="1">IFERROR((M265*L265)+(M266*L266)+(M267*L267)+(M268*L268),"")</f>
        <v/>
      </c>
      <c r="M269" s="427"/>
      <c r="N269" s="426"/>
      <c r="O269" s="427"/>
      <c r="P269" s="431"/>
      <c r="Q269" s="432"/>
      <c r="R269" s="429" t="str">
        <f>IFERROR(IF(R265="","",SUM(R265:R268)),0)</f>
        <v/>
      </c>
      <c r="T269" s="430" t="str">
        <f ca="1">IFERROR((U265*T265)+(U266*T266)+(U267*T267)+(U268*T268),"")</f>
        <v/>
      </c>
      <c r="U269" s="427"/>
      <c r="V269" s="426"/>
      <c r="W269" s="427"/>
      <c r="X269" s="431"/>
      <c r="Y269" s="432"/>
      <c r="Z269" s="429" t="str">
        <f>IFERROR(IF(Z265="","",SUM(Z265:Z268)),0)</f>
        <v/>
      </c>
    </row>
    <row r="270" spans="1:26" ht="18.75" customHeight="1">
      <c r="A270" s="140"/>
      <c r="B270" s="140"/>
      <c r="D270" s="177" t="s">
        <v>243</v>
      </c>
      <c r="E270" s="433"/>
      <c r="F270" s="448" t="str">
        <f ca="1">IFERROR(F269*12,"")</f>
        <v/>
      </c>
      <c r="G270" s="435"/>
      <c r="H270" s="436"/>
      <c r="I270" s="432"/>
      <c r="J270" s="437" t="str">
        <f ca="1">IF(J269="","",J269*12)</f>
        <v/>
      </c>
      <c r="K270" s="1"/>
      <c r="L270" s="438" t="str">
        <f ca="1">IFERROR(L269*12,"")</f>
        <v/>
      </c>
      <c r="M270" s="436"/>
      <c r="N270" s="435"/>
      <c r="O270" s="436"/>
      <c r="P270" s="432"/>
      <c r="Q270" s="432"/>
      <c r="R270" s="437" t="str">
        <f>IF(R269="","",R269*12)</f>
        <v/>
      </c>
      <c r="T270" s="438" t="str">
        <f ca="1">IFERROR(T269*12,"")</f>
        <v/>
      </c>
      <c r="U270" s="436"/>
      <c r="V270" s="435"/>
      <c r="W270" s="436"/>
      <c r="X270" s="432"/>
      <c r="Y270" s="432"/>
      <c r="Z270" s="437" t="str">
        <f>IF(Z269="","",Z269*12)</f>
        <v/>
      </c>
    </row>
    <row r="271" spans="1:26" ht="18" customHeight="1">
      <c r="A271" s="140"/>
      <c r="B271" s="140"/>
      <c r="D271" s="177" t="s">
        <v>244</v>
      </c>
      <c r="E271" s="433"/>
      <c r="F271" s="436"/>
      <c r="G271" s="435"/>
      <c r="H271" s="436"/>
      <c r="I271" s="432"/>
      <c r="J271" s="437"/>
      <c r="K271" s="1"/>
      <c r="L271" s="434" t="str">
        <f ca="1">IFERROR(L270-F270,"")</f>
        <v/>
      </c>
      <c r="M271" s="436"/>
      <c r="N271" s="435"/>
      <c r="O271" s="436"/>
      <c r="P271" s="432"/>
      <c r="Q271" s="432"/>
      <c r="R271" s="437" t="str">
        <f ca="1">IFERROR(IF(J270="","",R270-J270),0)</f>
        <v/>
      </c>
      <c r="T271" s="434" t="str">
        <f ca="1">IFERROR(T270-F270,"")</f>
        <v/>
      </c>
      <c r="U271" s="436"/>
      <c r="V271" s="435"/>
      <c r="W271" s="436"/>
      <c r="X271" s="432"/>
      <c r="Y271" s="432"/>
      <c r="Z271" s="437" t="str">
        <f>IFERROR(IF(R270="","",Z270-R270),0)</f>
        <v/>
      </c>
    </row>
    <row r="272" spans="1:26" ht="18" customHeight="1" thickBot="1">
      <c r="A272" s="140"/>
      <c r="B272" s="140"/>
      <c r="D272" s="180" t="s">
        <v>245</v>
      </c>
      <c r="E272" s="439"/>
      <c r="F272" s="440"/>
      <c r="G272" s="441"/>
      <c r="H272" s="440"/>
      <c r="I272" s="442"/>
      <c r="J272" s="443"/>
      <c r="K272" s="1"/>
      <c r="L272" s="444" t="str">
        <f ca="1">IFERROR(L270/F270-1,"")</f>
        <v/>
      </c>
      <c r="M272" s="440"/>
      <c r="N272" s="441"/>
      <c r="O272" s="440"/>
      <c r="P272" s="445"/>
      <c r="Q272" s="445"/>
      <c r="R272" s="446" t="str">
        <f ca="1">IFERROR(IF(J270="","",(R270/J270)-1),0)</f>
        <v/>
      </c>
      <c r="T272" s="444" t="str">
        <f ca="1">IFERROR(T270/F270-1,"")</f>
        <v/>
      </c>
      <c r="U272" s="440"/>
      <c r="V272" s="441"/>
      <c r="W272" s="440"/>
      <c r="X272" s="445"/>
      <c r="Y272" s="445"/>
      <c r="Z272" s="446" t="str">
        <f>IFERROR(IF(R270="","",(Z270/R270)-1),0)</f>
        <v/>
      </c>
    </row>
    <row r="273" spans="1:26" ht="18" customHeight="1">
      <c r="A273" s="140"/>
      <c r="B273" s="140"/>
      <c r="D273" s="181" t="s">
        <v>246</v>
      </c>
      <c r="E273" s="182"/>
      <c r="F273" s="182"/>
      <c r="G273" s="182"/>
      <c r="H273" s="182"/>
      <c r="I273" s="182"/>
      <c r="J273" s="183"/>
      <c r="K273"/>
      <c r="L273" s="184"/>
      <c r="M273" s="182"/>
      <c r="N273" s="182"/>
      <c r="O273" s="182"/>
      <c r="P273" s="182"/>
      <c r="Q273" s="182"/>
      <c r="R273" s="183"/>
      <c r="T273" s="184"/>
      <c r="U273" s="182"/>
      <c r="V273" s="182"/>
      <c r="W273" s="182"/>
      <c r="X273" s="182"/>
      <c r="Y273" s="182"/>
      <c r="Z273" s="183"/>
    </row>
    <row r="274" spans="1:26" ht="18" customHeight="1" hidden="1">
      <c r="A274" s="140"/>
      <c r="B274" s="140"/>
      <c r="D274" s="185" t="s">
        <v>247</v>
      </c>
      <c r="E274" s="186"/>
      <c r="F274" s="186"/>
      <c r="G274" s="186"/>
      <c r="H274" s="186"/>
      <c r="I274" s="186"/>
      <c r="J274" s="187"/>
      <c r="K274"/>
      <c r="L274" s="188"/>
      <c r="M274" s="186"/>
      <c r="N274" s="186"/>
      <c r="O274" s="186"/>
      <c r="P274" s="186"/>
      <c r="Q274" s="186"/>
      <c r="R274" s="187"/>
      <c r="T274" s="188"/>
      <c r="U274" s="186"/>
      <c r="V274" s="186"/>
      <c r="W274" s="186"/>
      <c r="X274" s="186"/>
      <c r="Y274" s="186"/>
      <c r="Z274" s="187"/>
    </row>
    <row r="275" spans="1:26" ht="18" customHeight="1" hidden="1">
      <c r="A275" s="140"/>
      <c r="B275" s="140"/>
      <c r="D275" s="189" t="s">
        <v>248</v>
      </c>
      <c r="E275" s="190" t="str">
        <f>D264&amp;"_"&amp;D12</f>
        <v>_</v>
      </c>
      <c r="F275" s="191"/>
      <c r="G275" s="191"/>
      <c r="H275" s="191"/>
      <c r="I275" s="190"/>
      <c r="J275" s="192"/>
      <c r="K275"/>
      <c r="L275" s="193" t="str">
        <f ca="1">L264&amp;"_"&amp;D12</f>
        <v>SELECT PLAN_</v>
      </c>
      <c r="M275" s="191"/>
      <c r="N275" s="191"/>
      <c r="O275" s="191"/>
      <c r="P275" s="190"/>
      <c r="Q275" s="191"/>
      <c r="R275" s="192"/>
      <c r="T275" s="193" t="str">
        <f>T264&amp;"_"&amp;D12</f>
        <v>SELECT PLAN_</v>
      </c>
      <c r="U275" s="191"/>
      <c r="V275" s="191"/>
      <c r="W275" s="191"/>
      <c r="X275" s="190"/>
      <c r="Y275" s="191"/>
      <c r="Z275" s="192"/>
    </row>
    <row r="276" spans="1:26" ht="18" customHeight="1" hidden="1">
      <c r="A276" s="140"/>
      <c r="B276" s="140"/>
      <c r="D276" s="189" t="s">
        <v>249</v>
      </c>
      <c r="E276" s="191"/>
      <c r="F276" s="191"/>
      <c r="G276" s="191"/>
      <c r="H276" s="191"/>
      <c r="I276" s="191"/>
      <c r="J276" s="192"/>
      <c r="K276"/>
      <c r="L276" s="189"/>
      <c r="M276" s="191"/>
      <c r="N276" s="191"/>
      <c r="O276" s="191"/>
      <c r="P276" s="191"/>
      <c r="Q276" s="191"/>
      <c r="R276" s="192"/>
      <c r="T276" s="189"/>
      <c r="U276" s="191"/>
      <c r="V276" s="191"/>
      <c r="W276" s="191"/>
      <c r="X276" s="191"/>
      <c r="Y276" s="191"/>
      <c r="Z276" s="192"/>
    </row>
    <row r="277" spans="1:26" ht="18" customHeight="1" hidden="1">
      <c r="A277" s="140"/>
      <c r="B277" s="140"/>
      <c r="D277" s="194" t="s">
        <v>250</v>
      </c>
      <c r="E277" s="195"/>
      <c r="F277" s="195"/>
      <c r="G277" s="195"/>
      <c r="H277" s="195"/>
      <c r="I277" s="195"/>
      <c r="J277" s="196"/>
      <c r="K277"/>
      <c r="L277" s="197"/>
      <c r="M277" s="195"/>
      <c r="N277" s="195"/>
      <c r="O277" s="195"/>
      <c r="P277" s="195"/>
      <c r="Q277" s="195"/>
      <c r="R277" s="196"/>
      <c r="T277" s="197"/>
      <c r="U277" s="195"/>
      <c r="V277" s="195"/>
      <c r="W277" s="195"/>
      <c r="X277" s="195"/>
      <c r="Y277" s="195"/>
      <c r="Z277" s="196"/>
    </row>
    <row r="278" spans="1:26" ht="18" customHeight="1" hidden="1">
      <c r="A278" s="140"/>
      <c r="B278" s="140"/>
      <c r="D278" s="198" t="s">
        <v>251</v>
      </c>
      <c r="E278" s="199" t="str">
        <f>_xlfn.XLOOKUP(E275,CurrentPlans!B:B,CurrentPlans!X:X,"NA",0,1)</f>
        <v>NA</v>
      </c>
      <c r="F278" s="200"/>
      <c r="G278" s="200"/>
      <c r="H278" s="200"/>
      <c r="I278" s="199"/>
      <c r="J278" s="201"/>
      <c r="K278"/>
      <c r="L278" s="202" t="str">
        <f ca="1">_xlfn.XLOOKUP(L275,RenewalPlans!B:B,RenewalPlans!AA:AA,"NA",0,1)</f>
        <v>NA</v>
      </c>
      <c r="M278" s="200"/>
      <c r="N278" s="200"/>
      <c r="O278" s="200"/>
      <c r="P278" s="199"/>
      <c r="Q278" s="200"/>
      <c r="R278" s="201"/>
      <c r="T278" s="202" t="str">
        <f>_xlfn.XLOOKUP(T275,RenewalPlans!B:B,RenewalPlans!AA:AA,"NA",0,1)</f>
        <v>NA</v>
      </c>
      <c r="U278" s="200"/>
      <c r="V278" s="200"/>
      <c r="W278" s="200"/>
      <c r="X278" s="199"/>
      <c r="Y278" s="200"/>
      <c r="Z278" s="201"/>
    </row>
    <row r="279" spans="1:26" ht="18" customHeight="1" hidden="1">
      <c r="A279" s="140"/>
      <c r="B279" s="140"/>
      <c r="D279" s="198" t="s">
        <v>252</v>
      </c>
      <c r="E279" s="199" t="str">
        <f>_xlfn.XLOOKUP(E275,CurrentPlans!B:B,CurrentPlans!Y:Y,"NA",0,1)</f>
        <v>NA</v>
      </c>
      <c r="F279" s="200"/>
      <c r="G279" s="200"/>
      <c r="H279" s="200"/>
      <c r="I279" s="199"/>
      <c r="J279" s="201"/>
      <c r="K279"/>
      <c r="L279" s="202" t="str">
        <f ca="1">_xlfn.XLOOKUP(L275,RenewalPlans!B:B,RenewalPlans!AB:AB,"NA",0,1)</f>
        <v>NA</v>
      </c>
      <c r="M279" s="200"/>
      <c r="N279" s="200"/>
      <c r="O279" s="200"/>
      <c r="P279" s="199"/>
      <c r="Q279" s="200"/>
      <c r="R279" s="201"/>
      <c r="T279" s="202" t="str">
        <f>_xlfn.XLOOKUP(T275,RenewalPlans!B:B,RenewalPlans!AB:AB,"NA",0,1)</f>
        <v>NA</v>
      </c>
      <c r="U279" s="200"/>
      <c r="V279" s="200"/>
      <c r="W279" s="200"/>
      <c r="X279" s="199"/>
      <c r="Y279" s="200"/>
      <c r="Z279" s="201"/>
    </row>
    <row r="280" spans="1:26" ht="18" customHeight="1" hidden="1">
      <c r="A280" s="140"/>
      <c r="B280" s="140"/>
      <c r="D280" s="120" t="s">
        <v>253</v>
      </c>
      <c r="E280" s="121" t="str">
        <f>_xlfn.XLOOKUP(E275,CurrentPlans!B:B,CurrentPlans!W:W,"NA",0,1)</f>
        <v>NA</v>
      </c>
      <c r="F280" s="122"/>
      <c r="G280" s="122"/>
      <c r="H280" s="122"/>
      <c r="I280" s="121"/>
      <c r="J280" s="123"/>
      <c r="K280"/>
      <c r="L280" s="124" t="str">
        <f ca="1">_xlfn.XLOOKUP(L275,RenewalPlans!B:B,RenewalPlans!Z:Z,"NA",0,1)</f>
        <v>NA</v>
      </c>
      <c r="M280" s="122"/>
      <c r="N280" s="122"/>
      <c r="O280" s="122"/>
      <c r="P280" s="121"/>
      <c r="Q280" s="122"/>
      <c r="R280" s="123"/>
      <c r="T280" s="124" t="str">
        <f>_xlfn.XLOOKUP(T275,RenewalPlans!B:B,RenewalPlans!Z:Z,"NA",0,1)</f>
        <v>NA</v>
      </c>
      <c r="U280" s="122"/>
      <c r="V280" s="122"/>
      <c r="W280" s="122"/>
      <c r="X280" s="121"/>
      <c r="Y280" s="122"/>
      <c r="Z280" s="123"/>
    </row>
    <row r="281" spans="1:26" ht="18" customHeight="1" hidden="1">
      <c r="A281" s="140"/>
      <c r="B281" s="140"/>
      <c r="D281" s="203" t="s">
        <v>254</v>
      </c>
      <c r="E281" s="204"/>
      <c r="F281" s="205"/>
      <c r="G281" s="205"/>
      <c r="H281" s="205"/>
      <c r="I281" s="204"/>
      <c r="J281" s="206"/>
      <c r="K281"/>
      <c r="L281" s="207"/>
      <c r="M281" s="205"/>
      <c r="N281" s="205"/>
      <c r="O281" s="205"/>
      <c r="P281" s="204"/>
      <c r="Q281" s="205"/>
      <c r="R281" s="206"/>
      <c r="T281" s="207"/>
      <c r="U281" s="205"/>
      <c r="V281" s="205"/>
      <c r="W281" s="205"/>
      <c r="X281" s="204"/>
      <c r="Y281" s="205"/>
      <c r="Z281" s="206"/>
    </row>
    <row r="282" spans="1:26" ht="18" customHeight="1" hidden="1">
      <c r="A282" s="140"/>
      <c r="B282" s="140"/>
      <c r="D282" s="125" t="s">
        <v>255</v>
      </c>
      <c r="E282" s="126" t="str">
        <f>_xlfn.XLOOKUP(E275,CurrentPlans!B:B,CurrentPlans!Z:Z,"NA",0,1)</f>
        <v>NA</v>
      </c>
      <c r="F282" s="127"/>
      <c r="G282" s="127"/>
      <c r="H282" s="127"/>
      <c r="I282" s="126"/>
      <c r="J282" s="128"/>
      <c r="K282"/>
      <c r="L282" s="129" t="str">
        <f ca="1">_xlfn.XLOOKUP(L275,RenewalPlans!B:B,RenewalPlans!AC:AC,"NA",0,1)</f>
        <v>NA</v>
      </c>
      <c r="M282" s="127"/>
      <c r="N282" s="127"/>
      <c r="O282" s="127"/>
      <c r="P282" s="126"/>
      <c r="Q282" s="127"/>
      <c r="R282" s="128"/>
      <c r="T282" s="129" t="str">
        <f>_xlfn.XLOOKUP(T275,RenewalPlans!B:B,RenewalPlans!AC:AC,"NA",0,1)</f>
        <v>NA</v>
      </c>
      <c r="U282" s="127"/>
      <c r="V282" s="127"/>
      <c r="W282" s="127"/>
      <c r="X282" s="126"/>
      <c r="Y282" s="127"/>
      <c r="Z282" s="128"/>
    </row>
    <row r="283" spans="1:26" ht="18" customHeight="1" hidden="1">
      <c r="A283" s="140"/>
      <c r="B283" s="140"/>
      <c r="D283" s="198" t="s">
        <v>256</v>
      </c>
      <c r="E283" s="208" t="str">
        <f>_xlfn.XLOOKUP(E275,CurrentPlans!B:B,CurrentPlans!AA:AA,"NA",0,1)</f>
        <v>NA</v>
      </c>
      <c r="F283" s="200"/>
      <c r="G283" s="200"/>
      <c r="H283" s="200"/>
      <c r="I283" s="208"/>
      <c r="J283" s="201"/>
      <c r="K283"/>
      <c r="L283" s="209" t="str">
        <f ca="1">_xlfn.XLOOKUP(L275,RenewalPlans!B:B,RenewalPlans!AD:AD,"NA",0,1)</f>
        <v>NA</v>
      </c>
      <c r="M283" s="200"/>
      <c r="N283" s="200"/>
      <c r="O283" s="200"/>
      <c r="P283" s="208"/>
      <c r="Q283" s="200"/>
      <c r="R283" s="201"/>
      <c r="T283" s="209" t="str">
        <f>_xlfn.XLOOKUP(T275,RenewalPlans!B:B,RenewalPlans!AD:AD,"NA",0,1)</f>
        <v>NA</v>
      </c>
      <c r="U283" s="200"/>
      <c r="V283" s="200"/>
      <c r="W283" s="200"/>
      <c r="X283" s="208"/>
      <c r="Y283" s="200"/>
      <c r="Z283" s="201"/>
    </row>
    <row r="284" spans="1:26" ht="18" customHeight="1" hidden="1">
      <c r="A284" s="140"/>
      <c r="B284" s="140"/>
      <c r="D284" s="203" t="s">
        <v>257</v>
      </c>
      <c r="E284" s="204"/>
      <c r="F284" s="205"/>
      <c r="G284" s="205"/>
      <c r="H284" s="205"/>
      <c r="I284" s="204"/>
      <c r="J284" s="206"/>
      <c r="K284"/>
      <c r="L284" s="207"/>
      <c r="M284" s="205"/>
      <c r="N284" s="205"/>
      <c r="O284" s="205"/>
      <c r="P284" s="204"/>
      <c r="Q284" s="205"/>
      <c r="R284" s="206"/>
      <c r="T284" s="207"/>
      <c r="U284" s="205"/>
      <c r="V284" s="205"/>
      <c r="W284" s="205"/>
      <c r="X284" s="204"/>
      <c r="Y284" s="205"/>
      <c r="Z284" s="206"/>
    </row>
    <row r="285" spans="1:26" ht="18" customHeight="1" hidden="1">
      <c r="A285" s="140"/>
      <c r="B285" s="140"/>
      <c r="D285" s="198" t="s">
        <v>258</v>
      </c>
      <c r="E285" s="208" t="str">
        <f>_xlfn.XLOOKUP(E275,CurrentPlans!B:B,CurrentPlans!AB:AB,"NA",0,1)</f>
        <v>NA</v>
      </c>
      <c r="F285" s="200"/>
      <c r="G285" s="200"/>
      <c r="H285" s="200"/>
      <c r="I285" s="208"/>
      <c r="J285" s="201"/>
      <c r="K285"/>
      <c r="L285" s="209" t="str">
        <f ca="1">_xlfn.XLOOKUP(L275,RenewalPlans!B:B,RenewalPlans!AE:AE,"NA",0,1)</f>
        <v>NA</v>
      </c>
      <c r="M285" s="200"/>
      <c r="N285" s="200"/>
      <c r="O285" s="200"/>
      <c r="P285" s="208"/>
      <c r="Q285" s="200"/>
      <c r="R285" s="201"/>
      <c r="T285" s="209" t="str">
        <f>_xlfn.XLOOKUP(T275,RenewalPlans!B:B,RenewalPlans!AE:AE,"NA",0,1)</f>
        <v>NA</v>
      </c>
      <c r="U285" s="200"/>
      <c r="V285" s="200"/>
      <c r="W285" s="200"/>
      <c r="X285" s="208"/>
      <c r="Y285" s="200"/>
      <c r="Z285" s="201"/>
    </row>
    <row r="286" spans="1:26" ht="18" customHeight="1" hidden="1">
      <c r="A286" s="140"/>
      <c r="B286" s="140"/>
      <c r="D286" s="198" t="s">
        <v>259</v>
      </c>
      <c r="E286" s="208" t="str">
        <f>_xlfn.XLOOKUP(E275,CurrentPlans!B:B,CurrentPlans!AC:AC,"NA",0,1)</f>
        <v>NA</v>
      </c>
      <c r="F286" s="200"/>
      <c r="G286" s="200"/>
      <c r="H286" s="200"/>
      <c r="I286" s="208"/>
      <c r="J286" s="201"/>
      <c r="K286"/>
      <c r="L286" s="209" t="str">
        <f ca="1">_xlfn.XLOOKUP(L275,RenewalPlans!B:B,RenewalPlans!AF:AF,"NA",0,1)</f>
        <v>NA</v>
      </c>
      <c r="M286" s="200"/>
      <c r="N286" s="200"/>
      <c r="O286" s="200"/>
      <c r="P286" s="208"/>
      <c r="Q286" s="200"/>
      <c r="R286" s="201"/>
      <c r="T286" s="209" t="str">
        <f>_xlfn.XLOOKUP(T275,RenewalPlans!B:B,RenewalPlans!AF:AF,"NA",0,1)</f>
        <v>NA</v>
      </c>
      <c r="U286" s="200"/>
      <c r="V286" s="200"/>
      <c r="W286" s="200"/>
      <c r="X286" s="208"/>
      <c r="Y286" s="200"/>
      <c r="Z286" s="201"/>
    </row>
    <row r="287" spans="1:26" ht="18" customHeight="1" hidden="1">
      <c r="A287" s="140"/>
      <c r="B287" s="140"/>
      <c r="D287" s="210"/>
      <c r="E287" s="211"/>
      <c r="F287" s="211"/>
      <c r="G287" s="211"/>
      <c r="H287" s="211"/>
      <c r="I287" s="211"/>
      <c r="J287" s="212"/>
      <c r="K287"/>
      <c r="L287" s="210"/>
      <c r="M287" s="211"/>
      <c r="N287" s="211"/>
      <c r="O287" s="211"/>
      <c r="P287" s="211"/>
      <c r="Q287" s="211"/>
      <c r="R287" s="212"/>
      <c r="T287" s="210"/>
      <c r="U287" s="211"/>
      <c r="V287" s="211"/>
      <c r="W287" s="211"/>
      <c r="X287" s="211"/>
      <c r="Y287" s="211"/>
      <c r="Z287" s="212"/>
    </row>
    <row r="288" spans="1:26" ht="18" customHeight="1" hidden="1">
      <c r="A288" s="140"/>
      <c r="B288" s="140"/>
      <c r="D288" s="185" t="s">
        <v>260</v>
      </c>
      <c r="E288" s="186"/>
      <c r="F288" s="186"/>
      <c r="G288" s="186"/>
      <c r="H288" s="186"/>
      <c r="I288" s="186"/>
      <c r="J288" s="187"/>
      <c r="K288"/>
      <c r="L288" s="188"/>
      <c r="M288" s="186"/>
      <c r="N288" s="186"/>
      <c r="O288" s="186"/>
      <c r="P288" s="186"/>
      <c r="Q288" s="186"/>
      <c r="R288" s="187"/>
      <c r="T288" s="188"/>
      <c r="U288" s="186"/>
      <c r="V288" s="186"/>
      <c r="W288" s="186"/>
      <c r="X288" s="186"/>
      <c r="Y288" s="186"/>
      <c r="Z288" s="187"/>
    </row>
    <row r="289" spans="1:26" ht="18" customHeight="1" hidden="1">
      <c r="A289" s="140"/>
      <c r="B289" s="140"/>
      <c r="D289" s="213" t="s">
        <v>261</v>
      </c>
      <c r="E289" s="130" t="str">
        <f>_xlfn.XLOOKUP(E275,CurrentPlans!B:B,CurrentPlans!AJ:AJ,"NA",0,1)</f>
        <v>NA</v>
      </c>
      <c r="F289" s="214"/>
      <c r="G289" s="214"/>
      <c r="H289" s="214"/>
      <c r="I289" s="130"/>
      <c r="J289" s="215"/>
      <c r="K289"/>
      <c r="L289" s="131" t="str">
        <f ca="1">_xlfn.XLOOKUP(L275,RenewalPlans!B:B,RenewalPlans!AM:AM,"NA",0,1)</f>
        <v>NA</v>
      </c>
      <c r="M289" s="214"/>
      <c r="N289" s="214"/>
      <c r="O289" s="214"/>
      <c r="P289" s="130"/>
      <c r="Q289" s="214"/>
      <c r="R289" s="215"/>
      <c r="T289" s="131" t="str">
        <f>_xlfn.XLOOKUP(T275,RenewalPlans!B:B,RenewalPlans!AM:AM,"NA",0,1)</f>
        <v>NA</v>
      </c>
      <c r="U289" s="214"/>
      <c r="V289" s="214"/>
      <c r="W289" s="214"/>
      <c r="X289" s="130"/>
      <c r="Y289" s="214"/>
      <c r="Z289" s="215"/>
    </row>
    <row r="290" spans="1:26" ht="18" customHeight="1" hidden="1">
      <c r="A290" s="140"/>
      <c r="B290" s="140"/>
      <c r="D290" s="198" t="s">
        <v>262</v>
      </c>
      <c r="E290" s="130" t="str">
        <f>_xlfn.XLOOKUP(E275,CurrentPlans!B:B,CurrentPlans!AM:AM,"NA",0,1)</f>
        <v>NA</v>
      </c>
      <c r="F290" s="200"/>
      <c r="G290" s="200"/>
      <c r="H290" s="200"/>
      <c r="I290" s="130"/>
      <c r="J290" s="201"/>
      <c r="K290"/>
      <c r="L290" s="131" t="str">
        <f ca="1">_xlfn.XLOOKUP(L275,RenewalPlans!B:B,RenewalPlans!AP:AP,"NA",0,1)</f>
        <v>NA</v>
      </c>
      <c r="M290" s="200"/>
      <c r="N290" s="200"/>
      <c r="O290" s="200"/>
      <c r="P290" s="130"/>
      <c r="Q290" s="200"/>
      <c r="R290" s="201"/>
      <c r="T290" s="131" t="str">
        <f>_xlfn.XLOOKUP(T275,RenewalPlans!B:B,RenewalPlans!AP:AP,"NA",0,1)</f>
        <v>NA</v>
      </c>
      <c r="U290" s="200"/>
      <c r="V290" s="200"/>
      <c r="W290" s="200"/>
      <c r="X290" s="130"/>
      <c r="Y290" s="200"/>
      <c r="Z290" s="201"/>
    </row>
    <row r="291" spans="1:26" ht="18" customHeight="1" hidden="1">
      <c r="A291" s="140"/>
      <c r="B291" s="140"/>
      <c r="D291" s="198" t="s">
        <v>263</v>
      </c>
      <c r="E291" s="130" t="str">
        <f>_xlfn.XLOOKUP(E275,CurrentPlans!B:B,CurrentPlans!AI:AI,"NA",0,1)</f>
        <v>NA</v>
      </c>
      <c r="F291" s="200"/>
      <c r="G291" s="200"/>
      <c r="H291" s="200"/>
      <c r="I291" s="130"/>
      <c r="J291" s="201"/>
      <c r="K291"/>
      <c r="L291" s="131" t="str">
        <f ca="1">_xlfn.XLOOKUP(L275,RenewalPlans!B:B,RenewalPlans!AL:AL,"NA",0,1)</f>
        <v>NA</v>
      </c>
      <c r="M291" s="200"/>
      <c r="N291" s="200"/>
      <c r="O291" s="200"/>
      <c r="P291" s="130"/>
      <c r="Q291" s="200"/>
      <c r="R291" s="201"/>
      <c r="T291" s="131" t="str">
        <f>_xlfn.XLOOKUP(T275,RenewalPlans!B:B,RenewalPlans!AL:AL,"NA",0,1)</f>
        <v>NA</v>
      </c>
      <c r="U291" s="200"/>
      <c r="V291" s="200"/>
      <c r="W291" s="200"/>
      <c r="X291" s="130"/>
      <c r="Y291" s="200"/>
      <c r="Z291" s="201"/>
    </row>
    <row r="292" spans="1:26" ht="18" customHeight="1" hidden="1">
      <c r="A292" s="140"/>
      <c r="B292" s="140"/>
      <c r="D292" s="198" t="s">
        <v>264</v>
      </c>
      <c r="E292" s="208" t="str">
        <f>_xlfn.XLOOKUP(E275,CurrentPlans!B:B,CurrentPlans!AN:AN,"NA",0,1)</f>
        <v>NA</v>
      </c>
      <c r="F292" s="200"/>
      <c r="G292" s="200"/>
      <c r="H292" s="200"/>
      <c r="I292" s="208"/>
      <c r="J292" s="201"/>
      <c r="K292"/>
      <c r="L292" s="209" t="str">
        <f ca="1">_xlfn.XLOOKUP(L275,RenewalPlans!B:B,RenewalPlans!AQ:AQ,"NA",0,1)</f>
        <v>NA</v>
      </c>
      <c r="M292" s="200"/>
      <c r="N292" s="200"/>
      <c r="O292" s="200"/>
      <c r="P292" s="208"/>
      <c r="Q292" s="200"/>
      <c r="R292" s="201"/>
      <c r="T292" s="209" t="str">
        <f>_xlfn.XLOOKUP(T275,RenewalPlans!B:B,RenewalPlans!AQ:AQ,"NA",0,1)</f>
        <v>NA</v>
      </c>
      <c r="U292" s="200"/>
      <c r="V292" s="200"/>
      <c r="W292" s="200"/>
      <c r="X292" s="208"/>
      <c r="Y292" s="200"/>
      <c r="Z292" s="201"/>
    </row>
    <row r="293" spans="1:26" ht="18" customHeight="1" hidden="1">
      <c r="A293" s="140"/>
      <c r="B293" s="140"/>
      <c r="D293" s="210"/>
      <c r="E293" s="211"/>
      <c r="F293" s="211"/>
      <c r="G293" s="211"/>
      <c r="H293" s="211"/>
      <c r="I293" s="211"/>
      <c r="J293" s="212"/>
      <c r="K293"/>
      <c r="L293" s="210"/>
      <c r="M293" s="211"/>
      <c r="N293" s="211"/>
      <c r="O293" s="211"/>
      <c r="P293" s="211"/>
      <c r="Q293" s="211"/>
      <c r="R293" s="212"/>
      <c r="T293" s="210"/>
      <c r="U293" s="211"/>
      <c r="V293" s="211"/>
      <c r="W293" s="211"/>
      <c r="X293" s="211"/>
      <c r="Y293" s="211"/>
      <c r="Z293" s="212"/>
    </row>
    <row r="294" spans="1:26" ht="18" customHeight="1" hidden="1">
      <c r="A294" s="140"/>
      <c r="B294" s="140"/>
      <c r="D294" s="185" t="s">
        <v>265</v>
      </c>
      <c r="E294" s="186"/>
      <c r="F294" s="186"/>
      <c r="G294" s="186"/>
      <c r="H294" s="186"/>
      <c r="I294" s="186"/>
      <c r="J294" s="187"/>
      <c r="K294"/>
      <c r="L294" s="188"/>
      <c r="M294" s="186"/>
      <c r="N294" s="186"/>
      <c r="O294" s="186"/>
      <c r="P294" s="186"/>
      <c r="Q294" s="186"/>
      <c r="R294" s="187"/>
      <c r="T294" s="188"/>
      <c r="U294" s="186"/>
      <c r="V294" s="186"/>
      <c r="W294" s="186"/>
      <c r="X294" s="186"/>
      <c r="Y294" s="186"/>
      <c r="Z294" s="187"/>
    </row>
    <row r="295" spans="1:26" ht="18" customHeight="1" hidden="1">
      <c r="A295" s="140"/>
      <c r="B295" s="140"/>
      <c r="D295" s="132" t="s">
        <v>266</v>
      </c>
      <c r="E295" s="133" t="str">
        <f>_xlfn.XLOOKUP(E275,CurrentPlans!B:B,CurrentPlans!AE:AE,"NA",0,1)</f>
        <v>NA</v>
      </c>
      <c r="F295" s="134"/>
      <c r="G295" s="134"/>
      <c r="H295" s="134"/>
      <c r="I295" s="133"/>
      <c r="J295" s="135"/>
      <c r="K295"/>
      <c r="L295" s="136" t="str">
        <f ca="1">_xlfn.XLOOKUP(L275,RenewalPlans!B:B,RenewalPlans!AH:AH,"NA",0,1)</f>
        <v>NA</v>
      </c>
      <c r="M295" s="134"/>
      <c r="N295" s="134"/>
      <c r="O295" s="134"/>
      <c r="P295" s="133"/>
      <c r="Q295" s="134"/>
      <c r="R295" s="135"/>
      <c r="T295" s="136" t="str">
        <f>_xlfn.XLOOKUP(T275,RenewalPlans!B:B,RenewalPlans!AH:AH,"NA",0,1)</f>
        <v>NA</v>
      </c>
      <c r="U295" s="134"/>
      <c r="V295" s="134"/>
      <c r="W295" s="134"/>
      <c r="X295" s="133"/>
      <c r="Y295" s="134"/>
      <c r="Z295" s="135"/>
    </row>
    <row r="296" spans="1:26" ht="18" customHeight="1" hidden="1">
      <c r="A296" s="140"/>
      <c r="B296" s="140"/>
      <c r="D296" s="120" t="s">
        <v>267</v>
      </c>
      <c r="E296" s="130" t="str">
        <f>_xlfn.XLOOKUP(E275,CurrentPlans!B:B,CurrentPlans!AF:AF,"NA",0,1)</f>
        <v>NA</v>
      </c>
      <c r="F296" s="122"/>
      <c r="G296" s="122"/>
      <c r="H296" s="122"/>
      <c r="I296" s="130"/>
      <c r="J296" s="123"/>
      <c r="K296"/>
      <c r="L296" s="131" t="str">
        <f ca="1">_xlfn.XLOOKUP(L275,RenewalPlans!B:B,RenewalPlans!AI:AI,"NA",0,1)</f>
        <v>NA</v>
      </c>
      <c r="M296" s="122"/>
      <c r="N296" s="122"/>
      <c r="O296" s="122"/>
      <c r="P296" s="130"/>
      <c r="Q296" s="122"/>
      <c r="R296" s="123"/>
      <c r="T296" s="131" t="str">
        <f>_xlfn.XLOOKUP(T275,RenewalPlans!B:B,RenewalPlans!AI:AI,"NA",0,1)</f>
        <v>NA</v>
      </c>
      <c r="U296" s="122"/>
      <c r="V296" s="122"/>
      <c r="W296" s="122"/>
      <c r="X296" s="130"/>
      <c r="Y296" s="122"/>
      <c r="Z296" s="123"/>
    </row>
    <row r="297" spans="1:26" ht="18" customHeight="1" hidden="1">
      <c r="A297" s="140"/>
      <c r="B297" s="140"/>
      <c r="D297" s="198" t="s">
        <v>268</v>
      </c>
      <c r="E297" s="130" t="str">
        <f>_xlfn.XLOOKUP(E275,CurrentPlans!B:B,CurrentPlans!AH:AH,"NA",0,1)</f>
        <v>NA</v>
      </c>
      <c r="F297" s="200"/>
      <c r="G297" s="200"/>
      <c r="H297" s="200"/>
      <c r="I297" s="130"/>
      <c r="J297" s="201"/>
      <c r="K297"/>
      <c r="L297" s="131" t="str">
        <f ca="1">_xlfn.XLOOKUP(L275,RenewalPlans!B:B,RenewalPlans!AK:AK,"NA",0,1)</f>
        <v>NA</v>
      </c>
      <c r="M297" s="200"/>
      <c r="N297" s="200"/>
      <c r="O297" s="200"/>
      <c r="P297" s="130"/>
      <c r="Q297" s="200"/>
      <c r="R297" s="201"/>
      <c r="T297" s="131" t="str">
        <f>_xlfn.XLOOKUP(T275,RenewalPlans!B:B,RenewalPlans!AK:AK,"NA",0,1)</f>
        <v>NA</v>
      </c>
      <c r="U297" s="200"/>
      <c r="V297" s="200"/>
      <c r="W297" s="200"/>
      <c r="X297" s="130"/>
      <c r="Y297" s="200"/>
      <c r="Z297" s="201"/>
    </row>
    <row r="298" spans="1:26" ht="18" customHeight="1" hidden="1">
      <c r="A298" s="140"/>
      <c r="B298" s="140"/>
      <c r="D298" s="198" t="s">
        <v>269</v>
      </c>
      <c r="E298" s="130" t="str">
        <f>_xlfn.XLOOKUP(E275,CurrentPlans!B:B,CurrentPlans!AG:AG,"NA",0,1)</f>
        <v>NA</v>
      </c>
      <c r="F298" s="200"/>
      <c r="G298" s="200"/>
      <c r="H298" s="200"/>
      <c r="I298" s="130"/>
      <c r="J298" s="201"/>
      <c r="K298"/>
      <c r="L298" s="131" t="str">
        <f ca="1">_xlfn.XLOOKUP(L275,RenewalPlans!B:B,RenewalPlans!AJ:AJ,"NA",0,1)</f>
        <v>NA</v>
      </c>
      <c r="M298" s="200"/>
      <c r="N298" s="200"/>
      <c r="O298" s="200"/>
      <c r="P298" s="130"/>
      <c r="Q298" s="200"/>
      <c r="R298" s="201"/>
      <c r="T298" s="131" t="str">
        <f>_xlfn.XLOOKUP(T275,RenewalPlans!B:B,RenewalPlans!AJ:AJ,"NA",0,1)</f>
        <v>NA</v>
      </c>
      <c r="U298" s="200"/>
      <c r="V298" s="200"/>
      <c r="W298" s="200"/>
      <c r="X298" s="130"/>
      <c r="Y298" s="200"/>
      <c r="Z298" s="201"/>
    </row>
    <row r="299" spans="1:26" ht="18" customHeight="1" hidden="1">
      <c r="A299" s="140"/>
      <c r="B299" s="140"/>
      <c r="D299" s="213" t="s">
        <v>270</v>
      </c>
      <c r="E299" s="216" t="str">
        <f>_xlfn.XLOOKUP(E275,CurrentPlans!B:B,CurrentPlans!AU:AU,"NA",0,1)</f>
        <v>NA</v>
      </c>
      <c r="F299" s="214"/>
      <c r="G299" s="214"/>
      <c r="H299" s="214"/>
      <c r="I299" s="217"/>
      <c r="J299" s="215"/>
      <c r="K299"/>
      <c r="L299" s="218" t="str">
        <f ca="1">_xlfn.XLOOKUP(L275,RenewalPlans!B:B,RenewalPlans!AX:AX,"NA",0,1)</f>
        <v>NA</v>
      </c>
      <c r="M299" s="214"/>
      <c r="N299" s="214"/>
      <c r="O299" s="214"/>
      <c r="P299" s="217"/>
      <c r="Q299" s="214"/>
      <c r="R299" s="215"/>
      <c r="T299" s="218" t="str">
        <f>_xlfn.XLOOKUP(T275,RenewalPlans!B:B,RenewalPlans!AX:AX,"NA",0,1)</f>
        <v>NA</v>
      </c>
      <c r="U299" s="214"/>
      <c r="V299" s="214"/>
      <c r="W299" s="214"/>
      <c r="X299" s="217"/>
      <c r="Y299" s="214"/>
      <c r="Z299" s="215"/>
    </row>
    <row r="300" spans="1:26" ht="18" customHeight="1" hidden="1">
      <c r="A300" s="140"/>
      <c r="B300" s="140"/>
      <c r="D300" s="213" t="s">
        <v>271</v>
      </c>
      <c r="E300" s="216" t="str">
        <f>_xlfn.XLOOKUP(E275,CurrentPlans!B:B,CurrentPlans!AT:AT,"NA",0,1)</f>
        <v>NA</v>
      </c>
      <c r="F300" s="214"/>
      <c r="G300" s="214"/>
      <c r="H300" s="214"/>
      <c r="I300" s="217"/>
      <c r="J300" s="215"/>
      <c r="K300"/>
      <c r="L300" s="218" t="str">
        <f ca="1">_xlfn.XLOOKUP(L275,RenewalPlans!B:B,RenewalPlans!AW:AW,"NA",0,1)</f>
        <v>NA</v>
      </c>
      <c r="M300" s="214"/>
      <c r="N300" s="214"/>
      <c r="O300" s="214"/>
      <c r="P300" s="217"/>
      <c r="Q300" s="214"/>
      <c r="R300" s="215"/>
      <c r="T300" s="218" t="str">
        <f>_xlfn.XLOOKUP(T275,RenewalPlans!B:B,RenewalPlans!AW:AW,"NA",0,1)</f>
        <v>NA</v>
      </c>
      <c r="U300" s="214"/>
      <c r="V300" s="214"/>
      <c r="W300" s="214"/>
      <c r="X300" s="217"/>
      <c r="Y300" s="214"/>
      <c r="Z300" s="215"/>
    </row>
    <row r="301" spans="1:26" ht="18" customHeight="1" hidden="1">
      <c r="A301" s="140"/>
      <c r="B301" s="140"/>
      <c r="D301" s="198" t="s">
        <v>272</v>
      </c>
      <c r="E301" s="130" t="str">
        <f>_xlfn.XLOOKUP(E275,CurrentPlans!B:B,CurrentPlans!AD:AD,"NA",0,1)</f>
        <v>NA</v>
      </c>
      <c r="F301" s="200"/>
      <c r="G301" s="200"/>
      <c r="H301" s="200"/>
      <c r="I301" s="130"/>
      <c r="J301" s="201"/>
      <c r="K301"/>
      <c r="L301" s="131" t="str">
        <f ca="1">_xlfn.XLOOKUP(L275,RenewalPlans!B:B,RenewalPlans!AG:AG,"NA",0,1)</f>
        <v>NA</v>
      </c>
      <c r="M301" s="200"/>
      <c r="N301" s="200"/>
      <c r="O301" s="200"/>
      <c r="P301" s="130"/>
      <c r="Q301" s="200"/>
      <c r="R301" s="201"/>
      <c r="T301" s="131" t="str">
        <f>_xlfn.XLOOKUP(T275,RenewalPlans!B:B,RenewalPlans!AG:AG,"NA",0,1)</f>
        <v>NA</v>
      </c>
      <c r="U301" s="200"/>
      <c r="V301" s="200"/>
      <c r="W301" s="200"/>
      <c r="X301" s="130"/>
      <c r="Y301" s="200"/>
      <c r="Z301" s="201"/>
    </row>
    <row r="302" spans="1:26" ht="18" customHeight="1" hidden="1">
      <c r="A302" s="140"/>
      <c r="B302" s="140"/>
      <c r="D302" s="198" t="s">
        <v>273</v>
      </c>
      <c r="E302" s="200"/>
      <c r="F302" s="200"/>
      <c r="G302" s="200"/>
      <c r="H302" s="200"/>
      <c r="I302" s="200"/>
      <c r="J302" s="201"/>
      <c r="K302"/>
      <c r="L302" s="198"/>
      <c r="M302" s="200"/>
      <c r="N302" s="200"/>
      <c r="O302" s="200"/>
      <c r="P302" s="200"/>
      <c r="Q302" s="200"/>
      <c r="R302" s="201"/>
      <c r="T302" s="198"/>
      <c r="U302" s="200"/>
      <c r="V302" s="200"/>
      <c r="W302" s="200"/>
      <c r="X302" s="200"/>
      <c r="Y302" s="200"/>
      <c r="Z302" s="201"/>
    </row>
    <row r="303" spans="1:26" ht="18" customHeight="1" hidden="1">
      <c r="A303" s="140"/>
      <c r="B303" s="140"/>
      <c r="D303" s="210"/>
      <c r="E303" s="211"/>
      <c r="F303" s="211"/>
      <c r="G303" s="211"/>
      <c r="H303" s="211"/>
      <c r="I303" s="211"/>
      <c r="J303" s="212"/>
      <c r="K303"/>
      <c r="L303" s="210"/>
      <c r="M303" s="211"/>
      <c r="N303" s="211"/>
      <c r="O303" s="211"/>
      <c r="P303" s="211"/>
      <c r="Q303" s="211"/>
      <c r="R303" s="212"/>
      <c r="T303" s="210"/>
      <c r="U303" s="211"/>
      <c r="V303" s="211"/>
      <c r="W303" s="211"/>
      <c r="X303" s="211"/>
      <c r="Y303" s="211"/>
      <c r="Z303" s="212"/>
    </row>
    <row r="304" spans="1:26" ht="18" customHeight="1" hidden="1">
      <c r="A304" s="140"/>
      <c r="B304" s="140"/>
      <c r="D304" s="219" t="s">
        <v>274</v>
      </c>
      <c r="E304" s="220"/>
      <c r="F304" s="220"/>
      <c r="G304" s="220"/>
      <c r="H304" s="220"/>
      <c r="I304" s="220"/>
      <c r="J304" s="221"/>
      <c r="K304"/>
      <c r="L304" s="222"/>
      <c r="M304" s="220"/>
      <c r="N304" s="220"/>
      <c r="O304" s="220"/>
      <c r="P304" s="220"/>
      <c r="Q304" s="220"/>
      <c r="R304" s="221"/>
      <c r="T304" s="222"/>
      <c r="U304" s="220"/>
      <c r="V304" s="220"/>
      <c r="W304" s="220"/>
      <c r="X304" s="220"/>
      <c r="Y304" s="220"/>
      <c r="Z304" s="221"/>
    </row>
    <row r="305" spans="1:26" ht="18" customHeight="1" hidden="1">
      <c r="A305" s="140"/>
      <c r="B305" s="140"/>
      <c r="D305" s="223" t="s">
        <v>250</v>
      </c>
      <c r="E305" s="205"/>
      <c r="F305" s="205"/>
      <c r="G305" s="205"/>
      <c r="H305" s="205"/>
      <c r="I305" s="205"/>
      <c r="J305" s="206"/>
      <c r="K305"/>
      <c r="L305" s="203"/>
      <c r="M305" s="205"/>
      <c r="N305" s="205"/>
      <c r="O305" s="205"/>
      <c r="P305" s="205"/>
      <c r="Q305" s="205"/>
      <c r="R305" s="206"/>
      <c r="T305" s="203"/>
      <c r="U305" s="205"/>
      <c r="V305" s="205"/>
      <c r="W305" s="205"/>
      <c r="X305" s="205"/>
      <c r="Y305" s="205"/>
      <c r="Z305" s="206"/>
    </row>
    <row r="306" spans="1:26" ht="18" customHeight="1" hidden="1">
      <c r="A306" s="140"/>
      <c r="B306" s="140"/>
      <c r="D306" s="198" t="s">
        <v>251</v>
      </c>
      <c r="E306" s="130" t="str">
        <f>_xlfn.XLOOKUP(E275,CurrentPlans!B:B,CurrentPlans!AP:AP,"NA",0,1)</f>
        <v>NA</v>
      </c>
      <c r="F306" s="200"/>
      <c r="G306" s="200"/>
      <c r="H306" s="200"/>
      <c r="I306" s="130"/>
      <c r="J306" s="201"/>
      <c r="K306"/>
      <c r="L306" s="131" t="str">
        <f ca="1">_xlfn.XLOOKUP(L275,RenewalPlans!B:B,RenewalPlans!AS:AS,"NA",0,1)</f>
        <v>NA</v>
      </c>
      <c r="M306" s="200"/>
      <c r="N306" s="200"/>
      <c r="O306" s="200"/>
      <c r="P306" s="130"/>
      <c r="Q306" s="200"/>
      <c r="R306" s="201"/>
      <c r="T306" s="131" t="str">
        <f>_xlfn.XLOOKUP(T275,RenewalPlans!B:B,RenewalPlans!AS:AS,"NA",0,1)</f>
        <v>NA</v>
      </c>
      <c r="U306" s="200"/>
      <c r="V306" s="200"/>
      <c r="W306" s="200"/>
      <c r="X306" s="130"/>
      <c r="Y306" s="200"/>
      <c r="Z306" s="201"/>
    </row>
    <row r="307" spans="1:26" ht="18" customHeight="1" hidden="1">
      <c r="A307" s="140"/>
      <c r="B307" s="140"/>
      <c r="D307" s="198" t="s">
        <v>252</v>
      </c>
      <c r="E307" s="130" t="str">
        <f>_xlfn.XLOOKUP(E275,CurrentPlans!B:B,CurrentPlans!AQ:AQ,"NA",0,1)</f>
        <v>NA</v>
      </c>
      <c r="F307" s="200"/>
      <c r="G307" s="200"/>
      <c r="H307" s="200"/>
      <c r="I307" s="130"/>
      <c r="J307" s="201"/>
      <c r="K307"/>
      <c r="L307" s="131" t="str">
        <f ca="1">_xlfn.XLOOKUP(L275,RenewalPlans!B:B,RenewalPlans!AT:AT,"NA",0,1)</f>
        <v>NA</v>
      </c>
      <c r="M307" s="200"/>
      <c r="N307" s="200"/>
      <c r="O307" s="200"/>
      <c r="P307" s="130"/>
      <c r="Q307" s="200"/>
      <c r="R307" s="201"/>
      <c r="T307" s="131" t="str">
        <f>_xlfn.XLOOKUP(T275,RenewalPlans!B:B,RenewalPlans!AT:AT,"NA",0,1)</f>
        <v>NA</v>
      </c>
      <c r="U307" s="200"/>
      <c r="V307" s="200"/>
      <c r="W307" s="200"/>
      <c r="X307" s="130"/>
      <c r="Y307" s="200"/>
      <c r="Z307" s="201"/>
    </row>
    <row r="308" spans="1:26" ht="18" customHeight="1" hidden="1">
      <c r="A308" s="140"/>
      <c r="B308" s="140"/>
      <c r="D308" s="120" t="s">
        <v>253</v>
      </c>
      <c r="E308" s="133" t="str">
        <f>_xlfn.XLOOKUP(E275,CurrentPlans!B:B,CurrentPlans!AO:AO,"NA",0,1)</f>
        <v>NA</v>
      </c>
      <c r="F308" s="122"/>
      <c r="G308" s="122"/>
      <c r="H308" s="122"/>
      <c r="I308" s="133"/>
      <c r="J308" s="123"/>
      <c r="K308"/>
      <c r="L308" s="136" t="str">
        <f ca="1">_xlfn.XLOOKUP(L275,RenewalPlans!B:B,RenewalPlans!AR:AR,"NA",0,1)</f>
        <v>NA</v>
      </c>
      <c r="M308" s="122"/>
      <c r="N308" s="122"/>
      <c r="O308" s="122"/>
      <c r="P308" s="133"/>
      <c r="Q308" s="122"/>
      <c r="R308" s="123"/>
      <c r="T308" s="136" t="str">
        <f>_xlfn.XLOOKUP(T275,RenewalPlans!B:B,RenewalPlans!AR:AR,"NA",0,1)</f>
        <v>NA</v>
      </c>
      <c r="U308" s="122"/>
      <c r="V308" s="122"/>
      <c r="W308" s="122"/>
      <c r="X308" s="133"/>
      <c r="Y308" s="122"/>
      <c r="Z308" s="123"/>
    </row>
    <row r="309" spans="1:26" ht="18" customHeight="1" hidden="1">
      <c r="A309" s="140"/>
      <c r="B309" s="140"/>
      <c r="D309" s="223" t="s">
        <v>254</v>
      </c>
      <c r="E309" s="205"/>
      <c r="F309" s="205"/>
      <c r="G309" s="205"/>
      <c r="H309" s="205"/>
      <c r="I309" s="205"/>
      <c r="J309" s="206"/>
      <c r="K309"/>
      <c r="L309" s="203"/>
      <c r="M309" s="205"/>
      <c r="N309" s="205"/>
      <c r="O309" s="205"/>
      <c r="P309" s="205"/>
      <c r="Q309" s="205"/>
      <c r="R309" s="206"/>
      <c r="T309" s="203"/>
      <c r="U309" s="205"/>
      <c r="V309" s="205"/>
      <c r="W309" s="205"/>
      <c r="X309" s="205"/>
      <c r="Y309" s="205"/>
      <c r="Z309" s="206"/>
    </row>
    <row r="310" spans="1:26" ht="18" customHeight="1" hidden="1">
      <c r="A310" s="140"/>
      <c r="B310" s="140"/>
      <c r="D310" s="198" t="s">
        <v>255</v>
      </c>
      <c r="E310" s="130" t="str">
        <f>_xlfn.XLOOKUP(E275,CurrentPlans!B:B,CurrentPlans!AR:AR,"NA",0,1)</f>
        <v>NA</v>
      </c>
      <c r="F310" s="200"/>
      <c r="G310" s="200"/>
      <c r="H310" s="200"/>
      <c r="I310" s="130"/>
      <c r="J310" s="201"/>
      <c r="K310"/>
      <c r="L310" s="131" t="str">
        <f ca="1">_xlfn.XLOOKUP(L275,RenewalPlans!B:B,RenewalPlans!AU:AU,"NA",0,1)</f>
        <v>NA</v>
      </c>
      <c r="M310" s="200"/>
      <c r="N310" s="200"/>
      <c r="O310" s="200"/>
      <c r="P310" s="130"/>
      <c r="Q310" s="200"/>
      <c r="R310" s="201"/>
      <c r="T310" s="131" t="str">
        <f>_xlfn.XLOOKUP(T275,RenewalPlans!B:B,RenewalPlans!AU:AU,"NA",0,1)</f>
        <v>NA</v>
      </c>
      <c r="U310" s="200"/>
      <c r="V310" s="200"/>
      <c r="W310" s="200"/>
      <c r="X310" s="130"/>
      <c r="Y310" s="200"/>
      <c r="Z310" s="201"/>
    </row>
    <row r="311" spans="1:26" ht="18" customHeight="1" hidden="1" thickBot="1">
      <c r="A311" s="140"/>
      <c r="B311" s="140"/>
      <c r="D311" s="224" t="s">
        <v>256</v>
      </c>
      <c r="E311" s="137" t="str">
        <f>_xlfn.XLOOKUP(E275,CurrentPlans!B:B,CurrentPlans!AS:AS,"NA",0,1)</f>
        <v>NA</v>
      </c>
      <c r="F311" s="225"/>
      <c r="G311" s="225"/>
      <c r="H311" s="225"/>
      <c r="I311" s="137"/>
      <c r="J311" s="226"/>
      <c r="K311"/>
      <c r="L311" s="138" t="str">
        <f ca="1">_xlfn.XLOOKUP(L275,RenewalPlans!B:B,RenewalPlans!AV:AV,"NA",0,1)</f>
        <v>NA</v>
      </c>
      <c r="M311" s="225"/>
      <c r="N311" s="225"/>
      <c r="O311" s="225"/>
      <c r="P311" s="137"/>
      <c r="Q311" s="225"/>
      <c r="R311" s="226"/>
      <c r="T311" s="138" t="str">
        <f>_xlfn.XLOOKUP(T275,RenewalPlans!B:B,RenewalPlans!AV:AV,"NA",0,1)</f>
        <v>NA</v>
      </c>
      <c r="U311" s="225"/>
      <c r="V311" s="225"/>
      <c r="W311" s="225"/>
      <c r="X311" s="137"/>
      <c r="Y311" s="225"/>
      <c r="Z311" s="226"/>
    </row>
    <row r="312" spans="1:26" ht="18" customHeight="1">
      <c r="A312" s="140"/>
      <c r="B312" s="140"/>
      <c r="D312" s="227"/>
      <c r="E312" s="176"/>
      <c r="F312" s="178"/>
      <c r="G312" s="179"/>
      <c r="H312" s="178"/>
      <c r="I312" s="176"/>
      <c r="J312" s="228"/>
      <c r="K312"/>
      <c r="L312" s="178"/>
      <c r="M312" s="176"/>
      <c r="N312" s="139"/>
      <c r="O312" s="178"/>
      <c r="P312" s="178"/>
      <c r="Q312" s="178"/>
      <c r="R312" s="228"/>
      <c r="T312" s="178"/>
      <c r="U312" s="176"/>
      <c r="V312" s="139"/>
      <c r="W312" s="178"/>
      <c r="X312" s="178"/>
      <c r="Y312" s="178"/>
      <c r="Z312" s="228"/>
    </row>
    <row r="313" spans="1:26" ht="5.25" customHeight="1" thickBot="1">
      <c r="A313" s="140"/>
      <c r="B313" s="140"/>
      <c r="D313" s="229"/>
      <c r="E313" s="229"/>
      <c r="F313" s="230"/>
      <c r="G313" s="231"/>
      <c r="H313" s="232"/>
      <c r="I313" s="233"/>
      <c r="J313" s="233"/>
      <c r="K313"/>
      <c r="L313" s="233"/>
      <c r="M313" s="233"/>
      <c r="N313" s="233"/>
      <c r="O313" s="233"/>
      <c r="P313" s="233"/>
      <c r="Q313" s="233"/>
      <c r="R313" s="233"/>
      <c r="T313" s="233"/>
      <c r="U313" s="233"/>
      <c r="V313" s="233"/>
      <c r="W313" s="233"/>
      <c r="X313" s="233"/>
      <c r="Y313" s="233"/>
      <c r="Z313" s="233"/>
    </row>
    <row r="314" spans="1:26" ht="50.15" customHeight="1">
      <c r="A314" s="140">
        <v>7</v>
      </c>
      <c r="B314" s="140" t="str">
        <f>IF(A314&gt;Class6_CurrentHealthCount,"DELETE",Class6_CurrentHealthStart+A314)</f>
        <v>DELETE</v>
      </c>
      <c r="C314" s="164" t="s">
        <v>280</v>
      </c>
      <c r="D314" s="273" t="str">
        <f>IF(B314="Delete","",VLOOKUP(F314,BEGIN_CURRENT_HEALTH:END_CURRENT_HEALTH,3,FALSE))</f>
        <v/>
      </c>
      <c r="E314" s="165"/>
      <c r="F314" s="272" t="str" cm="1">
        <f t="array" ca="1" aca="1" ref="F314">IF(B314="Delete","",INDIRECT("CurrentPlans!A"&amp;B314,TRUE))</f>
        <v/>
      </c>
      <c r="G314" s="166"/>
      <c r="H314" s="167"/>
      <c r="I314" s="168"/>
      <c r="J314" s="169"/>
      <c r="K314"/>
      <c r="L314" s="274" t="str">
        <f ca="1">_xlfn.IFNA(VLOOKUP(F314,BEGIN_RENEWEDFROM_HEALTH:ROW_RenewHealth_PlanID,3,FALSE),"SELECT PLAN")</f>
        <v>SELECT PLAN</v>
      </c>
      <c r="M314" s="170"/>
      <c r="N314" s="274" t="s">
        <v>237</v>
      </c>
      <c r="O314" s="171"/>
      <c r="P314" s="171"/>
      <c r="Q314" s="171"/>
      <c r="R314" s="169"/>
      <c r="T314" s="274" t="s">
        <v>38</v>
      </c>
      <c r="U314" s="170"/>
      <c r="V314" s="274" t="s">
        <v>237</v>
      </c>
      <c r="W314" s="171"/>
      <c r="X314" s="171"/>
      <c r="Y314" s="171"/>
      <c r="Z314" s="169"/>
    </row>
    <row r="315" spans="1:26" ht="18.75" customHeight="1">
      <c r="A315" s="140"/>
      <c r="B315" s="140"/>
      <c r="D315" s="172" t="s">
        <v>238</v>
      </c>
      <c r="E315" s="407" t="str">
        <f ca="1">_xlfn.IFNA(VLOOKUP(F314,BEGIN_CURRENT_HEALTH:END_CURRENT_HEALTH,CURRENT_COL_EO_count,FALSE),"")</f>
        <v/>
      </c>
      <c r="F315" s="408" t="str">
        <f ca="1">_xlfn.IFNA(VLOOKUP(F314,BEGIN_CURRENT_HEALTH:END_CURRENT_HEALTH,CURRENT_COL_EO,FALSE),"")</f>
        <v/>
      </c>
      <c r="G315" s="468" t="str">
        <f ca="1" t="shared" si="30" ref="G315:G318">IF(F315="","",H315/F315)</f>
        <v/>
      </c>
      <c r="H315" s="408" t="str">
        <f ca="1">_xlfn.IFNA(VLOOKUP(F314,BEGIN_CURRENT_HEALTH:END_CURRENT_HEALTH,CURRENT_COL_EOContrib,FALSE),"")</f>
        <v/>
      </c>
      <c r="I315" s="409" t="str">
        <f ca="1">IFERROR(F315-H315,"")</f>
        <v/>
      </c>
      <c r="J315" s="410" t="str">
        <f ca="1">IF(F315="","",H315*E315)</f>
        <v/>
      </c>
      <c r="K315" s="411"/>
      <c r="L315" s="408" t="str" cm="1">
        <f t="array" ca="1" aca="1" ref="L315">_xlfn.IFNA(VLOOKUP(INDIRECT("L"&amp;ROW()-1)&amp;"_"&amp;$D$12,BEGIN_RENEW_HEALTH:END_RENEW_HEALTH,RENEW_COL_EO,FALSE),"")</f>
        <v/>
      </c>
      <c r="M315" s="412" t="str">
        <f ca="1">IF(E315="","",E315)</f>
        <v/>
      </c>
      <c r="N315" s="413"/>
      <c r="O315" s="414"/>
      <c r="P315" s="415" t="str">
        <f>IFERROR(IF($N314="Keep Contribution Same",H315,IF($N314="Enter Percentages",IF(N315="","",N315*L315),IF($N314="Keep Percentage Same",IF(G315="","",G315*L315),IF($N314="Enter Dollar Amount",IF(O315="","",O315),"")))),"")</f>
        <v/>
      </c>
      <c r="Q315" s="408" t="str">
        <f ca="1">IFERROR(L315-P315,"")</f>
        <v/>
      </c>
      <c r="R315" s="410" t="str">
        <f>IFERROR(IF(P315="","",M315*P315),"")</f>
        <v/>
      </c>
      <c r="S315" s="411"/>
      <c r="T315" s="408" t="str" cm="1">
        <f t="array" ca="1" aca="1" ref="T315">_xlfn.IFNA(VLOOKUP(INDIRECT("T"&amp;ROW()-1)&amp;"_"&amp;$D$12,BEGIN_RENEW_HEALTH:END_RENEW_HEALTH,RENEW_COL_EO,FALSE),"")</f>
        <v/>
      </c>
      <c r="U315" s="412" t="str">
        <f ca="1">IF(E315="","",E315)</f>
        <v/>
      </c>
      <c r="V315" s="413"/>
      <c r="W315" s="414"/>
      <c r="X315" s="415" t="str">
        <f>IFERROR(IF($V314="Keep Contribution Same",H315,IF($V314="Enter Percentages",IF(V315="","",V315*T315),IF($V314="Keep Percentage Same",IF(G315="","",G315*T315),IF($V314="Enter Dollar Amount",IF(W315="","",W315),"")))),"")</f>
        <v/>
      </c>
      <c r="Y315" s="408" t="str">
        <f ca="1">IFERROR(T315-X315,"")</f>
        <v/>
      </c>
      <c r="Z315" s="410" t="str">
        <f>IFERROR(IF(X315="","",U315*X315),"")</f>
        <v/>
      </c>
    </row>
    <row r="316" spans="1:26" ht="18.75" customHeight="1">
      <c r="A316" s="140"/>
      <c r="B316" s="140"/>
      <c r="D316" s="172" t="s">
        <v>239</v>
      </c>
      <c r="E316" s="407" t="str">
        <f ca="1">_xlfn.IFNA(VLOOKUP(F314,BEGIN_CURRENT_HEALTH:END_CURRENT_HEALTH,CURRENT_COL_ES_count,FALSE),"")</f>
        <v/>
      </c>
      <c r="F316" s="408" t="str">
        <f ca="1">_xlfn.IFNA(VLOOKUP(F314,BEGIN_CURRENT_HEALTH:END_CURRENT_HEALTH,CURRENT_COL_ES,FALSE),"")</f>
        <v/>
      </c>
      <c r="G316" s="468" t="str">
        <f t="shared" ca="1" si="30"/>
        <v/>
      </c>
      <c r="H316" s="408" t="str">
        <f ca="1">_xlfn.IFNA(VLOOKUP(F314,BEGIN_CURRENT_HEALTH:END_CURRENT_HEALTH,CURRENT_COL_ESContrib,FALSE),"")</f>
        <v/>
      </c>
      <c r="I316" s="409" t="str">
        <f ca="1" t="shared" si="31" ref="I316:I318">IFERROR(F316-H316,"")</f>
        <v/>
      </c>
      <c r="J316" s="410" t="str">
        <f ca="1">IF(F316="","",H316*E316)</f>
        <v/>
      </c>
      <c r="K316" s="411"/>
      <c r="L316" s="408" t="str" cm="1">
        <f t="array" ca="1" aca="1" ref="L316">_xlfn.IFNA(VLOOKUP(INDIRECT("L"&amp;ROW()-2)&amp;"_"&amp;$D$12,BEGIN_RENEW_HEALTH:END_RENEW_HEALTH,RENEW_COL_ES,FALSE),"")</f>
        <v/>
      </c>
      <c r="M316" s="412" t="str">
        <f ca="1">IF(E316="","",E316)</f>
        <v/>
      </c>
      <c r="N316" s="413"/>
      <c r="O316" s="414"/>
      <c r="P316" s="415" t="str">
        <f>IFERROR(IF($N314="Keep Contribution Same",H316,IF($N314="Enter Percentages",IF(N316="","",N316*L316),IF($N314="Keep Percentage Same",IF(G316="","",G316*L316),IF($N314="Enter Dollar Amount",IF(O316="","",O316),"")))),"")</f>
        <v/>
      </c>
      <c r="Q316" s="408" t="str">
        <f ca="1">IFERROR(L316-P316,"")</f>
        <v/>
      </c>
      <c r="R316" s="410" t="str">
        <f>IFERROR(IF(P316="","",M316*P316),"")</f>
        <v/>
      </c>
      <c r="S316" s="411"/>
      <c r="T316" s="408" t="str" cm="1">
        <f t="array" ca="1" aca="1" ref="T316">_xlfn.IFNA(VLOOKUP(INDIRECT("T"&amp;ROW()-2)&amp;"_"&amp;$D$12,BEGIN_RENEW_HEALTH:END_RENEW_HEALTH,RENEW_COL_ES,FALSE),"")</f>
        <v/>
      </c>
      <c r="U316" s="412" t="str">
        <f ca="1" t="shared" si="32" ref="U316:U318">IF(E316="","",E316)</f>
        <v/>
      </c>
      <c r="V316" s="413"/>
      <c r="W316" s="414"/>
      <c r="X316" s="415" t="str">
        <f>IFERROR(IF($V314="Keep Contribution Same",H316,IF($V314="Enter Percentages",IF(V316="","",V316*T316),IF($V314="Keep Percentage Same",IF(G316="","",G316*T316),IF($V314="Enter Dollar Amount",IF(W316="","",W316),"")))),"")</f>
        <v/>
      </c>
      <c r="Y316" s="408" t="str">
        <f ca="1" t="shared" si="33" ref="Y316:Y318">IFERROR(T316-X316,"")</f>
        <v/>
      </c>
      <c r="Z316" s="410" t="str">
        <f t="shared" si="34" ref="Z316:Z318">IFERROR(IF(X316="","",U316*X316),"")</f>
        <v/>
      </c>
    </row>
    <row r="317" spans="1:26" ht="18.75" customHeight="1">
      <c r="A317" s="140"/>
      <c r="B317" s="140"/>
      <c r="D317" s="172" t="s">
        <v>240</v>
      </c>
      <c r="E317" s="407" t="str">
        <f ca="1">_xlfn.IFNA(VLOOKUP(F314,BEGIN_CURRENT_HEALTH:END_CURRENT_HEALTH,CURRENT_COL_EC_count,FALSE),"")</f>
        <v/>
      </c>
      <c r="F317" s="408" t="str">
        <f ca="1">_xlfn.IFNA(VLOOKUP(F314,BEGIN_CURRENT_HEALTH:END_CURRENT_HEALTH,CURRENT_COL_EC,FALSE),"")</f>
        <v/>
      </c>
      <c r="G317" s="468" t="str">
        <f t="shared" ca="1" si="30"/>
        <v/>
      </c>
      <c r="H317" s="408" t="str">
        <f ca="1">_xlfn.IFNA(VLOOKUP(F314,BEGIN_CURRENT_HEALTH:END_CURRENT_HEALTH,CURRENT_COL_ECContrib,FALSE),"")</f>
        <v/>
      </c>
      <c r="I317" s="409" t="str">
        <f t="shared" ca="1" si="31"/>
        <v/>
      </c>
      <c r="J317" s="410" t="str">
        <f ca="1">IF(F317="","",H317*E317)</f>
        <v/>
      </c>
      <c r="K317" s="411"/>
      <c r="L317" s="408" t="str" cm="1">
        <f t="array" ca="1" aca="1" ref="L317">_xlfn.IFNA(VLOOKUP(INDIRECT("L"&amp;ROW()-3)&amp;"_"&amp;$D$12,BEGIN_RENEW_HEALTH:END_RENEW_HEALTH,RENEW_COL_EC,FALSE),"")</f>
        <v/>
      </c>
      <c r="M317" s="412" t="str">
        <f ca="1">IF(E317="","",E317)</f>
        <v/>
      </c>
      <c r="N317" s="413"/>
      <c r="O317" s="414"/>
      <c r="P317" s="415" t="str">
        <f>IFERROR(IF($N314="Keep Contribution Same",H317,IF($N314="Enter Percentages",IF(N317="","",N317*L317),IF($N314="Keep Percentage Same",IF(G317="","",G317*L317),IF($N314="Enter Dollar Amount",IF(O317="","",O317),"")))),"")</f>
        <v/>
      </c>
      <c r="Q317" s="408" t="str">
        <f ca="1">IFERROR(L317-P317,"")</f>
        <v/>
      </c>
      <c r="R317" s="410" t="str">
        <f>IFERROR(IF(P317="","",M317*P317),"")</f>
        <v/>
      </c>
      <c r="S317" s="411"/>
      <c r="T317" s="408" t="str" cm="1">
        <f t="array" ca="1" aca="1" ref="T317">_xlfn.IFNA(VLOOKUP(INDIRECT("T"&amp;ROW()-3)&amp;"_"&amp;$D$12,BEGIN_RENEW_HEALTH:END_RENEW_HEALTH,RENEW_COL_EC,FALSE),"")</f>
        <v/>
      </c>
      <c r="U317" s="412" t="str">
        <f t="shared" ca="1" si="32"/>
        <v/>
      </c>
      <c r="V317" s="413"/>
      <c r="W317" s="414"/>
      <c r="X317" s="415" t="str">
        <f>IFERROR(IF($V314="Keep Contribution Same",H317,IF($V314="Enter Percentages",IF(V317="","",V317*T317),IF($V314="Keep Percentage Same",IF(G317="","",G317*T317),IF($V314="Enter Dollar Amount",IF(W317="","",W317),"")))),"")</f>
        <v/>
      </c>
      <c r="Y317" s="408" t="str">
        <f t="shared" ca="1" si="33"/>
        <v/>
      </c>
      <c r="Z317" s="410" t="str">
        <f t="shared" si="34"/>
        <v/>
      </c>
    </row>
    <row r="318" spans="1:26" ht="18.75" customHeight="1" thickBot="1">
      <c r="A318" s="140"/>
      <c r="B318" s="140"/>
      <c r="D318" s="174" t="s">
        <v>241</v>
      </c>
      <c r="E318" s="416" t="str">
        <f ca="1">_xlfn.IFNA(VLOOKUP(F314,BEGIN_CURRENT_HEALTH:END_CURRENT_HEALTH,CURRENT_COL_FAM_count,FALSE),"")</f>
        <v/>
      </c>
      <c r="F318" s="417" t="str">
        <f ca="1">_xlfn.IFNA(VLOOKUP(F314,BEGIN_CURRENT_HEALTH:END_CURRENT_HEALTH,CURRENT_COL_FAM,FALSE),"")</f>
        <v/>
      </c>
      <c r="G318" s="469" t="str">
        <f t="shared" ca="1" si="30"/>
        <v/>
      </c>
      <c r="H318" s="417" t="str">
        <f ca="1">_xlfn.IFNA(VLOOKUP(F314,BEGIN_CURRENT_HEALTH:END_CURRENT_HEALTH,CURRENT_COL_FAMContrib,FALSE),"")</f>
        <v/>
      </c>
      <c r="I318" s="418" t="str">
        <f t="shared" ca="1" si="31"/>
        <v/>
      </c>
      <c r="J318" s="419" t="str">
        <f ca="1">IF(F318="","",H318*E318)</f>
        <v/>
      </c>
      <c r="K318" s="411"/>
      <c r="L318" s="417" t="str" cm="1">
        <f t="array" ca="1" aca="1" ref="L318">_xlfn.IFNA(VLOOKUP(INDIRECT("L"&amp;ROW()-4)&amp;"_"&amp;$D$12,BEGIN_RENEW_HEALTH:END_RENEW_HEALTH,RENEW_COL_FAM,FALSE),"")</f>
        <v/>
      </c>
      <c r="M318" s="423" t="str">
        <f ca="1">IF(E318="","",E318)</f>
        <v/>
      </c>
      <c r="N318" s="420"/>
      <c r="O318" s="421"/>
      <c r="P318" s="422" t="str">
        <f>IFERROR(IF($N314="Keep Contribution Same",H318,IF($N314="Enter Percentages",IF(N318="","",N318*L318),IF($N314="Keep Percentage Same",IF(G318="","",G318*L318),IF($N314="Enter Dollar Amount",IF(O318="","",O318),"")))),"")</f>
        <v/>
      </c>
      <c r="Q318" s="417" t="str">
        <f ca="1">IFERROR(L318-P318,"")</f>
        <v/>
      </c>
      <c r="R318" s="419" t="str">
        <f>IFERROR(IF(P318="","",M318*P318),"")</f>
        <v/>
      </c>
      <c r="S318" s="411"/>
      <c r="T318" s="417" t="str" cm="1">
        <f t="array" ca="1" aca="1" ref="T318">_xlfn.IFNA(VLOOKUP(INDIRECT("T"&amp;ROW()-4)&amp;"_"&amp;$D$12,BEGIN_RENEW_HEALTH:END_RENEW_HEALTH,RENEW_COL_FAM,FALSE),"")</f>
        <v/>
      </c>
      <c r="U318" s="423" t="str">
        <f t="shared" ca="1" si="32"/>
        <v/>
      </c>
      <c r="V318" s="420"/>
      <c r="W318" s="421"/>
      <c r="X318" s="422" t="str">
        <f>IFERROR(IF($V314="Keep Contribution Same",H318,IF($V314="Enter Percentages",IF(V318="","",V318*T318),IF($V314="Keep Percentage Same",IF(G318="","",G318*T318),IF($V314="Enter Dollar Amount",IF(W318="","",W318),"")))),"")</f>
        <v/>
      </c>
      <c r="Y318" s="417" t="str">
        <f t="shared" ca="1" si="33"/>
        <v/>
      </c>
      <c r="Z318" s="419" t="str">
        <f t="shared" si="34"/>
        <v/>
      </c>
    </row>
    <row r="319" spans="1:26" ht="18.75" customHeight="1" thickTop="1">
      <c r="A319" s="140"/>
      <c r="B319" s="140"/>
      <c r="D319" s="175" t="s">
        <v>242</v>
      </c>
      <c r="E319" s="424"/>
      <c r="F319" s="447" t="str">
        <f ca="1">IFERROR((F315*E315)+(F316*E316)+(F317*E317)+(F318*E318),"")</f>
        <v/>
      </c>
      <c r="G319" s="426"/>
      <c r="H319" s="427"/>
      <c r="I319" s="428"/>
      <c r="J319" s="429" t="str">
        <f ca="1">IFERROR(IF(J315="","",SUM(J315:J318)),0)</f>
        <v/>
      </c>
      <c r="K319" s="1"/>
      <c r="L319" s="430" t="str">
        <f ca="1">IFERROR((M315*L315)+(M316*L316)+(M317*L317)+(M318*L318),"")</f>
        <v/>
      </c>
      <c r="M319" s="427"/>
      <c r="N319" s="426"/>
      <c r="O319" s="427"/>
      <c r="P319" s="431"/>
      <c r="Q319" s="432"/>
      <c r="R319" s="429" t="str">
        <f>IFERROR(IF(R315="","",SUM(R315:R318)),0)</f>
        <v/>
      </c>
      <c r="T319" s="430" t="str">
        <f ca="1">IFERROR((U315*T315)+(U316*T316)+(U317*T317)+(U318*T318),"")</f>
        <v/>
      </c>
      <c r="U319" s="427"/>
      <c r="V319" s="426"/>
      <c r="W319" s="427"/>
      <c r="X319" s="431"/>
      <c r="Y319" s="432"/>
      <c r="Z319" s="429" t="str">
        <f>IFERROR(IF(Z315="","",SUM(Z315:Z318)),0)</f>
        <v/>
      </c>
    </row>
    <row r="320" spans="1:26" ht="18.75" customHeight="1">
      <c r="A320" s="140"/>
      <c r="B320" s="140"/>
      <c r="D320" s="177" t="s">
        <v>243</v>
      </c>
      <c r="E320" s="433"/>
      <c r="F320" s="448" t="str">
        <f ca="1">IFERROR(F319*12,"")</f>
        <v/>
      </c>
      <c r="G320" s="435"/>
      <c r="H320" s="436"/>
      <c r="I320" s="432"/>
      <c r="J320" s="437" t="str">
        <f ca="1">IF(J319="","",J319*12)</f>
        <v/>
      </c>
      <c r="K320" s="1"/>
      <c r="L320" s="438" t="str">
        <f ca="1">IFERROR(L319*12,"")</f>
        <v/>
      </c>
      <c r="M320" s="436"/>
      <c r="N320" s="435"/>
      <c r="O320" s="436"/>
      <c r="P320" s="432"/>
      <c r="Q320" s="432"/>
      <c r="R320" s="437" t="str">
        <f>IF(R319="","",R319*12)</f>
        <v/>
      </c>
      <c r="T320" s="438" t="str">
        <f ca="1">IFERROR(T319*12,"")</f>
        <v/>
      </c>
      <c r="U320" s="436"/>
      <c r="V320" s="435"/>
      <c r="W320" s="436"/>
      <c r="X320" s="432"/>
      <c r="Y320" s="432"/>
      <c r="Z320" s="437" t="str">
        <f>IF(Z319="","",Z319*12)</f>
        <v/>
      </c>
    </row>
    <row r="321" spans="1:26" ht="18" customHeight="1">
      <c r="A321" s="140"/>
      <c r="B321" s="140"/>
      <c r="D321" s="177" t="s">
        <v>244</v>
      </c>
      <c r="E321" s="433"/>
      <c r="F321" s="436"/>
      <c r="G321" s="435"/>
      <c r="H321" s="436"/>
      <c r="I321" s="432"/>
      <c r="J321" s="437"/>
      <c r="K321" s="1"/>
      <c r="L321" s="434" t="str">
        <f ca="1">IFERROR(L320-F320,"")</f>
        <v/>
      </c>
      <c r="M321" s="436"/>
      <c r="N321" s="435"/>
      <c r="O321" s="436"/>
      <c r="P321" s="432"/>
      <c r="Q321" s="432"/>
      <c r="R321" s="437" t="str">
        <f ca="1">IFERROR(IF(J320="","",R320-J320),0)</f>
        <v/>
      </c>
      <c r="T321" s="434" t="str">
        <f ca="1">IFERROR(T320-F320,"")</f>
        <v/>
      </c>
      <c r="U321" s="436"/>
      <c r="V321" s="435"/>
      <c r="W321" s="436"/>
      <c r="X321" s="432"/>
      <c r="Y321" s="432"/>
      <c r="Z321" s="437" t="str">
        <f>IFERROR(IF(R320="","",Z320-R320),0)</f>
        <v/>
      </c>
    </row>
    <row r="322" spans="1:26" ht="18" customHeight="1" thickBot="1">
      <c r="A322" s="140"/>
      <c r="B322" s="140"/>
      <c r="D322" s="180" t="s">
        <v>245</v>
      </c>
      <c r="E322" s="439"/>
      <c r="F322" s="440"/>
      <c r="G322" s="441"/>
      <c r="H322" s="440"/>
      <c r="I322" s="442"/>
      <c r="J322" s="443"/>
      <c r="K322" s="1"/>
      <c r="L322" s="444" t="str">
        <f ca="1">IFERROR(L320/F320-1,"")</f>
        <v/>
      </c>
      <c r="M322" s="440"/>
      <c r="N322" s="441"/>
      <c r="O322" s="440"/>
      <c r="P322" s="445"/>
      <c r="Q322" s="445"/>
      <c r="R322" s="446" t="str">
        <f ca="1">IFERROR(IF(J320="","",(R320/J320)-1),0)</f>
        <v/>
      </c>
      <c r="T322" s="444" t="str">
        <f ca="1">IFERROR(T320/F320-1,"")</f>
        <v/>
      </c>
      <c r="U322" s="440"/>
      <c r="V322" s="441"/>
      <c r="W322" s="440"/>
      <c r="X322" s="445"/>
      <c r="Y322" s="445"/>
      <c r="Z322" s="446" t="str">
        <f>IFERROR(IF(R320="","",(Z320/R320)-1),0)</f>
        <v/>
      </c>
    </row>
    <row r="323" spans="1:26" ht="18" customHeight="1">
      <c r="A323" s="140"/>
      <c r="B323" s="140"/>
      <c r="D323" s="181" t="s">
        <v>246</v>
      </c>
      <c r="E323" s="182"/>
      <c r="F323" s="182"/>
      <c r="G323" s="182"/>
      <c r="H323" s="182"/>
      <c r="I323" s="182"/>
      <c r="J323" s="183"/>
      <c r="K323"/>
      <c r="L323" s="184"/>
      <c r="M323" s="182"/>
      <c r="N323" s="182"/>
      <c r="O323" s="182"/>
      <c r="P323" s="182"/>
      <c r="Q323" s="182"/>
      <c r="R323" s="183"/>
      <c r="T323" s="184"/>
      <c r="U323" s="182"/>
      <c r="V323" s="182"/>
      <c r="W323" s="182"/>
      <c r="X323" s="182"/>
      <c r="Y323" s="182"/>
      <c r="Z323" s="183"/>
    </row>
    <row r="324" spans="1:26" ht="18" customHeight="1" hidden="1">
      <c r="A324" s="140"/>
      <c r="B324" s="140"/>
      <c r="D324" s="185" t="s">
        <v>247</v>
      </c>
      <c r="E324" s="186"/>
      <c r="F324" s="186"/>
      <c r="G324" s="186"/>
      <c r="H324" s="186"/>
      <c r="I324" s="186"/>
      <c r="J324" s="187"/>
      <c r="K324"/>
      <c r="L324" s="188"/>
      <c r="M324" s="186"/>
      <c r="N324" s="186"/>
      <c r="O324" s="186"/>
      <c r="P324" s="186"/>
      <c r="Q324" s="186"/>
      <c r="R324" s="187"/>
      <c r="T324" s="188"/>
      <c r="U324" s="186"/>
      <c r="V324" s="186"/>
      <c r="W324" s="186"/>
      <c r="X324" s="186"/>
      <c r="Y324" s="186"/>
      <c r="Z324" s="187"/>
    </row>
    <row r="325" spans="1:26" ht="18" customHeight="1" hidden="1">
      <c r="A325" s="140"/>
      <c r="B325" s="140"/>
      <c r="D325" s="189" t="s">
        <v>248</v>
      </c>
      <c r="E325" s="190" t="str">
        <f>D314&amp;"_"&amp;D12</f>
        <v>_</v>
      </c>
      <c r="F325" s="191"/>
      <c r="G325" s="191"/>
      <c r="H325" s="191"/>
      <c r="I325" s="190"/>
      <c r="J325" s="192"/>
      <c r="K325"/>
      <c r="L325" s="193" t="str">
        <f ca="1">L314&amp;"_"&amp;D12</f>
        <v>SELECT PLAN_</v>
      </c>
      <c r="M325" s="191"/>
      <c r="N325" s="191"/>
      <c r="O325" s="191"/>
      <c r="P325" s="190"/>
      <c r="Q325" s="191"/>
      <c r="R325" s="192"/>
      <c r="T325" s="193" t="str">
        <f>T314&amp;"_"&amp;D12</f>
        <v>SELECT PLAN_</v>
      </c>
      <c r="U325" s="191"/>
      <c r="V325" s="191"/>
      <c r="W325" s="191"/>
      <c r="X325" s="190"/>
      <c r="Y325" s="191"/>
      <c r="Z325" s="192"/>
    </row>
    <row r="326" spans="1:26" ht="18" customHeight="1" hidden="1">
      <c r="A326" s="140"/>
      <c r="B326" s="140"/>
      <c r="D326" s="189" t="s">
        <v>249</v>
      </c>
      <c r="E326" s="191"/>
      <c r="F326" s="191"/>
      <c r="G326" s="191"/>
      <c r="H326" s="191"/>
      <c r="I326" s="191"/>
      <c r="J326" s="192"/>
      <c r="K326"/>
      <c r="L326" s="189"/>
      <c r="M326" s="191"/>
      <c r="N326" s="191"/>
      <c r="O326" s="191"/>
      <c r="P326" s="191"/>
      <c r="Q326" s="191"/>
      <c r="R326" s="192"/>
      <c r="T326" s="189"/>
      <c r="U326" s="191"/>
      <c r="V326" s="191"/>
      <c r="W326" s="191"/>
      <c r="X326" s="191"/>
      <c r="Y326" s="191"/>
      <c r="Z326" s="192"/>
    </row>
    <row r="327" spans="1:26" ht="18" customHeight="1" hidden="1">
      <c r="A327" s="140"/>
      <c r="B327" s="140"/>
      <c r="D327" s="194" t="s">
        <v>250</v>
      </c>
      <c r="E327" s="195"/>
      <c r="F327" s="195"/>
      <c r="G327" s="195"/>
      <c r="H327" s="195"/>
      <c r="I327" s="195"/>
      <c r="J327" s="196"/>
      <c r="K327"/>
      <c r="L327" s="197"/>
      <c r="M327" s="195"/>
      <c r="N327" s="195"/>
      <c r="O327" s="195"/>
      <c r="P327" s="195"/>
      <c r="Q327" s="195"/>
      <c r="R327" s="196"/>
      <c r="T327" s="197"/>
      <c r="U327" s="195"/>
      <c r="V327" s="195"/>
      <c r="W327" s="195"/>
      <c r="X327" s="195"/>
      <c r="Y327" s="195"/>
      <c r="Z327" s="196"/>
    </row>
    <row r="328" spans="1:26" ht="18" customHeight="1" hidden="1">
      <c r="A328" s="140"/>
      <c r="B328" s="140"/>
      <c r="D328" s="198" t="s">
        <v>251</v>
      </c>
      <c r="E328" s="199" t="str">
        <f>_xlfn.XLOOKUP(E325,CurrentPlans!B:B,CurrentPlans!X:X,"NA",0,1)</f>
        <v>NA</v>
      </c>
      <c r="F328" s="200"/>
      <c r="G328" s="200"/>
      <c r="H328" s="200"/>
      <c r="I328" s="199"/>
      <c r="J328" s="201"/>
      <c r="K328"/>
      <c r="L328" s="202" t="str">
        <f ca="1">_xlfn.XLOOKUP(L325,RenewalPlans!B:B,RenewalPlans!AA:AA,"NA",0,1)</f>
        <v>NA</v>
      </c>
      <c r="M328" s="200"/>
      <c r="N328" s="200"/>
      <c r="O328" s="200"/>
      <c r="P328" s="199"/>
      <c r="Q328" s="200"/>
      <c r="R328" s="201"/>
      <c r="T328" s="202" t="str">
        <f>_xlfn.XLOOKUP(T325,RenewalPlans!B:B,RenewalPlans!AA:AA,"NA",0,1)</f>
        <v>NA</v>
      </c>
      <c r="U328" s="200"/>
      <c r="V328" s="200"/>
      <c r="W328" s="200"/>
      <c r="X328" s="199"/>
      <c r="Y328" s="200"/>
      <c r="Z328" s="201"/>
    </row>
    <row r="329" spans="1:26" ht="18" customHeight="1" hidden="1">
      <c r="A329" s="140"/>
      <c r="B329" s="140"/>
      <c r="D329" s="198" t="s">
        <v>252</v>
      </c>
      <c r="E329" s="199" t="str">
        <f>_xlfn.XLOOKUP(E325,CurrentPlans!B:B,CurrentPlans!Y:Y,"NA",0,1)</f>
        <v>NA</v>
      </c>
      <c r="F329" s="200"/>
      <c r="G329" s="200"/>
      <c r="H329" s="200"/>
      <c r="I329" s="199"/>
      <c r="J329" s="201"/>
      <c r="K329"/>
      <c r="L329" s="202" t="str">
        <f ca="1">_xlfn.XLOOKUP(L325,RenewalPlans!B:B,RenewalPlans!AB:AB,"NA",0,1)</f>
        <v>NA</v>
      </c>
      <c r="M329" s="200"/>
      <c r="N329" s="200"/>
      <c r="O329" s="200"/>
      <c r="P329" s="199"/>
      <c r="Q329" s="200"/>
      <c r="R329" s="201"/>
      <c r="T329" s="202" t="str">
        <f>_xlfn.XLOOKUP(T325,RenewalPlans!B:B,RenewalPlans!AB:AB,"NA",0,1)</f>
        <v>NA</v>
      </c>
      <c r="U329" s="200"/>
      <c r="V329" s="200"/>
      <c r="W329" s="200"/>
      <c r="X329" s="199"/>
      <c r="Y329" s="200"/>
      <c r="Z329" s="201"/>
    </row>
    <row r="330" spans="1:26" ht="18" customHeight="1" hidden="1">
      <c r="A330" s="140"/>
      <c r="B330" s="140"/>
      <c r="D330" s="120" t="s">
        <v>253</v>
      </c>
      <c r="E330" s="121" t="str">
        <f>_xlfn.XLOOKUP(E325,CurrentPlans!B:B,CurrentPlans!W:W,"NA",0,1)</f>
        <v>NA</v>
      </c>
      <c r="F330" s="122"/>
      <c r="G330" s="122"/>
      <c r="H330" s="122"/>
      <c r="I330" s="121"/>
      <c r="J330" s="123"/>
      <c r="K330"/>
      <c r="L330" s="124" t="str">
        <f ca="1">_xlfn.XLOOKUP(L325,RenewalPlans!B:B,RenewalPlans!Z:Z,"NA",0,1)</f>
        <v>NA</v>
      </c>
      <c r="M330" s="122"/>
      <c r="N330" s="122"/>
      <c r="O330" s="122"/>
      <c r="P330" s="121"/>
      <c r="Q330" s="122"/>
      <c r="R330" s="123"/>
      <c r="T330" s="124" t="str">
        <f>_xlfn.XLOOKUP(T325,RenewalPlans!B:B,RenewalPlans!Z:Z,"NA",0,1)</f>
        <v>NA</v>
      </c>
      <c r="U330" s="122"/>
      <c r="V330" s="122"/>
      <c r="W330" s="122"/>
      <c r="X330" s="121"/>
      <c r="Y330" s="122"/>
      <c r="Z330" s="123"/>
    </row>
    <row r="331" spans="1:26" ht="18" customHeight="1" hidden="1">
      <c r="A331" s="140"/>
      <c r="B331" s="140"/>
      <c r="D331" s="203" t="s">
        <v>254</v>
      </c>
      <c r="E331" s="204"/>
      <c r="F331" s="205"/>
      <c r="G331" s="205"/>
      <c r="H331" s="205"/>
      <c r="I331" s="204"/>
      <c r="J331" s="206"/>
      <c r="K331"/>
      <c r="L331" s="207"/>
      <c r="M331" s="205"/>
      <c r="N331" s="205"/>
      <c r="O331" s="205"/>
      <c r="P331" s="204"/>
      <c r="Q331" s="205"/>
      <c r="R331" s="206"/>
      <c r="T331" s="207"/>
      <c r="U331" s="205"/>
      <c r="V331" s="205"/>
      <c r="W331" s="205"/>
      <c r="X331" s="204"/>
      <c r="Y331" s="205"/>
      <c r="Z331" s="206"/>
    </row>
    <row r="332" spans="1:26" ht="18" customHeight="1" hidden="1">
      <c r="A332" s="140"/>
      <c r="B332" s="140"/>
      <c r="D332" s="125" t="s">
        <v>255</v>
      </c>
      <c r="E332" s="126" t="str">
        <f>_xlfn.XLOOKUP(E325,CurrentPlans!B:B,CurrentPlans!Z:Z,"NA",0,1)</f>
        <v>NA</v>
      </c>
      <c r="F332" s="127"/>
      <c r="G332" s="127"/>
      <c r="H332" s="127"/>
      <c r="I332" s="126"/>
      <c r="J332" s="128"/>
      <c r="K332"/>
      <c r="L332" s="129" t="str">
        <f ca="1">_xlfn.XLOOKUP(L325,RenewalPlans!B:B,RenewalPlans!AC:AC,"NA",0,1)</f>
        <v>NA</v>
      </c>
      <c r="M332" s="127"/>
      <c r="N332" s="127"/>
      <c r="O332" s="127"/>
      <c r="P332" s="126"/>
      <c r="Q332" s="127"/>
      <c r="R332" s="128"/>
      <c r="T332" s="129" t="str">
        <f>_xlfn.XLOOKUP(T325,RenewalPlans!B:B,RenewalPlans!AC:AC,"NA",0,1)</f>
        <v>NA</v>
      </c>
      <c r="U332" s="127"/>
      <c r="V332" s="127"/>
      <c r="W332" s="127"/>
      <c r="X332" s="126"/>
      <c r="Y332" s="127"/>
      <c r="Z332" s="128"/>
    </row>
    <row r="333" spans="1:26" ht="18" customHeight="1" hidden="1">
      <c r="A333" s="140"/>
      <c r="B333" s="140"/>
      <c r="D333" s="198" t="s">
        <v>256</v>
      </c>
      <c r="E333" s="208" t="str">
        <f>_xlfn.XLOOKUP(E325,CurrentPlans!B:B,CurrentPlans!AA:AA,"NA",0,1)</f>
        <v>NA</v>
      </c>
      <c r="F333" s="200"/>
      <c r="G333" s="200"/>
      <c r="H333" s="200"/>
      <c r="I333" s="208"/>
      <c r="J333" s="201"/>
      <c r="K333"/>
      <c r="L333" s="209" t="str">
        <f ca="1">_xlfn.XLOOKUP(L325,RenewalPlans!B:B,RenewalPlans!AD:AD,"NA",0,1)</f>
        <v>NA</v>
      </c>
      <c r="M333" s="200"/>
      <c r="N333" s="200"/>
      <c r="O333" s="200"/>
      <c r="P333" s="208"/>
      <c r="Q333" s="200"/>
      <c r="R333" s="201"/>
      <c r="T333" s="209" t="str">
        <f>_xlfn.XLOOKUP(T325,RenewalPlans!B:B,RenewalPlans!AD:AD,"NA",0,1)</f>
        <v>NA</v>
      </c>
      <c r="U333" s="200"/>
      <c r="V333" s="200"/>
      <c r="W333" s="200"/>
      <c r="X333" s="208"/>
      <c r="Y333" s="200"/>
      <c r="Z333" s="201"/>
    </row>
    <row r="334" spans="1:26" ht="18" customHeight="1" hidden="1">
      <c r="A334" s="140"/>
      <c r="B334" s="140"/>
      <c r="D334" s="203" t="s">
        <v>257</v>
      </c>
      <c r="E334" s="204"/>
      <c r="F334" s="205"/>
      <c r="G334" s="205"/>
      <c r="H334" s="205"/>
      <c r="I334" s="204"/>
      <c r="J334" s="206"/>
      <c r="K334"/>
      <c r="L334" s="207"/>
      <c r="M334" s="205"/>
      <c r="N334" s="205"/>
      <c r="O334" s="205"/>
      <c r="P334" s="204"/>
      <c r="Q334" s="205"/>
      <c r="R334" s="206"/>
      <c r="T334" s="207"/>
      <c r="U334" s="205"/>
      <c r="V334" s="205"/>
      <c r="W334" s="205"/>
      <c r="X334" s="204"/>
      <c r="Y334" s="205"/>
      <c r="Z334" s="206"/>
    </row>
    <row r="335" spans="1:26" ht="18" customHeight="1" hidden="1">
      <c r="A335" s="140"/>
      <c r="B335" s="140"/>
      <c r="D335" s="198" t="s">
        <v>258</v>
      </c>
      <c r="E335" s="208" t="str">
        <f>_xlfn.XLOOKUP(E325,CurrentPlans!B:B,CurrentPlans!AB:AB,"NA",0,1)</f>
        <v>NA</v>
      </c>
      <c r="F335" s="200"/>
      <c r="G335" s="200"/>
      <c r="H335" s="200"/>
      <c r="I335" s="208"/>
      <c r="J335" s="201"/>
      <c r="K335"/>
      <c r="L335" s="209" t="str">
        <f ca="1">_xlfn.XLOOKUP(L325,RenewalPlans!B:B,RenewalPlans!AE:AE,"NA",0,1)</f>
        <v>NA</v>
      </c>
      <c r="M335" s="200"/>
      <c r="N335" s="200"/>
      <c r="O335" s="200"/>
      <c r="P335" s="208"/>
      <c r="Q335" s="200"/>
      <c r="R335" s="201"/>
      <c r="T335" s="209" t="str">
        <f>_xlfn.XLOOKUP(T325,RenewalPlans!B:B,RenewalPlans!AE:AE,"NA",0,1)</f>
        <v>NA</v>
      </c>
      <c r="U335" s="200"/>
      <c r="V335" s="200"/>
      <c r="W335" s="200"/>
      <c r="X335" s="208"/>
      <c r="Y335" s="200"/>
      <c r="Z335" s="201"/>
    </row>
    <row r="336" spans="1:26" ht="18" customHeight="1" hidden="1">
      <c r="A336" s="140"/>
      <c r="B336" s="140"/>
      <c r="D336" s="198" t="s">
        <v>259</v>
      </c>
      <c r="E336" s="208" t="str">
        <f>_xlfn.XLOOKUP(E325,CurrentPlans!B:B,CurrentPlans!AC:AC,"NA",0,1)</f>
        <v>NA</v>
      </c>
      <c r="F336" s="200"/>
      <c r="G336" s="200"/>
      <c r="H336" s="200"/>
      <c r="I336" s="208"/>
      <c r="J336" s="201"/>
      <c r="K336"/>
      <c r="L336" s="209" t="str">
        <f ca="1">_xlfn.XLOOKUP(L325,RenewalPlans!B:B,RenewalPlans!AF:AF,"NA",0,1)</f>
        <v>NA</v>
      </c>
      <c r="M336" s="200"/>
      <c r="N336" s="200"/>
      <c r="O336" s="200"/>
      <c r="P336" s="208"/>
      <c r="Q336" s="200"/>
      <c r="R336" s="201"/>
      <c r="T336" s="209" t="str">
        <f>_xlfn.XLOOKUP(T325,RenewalPlans!B:B,RenewalPlans!AF:AF,"NA",0,1)</f>
        <v>NA</v>
      </c>
      <c r="U336" s="200"/>
      <c r="V336" s="200"/>
      <c r="W336" s="200"/>
      <c r="X336" s="208"/>
      <c r="Y336" s="200"/>
      <c r="Z336" s="201"/>
    </row>
    <row r="337" spans="1:26" ht="18" customHeight="1" hidden="1">
      <c r="A337" s="140"/>
      <c r="B337" s="140"/>
      <c r="D337" s="210"/>
      <c r="E337" s="211"/>
      <c r="F337" s="211"/>
      <c r="G337" s="211"/>
      <c r="H337" s="211"/>
      <c r="I337" s="211"/>
      <c r="J337" s="212"/>
      <c r="K337"/>
      <c r="L337" s="210"/>
      <c r="M337" s="211"/>
      <c r="N337" s="211"/>
      <c r="O337" s="211"/>
      <c r="P337" s="211"/>
      <c r="Q337" s="211"/>
      <c r="R337" s="212"/>
      <c r="T337" s="210"/>
      <c r="U337" s="211"/>
      <c r="V337" s="211"/>
      <c r="W337" s="211"/>
      <c r="X337" s="211"/>
      <c r="Y337" s="211"/>
      <c r="Z337" s="212"/>
    </row>
    <row r="338" spans="1:26" ht="18" customHeight="1" hidden="1">
      <c r="A338" s="140"/>
      <c r="B338" s="140"/>
      <c r="D338" s="185" t="s">
        <v>260</v>
      </c>
      <c r="E338" s="186"/>
      <c r="F338" s="186"/>
      <c r="G338" s="186"/>
      <c r="H338" s="186"/>
      <c r="I338" s="186"/>
      <c r="J338" s="187"/>
      <c r="K338"/>
      <c r="L338" s="188"/>
      <c r="M338" s="186"/>
      <c r="N338" s="186"/>
      <c r="O338" s="186"/>
      <c r="P338" s="186"/>
      <c r="Q338" s="186"/>
      <c r="R338" s="187"/>
      <c r="T338" s="188"/>
      <c r="U338" s="186"/>
      <c r="V338" s="186"/>
      <c r="W338" s="186"/>
      <c r="X338" s="186"/>
      <c r="Y338" s="186"/>
      <c r="Z338" s="187"/>
    </row>
    <row r="339" spans="1:26" ht="18" customHeight="1" hidden="1">
      <c r="A339" s="140"/>
      <c r="B339" s="140"/>
      <c r="D339" s="213" t="s">
        <v>261</v>
      </c>
      <c r="E339" s="130" t="str">
        <f>_xlfn.XLOOKUP(E325,CurrentPlans!B:B,CurrentPlans!AJ:AJ,"NA",0,1)</f>
        <v>NA</v>
      </c>
      <c r="F339" s="214"/>
      <c r="G339" s="214"/>
      <c r="H339" s="214"/>
      <c r="I339" s="130"/>
      <c r="J339" s="215"/>
      <c r="K339"/>
      <c r="L339" s="131" t="str">
        <f ca="1">_xlfn.XLOOKUP(L325,RenewalPlans!B:B,RenewalPlans!AM:AM,"NA",0,1)</f>
        <v>NA</v>
      </c>
      <c r="M339" s="214"/>
      <c r="N339" s="214"/>
      <c r="O339" s="214"/>
      <c r="P339" s="130"/>
      <c r="Q339" s="214"/>
      <c r="R339" s="215"/>
      <c r="T339" s="131" t="str">
        <f>_xlfn.XLOOKUP(T325,RenewalPlans!B:B,RenewalPlans!AM:AM,"NA",0,1)</f>
        <v>NA</v>
      </c>
      <c r="U339" s="214"/>
      <c r="V339" s="214"/>
      <c r="W339" s="214"/>
      <c r="X339" s="130"/>
      <c r="Y339" s="214"/>
      <c r="Z339" s="215"/>
    </row>
    <row r="340" spans="1:26" ht="18" customHeight="1" hidden="1">
      <c r="A340" s="140"/>
      <c r="B340" s="140"/>
      <c r="D340" s="198" t="s">
        <v>262</v>
      </c>
      <c r="E340" s="130" t="str">
        <f>_xlfn.XLOOKUP(E325,CurrentPlans!B:B,CurrentPlans!AM:AM,"NA",0,1)</f>
        <v>NA</v>
      </c>
      <c r="F340" s="200"/>
      <c r="G340" s="200"/>
      <c r="H340" s="200"/>
      <c r="I340" s="130"/>
      <c r="J340" s="201"/>
      <c r="K340"/>
      <c r="L340" s="131" t="str">
        <f ca="1">_xlfn.XLOOKUP(L325,RenewalPlans!B:B,RenewalPlans!AP:AP,"NA",0,1)</f>
        <v>NA</v>
      </c>
      <c r="M340" s="200"/>
      <c r="N340" s="200"/>
      <c r="O340" s="200"/>
      <c r="P340" s="130"/>
      <c r="Q340" s="200"/>
      <c r="R340" s="201"/>
      <c r="T340" s="131" t="str">
        <f>_xlfn.XLOOKUP(T325,RenewalPlans!B:B,RenewalPlans!AP:AP,"NA",0,1)</f>
        <v>NA</v>
      </c>
      <c r="U340" s="200"/>
      <c r="V340" s="200"/>
      <c r="W340" s="200"/>
      <c r="X340" s="130"/>
      <c r="Y340" s="200"/>
      <c r="Z340" s="201"/>
    </row>
    <row r="341" spans="1:26" ht="18" customHeight="1" hidden="1">
      <c r="A341" s="140"/>
      <c r="B341" s="140"/>
      <c r="D341" s="198" t="s">
        <v>263</v>
      </c>
      <c r="E341" s="130" t="str">
        <f>_xlfn.XLOOKUP(E325,CurrentPlans!B:B,CurrentPlans!AI:AI,"NA",0,1)</f>
        <v>NA</v>
      </c>
      <c r="F341" s="200"/>
      <c r="G341" s="200"/>
      <c r="H341" s="200"/>
      <c r="I341" s="130"/>
      <c r="J341" s="201"/>
      <c r="K341"/>
      <c r="L341" s="131" t="str">
        <f ca="1">_xlfn.XLOOKUP(L325,RenewalPlans!B:B,RenewalPlans!AL:AL,"NA",0,1)</f>
        <v>NA</v>
      </c>
      <c r="M341" s="200"/>
      <c r="N341" s="200"/>
      <c r="O341" s="200"/>
      <c r="P341" s="130"/>
      <c r="Q341" s="200"/>
      <c r="R341" s="201"/>
      <c r="T341" s="131" t="str">
        <f>_xlfn.XLOOKUP(T325,RenewalPlans!B:B,RenewalPlans!AL:AL,"NA",0,1)</f>
        <v>NA</v>
      </c>
      <c r="U341" s="200"/>
      <c r="V341" s="200"/>
      <c r="W341" s="200"/>
      <c r="X341" s="130"/>
      <c r="Y341" s="200"/>
      <c r="Z341" s="201"/>
    </row>
    <row r="342" spans="1:26" ht="18" customHeight="1" hidden="1">
      <c r="A342" s="140"/>
      <c r="B342" s="140"/>
      <c r="D342" s="198" t="s">
        <v>264</v>
      </c>
      <c r="E342" s="208" t="str">
        <f>_xlfn.XLOOKUP(E325,CurrentPlans!B:B,CurrentPlans!AN:AN,"NA",0,1)</f>
        <v>NA</v>
      </c>
      <c r="F342" s="200"/>
      <c r="G342" s="200"/>
      <c r="H342" s="200"/>
      <c r="I342" s="208"/>
      <c r="J342" s="201"/>
      <c r="K342"/>
      <c r="L342" s="209" t="str">
        <f ca="1">_xlfn.XLOOKUP(L325,RenewalPlans!B:B,RenewalPlans!AQ:AQ,"NA",0,1)</f>
        <v>NA</v>
      </c>
      <c r="M342" s="200"/>
      <c r="N342" s="200"/>
      <c r="O342" s="200"/>
      <c r="P342" s="208"/>
      <c r="Q342" s="200"/>
      <c r="R342" s="201"/>
      <c r="T342" s="209" t="str">
        <f>_xlfn.XLOOKUP(T325,RenewalPlans!B:B,RenewalPlans!AQ:AQ,"NA",0,1)</f>
        <v>NA</v>
      </c>
      <c r="U342" s="200"/>
      <c r="V342" s="200"/>
      <c r="W342" s="200"/>
      <c r="X342" s="208"/>
      <c r="Y342" s="200"/>
      <c r="Z342" s="201"/>
    </row>
    <row r="343" spans="1:26" ht="18" customHeight="1" hidden="1">
      <c r="A343" s="140"/>
      <c r="B343" s="140"/>
      <c r="D343" s="210"/>
      <c r="E343" s="211"/>
      <c r="F343" s="211"/>
      <c r="G343" s="211"/>
      <c r="H343" s="211"/>
      <c r="I343" s="211"/>
      <c r="J343" s="212"/>
      <c r="K343"/>
      <c r="L343" s="210"/>
      <c r="M343" s="211"/>
      <c r="N343" s="211"/>
      <c r="O343" s="211"/>
      <c r="P343" s="211"/>
      <c r="Q343" s="211"/>
      <c r="R343" s="212"/>
      <c r="T343" s="210"/>
      <c r="U343" s="211"/>
      <c r="V343" s="211"/>
      <c r="W343" s="211"/>
      <c r="X343" s="211"/>
      <c r="Y343" s="211"/>
      <c r="Z343" s="212"/>
    </row>
    <row r="344" spans="1:26" ht="18" customHeight="1" hidden="1">
      <c r="A344" s="140"/>
      <c r="B344" s="140"/>
      <c r="D344" s="185" t="s">
        <v>265</v>
      </c>
      <c r="E344" s="186"/>
      <c r="F344" s="186"/>
      <c r="G344" s="186"/>
      <c r="H344" s="186"/>
      <c r="I344" s="186"/>
      <c r="J344" s="187"/>
      <c r="K344"/>
      <c r="L344" s="188"/>
      <c r="M344" s="186"/>
      <c r="N344" s="186"/>
      <c r="O344" s="186"/>
      <c r="P344" s="186"/>
      <c r="Q344" s="186"/>
      <c r="R344" s="187"/>
      <c r="T344" s="188"/>
      <c r="U344" s="186"/>
      <c r="V344" s="186"/>
      <c r="W344" s="186"/>
      <c r="X344" s="186"/>
      <c r="Y344" s="186"/>
      <c r="Z344" s="187"/>
    </row>
    <row r="345" spans="1:26" ht="18" customHeight="1" hidden="1">
      <c r="A345" s="140"/>
      <c r="B345" s="140"/>
      <c r="D345" s="132" t="s">
        <v>266</v>
      </c>
      <c r="E345" s="133" t="str">
        <f>_xlfn.XLOOKUP(E325,CurrentPlans!B:B,CurrentPlans!AE:AE,"NA",0,1)</f>
        <v>NA</v>
      </c>
      <c r="F345" s="134"/>
      <c r="G345" s="134"/>
      <c r="H345" s="134"/>
      <c r="I345" s="133"/>
      <c r="J345" s="135"/>
      <c r="K345"/>
      <c r="L345" s="136" t="str">
        <f ca="1">_xlfn.XLOOKUP(L325,RenewalPlans!B:B,RenewalPlans!AH:AH,"NA",0,1)</f>
        <v>NA</v>
      </c>
      <c r="M345" s="134"/>
      <c r="N345" s="134"/>
      <c r="O345" s="134"/>
      <c r="P345" s="133"/>
      <c r="Q345" s="134"/>
      <c r="R345" s="135"/>
      <c r="T345" s="136" t="str">
        <f>_xlfn.XLOOKUP(T325,RenewalPlans!B:B,RenewalPlans!AH:AH,"NA",0,1)</f>
        <v>NA</v>
      </c>
      <c r="U345" s="134"/>
      <c r="V345" s="134"/>
      <c r="W345" s="134"/>
      <c r="X345" s="133"/>
      <c r="Y345" s="134"/>
      <c r="Z345" s="135"/>
    </row>
    <row r="346" spans="1:26" ht="18" customHeight="1" hidden="1">
      <c r="A346" s="140"/>
      <c r="B346" s="140"/>
      <c r="D346" s="120" t="s">
        <v>267</v>
      </c>
      <c r="E346" s="130" t="str">
        <f>_xlfn.XLOOKUP(E325,CurrentPlans!B:B,CurrentPlans!AF:AF,"NA",0,1)</f>
        <v>NA</v>
      </c>
      <c r="F346" s="122"/>
      <c r="G346" s="122"/>
      <c r="H346" s="122"/>
      <c r="I346" s="130"/>
      <c r="J346" s="123"/>
      <c r="K346"/>
      <c r="L346" s="131" t="str">
        <f ca="1">_xlfn.XLOOKUP(L325,RenewalPlans!B:B,RenewalPlans!AI:AI,"NA",0,1)</f>
        <v>NA</v>
      </c>
      <c r="M346" s="122"/>
      <c r="N346" s="122"/>
      <c r="O346" s="122"/>
      <c r="P346" s="130"/>
      <c r="Q346" s="122"/>
      <c r="R346" s="123"/>
      <c r="T346" s="131" t="str">
        <f>_xlfn.XLOOKUP(T325,RenewalPlans!B:B,RenewalPlans!AI:AI,"NA",0,1)</f>
        <v>NA</v>
      </c>
      <c r="U346" s="122"/>
      <c r="V346" s="122"/>
      <c r="W346" s="122"/>
      <c r="X346" s="130"/>
      <c r="Y346" s="122"/>
      <c r="Z346" s="123"/>
    </row>
    <row r="347" spans="1:26" ht="18" customHeight="1" hidden="1">
      <c r="A347" s="140"/>
      <c r="B347" s="140"/>
      <c r="D347" s="198" t="s">
        <v>268</v>
      </c>
      <c r="E347" s="130" t="str">
        <f>_xlfn.XLOOKUP(E325,CurrentPlans!B:B,CurrentPlans!AH:AH,"NA",0,1)</f>
        <v>NA</v>
      </c>
      <c r="F347" s="200"/>
      <c r="G347" s="200"/>
      <c r="H347" s="200"/>
      <c r="I347" s="130"/>
      <c r="J347" s="201"/>
      <c r="K347"/>
      <c r="L347" s="131" t="str">
        <f ca="1">_xlfn.XLOOKUP(L325,RenewalPlans!B:B,RenewalPlans!AK:AK,"NA",0,1)</f>
        <v>NA</v>
      </c>
      <c r="M347" s="200"/>
      <c r="N347" s="200"/>
      <c r="O347" s="200"/>
      <c r="P347" s="130"/>
      <c r="Q347" s="200"/>
      <c r="R347" s="201"/>
      <c r="T347" s="131" t="str">
        <f>_xlfn.XLOOKUP(T325,RenewalPlans!B:B,RenewalPlans!AK:AK,"NA",0,1)</f>
        <v>NA</v>
      </c>
      <c r="U347" s="200"/>
      <c r="V347" s="200"/>
      <c r="W347" s="200"/>
      <c r="X347" s="130"/>
      <c r="Y347" s="200"/>
      <c r="Z347" s="201"/>
    </row>
    <row r="348" spans="1:26" ht="18" customHeight="1" hidden="1">
      <c r="A348" s="140"/>
      <c r="B348" s="140"/>
      <c r="D348" s="198" t="s">
        <v>269</v>
      </c>
      <c r="E348" s="130" t="str">
        <f>_xlfn.XLOOKUP(E325,CurrentPlans!B:B,CurrentPlans!AG:AG,"NA",0,1)</f>
        <v>NA</v>
      </c>
      <c r="F348" s="200"/>
      <c r="G348" s="200"/>
      <c r="H348" s="200"/>
      <c r="I348" s="130"/>
      <c r="J348" s="201"/>
      <c r="K348"/>
      <c r="L348" s="131" t="str">
        <f ca="1">_xlfn.XLOOKUP(L325,RenewalPlans!B:B,RenewalPlans!AJ:AJ,"NA",0,1)</f>
        <v>NA</v>
      </c>
      <c r="M348" s="200"/>
      <c r="N348" s="200"/>
      <c r="O348" s="200"/>
      <c r="P348" s="130"/>
      <c r="Q348" s="200"/>
      <c r="R348" s="201"/>
      <c r="T348" s="131" t="str">
        <f>_xlfn.XLOOKUP(T325,RenewalPlans!B:B,RenewalPlans!AJ:AJ,"NA",0,1)</f>
        <v>NA</v>
      </c>
      <c r="U348" s="200"/>
      <c r="V348" s="200"/>
      <c r="W348" s="200"/>
      <c r="X348" s="130"/>
      <c r="Y348" s="200"/>
      <c r="Z348" s="201"/>
    </row>
    <row r="349" spans="1:26" ht="18" customHeight="1" hidden="1">
      <c r="A349" s="140"/>
      <c r="B349" s="140"/>
      <c r="D349" s="213" t="s">
        <v>270</v>
      </c>
      <c r="E349" s="216" t="str">
        <f>_xlfn.XLOOKUP(E325,CurrentPlans!B:B,CurrentPlans!AU:AU,"NA",0,1)</f>
        <v>NA</v>
      </c>
      <c r="F349" s="214"/>
      <c r="G349" s="214"/>
      <c r="H349" s="214"/>
      <c r="I349" s="217"/>
      <c r="J349" s="215"/>
      <c r="K349"/>
      <c r="L349" s="218" t="str">
        <f ca="1">_xlfn.XLOOKUP(L325,RenewalPlans!B:B,RenewalPlans!AX:AX,"NA",0,1)</f>
        <v>NA</v>
      </c>
      <c r="M349" s="214"/>
      <c r="N349" s="214"/>
      <c r="O349" s="214"/>
      <c r="P349" s="217"/>
      <c r="Q349" s="214"/>
      <c r="R349" s="215"/>
      <c r="T349" s="218" t="str">
        <f>_xlfn.XLOOKUP(T325,RenewalPlans!B:B,RenewalPlans!AX:AX,"NA",0,1)</f>
        <v>NA</v>
      </c>
      <c r="U349" s="214"/>
      <c r="V349" s="214"/>
      <c r="W349" s="214"/>
      <c r="X349" s="217"/>
      <c r="Y349" s="214"/>
      <c r="Z349" s="215"/>
    </row>
    <row r="350" spans="1:26" ht="18" customHeight="1" hidden="1">
      <c r="A350" s="140"/>
      <c r="B350" s="140"/>
      <c r="D350" s="213" t="s">
        <v>271</v>
      </c>
      <c r="E350" s="216" t="str">
        <f>_xlfn.XLOOKUP(E325,CurrentPlans!B:B,CurrentPlans!AT:AT,"NA",0,1)</f>
        <v>NA</v>
      </c>
      <c r="F350" s="214"/>
      <c r="G350" s="214"/>
      <c r="H350" s="214"/>
      <c r="I350" s="217"/>
      <c r="J350" s="215"/>
      <c r="K350"/>
      <c r="L350" s="218" t="str">
        <f ca="1">_xlfn.XLOOKUP(L325,RenewalPlans!B:B,RenewalPlans!AW:AW,"NA",0,1)</f>
        <v>NA</v>
      </c>
      <c r="M350" s="214"/>
      <c r="N350" s="214"/>
      <c r="O350" s="214"/>
      <c r="P350" s="217"/>
      <c r="Q350" s="214"/>
      <c r="R350" s="215"/>
      <c r="T350" s="218" t="str">
        <f>_xlfn.XLOOKUP(T325,RenewalPlans!B:B,RenewalPlans!AW:AW,"NA",0,1)</f>
        <v>NA</v>
      </c>
      <c r="U350" s="214"/>
      <c r="V350" s="214"/>
      <c r="W350" s="214"/>
      <c r="X350" s="217"/>
      <c r="Y350" s="214"/>
      <c r="Z350" s="215"/>
    </row>
    <row r="351" spans="1:26" ht="18" customHeight="1" hidden="1">
      <c r="A351" s="140"/>
      <c r="B351" s="140"/>
      <c r="D351" s="198" t="s">
        <v>272</v>
      </c>
      <c r="E351" s="130" t="str">
        <f>_xlfn.XLOOKUP(E325,CurrentPlans!B:B,CurrentPlans!AD:AD,"NA",0,1)</f>
        <v>NA</v>
      </c>
      <c r="F351" s="200"/>
      <c r="G351" s="200"/>
      <c r="H351" s="200"/>
      <c r="I351" s="130"/>
      <c r="J351" s="201"/>
      <c r="K351"/>
      <c r="L351" s="131" t="str">
        <f ca="1">_xlfn.XLOOKUP(L325,RenewalPlans!B:B,RenewalPlans!AG:AG,"NA",0,1)</f>
        <v>NA</v>
      </c>
      <c r="M351" s="200"/>
      <c r="N351" s="200"/>
      <c r="O351" s="200"/>
      <c r="P351" s="130"/>
      <c r="Q351" s="200"/>
      <c r="R351" s="201"/>
      <c r="T351" s="131" t="str">
        <f>_xlfn.XLOOKUP(T325,RenewalPlans!B:B,RenewalPlans!AG:AG,"NA",0,1)</f>
        <v>NA</v>
      </c>
      <c r="U351" s="200"/>
      <c r="V351" s="200"/>
      <c r="W351" s="200"/>
      <c r="X351" s="130"/>
      <c r="Y351" s="200"/>
      <c r="Z351" s="201"/>
    </row>
    <row r="352" spans="1:26" ht="18" customHeight="1" hidden="1">
      <c r="A352" s="140"/>
      <c r="B352" s="140"/>
      <c r="D352" s="198" t="s">
        <v>273</v>
      </c>
      <c r="E352" s="200"/>
      <c r="F352" s="200"/>
      <c r="G352" s="200"/>
      <c r="H352" s="200"/>
      <c r="I352" s="200"/>
      <c r="J352" s="201"/>
      <c r="K352"/>
      <c r="L352" s="198"/>
      <c r="M352" s="200"/>
      <c r="N352" s="200"/>
      <c r="O352" s="200"/>
      <c r="P352" s="200"/>
      <c r="Q352" s="200"/>
      <c r="R352" s="201"/>
      <c r="T352" s="198"/>
      <c r="U352" s="200"/>
      <c r="V352" s="200"/>
      <c r="W352" s="200"/>
      <c r="X352" s="200"/>
      <c r="Y352" s="200"/>
      <c r="Z352" s="201"/>
    </row>
    <row r="353" spans="1:26" ht="18" customHeight="1" hidden="1">
      <c r="A353" s="140"/>
      <c r="B353" s="140"/>
      <c r="D353" s="210"/>
      <c r="E353" s="211"/>
      <c r="F353" s="211"/>
      <c r="G353" s="211"/>
      <c r="H353" s="211"/>
      <c r="I353" s="211"/>
      <c r="J353" s="212"/>
      <c r="K353"/>
      <c r="L353" s="210"/>
      <c r="M353" s="211"/>
      <c r="N353" s="211"/>
      <c r="O353" s="211"/>
      <c r="P353" s="211"/>
      <c r="Q353" s="211"/>
      <c r="R353" s="212"/>
      <c r="T353" s="210"/>
      <c r="U353" s="211"/>
      <c r="V353" s="211"/>
      <c r="W353" s="211"/>
      <c r="X353" s="211"/>
      <c r="Y353" s="211"/>
      <c r="Z353" s="212"/>
    </row>
    <row r="354" spans="1:26" ht="18" customHeight="1" hidden="1">
      <c r="A354" s="140"/>
      <c r="B354" s="140"/>
      <c r="D354" s="219" t="s">
        <v>274</v>
      </c>
      <c r="E354" s="220"/>
      <c r="F354" s="220"/>
      <c r="G354" s="220"/>
      <c r="H354" s="220"/>
      <c r="I354" s="220"/>
      <c r="J354" s="221"/>
      <c r="K354"/>
      <c r="L354" s="222"/>
      <c r="M354" s="220"/>
      <c r="N354" s="220"/>
      <c r="O354" s="220"/>
      <c r="P354" s="220"/>
      <c r="Q354" s="220"/>
      <c r="R354" s="221"/>
      <c r="T354" s="222"/>
      <c r="U354" s="220"/>
      <c r="V354" s="220"/>
      <c r="W354" s="220"/>
      <c r="X354" s="220"/>
      <c r="Y354" s="220"/>
      <c r="Z354" s="221"/>
    </row>
    <row r="355" spans="1:26" ht="18" customHeight="1" hidden="1">
      <c r="A355" s="140"/>
      <c r="B355" s="140"/>
      <c r="D355" s="223" t="s">
        <v>250</v>
      </c>
      <c r="E355" s="205"/>
      <c r="F355" s="205"/>
      <c r="G355" s="205"/>
      <c r="H355" s="205"/>
      <c r="I355" s="205"/>
      <c r="J355" s="206"/>
      <c r="K355"/>
      <c r="L355" s="203"/>
      <c r="M355" s="205"/>
      <c r="N355" s="205"/>
      <c r="O355" s="205"/>
      <c r="P355" s="205"/>
      <c r="Q355" s="205"/>
      <c r="R355" s="206"/>
      <c r="T355" s="203"/>
      <c r="U355" s="205"/>
      <c r="V355" s="205"/>
      <c r="W355" s="205"/>
      <c r="X355" s="205"/>
      <c r="Y355" s="205"/>
      <c r="Z355" s="206"/>
    </row>
    <row r="356" spans="1:26" ht="18" customHeight="1" hidden="1">
      <c r="A356" s="140"/>
      <c r="B356" s="140"/>
      <c r="D356" s="198" t="s">
        <v>251</v>
      </c>
      <c r="E356" s="130" t="str">
        <f>_xlfn.XLOOKUP(E325,CurrentPlans!B:B,CurrentPlans!AP:AP,"NA",0,1)</f>
        <v>NA</v>
      </c>
      <c r="F356" s="200"/>
      <c r="G356" s="200"/>
      <c r="H356" s="200"/>
      <c r="I356" s="130"/>
      <c r="J356" s="201"/>
      <c r="K356"/>
      <c r="L356" s="131" t="str">
        <f ca="1">_xlfn.XLOOKUP(L325,RenewalPlans!B:B,RenewalPlans!AS:AS,"NA",0,1)</f>
        <v>NA</v>
      </c>
      <c r="M356" s="200"/>
      <c r="N356" s="200"/>
      <c r="O356" s="200"/>
      <c r="P356" s="130"/>
      <c r="Q356" s="200"/>
      <c r="R356" s="201"/>
      <c r="T356" s="131" t="str">
        <f>_xlfn.XLOOKUP(T325,RenewalPlans!B:B,RenewalPlans!AS:AS,"NA",0,1)</f>
        <v>NA</v>
      </c>
      <c r="U356" s="200"/>
      <c r="V356" s="200"/>
      <c r="W356" s="200"/>
      <c r="X356" s="130"/>
      <c r="Y356" s="200"/>
      <c r="Z356" s="201"/>
    </row>
    <row r="357" spans="1:26" ht="18" customHeight="1" hidden="1">
      <c r="A357" s="140"/>
      <c r="B357" s="140"/>
      <c r="D357" s="198" t="s">
        <v>252</v>
      </c>
      <c r="E357" s="130" t="str">
        <f>_xlfn.XLOOKUP(E325,CurrentPlans!B:B,CurrentPlans!AQ:AQ,"NA",0,1)</f>
        <v>NA</v>
      </c>
      <c r="F357" s="200"/>
      <c r="G357" s="200"/>
      <c r="H357" s="200"/>
      <c r="I357" s="130"/>
      <c r="J357" s="201"/>
      <c r="K357"/>
      <c r="L357" s="131" t="str">
        <f ca="1">_xlfn.XLOOKUP(L325,RenewalPlans!B:B,RenewalPlans!AT:AT,"NA",0,1)</f>
        <v>NA</v>
      </c>
      <c r="M357" s="200"/>
      <c r="N357" s="200"/>
      <c r="O357" s="200"/>
      <c r="P357" s="130"/>
      <c r="Q357" s="200"/>
      <c r="R357" s="201"/>
      <c r="T357" s="131" t="str">
        <f>_xlfn.XLOOKUP(T325,RenewalPlans!B:B,RenewalPlans!AT:AT,"NA",0,1)</f>
        <v>NA</v>
      </c>
      <c r="U357" s="200"/>
      <c r="V357" s="200"/>
      <c r="W357" s="200"/>
      <c r="X357" s="130"/>
      <c r="Y357" s="200"/>
      <c r="Z357" s="201"/>
    </row>
    <row r="358" spans="1:26" ht="18" customHeight="1" hidden="1">
      <c r="A358" s="140"/>
      <c r="B358" s="140"/>
      <c r="D358" s="120" t="s">
        <v>253</v>
      </c>
      <c r="E358" s="133" t="str">
        <f>_xlfn.XLOOKUP(E325,CurrentPlans!B:B,CurrentPlans!AO:AO,"NA",0,1)</f>
        <v>NA</v>
      </c>
      <c r="F358" s="122"/>
      <c r="G358" s="122"/>
      <c r="H358" s="122"/>
      <c r="I358" s="133"/>
      <c r="J358" s="123"/>
      <c r="K358"/>
      <c r="L358" s="136" t="str">
        <f ca="1">_xlfn.XLOOKUP(L325,RenewalPlans!B:B,RenewalPlans!AR:AR,"NA",0,1)</f>
        <v>NA</v>
      </c>
      <c r="M358" s="122"/>
      <c r="N358" s="122"/>
      <c r="O358" s="122"/>
      <c r="P358" s="133"/>
      <c r="Q358" s="122"/>
      <c r="R358" s="123"/>
      <c r="T358" s="136" t="str">
        <f>_xlfn.XLOOKUP(T325,RenewalPlans!B:B,RenewalPlans!AR:AR,"NA",0,1)</f>
        <v>NA</v>
      </c>
      <c r="U358" s="122"/>
      <c r="V358" s="122"/>
      <c r="W358" s="122"/>
      <c r="X358" s="133"/>
      <c r="Y358" s="122"/>
      <c r="Z358" s="123"/>
    </row>
    <row r="359" spans="1:26" ht="18" customHeight="1" hidden="1">
      <c r="A359" s="140"/>
      <c r="B359" s="140"/>
      <c r="D359" s="223" t="s">
        <v>254</v>
      </c>
      <c r="E359" s="205"/>
      <c r="F359" s="205"/>
      <c r="G359" s="205"/>
      <c r="H359" s="205"/>
      <c r="I359" s="205"/>
      <c r="J359" s="206"/>
      <c r="K359"/>
      <c r="L359" s="203"/>
      <c r="M359" s="205"/>
      <c r="N359" s="205"/>
      <c r="O359" s="205"/>
      <c r="P359" s="205"/>
      <c r="Q359" s="205"/>
      <c r="R359" s="206"/>
      <c r="T359" s="203"/>
      <c r="U359" s="205"/>
      <c r="V359" s="205"/>
      <c r="W359" s="205"/>
      <c r="X359" s="205"/>
      <c r="Y359" s="205"/>
      <c r="Z359" s="206"/>
    </row>
    <row r="360" spans="1:26" ht="18" customHeight="1" hidden="1">
      <c r="A360" s="140"/>
      <c r="B360" s="140"/>
      <c r="D360" s="198" t="s">
        <v>255</v>
      </c>
      <c r="E360" s="130" t="str">
        <f>_xlfn.XLOOKUP(E325,CurrentPlans!B:B,CurrentPlans!AR:AR,"NA",0,1)</f>
        <v>NA</v>
      </c>
      <c r="F360" s="200"/>
      <c r="G360" s="200"/>
      <c r="H360" s="200"/>
      <c r="I360" s="130"/>
      <c r="J360" s="201"/>
      <c r="K360"/>
      <c r="L360" s="131" t="str">
        <f ca="1">_xlfn.XLOOKUP(L325,RenewalPlans!B:B,RenewalPlans!AU:AU,"NA",0,1)</f>
        <v>NA</v>
      </c>
      <c r="M360" s="200"/>
      <c r="N360" s="200"/>
      <c r="O360" s="200"/>
      <c r="P360" s="130"/>
      <c r="Q360" s="200"/>
      <c r="R360" s="201"/>
      <c r="T360" s="131" t="str">
        <f>_xlfn.XLOOKUP(T325,RenewalPlans!B:B,RenewalPlans!AU:AU,"NA",0,1)</f>
        <v>NA</v>
      </c>
      <c r="U360" s="200"/>
      <c r="V360" s="200"/>
      <c r="W360" s="200"/>
      <c r="X360" s="130"/>
      <c r="Y360" s="200"/>
      <c r="Z360" s="201"/>
    </row>
    <row r="361" spans="1:26" ht="18" customHeight="1" hidden="1" thickBot="1">
      <c r="A361" s="140"/>
      <c r="B361" s="140"/>
      <c r="D361" s="224" t="s">
        <v>256</v>
      </c>
      <c r="E361" s="137" t="str">
        <f>_xlfn.XLOOKUP(E325,CurrentPlans!B:B,CurrentPlans!AS:AS,"NA",0,1)</f>
        <v>NA</v>
      </c>
      <c r="F361" s="225"/>
      <c r="G361" s="225"/>
      <c r="H361" s="225"/>
      <c r="I361" s="137"/>
      <c r="J361" s="226"/>
      <c r="K361"/>
      <c r="L361" s="138" t="str">
        <f ca="1">_xlfn.XLOOKUP(L325,RenewalPlans!B:B,RenewalPlans!AV:AV,"NA",0,1)</f>
        <v>NA</v>
      </c>
      <c r="M361" s="225"/>
      <c r="N361" s="225"/>
      <c r="O361" s="225"/>
      <c r="P361" s="137"/>
      <c r="Q361" s="225"/>
      <c r="R361" s="226"/>
      <c r="T361" s="138" t="str">
        <f>_xlfn.XLOOKUP(T325,RenewalPlans!B:B,RenewalPlans!AV:AV,"NA",0,1)</f>
        <v>NA</v>
      </c>
      <c r="U361" s="225"/>
      <c r="V361" s="225"/>
      <c r="W361" s="225"/>
      <c r="X361" s="137"/>
      <c r="Y361" s="225"/>
      <c r="Z361" s="226"/>
    </row>
    <row r="362" spans="1:26" ht="18" customHeight="1">
      <c r="A362" s="140"/>
      <c r="B362" s="140"/>
      <c r="D362" s="227"/>
      <c r="E362" s="176"/>
      <c r="F362" s="178"/>
      <c r="G362" s="179"/>
      <c r="H362" s="178"/>
      <c r="I362" s="176"/>
      <c r="J362" s="228"/>
      <c r="K362"/>
      <c r="L362" s="178"/>
      <c r="M362" s="176"/>
      <c r="N362" s="139"/>
      <c r="O362" s="178"/>
      <c r="P362" s="178"/>
      <c r="Q362" s="178"/>
      <c r="R362" s="228"/>
      <c r="T362" s="178"/>
      <c r="U362" s="176"/>
      <c r="V362" s="139"/>
      <c r="W362" s="178"/>
      <c r="X362" s="178"/>
      <c r="Y362" s="178"/>
      <c r="Z362" s="228"/>
    </row>
    <row r="363" spans="1:26" ht="5.25" customHeight="1" thickBot="1">
      <c r="A363" s="140"/>
      <c r="B363" s="140"/>
      <c r="D363" s="229"/>
      <c r="E363" s="229"/>
      <c r="F363" s="230"/>
      <c r="G363" s="231"/>
      <c r="H363" s="232"/>
      <c r="I363" s="233"/>
      <c r="J363" s="233"/>
      <c r="K363"/>
      <c r="L363" s="233"/>
      <c r="M363" s="233"/>
      <c r="N363" s="233"/>
      <c r="O363" s="233"/>
      <c r="P363" s="233"/>
      <c r="Q363" s="233"/>
      <c r="R363" s="233"/>
      <c r="T363" s="233"/>
      <c r="U363" s="233"/>
      <c r="V363" s="233"/>
      <c r="W363" s="233"/>
      <c r="X363" s="233"/>
      <c r="Y363" s="233"/>
      <c r="Z363" s="233"/>
    </row>
    <row r="364" spans="1:26" ht="50.15" customHeight="1">
      <c r="A364" s="140">
        <v>8</v>
      </c>
      <c r="B364" s="140" t="str">
        <f>IF(A364&gt;Class6_CurrentHealthCount,"DELETE",Class6_CurrentHealthStart+A364)</f>
        <v>DELETE</v>
      </c>
      <c r="C364" s="164" t="s">
        <v>281</v>
      </c>
      <c r="D364" s="273" t="str">
        <f>IF(B364="Delete","",VLOOKUP(F364,BEGIN_CURRENT_HEALTH:END_CURRENT_HEALTH,3,FALSE))</f>
        <v/>
      </c>
      <c r="E364" s="165"/>
      <c r="F364" s="272" t="str" cm="1">
        <f t="array" ca="1" aca="1" ref="F364">IF(B364="Delete","",INDIRECT("CurrentPlans!A"&amp;B364,TRUE))</f>
        <v/>
      </c>
      <c r="G364" s="166"/>
      <c r="H364" s="167"/>
      <c r="I364" s="168"/>
      <c r="J364" s="169"/>
      <c r="K364"/>
      <c r="L364" s="274" t="str">
        <f ca="1">_xlfn.IFNA(VLOOKUP(F364,BEGIN_RENEWEDFROM_HEALTH:ROW_RenewHealth_PlanID,3,FALSE),"SELECT PLAN")</f>
        <v>SELECT PLAN</v>
      </c>
      <c r="M364" s="170"/>
      <c r="N364" s="274" t="s">
        <v>237</v>
      </c>
      <c r="O364" s="171"/>
      <c r="P364" s="171"/>
      <c r="Q364" s="171"/>
      <c r="R364" s="169"/>
      <c r="T364" s="274" t="s">
        <v>38</v>
      </c>
      <c r="U364" s="170"/>
      <c r="V364" s="274" t="s">
        <v>237</v>
      </c>
      <c r="W364" s="171"/>
      <c r="X364" s="171"/>
      <c r="Y364" s="171"/>
      <c r="Z364" s="169"/>
    </row>
    <row r="365" spans="1:26" ht="18.75" customHeight="1">
      <c r="A365" s="140"/>
      <c r="B365" s="140"/>
      <c r="D365" s="172" t="s">
        <v>238</v>
      </c>
      <c r="E365" s="407" t="str">
        <f ca="1">_xlfn.IFNA(VLOOKUP(F364,BEGIN_CURRENT_HEALTH:END_CURRENT_HEALTH,CURRENT_COL_EO_count,FALSE),"")</f>
        <v/>
      </c>
      <c r="F365" s="408" t="str">
        <f ca="1">_xlfn.IFNA(VLOOKUP(F364,BEGIN_CURRENT_HEALTH:END_CURRENT_HEALTH,CURRENT_COL_EO,FALSE),"")</f>
        <v/>
      </c>
      <c r="G365" s="468" t="str">
        <f ca="1" t="shared" si="35" ref="G365:G368">IF(F365="","",H365/F365)</f>
        <v/>
      </c>
      <c r="H365" s="408" t="str">
        <f ca="1">_xlfn.IFNA(VLOOKUP(F364,BEGIN_CURRENT_HEALTH:END_CURRENT_HEALTH,CURRENT_COL_EOContrib,FALSE),"")</f>
        <v/>
      </c>
      <c r="I365" s="409" t="str">
        <f ca="1">IFERROR(F365-H365,"")</f>
        <v/>
      </c>
      <c r="J365" s="410" t="str">
        <f ca="1">IF(F365="","",H365*E365)</f>
        <v/>
      </c>
      <c r="K365" s="411"/>
      <c r="L365" s="408" t="str" cm="1">
        <f t="array" ca="1" aca="1" ref="L365">_xlfn.IFNA(VLOOKUP(INDIRECT("L"&amp;ROW()-1)&amp;"_"&amp;$D$12,BEGIN_RENEW_HEALTH:END_RENEW_HEALTH,RENEW_COL_EO,FALSE),"")</f>
        <v/>
      </c>
      <c r="M365" s="412" t="str">
        <f ca="1">IF(E365="","",E365)</f>
        <v/>
      </c>
      <c r="N365" s="413"/>
      <c r="O365" s="414"/>
      <c r="P365" s="415" t="str">
        <f>IFERROR(IF($N364="Keep Contribution Same",H365,IF($N364="Enter Percentages",IF(N365="","",N365*L365),IF($N364="Keep Percentage Same",IF(G365="","",G365*L365),IF($N364="Enter Dollar Amount",IF(O365="","",O365),"")))),"")</f>
        <v/>
      </c>
      <c r="Q365" s="408" t="str">
        <f ca="1">IFERROR(L365-P365,"")</f>
        <v/>
      </c>
      <c r="R365" s="410" t="str">
        <f>IFERROR(IF(P365="","",M365*P365),"")</f>
        <v/>
      </c>
      <c r="S365" s="411"/>
      <c r="T365" s="408" t="str" cm="1">
        <f t="array" ca="1" aca="1" ref="T365">_xlfn.IFNA(VLOOKUP(INDIRECT("T"&amp;ROW()-1)&amp;"_"&amp;$D$12,BEGIN_RENEW_HEALTH:END_RENEW_HEALTH,RENEW_COL_EO,FALSE),"")</f>
        <v/>
      </c>
      <c r="U365" s="412" t="str">
        <f ca="1">IF(E365="","",E365)</f>
        <v/>
      </c>
      <c r="V365" s="413"/>
      <c r="W365" s="414"/>
      <c r="X365" s="415" t="str">
        <f>IFERROR(IF($V364="Keep Contribution Same",H365,IF($V364="Enter Percentages",IF(V365="","",V365*T365),IF($V364="Keep Percentage Same",IF(G365="","",G365*T365),IF($V364="Enter Dollar Amount",IF(W365="","",W365),"")))),"")</f>
        <v/>
      </c>
      <c r="Y365" s="408" t="str">
        <f ca="1">IFERROR(T365-X365,"")</f>
        <v/>
      </c>
      <c r="Z365" s="410" t="str">
        <f>IFERROR(IF(X365="","",U365*X365),"")</f>
        <v/>
      </c>
    </row>
    <row r="366" spans="1:26" ht="18.75" customHeight="1">
      <c r="A366" s="140"/>
      <c r="B366" s="140"/>
      <c r="D366" s="172" t="s">
        <v>239</v>
      </c>
      <c r="E366" s="407" t="str">
        <f ca="1">_xlfn.IFNA(VLOOKUP(F364,BEGIN_CURRENT_HEALTH:END_CURRENT_HEALTH,CURRENT_COL_ES_count,FALSE),"")</f>
        <v/>
      </c>
      <c r="F366" s="408" t="str">
        <f ca="1">_xlfn.IFNA(VLOOKUP(F364,BEGIN_CURRENT_HEALTH:END_CURRENT_HEALTH,CURRENT_COL_ES,FALSE),"")</f>
        <v/>
      </c>
      <c r="G366" s="468" t="str">
        <f t="shared" ca="1" si="35"/>
        <v/>
      </c>
      <c r="H366" s="408" t="str">
        <f ca="1">_xlfn.IFNA(VLOOKUP(F364,BEGIN_CURRENT_HEALTH:END_CURRENT_HEALTH,CURRENT_COL_ESContrib,FALSE),"")</f>
        <v/>
      </c>
      <c r="I366" s="409" t="str">
        <f ca="1" t="shared" si="36" ref="I366:I368">IFERROR(F366-H366,"")</f>
        <v/>
      </c>
      <c r="J366" s="410" t="str">
        <f ca="1">IF(F366="","",H366*E366)</f>
        <v/>
      </c>
      <c r="K366" s="411"/>
      <c r="L366" s="408" t="str" cm="1">
        <f t="array" ca="1" aca="1" ref="L366">_xlfn.IFNA(VLOOKUP(INDIRECT("L"&amp;ROW()-2)&amp;"_"&amp;$D$12,BEGIN_RENEW_HEALTH:END_RENEW_HEALTH,RENEW_COL_ES,FALSE),"")</f>
        <v/>
      </c>
      <c r="M366" s="412" t="str">
        <f ca="1">IF(E366="","",E366)</f>
        <v/>
      </c>
      <c r="N366" s="413"/>
      <c r="O366" s="414"/>
      <c r="P366" s="415" t="str">
        <f>IFERROR(IF($N364="Keep Contribution Same",H366,IF($N364="Enter Percentages",IF(N366="","",N366*L366),IF($N364="Keep Percentage Same",IF(G366="","",G366*L366),IF($N364="Enter Dollar Amount",IF(O366="","",O366),"")))),"")</f>
        <v/>
      </c>
      <c r="Q366" s="408" t="str">
        <f ca="1">IFERROR(L366-P366,"")</f>
        <v/>
      </c>
      <c r="R366" s="410" t="str">
        <f>IFERROR(IF(P366="","",M366*P366),"")</f>
        <v/>
      </c>
      <c r="S366" s="411"/>
      <c r="T366" s="408" t="str" cm="1">
        <f t="array" ca="1" aca="1" ref="T366">_xlfn.IFNA(VLOOKUP(INDIRECT("T"&amp;ROW()-2)&amp;"_"&amp;$D$12,BEGIN_RENEW_HEALTH:END_RENEW_HEALTH,RENEW_COL_ES,FALSE),"")</f>
        <v/>
      </c>
      <c r="U366" s="412" t="str">
        <f ca="1" t="shared" si="37" ref="U366:U368">IF(E366="","",E366)</f>
        <v/>
      </c>
      <c r="V366" s="413"/>
      <c r="W366" s="414"/>
      <c r="X366" s="415" t="str">
        <f>IFERROR(IF($V364="Keep Contribution Same",H366,IF($V364="Enter Percentages",IF(V366="","",V366*T366),IF($V364="Keep Percentage Same",IF(G366="","",G366*T366),IF($V364="Enter Dollar Amount",IF(W366="","",W366),"")))),"")</f>
        <v/>
      </c>
      <c r="Y366" s="408" t="str">
        <f ca="1" t="shared" si="38" ref="Y366:Y368">IFERROR(T366-X366,"")</f>
        <v/>
      </c>
      <c r="Z366" s="410" t="str">
        <f t="shared" si="39" ref="Z366:Z368">IFERROR(IF(X366="","",U366*X366),"")</f>
        <v/>
      </c>
    </row>
    <row r="367" spans="1:26" ht="18.75" customHeight="1">
      <c r="A367" s="140"/>
      <c r="B367" s="140"/>
      <c r="D367" s="172" t="s">
        <v>240</v>
      </c>
      <c r="E367" s="407" t="str">
        <f ca="1">_xlfn.IFNA(VLOOKUP(F364,BEGIN_CURRENT_HEALTH:END_CURRENT_HEALTH,CURRENT_COL_EC_count,FALSE),"")</f>
        <v/>
      </c>
      <c r="F367" s="408" t="str">
        <f ca="1">_xlfn.IFNA(VLOOKUP(F364,BEGIN_CURRENT_HEALTH:END_CURRENT_HEALTH,CURRENT_COL_EC,FALSE),"")</f>
        <v/>
      </c>
      <c r="G367" s="468" t="str">
        <f t="shared" ca="1" si="35"/>
        <v/>
      </c>
      <c r="H367" s="408" t="str">
        <f ca="1">_xlfn.IFNA(VLOOKUP(F364,BEGIN_CURRENT_HEALTH:END_CURRENT_HEALTH,CURRENT_COL_ECContrib,FALSE),"")</f>
        <v/>
      </c>
      <c r="I367" s="409" t="str">
        <f t="shared" ca="1" si="36"/>
        <v/>
      </c>
      <c r="J367" s="410" t="str">
        <f ca="1">IF(F367="","",H367*E367)</f>
        <v/>
      </c>
      <c r="K367" s="411"/>
      <c r="L367" s="408" t="str" cm="1">
        <f t="array" ca="1" aca="1" ref="L367">_xlfn.IFNA(VLOOKUP(INDIRECT("L"&amp;ROW()-3)&amp;"_"&amp;$D$12,BEGIN_RENEW_HEALTH:END_RENEW_HEALTH,RENEW_COL_EC,FALSE),"")</f>
        <v/>
      </c>
      <c r="M367" s="412" t="str">
        <f ca="1">IF(E367="","",E367)</f>
        <v/>
      </c>
      <c r="N367" s="413"/>
      <c r="O367" s="414"/>
      <c r="P367" s="415" t="str">
        <f>IFERROR(IF($N364="Keep Contribution Same",H367,IF($N364="Enter Percentages",IF(N367="","",N367*L367),IF($N364="Keep Percentage Same",IF(G367="","",G367*L367),IF($N364="Enter Dollar Amount",IF(O367="","",O367),"")))),"")</f>
        <v/>
      </c>
      <c r="Q367" s="408" t="str">
        <f ca="1">IFERROR(L367-P367,"")</f>
        <v/>
      </c>
      <c r="R367" s="410" t="str">
        <f>IFERROR(IF(P367="","",M367*P367),"")</f>
        <v/>
      </c>
      <c r="S367" s="411"/>
      <c r="T367" s="408" t="str" cm="1">
        <f t="array" ca="1" aca="1" ref="T367">_xlfn.IFNA(VLOOKUP(INDIRECT("T"&amp;ROW()-3)&amp;"_"&amp;$D$12,BEGIN_RENEW_HEALTH:END_RENEW_HEALTH,RENEW_COL_EC,FALSE),"")</f>
        <v/>
      </c>
      <c r="U367" s="412" t="str">
        <f t="shared" ca="1" si="37"/>
        <v/>
      </c>
      <c r="V367" s="413"/>
      <c r="W367" s="414"/>
      <c r="X367" s="415" t="str">
        <f>IFERROR(IF($V364="Keep Contribution Same",H367,IF($V364="Enter Percentages",IF(V367="","",V367*T367),IF($V364="Keep Percentage Same",IF(G367="","",G367*T367),IF($V364="Enter Dollar Amount",IF(W367="","",W367),"")))),"")</f>
        <v/>
      </c>
      <c r="Y367" s="408" t="str">
        <f t="shared" ca="1" si="38"/>
        <v/>
      </c>
      <c r="Z367" s="410" t="str">
        <f t="shared" si="39"/>
        <v/>
      </c>
    </row>
    <row r="368" spans="1:26" ht="18.75" customHeight="1" thickBot="1">
      <c r="A368" s="140"/>
      <c r="B368" s="140"/>
      <c r="D368" s="174" t="s">
        <v>241</v>
      </c>
      <c r="E368" s="416" t="str">
        <f ca="1">_xlfn.IFNA(VLOOKUP(F364,BEGIN_CURRENT_HEALTH:END_CURRENT_HEALTH,CURRENT_COL_FAM_count,FALSE),"")</f>
        <v/>
      </c>
      <c r="F368" s="417" t="str">
        <f ca="1">_xlfn.IFNA(VLOOKUP(F364,BEGIN_CURRENT_HEALTH:END_CURRENT_HEALTH,CURRENT_COL_FAM,FALSE),"")</f>
        <v/>
      </c>
      <c r="G368" s="469" t="str">
        <f t="shared" ca="1" si="35"/>
        <v/>
      </c>
      <c r="H368" s="417" t="str">
        <f ca="1">_xlfn.IFNA(VLOOKUP(F364,BEGIN_CURRENT_HEALTH:END_CURRENT_HEALTH,CURRENT_COL_FAMContrib,FALSE),"")</f>
        <v/>
      </c>
      <c r="I368" s="418" t="str">
        <f t="shared" ca="1" si="36"/>
        <v/>
      </c>
      <c r="J368" s="419" t="str">
        <f ca="1">IF(F368="","",H368*E368)</f>
        <v/>
      </c>
      <c r="K368" s="411"/>
      <c r="L368" s="417" t="str" cm="1">
        <f t="array" ca="1" aca="1" ref="L368">_xlfn.IFNA(VLOOKUP(INDIRECT("L"&amp;ROW()-4)&amp;"_"&amp;$D$12,BEGIN_RENEW_HEALTH:END_RENEW_HEALTH,RENEW_COL_FAM,FALSE),"")</f>
        <v/>
      </c>
      <c r="M368" s="423" t="str">
        <f ca="1">IF(E368="","",E368)</f>
        <v/>
      </c>
      <c r="N368" s="420"/>
      <c r="O368" s="421"/>
      <c r="P368" s="422" t="str">
        <f>IFERROR(IF($N364="Keep Contribution Same",H368,IF($N364="Enter Percentages",IF(N368="","",N368*L368),IF($N364="Keep Percentage Same",IF(G368="","",G368*L368),IF($N364="Enter Dollar Amount",IF(O368="","",O368),"")))),"")</f>
        <v/>
      </c>
      <c r="Q368" s="417" t="str">
        <f ca="1">IFERROR(L368-P368,"")</f>
        <v/>
      </c>
      <c r="R368" s="419" t="str">
        <f>IFERROR(IF(P368="","",M368*P368),"")</f>
        <v/>
      </c>
      <c r="S368" s="411"/>
      <c r="T368" s="417" t="str" cm="1">
        <f t="array" ca="1" aca="1" ref="T368">_xlfn.IFNA(VLOOKUP(INDIRECT("T"&amp;ROW()-4)&amp;"_"&amp;$D$12,BEGIN_RENEW_HEALTH:END_RENEW_HEALTH,RENEW_COL_FAM,FALSE),"")</f>
        <v/>
      </c>
      <c r="U368" s="423" t="str">
        <f t="shared" ca="1" si="37"/>
        <v/>
      </c>
      <c r="V368" s="420"/>
      <c r="W368" s="421"/>
      <c r="X368" s="422" t="str">
        <f>IFERROR(IF($V364="Keep Contribution Same",H368,IF($V364="Enter Percentages",IF(V368="","",V368*T368),IF($V364="Keep Percentage Same",IF(G368="","",G368*T368),IF($V364="Enter Dollar Amount",IF(W368="","",W368),"")))),"")</f>
        <v/>
      </c>
      <c r="Y368" s="417" t="str">
        <f t="shared" ca="1" si="38"/>
        <v/>
      </c>
      <c r="Z368" s="419" t="str">
        <f t="shared" si="39"/>
        <v/>
      </c>
    </row>
    <row r="369" spans="1:26" ht="18.75" customHeight="1" thickTop="1">
      <c r="A369" s="140"/>
      <c r="B369" s="140"/>
      <c r="D369" s="175" t="s">
        <v>242</v>
      </c>
      <c r="E369" s="424"/>
      <c r="F369" s="447" t="str">
        <f ca="1">IFERROR((F365*E365)+(F366*E366)+(F367*E367)+(F368*E368),"")</f>
        <v/>
      </c>
      <c r="G369" s="426"/>
      <c r="H369" s="427"/>
      <c r="I369" s="428"/>
      <c r="J369" s="429" t="str">
        <f ca="1">IFERROR(IF(J365="","",SUM(J365:J368)),0)</f>
        <v/>
      </c>
      <c r="K369" s="1"/>
      <c r="L369" s="430" t="str">
        <f ca="1">IFERROR((M365*L365)+(M366*L366)+(M367*L367)+(M368*L368),"")</f>
        <v/>
      </c>
      <c r="M369" s="427"/>
      <c r="N369" s="426"/>
      <c r="O369" s="427"/>
      <c r="P369" s="431"/>
      <c r="Q369" s="432"/>
      <c r="R369" s="429" t="str">
        <f>IFERROR(IF(R365="","",SUM(R365:R368)),0)</f>
        <v/>
      </c>
      <c r="T369" s="430" t="str">
        <f ca="1">IFERROR((U365*T365)+(U366*T366)+(U367*T367)+(U368*T368),"")</f>
        <v/>
      </c>
      <c r="U369" s="427"/>
      <c r="V369" s="426"/>
      <c r="W369" s="427"/>
      <c r="X369" s="431"/>
      <c r="Y369" s="432"/>
      <c r="Z369" s="429" t="str">
        <f>IFERROR(IF(Z365="","",SUM(Z365:Z368)),0)</f>
        <v/>
      </c>
    </row>
    <row r="370" spans="1:26" ht="18.75" customHeight="1">
      <c r="A370" s="140"/>
      <c r="B370" s="140"/>
      <c r="D370" s="177" t="s">
        <v>243</v>
      </c>
      <c r="E370" s="433"/>
      <c r="F370" s="448" t="str">
        <f ca="1">IFERROR(F369*12,"")</f>
        <v/>
      </c>
      <c r="G370" s="435"/>
      <c r="H370" s="436"/>
      <c r="I370" s="432"/>
      <c r="J370" s="437" t="str">
        <f ca="1">IF(J369="","",J369*12)</f>
        <v/>
      </c>
      <c r="K370" s="1"/>
      <c r="L370" s="438" t="str">
        <f ca="1">IFERROR(L369*12,"")</f>
        <v/>
      </c>
      <c r="M370" s="436"/>
      <c r="N370" s="435"/>
      <c r="O370" s="436"/>
      <c r="P370" s="432"/>
      <c r="Q370" s="432"/>
      <c r="R370" s="437" t="str">
        <f>IF(R369="","",R369*12)</f>
        <v/>
      </c>
      <c r="T370" s="438" t="str">
        <f ca="1">IFERROR(T369*12,"")</f>
        <v/>
      </c>
      <c r="U370" s="436"/>
      <c r="V370" s="435"/>
      <c r="W370" s="436"/>
      <c r="X370" s="432"/>
      <c r="Y370" s="432"/>
      <c r="Z370" s="437" t="str">
        <f>IF(Z369="","",Z369*12)</f>
        <v/>
      </c>
    </row>
    <row r="371" spans="1:26" ht="18" customHeight="1">
      <c r="A371" s="140"/>
      <c r="B371" s="140"/>
      <c r="D371" s="177" t="s">
        <v>244</v>
      </c>
      <c r="E371" s="433"/>
      <c r="F371" s="436"/>
      <c r="G371" s="435"/>
      <c r="H371" s="436"/>
      <c r="I371" s="432"/>
      <c r="J371" s="437"/>
      <c r="K371" s="1"/>
      <c r="L371" s="434" t="str">
        <f ca="1">IFERROR(L370-F370,"")</f>
        <v/>
      </c>
      <c r="M371" s="436"/>
      <c r="N371" s="435"/>
      <c r="O371" s="436"/>
      <c r="P371" s="432"/>
      <c r="Q371" s="432"/>
      <c r="R371" s="437" t="str">
        <f ca="1">IFERROR(IF(J370="","",R370-J370),0)</f>
        <v/>
      </c>
      <c r="T371" s="434" t="str">
        <f ca="1">IFERROR(T370-F370,"")</f>
        <v/>
      </c>
      <c r="U371" s="436"/>
      <c r="V371" s="435"/>
      <c r="W371" s="436"/>
      <c r="X371" s="432"/>
      <c r="Y371" s="432"/>
      <c r="Z371" s="437" t="str">
        <f>IFERROR(IF(R370="","",Z370-R370),0)</f>
        <v/>
      </c>
    </row>
    <row r="372" spans="1:26" ht="18" customHeight="1" thickBot="1">
      <c r="A372" s="140"/>
      <c r="B372" s="140"/>
      <c r="D372" s="180" t="s">
        <v>245</v>
      </c>
      <c r="E372" s="439"/>
      <c r="F372" s="440"/>
      <c r="G372" s="441"/>
      <c r="H372" s="440"/>
      <c r="I372" s="442"/>
      <c r="J372" s="443"/>
      <c r="K372" s="1"/>
      <c r="L372" s="444" t="str">
        <f ca="1">IFERROR(L370/F370-1,"")</f>
        <v/>
      </c>
      <c r="M372" s="440"/>
      <c r="N372" s="441"/>
      <c r="O372" s="440"/>
      <c r="P372" s="445"/>
      <c r="Q372" s="445"/>
      <c r="R372" s="446" t="str">
        <f ca="1">IFERROR(IF(J370="","",(R370/J370)-1),0)</f>
        <v/>
      </c>
      <c r="T372" s="444" t="str">
        <f ca="1">IFERROR(T370/F370-1,"")</f>
        <v/>
      </c>
      <c r="U372" s="440"/>
      <c r="V372" s="441"/>
      <c r="W372" s="440"/>
      <c r="X372" s="445"/>
      <c r="Y372" s="445"/>
      <c r="Z372" s="446" t="str">
        <f>IFERROR(IF(R370="","",(Z370/R370)-1),0)</f>
        <v/>
      </c>
    </row>
    <row r="373" spans="1:26" ht="18" customHeight="1">
      <c r="A373" s="140"/>
      <c r="B373" s="140"/>
      <c r="D373" s="181" t="s">
        <v>246</v>
      </c>
      <c r="E373" s="182"/>
      <c r="F373" s="182"/>
      <c r="G373" s="182"/>
      <c r="H373" s="182"/>
      <c r="I373" s="182"/>
      <c r="J373" s="183"/>
      <c r="K373"/>
      <c r="L373" s="184"/>
      <c r="M373" s="182"/>
      <c r="N373" s="182"/>
      <c r="O373" s="182"/>
      <c r="P373" s="182"/>
      <c r="Q373" s="182"/>
      <c r="R373" s="183"/>
      <c r="T373" s="184"/>
      <c r="U373" s="182"/>
      <c r="V373" s="182"/>
      <c r="W373" s="182"/>
      <c r="X373" s="182"/>
      <c r="Y373" s="182"/>
      <c r="Z373" s="183"/>
    </row>
    <row r="374" spans="1:26" ht="18" customHeight="1" hidden="1">
      <c r="A374" s="140"/>
      <c r="B374" s="140"/>
      <c r="D374" s="185" t="s">
        <v>247</v>
      </c>
      <c r="E374" s="186"/>
      <c r="F374" s="186"/>
      <c r="G374" s="186"/>
      <c r="H374" s="186"/>
      <c r="I374" s="186"/>
      <c r="J374" s="187"/>
      <c r="K374"/>
      <c r="L374" s="188"/>
      <c r="M374" s="186"/>
      <c r="N374" s="186"/>
      <c r="O374" s="186"/>
      <c r="P374" s="186"/>
      <c r="Q374" s="186"/>
      <c r="R374" s="187"/>
      <c r="T374" s="188"/>
      <c r="U374" s="186"/>
      <c r="V374" s="186"/>
      <c r="W374" s="186"/>
      <c r="X374" s="186"/>
      <c r="Y374" s="186"/>
      <c r="Z374" s="187"/>
    </row>
    <row r="375" spans="1:26" ht="18" customHeight="1" hidden="1">
      <c r="A375" s="140"/>
      <c r="B375" s="140"/>
      <c r="D375" s="189" t="s">
        <v>248</v>
      </c>
      <c r="E375" s="190" t="str">
        <f>D364&amp;"_"&amp;D12</f>
        <v>_</v>
      </c>
      <c r="F375" s="191"/>
      <c r="G375" s="191"/>
      <c r="H375" s="191"/>
      <c r="I375" s="190"/>
      <c r="J375" s="192"/>
      <c r="K375"/>
      <c r="L375" s="193" t="str">
        <f ca="1">L364&amp;"_"&amp;D12</f>
        <v>SELECT PLAN_</v>
      </c>
      <c r="M375" s="191"/>
      <c r="N375" s="191"/>
      <c r="O375" s="191"/>
      <c r="P375" s="190"/>
      <c r="Q375" s="191"/>
      <c r="R375" s="192"/>
      <c r="T375" s="193" t="str">
        <f>T364&amp;"_"&amp;D12</f>
        <v>SELECT PLAN_</v>
      </c>
      <c r="U375" s="191"/>
      <c r="V375" s="191"/>
      <c r="W375" s="191"/>
      <c r="X375" s="190"/>
      <c r="Y375" s="191"/>
      <c r="Z375" s="192"/>
    </row>
    <row r="376" spans="1:26" ht="18" customHeight="1" hidden="1">
      <c r="A376" s="140"/>
      <c r="B376" s="140"/>
      <c r="D376" s="189" t="s">
        <v>249</v>
      </c>
      <c r="E376" s="191"/>
      <c r="F376" s="191"/>
      <c r="G376" s="191"/>
      <c r="H376" s="191"/>
      <c r="I376" s="191"/>
      <c r="J376" s="192"/>
      <c r="K376"/>
      <c r="L376" s="189"/>
      <c r="M376" s="191"/>
      <c r="N376" s="191"/>
      <c r="O376" s="191"/>
      <c r="P376" s="191"/>
      <c r="Q376" s="191"/>
      <c r="R376" s="192"/>
      <c r="T376" s="189"/>
      <c r="U376" s="191"/>
      <c r="V376" s="191"/>
      <c r="W376" s="191"/>
      <c r="X376" s="191"/>
      <c r="Y376" s="191"/>
      <c r="Z376" s="192"/>
    </row>
    <row r="377" spans="1:26" ht="18" customHeight="1" hidden="1">
      <c r="A377" s="140"/>
      <c r="B377" s="140"/>
      <c r="D377" s="194" t="s">
        <v>250</v>
      </c>
      <c r="E377" s="195"/>
      <c r="F377" s="195"/>
      <c r="G377" s="195"/>
      <c r="H377" s="195"/>
      <c r="I377" s="195"/>
      <c r="J377" s="196"/>
      <c r="K377"/>
      <c r="L377" s="197"/>
      <c r="M377" s="195"/>
      <c r="N377" s="195"/>
      <c r="O377" s="195"/>
      <c r="P377" s="195"/>
      <c r="Q377" s="195"/>
      <c r="R377" s="196"/>
      <c r="T377" s="197"/>
      <c r="U377" s="195"/>
      <c r="V377" s="195"/>
      <c r="W377" s="195"/>
      <c r="X377" s="195"/>
      <c r="Y377" s="195"/>
      <c r="Z377" s="196"/>
    </row>
    <row r="378" spans="1:26" ht="18" customHeight="1" hidden="1">
      <c r="A378" s="140"/>
      <c r="B378" s="140"/>
      <c r="D378" s="198" t="s">
        <v>251</v>
      </c>
      <c r="E378" s="199" t="str">
        <f>_xlfn.XLOOKUP(E375,CurrentPlans!B:B,CurrentPlans!X:X,"NA",0,1)</f>
        <v>NA</v>
      </c>
      <c r="F378" s="200"/>
      <c r="G378" s="200"/>
      <c r="H378" s="200"/>
      <c r="I378" s="199"/>
      <c r="J378" s="201"/>
      <c r="K378"/>
      <c r="L378" s="202" t="str">
        <f ca="1">_xlfn.XLOOKUP(L375,RenewalPlans!B:B,RenewalPlans!AA:AA,"NA",0,1)</f>
        <v>NA</v>
      </c>
      <c r="M378" s="200"/>
      <c r="N378" s="200"/>
      <c r="O378" s="200"/>
      <c r="P378" s="199"/>
      <c r="Q378" s="200"/>
      <c r="R378" s="201"/>
      <c r="T378" s="202" t="str">
        <f>_xlfn.XLOOKUP(T375,RenewalPlans!B:B,RenewalPlans!AA:AA,"NA",0,1)</f>
        <v>NA</v>
      </c>
      <c r="U378" s="200"/>
      <c r="V378" s="200"/>
      <c r="W378" s="200"/>
      <c r="X378" s="199"/>
      <c r="Y378" s="200"/>
      <c r="Z378" s="201"/>
    </row>
    <row r="379" spans="1:26" ht="18" customHeight="1" hidden="1">
      <c r="A379" s="140"/>
      <c r="B379" s="140"/>
      <c r="D379" s="198" t="s">
        <v>252</v>
      </c>
      <c r="E379" s="199" t="str">
        <f>_xlfn.XLOOKUP(E375,CurrentPlans!B:B,CurrentPlans!Y:Y,"NA",0,1)</f>
        <v>NA</v>
      </c>
      <c r="F379" s="200"/>
      <c r="G379" s="200"/>
      <c r="H379" s="200"/>
      <c r="I379" s="199"/>
      <c r="J379" s="201"/>
      <c r="K379"/>
      <c r="L379" s="202" t="str">
        <f ca="1">_xlfn.XLOOKUP(L375,RenewalPlans!B:B,RenewalPlans!AB:AB,"NA",0,1)</f>
        <v>NA</v>
      </c>
      <c r="M379" s="200"/>
      <c r="N379" s="200"/>
      <c r="O379" s="200"/>
      <c r="P379" s="199"/>
      <c r="Q379" s="200"/>
      <c r="R379" s="201"/>
      <c r="T379" s="202" t="str">
        <f>_xlfn.XLOOKUP(T375,RenewalPlans!B:B,RenewalPlans!AB:AB,"NA",0,1)</f>
        <v>NA</v>
      </c>
      <c r="U379" s="200"/>
      <c r="V379" s="200"/>
      <c r="W379" s="200"/>
      <c r="X379" s="199"/>
      <c r="Y379" s="200"/>
      <c r="Z379" s="201"/>
    </row>
    <row r="380" spans="1:26" ht="18" customHeight="1" hidden="1">
      <c r="A380" s="140"/>
      <c r="B380" s="140"/>
      <c r="D380" s="120" t="s">
        <v>253</v>
      </c>
      <c r="E380" s="121" t="str">
        <f>_xlfn.XLOOKUP(E375,CurrentPlans!B:B,CurrentPlans!W:W,"NA",0,1)</f>
        <v>NA</v>
      </c>
      <c r="F380" s="122"/>
      <c r="G380" s="122"/>
      <c r="H380" s="122"/>
      <c r="I380" s="121"/>
      <c r="J380" s="123"/>
      <c r="K380"/>
      <c r="L380" s="124" t="str">
        <f ca="1">_xlfn.XLOOKUP(L375,RenewalPlans!B:B,RenewalPlans!Z:Z,"NA",0,1)</f>
        <v>NA</v>
      </c>
      <c r="M380" s="122"/>
      <c r="N380" s="122"/>
      <c r="O380" s="122"/>
      <c r="P380" s="121"/>
      <c r="Q380" s="122"/>
      <c r="R380" s="123"/>
      <c r="T380" s="124" t="str">
        <f>_xlfn.XLOOKUP(T375,RenewalPlans!B:B,RenewalPlans!Z:Z,"NA",0,1)</f>
        <v>NA</v>
      </c>
      <c r="U380" s="122"/>
      <c r="V380" s="122"/>
      <c r="W380" s="122"/>
      <c r="X380" s="121"/>
      <c r="Y380" s="122"/>
      <c r="Z380" s="123"/>
    </row>
    <row r="381" spans="1:26" ht="18" customHeight="1" hidden="1">
      <c r="A381" s="140"/>
      <c r="B381" s="140"/>
      <c r="D381" s="203" t="s">
        <v>254</v>
      </c>
      <c r="E381" s="204"/>
      <c r="F381" s="205"/>
      <c r="G381" s="205"/>
      <c r="H381" s="205"/>
      <c r="I381" s="204"/>
      <c r="J381" s="206"/>
      <c r="K381"/>
      <c r="L381" s="207"/>
      <c r="M381" s="205"/>
      <c r="N381" s="205"/>
      <c r="O381" s="205"/>
      <c r="P381" s="204"/>
      <c r="Q381" s="205"/>
      <c r="R381" s="206"/>
      <c r="T381" s="207"/>
      <c r="U381" s="205"/>
      <c r="V381" s="205"/>
      <c r="W381" s="205"/>
      <c r="X381" s="204"/>
      <c r="Y381" s="205"/>
      <c r="Z381" s="206"/>
    </row>
    <row r="382" spans="1:26" ht="18" customHeight="1" hidden="1">
      <c r="A382" s="140"/>
      <c r="B382" s="140"/>
      <c r="D382" s="125" t="s">
        <v>255</v>
      </c>
      <c r="E382" s="126" t="str">
        <f>_xlfn.XLOOKUP(E375,CurrentPlans!B:B,CurrentPlans!Z:Z,"NA",0,1)</f>
        <v>NA</v>
      </c>
      <c r="F382" s="127"/>
      <c r="G382" s="127"/>
      <c r="H382" s="127"/>
      <c r="I382" s="126"/>
      <c r="J382" s="128"/>
      <c r="K382"/>
      <c r="L382" s="129" t="str">
        <f ca="1">_xlfn.XLOOKUP(L375,RenewalPlans!B:B,RenewalPlans!AC:AC,"NA",0,1)</f>
        <v>NA</v>
      </c>
      <c r="M382" s="127"/>
      <c r="N382" s="127"/>
      <c r="O382" s="127"/>
      <c r="P382" s="126"/>
      <c r="Q382" s="127"/>
      <c r="R382" s="128"/>
      <c r="T382" s="129" t="str">
        <f>_xlfn.XLOOKUP(T375,RenewalPlans!B:B,RenewalPlans!AC:AC,"NA",0,1)</f>
        <v>NA</v>
      </c>
      <c r="U382" s="127"/>
      <c r="V382" s="127"/>
      <c r="W382" s="127"/>
      <c r="X382" s="126"/>
      <c r="Y382" s="127"/>
      <c r="Z382" s="128"/>
    </row>
    <row r="383" spans="1:26" ht="18" customHeight="1" hidden="1">
      <c r="A383" s="140"/>
      <c r="B383" s="140"/>
      <c r="D383" s="198" t="s">
        <v>256</v>
      </c>
      <c r="E383" s="208" t="str">
        <f>_xlfn.XLOOKUP(E375,CurrentPlans!B:B,CurrentPlans!AA:AA,"NA",0,1)</f>
        <v>NA</v>
      </c>
      <c r="F383" s="200"/>
      <c r="G383" s="200"/>
      <c r="H383" s="200"/>
      <c r="I383" s="208"/>
      <c r="J383" s="201"/>
      <c r="K383"/>
      <c r="L383" s="209" t="str">
        <f ca="1">_xlfn.XLOOKUP(L375,RenewalPlans!B:B,RenewalPlans!AD:AD,"NA",0,1)</f>
        <v>NA</v>
      </c>
      <c r="M383" s="200"/>
      <c r="N383" s="200"/>
      <c r="O383" s="200"/>
      <c r="P383" s="208"/>
      <c r="Q383" s="200"/>
      <c r="R383" s="201"/>
      <c r="T383" s="209" t="str">
        <f>_xlfn.XLOOKUP(T375,RenewalPlans!B:B,RenewalPlans!AD:AD,"NA",0,1)</f>
        <v>NA</v>
      </c>
      <c r="U383" s="200"/>
      <c r="V383" s="200"/>
      <c r="W383" s="200"/>
      <c r="X383" s="208"/>
      <c r="Y383" s="200"/>
      <c r="Z383" s="201"/>
    </row>
    <row r="384" spans="1:26" ht="18" customHeight="1" hidden="1">
      <c r="A384" s="140"/>
      <c r="B384" s="140"/>
      <c r="D384" s="203" t="s">
        <v>257</v>
      </c>
      <c r="E384" s="204"/>
      <c r="F384" s="205"/>
      <c r="G384" s="205"/>
      <c r="H384" s="205"/>
      <c r="I384" s="204"/>
      <c r="J384" s="206"/>
      <c r="K384"/>
      <c r="L384" s="207"/>
      <c r="M384" s="205"/>
      <c r="N384" s="205"/>
      <c r="O384" s="205"/>
      <c r="P384" s="204"/>
      <c r="Q384" s="205"/>
      <c r="R384" s="206"/>
      <c r="T384" s="207"/>
      <c r="U384" s="205"/>
      <c r="V384" s="205"/>
      <c r="W384" s="205"/>
      <c r="X384" s="204"/>
      <c r="Y384" s="205"/>
      <c r="Z384" s="206"/>
    </row>
    <row r="385" spans="1:26" ht="18" customHeight="1" hidden="1">
      <c r="A385" s="140"/>
      <c r="B385" s="140"/>
      <c r="D385" s="198" t="s">
        <v>258</v>
      </c>
      <c r="E385" s="208" t="str">
        <f>_xlfn.XLOOKUP(E375,CurrentPlans!B:B,CurrentPlans!AB:AB,"NA",0,1)</f>
        <v>NA</v>
      </c>
      <c r="F385" s="200"/>
      <c r="G385" s="200"/>
      <c r="H385" s="200"/>
      <c r="I385" s="208"/>
      <c r="J385" s="201"/>
      <c r="K385"/>
      <c r="L385" s="209" t="str">
        <f ca="1">_xlfn.XLOOKUP(L375,RenewalPlans!B:B,RenewalPlans!AE:AE,"NA",0,1)</f>
        <v>NA</v>
      </c>
      <c r="M385" s="200"/>
      <c r="N385" s="200"/>
      <c r="O385" s="200"/>
      <c r="P385" s="208"/>
      <c r="Q385" s="200"/>
      <c r="R385" s="201"/>
      <c r="T385" s="209" t="str">
        <f>_xlfn.XLOOKUP(T375,RenewalPlans!B:B,RenewalPlans!AE:AE,"NA",0,1)</f>
        <v>NA</v>
      </c>
      <c r="U385" s="200"/>
      <c r="V385" s="200"/>
      <c r="W385" s="200"/>
      <c r="X385" s="208"/>
      <c r="Y385" s="200"/>
      <c r="Z385" s="201"/>
    </row>
    <row r="386" spans="1:26" ht="18" customHeight="1" hidden="1">
      <c r="A386" s="140"/>
      <c r="B386" s="140"/>
      <c r="D386" s="198" t="s">
        <v>259</v>
      </c>
      <c r="E386" s="208" t="str">
        <f>_xlfn.XLOOKUP(E375,CurrentPlans!B:B,CurrentPlans!AC:AC,"NA",0,1)</f>
        <v>NA</v>
      </c>
      <c r="F386" s="200"/>
      <c r="G386" s="200"/>
      <c r="H386" s="200"/>
      <c r="I386" s="208"/>
      <c r="J386" s="201"/>
      <c r="K386"/>
      <c r="L386" s="209" t="str">
        <f ca="1">_xlfn.XLOOKUP(L375,RenewalPlans!B:B,RenewalPlans!AF:AF,"NA",0,1)</f>
        <v>NA</v>
      </c>
      <c r="M386" s="200"/>
      <c r="N386" s="200"/>
      <c r="O386" s="200"/>
      <c r="P386" s="208"/>
      <c r="Q386" s="200"/>
      <c r="R386" s="201"/>
      <c r="T386" s="209" t="str">
        <f>_xlfn.XLOOKUP(T375,RenewalPlans!B:B,RenewalPlans!AF:AF,"NA",0,1)</f>
        <v>NA</v>
      </c>
      <c r="U386" s="200"/>
      <c r="V386" s="200"/>
      <c r="W386" s="200"/>
      <c r="X386" s="208"/>
      <c r="Y386" s="200"/>
      <c r="Z386" s="201"/>
    </row>
    <row r="387" spans="1:26" ht="18" customHeight="1" hidden="1">
      <c r="A387" s="140"/>
      <c r="B387" s="140"/>
      <c r="D387" s="210"/>
      <c r="E387" s="211"/>
      <c r="F387" s="211"/>
      <c r="G387" s="211"/>
      <c r="H387" s="211"/>
      <c r="I387" s="211"/>
      <c r="J387" s="212"/>
      <c r="K387"/>
      <c r="L387" s="210"/>
      <c r="M387" s="211"/>
      <c r="N387" s="211"/>
      <c r="O387" s="211"/>
      <c r="P387" s="211"/>
      <c r="Q387" s="211"/>
      <c r="R387" s="212"/>
      <c r="T387" s="210"/>
      <c r="U387" s="211"/>
      <c r="V387" s="211"/>
      <c r="W387" s="211"/>
      <c r="X387" s="211"/>
      <c r="Y387" s="211"/>
      <c r="Z387" s="212"/>
    </row>
    <row r="388" spans="1:26" ht="18" customHeight="1" hidden="1">
      <c r="A388" s="140"/>
      <c r="B388" s="140"/>
      <c r="D388" s="185" t="s">
        <v>260</v>
      </c>
      <c r="E388" s="186"/>
      <c r="F388" s="186"/>
      <c r="G388" s="186"/>
      <c r="H388" s="186"/>
      <c r="I388" s="186"/>
      <c r="J388" s="187"/>
      <c r="K388"/>
      <c r="L388" s="188"/>
      <c r="M388" s="186"/>
      <c r="N388" s="186"/>
      <c r="O388" s="186"/>
      <c r="P388" s="186"/>
      <c r="Q388" s="186"/>
      <c r="R388" s="187"/>
      <c r="T388" s="188"/>
      <c r="U388" s="186"/>
      <c r="V388" s="186"/>
      <c r="W388" s="186"/>
      <c r="X388" s="186"/>
      <c r="Y388" s="186"/>
      <c r="Z388" s="187"/>
    </row>
    <row r="389" spans="1:26" ht="18" customHeight="1" hidden="1">
      <c r="A389" s="140"/>
      <c r="B389" s="140"/>
      <c r="D389" s="213" t="s">
        <v>261</v>
      </c>
      <c r="E389" s="130" t="str">
        <f>_xlfn.XLOOKUP(E375,CurrentPlans!B:B,CurrentPlans!AJ:AJ,"NA",0,1)</f>
        <v>NA</v>
      </c>
      <c r="F389" s="214"/>
      <c r="G389" s="214"/>
      <c r="H389" s="214"/>
      <c r="I389" s="130"/>
      <c r="J389" s="215"/>
      <c r="K389"/>
      <c r="L389" s="131" t="str">
        <f ca="1">_xlfn.XLOOKUP(L375,RenewalPlans!B:B,RenewalPlans!AM:AM,"NA",0,1)</f>
        <v>NA</v>
      </c>
      <c r="M389" s="214"/>
      <c r="N389" s="214"/>
      <c r="O389" s="214"/>
      <c r="P389" s="130"/>
      <c r="Q389" s="214"/>
      <c r="R389" s="215"/>
      <c r="T389" s="131" t="str">
        <f>_xlfn.XLOOKUP(T375,RenewalPlans!B:B,RenewalPlans!AM:AM,"NA",0,1)</f>
        <v>NA</v>
      </c>
      <c r="U389" s="214"/>
      <c r="V389" s="214"/>
      <c r="W389" s="214"/>
      <c r="X389" s="130"/>
      <c r="Y389" s="214"/>
      <c r="Z389" s="215"/>
    </row>
    <row r="390" spans="1:26" ht="18" customHeight="1" hidden="1">
      <c r="A390" s="140"/>
      <c r="B390" s="140"/>
      <c r="D390" s="198" t="s">
        <v>262</v>
      </c>
      <c r="E390" s="130" t="str">
        <f>_xlfn.XLOOKUP(E375,CurrentPlans!B:B,CurrentPlans!AM:AM,"NA",0,1)</f>
        <v>NA</v>
      </c>
      <c r="F390" s="200"/>
      <c r="G390" s="200"/>
      <c r="H390" s="200"/>
      <c r="I390" s="130"/>
      <c r="J390" s="201"/>
      <c r="K390"/>
      <c r="L390" s="131" t="str">
        <f ca="1">_xlfn.XLOOKUP(L375,RenewalPlans!B:B,RenewalPlans!AP:AP,"NA",0,1)</f>
        <v>NA</v>
      </c>
      <c r="M390" s="200"/>
      <c r="N390" s="200"/>
      <c r="O390" s="200"/>
      <c r="P390" s="130"/>
      <c r="Q390" s="200"/>
      <c r="R390" s="201"/>
      <c r="T390" s="131" t="str">
        <f>_xlfn.XLOOKUP(T375,RenewalPlans!B:B,RenewalPlans!AP:AP,"NA",0,1)</f>
        <v>NA</v>
      </c>
      <c r="U390" s="200"/>
      <c r="V390" s="200"/>
      <c r="W390" s="200"/>
      <c r="X390" s="130"/>
      <c r="Y390" s="200"/>
      <c r="Z390" s="201"/>
    </row>
    <row r="391" spans="1:26" ht="18" customHeight="1" hidden="1">
      <c r="A391" s="140"/>
      <c r="B391" s="140"/>
      <c r="D391" s="198" t="s">
        <v>263</v>
      </c>
      <c r="E391" s="130" t="str">
        <f>_xlfn.XLOOKUP(E375,CurrentPlans!B:B,CurrentPlans!AI:AI,"NA",0,1)</f>
        <v>NA</v>
      </c>
      <c r="F391" s="200"/>
      <c r="G391" s="200"/>
      <c r="H391" s="200"/>
      <c r="I391" s="130"/>
      <c r="J391" s="201"/>
      <c r="K391"/>
      <c r="L391" s="131" t="str">
        <f ca="1">_xlfn.XLOOKUP(L375,RenewalPlans!B:B,RenewalPlans!AL:AL,"NA",0,1)</f>
        <v>NA</v>
      </c>
      <c r="M391" s="200"/>
      <c r="N391" s="200"/>
      <c r="O391" s="200"/>
      <c r="P391" s="130"/>
      <c r="Q391" s="200"/>
      <c r="R391" s="201"/>
      <c r="T391" s="131" t="str">
        <f>_xlfn.XLOOKUP(T375,RenewalPlans!B:B,RenewalPlans!AL:AL,"NA",0,1)</f>
        <v>NA</v>
      </c>
      <c r="U391" s="200"/>
      <c r="V391" s="200"/>
      <c r="W391" s="200"/>
      <c r="X391" s="130"/>
      <c r="Y391" s="200"/>
      <c r="Z391" s="201"/>
    </row>
    <row r="392" spans="1:26" ht="18" customHeight="1" hidden="1">
      <c r="A392" s="140"/>
      <c r="B392" s="140"/>
      <c r="D392" s="198" t="s">
        <v>264</v>
      </c>
      <c r="E392" s="208" t="str">
        <f>_xlfn.XLOOKUP(E375,CurrentPlans!B:B,CurrentPlans!AN:AN,"NA",0,1)</f>
        <v>NA</v>
      </c>
      <c r="F392" s="200"/>
      <c r="G392" s="200"/>
      <c r="H392" s="200"/>
      <c r="I392" s="208"/>
      <c r="J392" s="201"/>
      <c r="K392"/>
      <c r="L392" s="209" t="str">
        <f ca="1">_xlfn.XLOOKUP(L375,RenewalPlans!B:B,RenewalPlans!AQ:AQ,"NA",0,1)</f>
        <v>NA</v>
      </c>
      <c r="M392" s="200"/>
      <c r="N392" s="200"/>
      <c r="O392" s="200"/>
      <c r="P392" s="208"/>
      <c r="Q392" s="200"/>
      <c r="R392" s="201"/>
      <c r="T392" s="209" t="str">
        <f>_xlfn.XLOOKUP(T375,RenewalPlans!B:B,RenewalPlans!AQ:AQ,"NA",0,1)</f>
        <v>NA</v>
      </c>
      <c r="U392" s="200"/>
      <c r="V392" s="200"/>
      <c r="W392" s="200"/>
      <c r="X392" s="208"/>
      <c r="Y392" s="200"/>
      <c r="Z392" s="201"/>
    </row>
    <row r="393" spans="1:26" ht="18" customHeight="1" hidden="1">
      <c r="A393" s="140"/>
      <c r="B393" s="140"/>
      <c r="D393" s="210"/>
      <c r="E393" s="211"/>
      <c r="F393" s="211"/>
      <c r="G393" s="211"/>
      <c r="H393" s="211"/>
      <c r="I393" s="211"/>
      <c r="J393" s="212"/>
      <c r="K393"/>
      <c r="L393" s="210"/>
      <c r="M393" s="211"/>
      <c r="N393" s="211"/>
      <c r="O393" s="211"/>
      <c r="P393" s="211"/>
      <c r="Q393" s="211"/>
      <c r="R393" s="212"/>
      <c r="T393" s="210"/>
      <c r="U393" s="211"/>
      <c r="V393" s="211"/>
      <c r="W393" s="211"/>
      <c r="X393" s="211"/>
      <c r="Y393" s="211"/>
      <c r="Z393" s="212"/>
    </row>
    <row r="394" spans="1:26" ht="18" customHeight="1" hidden="1">
      <c r="A394" s="140"/>
      <c r="B394" s="140"/>
      <c r="D394" s="185" t="s">
        <v>265</v>
      </c>
      <c r="E394" s="186"/>
      <c r="F394" s="186"/>
      <c r="G394" s="186"/>
      <c r="H394" s="186"/>
      <c r="I394" s="186"/>
      <c r="J394" s="187"/>
      <c r="K394"/>
      <c r="L394" s="188"/>
      <c r="M394" s="186"/>
      <c r="N394" s="186"/>
      <c r="O394" s="186"/>
      <c r="P394" s="186"/>
      <c r="Q394" s="186"/>
      <c r="R394" s="187"/>
      <c r="T394" s="188"/>
      <c r="U394" s="186"/>
      <c r="V394" s="186"/>
      <c r="W394" s="186"/>
      <c r="X394" s="186"/>
      <c r="Y394" s="186"/>
      <c r="Z394" s="187"/>
    </row>
    <row r="395" spans="1:26" ht="18" customHeight="1" hidden="1">
      <c r="A395" s="140"/>
      <c r="B395" s="140"/>
      <c r="D395" s="132" t="s">
        <v>266</v>
      </c>
      <c r="E395" s="133" t="str">
        <f>_xlfn.XLOOKUP(E375,CurrentPlans!B:B,CurrentPlans!AE:AE,"NA",0,1)</f>
        <v>NA</v>
      </c>
      <c r="F395" s="134"/>
      <c r="G395" s="134"/>
      <c r="H395" s="134"/>
      <c r="I395" s="133"/>
      <c r="J395" s="135"/>
      <c r="K395"/>
      <c r="L395" s="136" t="str">
        <f ca="1">_xlfn.XLOOKUP(L375,RenewalPlans!B:B,RenewalPlans!AH:AH,"NA",0,1)</f>
        <v>NA</v>
      </c>
      <c r="M395" s="134"/>
      <c r="N395" s="134"/>
      <c r="O395" s="134"/>
      <c r="P395" s="133"/>
      <c r="Q395" s="134"/>
      <c r="R395" s="135"/>
      <c r="T395" s="136" t="str">
        <f>_xlfn.XLOOKUP(T375,RenewalPlans!B:B,RenewalPlans!AH:AH,"NA",0,1)</f>
        <v>NA</v>
      </c>
      <c r="U395" s="134"/>
      <c r="V395" s="134"/>
      <c r="W395" s="134"/>
      <c r="X395" s="133"/>
      <c r="Y395" s="134"/>
      <c r="Z395" s="135"/>
    </row>
    <row r="396" spans="1:26" ht="18" customHeight="1" hidden="1">
      <c r="A396" s="140"/>
      <c r="B396" s="140"/>
      <c r="D396" s="120" t="s">
        <v>267</v>
      </c>
      <c r="E396" s="130" t="str">
        <f>_xlfn.XLOOKUP(E375,CurrentPlans!B:B,CurrentPlans!AF:AF,"NA",0,1)</f>
        <v>NA</v>
      </c>
      <c r="F396" s="122"/>
      <c r="G396" s="122"/>
      <c r="H396" s="122"/>
      <c r="I396" s="130"/>
      <c r="J396" s="123"/>
      <c r="K396"/>
      <c r="L396" s="131" t="str">
        <f ca="1">_xlfn.XLOOKUP(L375,RenewalPlans!B:B,RenewalPlans!AI:AI,"NA",0,1)</f>
        <v>NA</v>
      </c>
      <c r="M396" s="122"/>
      <c r="N396" s="122"/>
      <c r="O396" s="122"/>
      <c r="P396" s="130"/>
      <c r="Q396" s="122"/>
      <c r="R396" s="123"/>
      <c r="T396" s="131" t="str">
        <f>_xlfn.XLOOKUP(T375,RenewalPlans!B:B,RenewalPlans!AI:AI,"NA",0,1)</f>
        <v>NA</v>
      </c>
      <c r="U396" s="122"/>
      <c r="V396" s="122"/>
      <c r="W396" s="122"/>
      <c r="X396" s="130"/>
      <c r="Y396" s="122"/>
      <c r="Z396" s="123"/>
    </row>
    <row r="397" spans="1:26" ht="18" customHeight="1" hidden="1">
      <c r="A397" s="140"/>
      <c r="B397" s="140"/>
      <c r="D397" s="198" t="s">
        <v>268</v>
      </c>
      <c r="E397" s="130" t="str">
        <f>_xlfn.XLOOKUP(E375,CurrentPlans!B:B,CurrentPlans!AH:AH,"NA",0,1)</f>
        <v>NA</v>
      </c>
      <c r="F397" s="200"/>
      <c r="G397" s="200"/>
      <c r="H397" s="200"/>
      <c r="I397" s="130"/>
      <c r="J397" s="201"/>
      <c r="K397"/>
      <c r="L397" s="131" t="str">
        <f ca="1">_xlfn.XLOOKUP(L375,RenewalPlans!B:B,RenewalPlans!AK:AK,"NA",0,1)</f>
        <v>NA</v>
      </c>
      <c r="M397" s="200"/>
      <c r="N397" s="200"/>
      <c r="O397" s="200"/>
      <c r="P397" s="130"/>
      <c r="Q397" s="200"/>
      <c r="R397" s="201"/>
      <c r="T397" s="131" t="str">
        <f>_xlfn.XLOOKUP(T375,RenewalPlans!B:B,RenewalPlans!AK:AK,"NA",0,1)</f>
        <v>NA</v>
      </c>
      <c r="U397" s="200"/>
      <c r="V397" s="200"/>
      <c r="W397" s="200"/>
      <c r="X397" s="130"/>
      <c r="Y397" s="200"/>
      <c r="Z397" s="201"/>
    </row>
    <row r="398" spans="1:26" ht="18" customHeight="1" hidden="1">
      <c r="A398" s="140"/>
      <c r="B398" s="140"/>
      <c r="D398" s="198" t="s">
        <v>269</v>
      </c>
      <c r="E398" s="130" t="str">
        <f>_xlfn.XLOOKUP(E375,CurrentPlans!B:B,CurrentPlans!AG:AG,"NA",0,1)</f>
        <v>NA</v>
      </c>
      <c r="F398" s="200"/>
      <c r="G398" s="200"/>
      <c r="H398" s="200"/>
      <c r="I398" s="130"/>
      <c r="J398" s="201"/>
      <c r="K398"/>
      <c r="L398" s="131" t="str">
        <f ca="1">_xlfn.XLOOKUP(L375,RenewalPlans!B:B,RenewalPlans!AJ:AJ,"NA",0,1)</f>
        <v>NA</v>
      </c>
      <c r="M398" s="200"/>
      <c r="N398" s="200"/>
      <c r="O398" s="200"/>
      <c r="P398" s="130"/>
      <c r="Q398" s="200"/>
      <c r="R398" s="201"/>
      <c r="T398" s="131" t="str">
        <f>_xlfn.XLOOKUP(T375,RenewalPlans!B:B,RenewalPlans!AJ:AJ,"NA",0,1)</f>
        <v>NA</v>
      </c>
      <c r="U398" s="200"/>
      <c r="V398" s="200"/>
      <c r="W398" s="200"/>
      <c r="X398" s="130"/>
      <c r="Y398" s="200"/>
      <c r="Z398" s="201"/>
    </row>
    <row r="399" spans="1:26" ht="18" customHeight="1" hidden="1">
      <c r="A399" s="140"/>
      <c r="B399" s="140"/>
      <c r="D399" s="213" t="s">
        <v>270</v>
      </c>
      <c r="E399" s="216" t="str">
        <f>_xlfn.XLOOKUP(E375,CurrentPlans!B:B,CurrentPlans!AU:AU,"NA",0,1)</f>
        <v>NA</v>
      </c>
      <c r="F399" s="214"/>
      <c r="G399" s="214"/>
      <c r="H399" s="214"/>
      <c r="I399" s="217"/>
      <c r="J399" s="215"/>
      <c r="K399"/>
      <c r="L399" s="218" t="str">
        <f ca="1">_xlfn.XLOOKUP(L375,RenewalPlans!B:B,RenewalPlans!AX:AX,"NA",0,1)</f>
        <v>NA</v>
      </c>
      <c r="M399" s="214"/>
      <c r="N399" s="214"/>
      <c r="O399" s="214"/>
      <c r="P399" s="217"/>
      <c r="Q399" s="214"/>
      <c r="R399" s="215"/>
      <c r="T399" s="218" t="str">
        <f>_xlfn.XLOOKUP(T375,RenewalPlans!B:B,RenewalPlans!AX:AX,"NA",0,1)</f>
        <v>NA</v>
      </c>
      <c r="U399" s="214"/>
      <c r="V399" s="214"/>
      <c r="W399" s="214"/>
      <c r="X399" s="217"/>
      <c r="Y399" s="214"/>
      <c r="Z399" s="215"/>
    </row>
    <row r="400" spans="1:26" ht="18" customHeight="1" hidden="1">
      <c r="A400" s="140"/>
      <c r="B400" s="140"/>
      <c r="D400" s="213" t="s">
        <v>271</v>
      </c>
      <c r="E400" s="216" t="str">
        <f>_xlfn.XLOOKUP(E375,CurrentPlans!B:B,CurrentPlans!AT:AT,"NA",0,1)</f>
        <v>NA</v>
      </c>
      <c r="F400" s="214"/>
      <c r="G400" s="214"/>
      <c r="H400" s="214"/>
      <c r="I400" s="217"/>
      <c r="J400" s="215"/>
      <c r="K400"/>
      <c r="L400" s="218" t="str">
        <f ca="1">_xlfn.XLOOKUP(L375,RenewalPlans!B:B,RenewalPlans!AW:AW,"NA",0,1)</f>
        <v>NA</v>
      </c>
      <c r="M400" s="214"/>
      <c r="N400" s="214"/>
      <c r="O400" s="214"/>
      <c r="P400" s="217"/>
      <c r="Q400" s="214"/>
      <c r="R400" s="215"/>
      <c r="T400" s="218" t="str">
        <f>_xlfn.XLOOKUP(T375,RenewalPlans!B:B,RenewalPlans!AW:AW,"NA",0,1)</f>
        <v>NA</v>
      </c>
      <c r="U400" s="214"/>
      <c r="V400" s="214"/>
      <c r="W400" s="214"/>
      <c r="X400" s="217"/>
      <c r="Y400" s="214"/>
      <c r="Z400" s="215"/>
    </row>
    <row r="401" spans="1:26" ht="18" customHeight="1" hidden="1">
      <c r="A401" s="140"/>
      <c r="B401" s="140"/>
      <c r="D401" s="198" t="s">
        <v>272</v>
      </c>
      <c r="E401" s="130" t="str">
        <f>_xlfn.XLOOKUP(E375,CurrentPlans!B:B,CurrentPlans!AD:AD,"NA",0,1)</f>
        <v>NA</v>
      </c>
      <c r="F401" s="200"/>
      <c r="G401" s="200"/>
      <c r="H401" s="200"/>
      <c r="I401" s="130"/>
      <c r="J401" s="201"/>
      <c r="K401"/>
      <c r="L401" s="131" t="str">
        <f ca="1">_xlfn.XLOOKUP(L375,RenewalPlans!B:B,RenewalPlans!AG:AG,"NA",0,1)</f>
        <v>NA</v>
      </c>
      <c r="M401" s="200"/>
      <c r="N401" s="200"/>
      <c r="O401" s="200"/>
      <c r="P401" s="130"/>
      <c r="Q401" s="200"/>
      <c r="R401" s="201"/>
      <c r="T401" s="131" t="str">
        <f>_xlfn.XLOOKUP(T375,RenewalPlans!B:B,RenewalPlans!AG:AG,"NA",0,1)</f>
        <v>NA</v>
      </c>
      <c r="U401" s="200"/>
      <c r="V401" s="200"/>
      <c r="W401" s="200"/>
      <c r="X401" s="130"/>
      <c r="Y401" s="200"/>
      <c r="Z401" s="201"/>
    </row>
    <row r="402" spans="1:26" ht="18" customHeight="1" hidden="1">
      <c r="A402" s="140"/>
      <c r="B402" s="140"/>
      <c r="D402" s="198" t="s">
        <v>273</v>
      </c>
      <c r="E402" s="200"/>
      <c r="F402" s="200"/>
      <c r="G402" s="200"/>
      <c r="H402" s="200"/>
      <c r="I402" s="200"/>
      <c r="J402" s="201"/>
      <c r="K402"/>
      <c r="L402" s="198"/>
      <c r="M402" s="200"/>
      <c r="N402" s="200"/>
      <c r="O402" s="200"/>
      <c r="P402" s="200"/>
      <c r="Q402" s="200"/>
      <c r="R402" s="201"/>
      <c r="T402" s="198"/>
      <c r="U402" s="200"/>
      <c r="V402" s="200"/>
      <c r="W402" s="200"/>
      <c r="X402" s="200"/>
      <c r="Y402" s="200"/>
      <c r="Z402" s="201"/>
    </row>
    <row r="403" spans="1:26" ht="18" customHeight="1" hidden="1">
      <c r="A403" s="140"/>
      <c r="B403" s="140"/>
      <c r="D403" s="210"/>
      <c r="E403" s="211"/>
      <c r="F403" s="211"/>
      <c r="G403" s="211"/>
      <c r="H403" s="211"/>
      <c r="I403" s="211"/>
      <c r="J403" s="212"/>
      <c r="K403"/>
      <c r="L403" s="210"/>
      <c r="M403" s="211"/>
      <c r="N403" s="211"/>
      <c r="O403" s="211"/>
      <c r="P403" s="211"/>
      <c r="Q403" s="211"/>
      <c r="R403" s="212"/>
      <c r="T403" s="210"/>
      <c r="U403" s="211"/>
      <c r="V403" s="211"/>
      <c r="W403" s="211"/>
      <c r="X403" s="211"/>
      <c r="Y403" s="211"/>
      <c r="Z403" s="212"/>
    </row>
    <row r="404" spans="1:26" ht="18" customHeight="1" hidden="1">
      <c r="A404" s="140"/>
      <c r="B404" s="140"/>
      <c r="D404" s="219" t="s">
        <v>274</v>
      </c>
      <c r="E404" s="220"/>
      <c r="F404" s="220"/>
      <c r="G404" s="220"/>
      <c r="H404" s="220"/>
      <c r="I404" s="220"/>
      <c r="J404" s="221"/>
      <c r="K404"/>
      <c r="L404" s="222"/>
      <c r="M404" s="220"/>
      <c r="N404" s="220"/>
      <c r="O404" s="220"/>
      <c r="P404" s="220"/>
      <c r="Q404" s="220"/>
      <c r="R404" s="221"/>
      <c r="T404" s="222"/>
      <c r="U404" s="220"/>
      <c r="V404" s="220"/>
      <c r="W404" s="220"/>
      <c r="X404" s="220"/>
      <c r="Y404" s="220"/>
      <c r="Z404" s="221"/>
    </row>
    <row r="405" spans="1:26" ht="18" customHeight="1" hidden="1">
      <c r="A405" s="140"/>
      <c r="B405" s="140"/>
      <c r="D405" s="223" t="s">
        <v>250</v>
      </c>
      <c r="E405" s="205"/>
      <c r="F405" s="205"/>
      <c r="G405" s="205"/>
      <c r="H405" s="205"/>
      <c r="I405" s="205"/>
      <c r="J405" s="206"/>
      <c r="K405"/>
      <c r="L405" s="203"/>
      <c r="M405" s="205"/>
      <c r="N405" s="205"/>
      <c r="O405" s="205"/>
      <c r="P405" s="205"/>
      <c r="Q405" s="205"/>
      <c r="R405" s="206"/>
      <c r="T405" s="203"/>
      <c r="U405" s="205"/>
      <c r="V405" s="205"/>
      <c r="W405" s="205"/>
      <c r="X405" s="205"/>
      <c r="Y405" s="205"/>
      <c r="Z405" s="206"/>
    </row>
    <row r="406" spans="1:26" ht="18" customHeight="1" hidden="1">
      <c r="A406" s="140"/>
      <c r="B406" s="140"/>
      <c r="D406" s="198" t="s">
        <v>251</v>
      </c>
      <c r="E406" s="130" t="str">
        <f>_xlfn.XLOOKUP(E375,CurrentPlans!B:B,CurrentPlans!AP:AP,"NA",0,1)</f>
        <v>NA</v>
      </c>
      <c r="F406" s="200"/>
      <c r="G406" s="200"/>
      <c r="H406" s="200"/>
      <c r="I406" s="130"/>
      <c r="J406" s="201"/>
      <c r="K406"/>
      <c r="L406" s="131" t="str">
        <f ca="1">_xlfn.XLOOKUP(L375,RenewalPlans!B:B,RenewalPlans!AS:AS,"NA",0,1)</f>
        <v>NA</v>
      </c>
      <c r="M406" s="200"/>
      <c r="N406" s="200"/>
      <c r="O406" s="200"/>
      <c r="P406" s="130"/>
      <c r="Q406" s="200"/>
      <c r="R406" s="201"/>
      <c r="T406" s="131" t="str">
        <f>_xlfn.XLOOKUP(T375,RenewalPlans!B:B,RenewalPlans!AS:AS,"NA",0,1)</f>
        <v>NA</v>
      </c>
      <c r="U406" s="200"/>
      <c r="V406" s="200"/>
      <c r="W406" s="200"/>
      <c r="X406" s="130"/>
      <c r="Y406" s="200"/>
      <c r="Z406" s="201"/>
    </row>
    <row r="407" spans="1:26" ht="18" customHeight="1" hidden="1">
      <c r="A407" s="140"/>
      <c r="B407" s="140"/>
      <c r="D407" s="198" t="s">
        <v>252</v>
      </c>
      <c r="E407" s="130" t="str">
        <f>_xlfn.XLOOKUP(E375,CurrentPlans!B:B,CurrentPlans!AQ:AQ,"NA",0,1)</f>
        <v>NA</v>
      </c>
      <c r="F407" s="200"/>
      <c r="G407" s="200"/>
      <c r="H407" s="200"/>
      <c r="I407" s="130"/>
      <c r="J407" s="201"/>
      <c r="K407"/>
      <c r="L407" s="131" t="str">
        <f ca="1">_xlfn.XLOOKUP(L375,RenewalPlans!B:B,RenewalPlans!AT:AT,"NA",0,1)</f>
        <v>NA</v>
      </c>
      <c r="M407" s="200"/>
      <c r="N407" s="200"/>
      <c r="O407" s="200"/>
      <c r="P407" s="130"/>
      <c r="Q407" s="200"/>
      <c r="R407" s="201"/>
      <c r="T407" s="131" t="str">
        <f>_xlfn.XLOOKUP(T375,RenewalPlans!B:B,RenewalPlans!AT:AT,"NA",0,1)</f>
        <v>NA</v>
      </c>
      <c r="U407" s="200"/>
      <c r="V407" s="200"/>
      <c r="W407" s="200"/>
      <c r="X407" s="130"/>
      <c r="Y407" s="200"/>
      <c r="Z407" s="201"/>
    </row>
    <row r="408" spans="1:26" ht="18" customHeight="1" hidden="1">
      <c r="A408" s="140"/>
      <c r="B408" s="140"/>
      <c r="D408" s="120" t="s">
        <v>253</v>
      </c>
      <c r="E408" s="133" t="str">
        <f>_xlfn.XLOOKUP(E375,CurrentPlans!B:B,CurrentPlans!AO:AO,"NA",0,1)</f>
        <v>NA</v>
      </c>
      <c r="F408" s="122"/>
      <c r="G408" s="122"/>
      <c r="H408" s="122"/>
      <c r="I408" s="133"/>
      <c r="J408" s="123"/>
      <c r="K408"/>
      <c r="L408" s="136" t="str">
        <f ca="1">_xlfn.XLOOKUP(L375,RenewalPlans!B:B,RenewalPlans!AR:AR,"NA",0,1)</f>
        <v>NA</v>
      </c>
      <c r="M408" s="122"/>
      <c r="N408" s="122"/>
      <c r="O408" s="122"/>
      <c r="P408" s="133"/>
      <c r="Q408" s="122"/>
      <c r="R408" s="123"/>
      <c r="T408" s="136" t="str">
        <f>_xlfn.XLOOKUP(T375,RenewalPlans!B:B,RenewalPlans!AR:AR,"NA",0,1)</f>
        <v>NA</v>
      </c>
      <c r="U408" s="122"/>
      <c r="V408" s="122"/>
      <c r="W408" s="122"/>
      <c r="X408" s="133"/>
      <c r="Y408" s="122"/>
      <c r="Z408" s="123"/>
    </row>
    <row r="409" spans="1:26" ht="18" customHeight="1" hidden="1">
      <c r="A409" s="140"/>
      <c r="B409" s="140"/>
      <c r="D409" s="223" t="s">
        <v>254</v>
      </c>
      <c r="E409" s="205"/>
      <c r="F409" s="205"/>
      <c r="G409" s="205"/>
      <c r="H409" s="205"/>
      <c r="I409" s="205"/>
      <c r="J409" s="206"/>
      <c r="K409"/>
      <c r="L409" s="203"/>
      <c r="M409" s="205"/>
      <c r="N409" s="205"/>
      <c r="O409" s="205"/>
      <c r="P409" s="205"/>
      <c r="Q409" s="205"/>
      <c r="R409" s="206"/>
      <c r="T409" s="203"/>
      <c r="U409" s="205"/>
      <c r="V409" s="205"/>
      <c r="W409" s="205"/>
      <c r="X409" s="205"/>
      <c r="Y409" s="205"/>
      <c r="Z409" s="206"/>
    </row>
    <row r="410" spans="1:26" ht="18" customHeight="1" hidden="1">
      <c r="A410" s="140"/>
      <c r="B410" s="140"/>
      <c r="D410" s="198" t="s">
        <v>255</v>
      </c>
      <c r="E410" s="130" t="str">
        <f>_xlfn.XLOOKUP(E375,CurrentPlans!B:B,CurrentPlans!AR:AR,"NA",0,1)</f>
        <v>NA</v>
      </c>
      <c r="F410" s="200"/>
      <c r="G410" s="200"/>
      <c r="H410" s="200"/>
      <c r="I410" s="130"/>
      <c r="J410" s="201"/>
      <c r="K410"/>
      <c r="L410" s="131" t="str">
        <f ca="1">_xlfn.XLOOKUP(L375,RenewalPlans!B:B,RenewalPlans!AU:AU,"NA",0,1)</f>
        <v>NA</v>
      </c>
      <c r="M410" s="200"/>
      <c r="N410" s="200"/>
      <c r="O410" s="200"/>
      <c r="P410" s="130"/>
      <c r="Q410" s="200"/>
      <c r="R410" s="201"/>
      <c r="T410" s="131" t="str">
        <f>_xlfn.XLOOKUP(T375,RenewalPlans!B:B,RenewalPlans!AU:AU,"NA",0,1)</f>
        <v>NA</v>
      </c>
      <c r="U410" s="200"/>
      <c r="V410" s="200"/>
      <c r="W410" s="200"/>
      <c r="X410" s="130"/>
      <c r="Y410" s="200"/>
      <c r="Z410" s="201"/>
    </row>
    <row r="411" spans="1:26" ht="18" customHeight="1" hidden="1" thickBot="1">
      <c r="A411" s="140"/>
      <c r="B411" s="140"/>
      <c r="D411" s="224" t="s">
        <v>256</v>
      </c>
      <c r="E411" s="137" t="str">
        <f>_xlfn.XLOOKUP(E375,CurrentPlans!B:B,CurrentPlans!AS:AS,"NA",0,1)</f>
        <v>NA</v>
      </c>
      <c r="F411" s="225"/>
      <c r="G411" s="225"/>
      <c r="H411" s="225"/>
      <c r="I411" s="137"/>
      <c r="J411" s="226"/>
      <c r="K411"/>
      <c r="L411" s="138" t="str">
        <f ca="1">_xlfn.XLOOKUP(L375,RenewalPlans!B:B,RenewalPlans!AV:AV,"NA",0,1)</f>
        <v>NA</v>
      </c>
      <c r="M411" s="225"/>
      <c r="N411" s="225"/>
      <c r="O411" s="225"/>
      <c r="P411" s="137"/>
      <c r="Q411" s="225"/>
      <c r="R411" s="226"/>
      <c r="T411" s="138" t="str">
        <f>_xlfn.XLOOKUP(T375,RenewalPlans!B:B,RenewalPlans!AV:AV,"NA",0,1)</f>
        <v>NA</v>
      </c>
      <c r="U411" s="225"/>
      <c r="V411" s="225"/>
      <c r="W411" s="225"/>
      <c r="X411" s="137"/>
      <c r="Y411" s="225"/>
      <c r="Z411" s="226"/>
    </row>
    <row r="412" spans="1:26" ht="18" customHeight="1">
      <c r="A412" s="140"/>
      <c r="B412" s="140"/>
      <c r="D412" s="227"/>
      <c r="E412" s="176"/>
      <c r="F412" s="178"/>
      <c r="G412" s="179"/>
      <c r="H412" s="178"/>
      <c r="I412" s="176"/>
      <c r="J412" s="228"/>
      <c r="K412"/>
      <c r="L412" s="178"/>
      <c r="M412" s="176"/>
      <c r="N412" s="139"/>
      <c r="O412" s="178"/>
      <c r="P412" s="178"/>
      <c r="Q412" s="178"/>
      <c r="R412" s="228"/>
      <c r="T412" s="178"/>
      <c r="U412" s="176"/>
      <c r="V412" s="139"/>
      <c r="W412" s="178"/>
      <c r="X412" s="178"/>
      <c r="Y412" s="178"/>
      <c r="Z412" s="228"/>
    </row>
    <row r="413" spans="1:26" ht="5.25" customHeight="1" thickBot="1">
      <c r="A413" s="140"/>
      <c r="B413" s="140"/>
      <c r="D413" s="229"/>
      <c r="E413" s="229"/>
      <c r="F413" s="230"/>
      <c r="G413" s="231"/>
      <c r="H413" s="232"/>
      <c r="I413" s="233"/>
      <c r="J413" s="233"/>
      <c r="K413"/>
      <c r="L413" s="233"/>
      <c r="M413" s="233"/>
      <c r="N413" s="233"/>
      <c r="O413" s="233"/>
      <c r="P413" s="233"/>
      <c r="Q413" s="233"/>
      <c r="R413" s="233"/>
      <c r="T413" s="233"/>
      <c r="U413" s="233"/>
      <c r="V413" s="233"/>
      <c r="W413" s="233"/>
      <c r="X413" s="233"/>
      <c r="Y413" s="233"/>
      <c r="Z413" s="233"/>
    </row>
    <row r="414" spans="1:26" ht="50.15" customHeight="1">
      <c r="A414" s="140">
        <v>9</v>
      </c>
      <c r="B414" s="140" t="str">
        <f>IF(A414&gt;Class6_CurrentHealthCount,"DELETE",Class6_CurrentHealthStart+A414)</f>
        <v>DELETE</v>
      </c>
      <c r="C414" s="164" t="s">
        <v>282</v>
      </c>
      <c r="D414" s="273" t="str">
        <f>IF(B414="Delete","",VLOOKUP(F414,BEGIN_CURRENT_HEALTH:END_CURRENT_HEALTH,3,FALSE))</f>
        <v/>
      </c>
      <c r="E414" s="165"/>
      <c r="F414" s="272" t="str" cm="1">
        <f t="array" ca="1" aca="1" ref="F414">IF(B414="Delete","",INDIRECT("CurrentPlans!A"&amp;B414,TRUE))</f>
        <v/>
      </c>
      <c r="G414" s="166"/>
      <c r="H414" s="167"/>
      <c r="I414" s="168"/>
      <c r="J414" s="169"/>
      <c r="K414"/>
      <c r="L414" s="274" t="str">
        <f ca="1">_xlfn.IFNA(VLOOKUP(F414,BEGIN_RENEWEDFROM_HEALTH:ROW_RenewHealth_PlanID,3,FALSE),"SELECT PLAN")</f>
        <v>SELECT PLAN</v>
      </c>
      <c r="M414" s="170"/>
      <c r="N414" s="274" t="s">
        <v>237</v>
      </c>
      <c r="O414" s="171"/>
      <c r="P414" s="171"/>
      <c r="Q414" s="171"/>
      <c r="R414" s="169"/>
      <c r="T414" s="274" t="s">
        <v>38</v>
      </c>
      <c r="U414" s="170"/>
      <c r="V414" s="274" t="s">
        <v>237</v>
      </c>
      <c r="W414" s="171"/>
      <c r="X414" s="171"/>
      <c r="Y414" s="171"/>
      <c r="Z414" s="169"/>
    </row>
    <row r="415" spans="1:26" ht="18.75" customHeight="1">
      <c r="A415" s="140"/>
      <c r="B415" s="140"/>
      <c r="D415" s="172" t="s">
        <v>238</v>
      </c>
      <c r="E415" s="407" t="str">
        <f ca="1">_xlfn.IFNA(VLOOKUP(F414,BEGIN_CURRENT_HEALTH:END_CURRENT_HEALTH,CURRENT_COL_EO_count,FALSE),"")</f>
        <v/>
      </c>
      <c r="F415" s="408" t="str">
        <f ca="1">_xlfn.IFNA(VLOOKUP(F414,BEGIN_CURRENT_HEALTH:END_CURRENT_HEALTH,CURRENT_COL_EO,FALSE),"")</f>
        <v/>
      </c>
      <c r="G415" s="468" t="str">
        <f ca="1" t="shared" si="40" ref="G415:G418">IF(F415="","",H415/F415)</f>
        <v/>
      </c>
      <c r="H415" s="408" t="str">
        <f ca="1">_xlfn.IFNA(VLOOKUP(F414,BEGIN_CURRENT_HEALTH:END_CURRENT_HEALTH,CURRENT_COL_EOContrib,FALSE),"")</f>
        <v/>
      </c>
      <c r="I415" s="409" t="str">
        <f ca="1">IFERROR(F415-H415,"")</f>
        <v/>
      </c>
      <c r="J415" s="410" t="str">
        <f ca="1">IF(F415="","",H415*E415)</f>
        <v/>
      </c>
      <c r="K415" s="411"/>
      <c r="L415" s="408" t="str" cm="1">
        <f t="array" ca="1" aca="1" ref="L415">_xlfn.IFNA(VLOOKUP(INDIRECT("L"&amp;ROW()-1)&amp;"_"&amp;$D$12,BEGIN_RENEW_HEALTH:END_RENEW_HEALTH,RENEW_COL_EO,FALSE),"")</f>
        <v/>
      </c>
      <c r="M415" s="412" t="str">
        <f ca="1">IF(E415="","",E415)</f>
        <v/>
      </c>
      <c r="N415" s="413"/>
      <c r="O415" s="414"/>
      <c r="P415" s="415" t="str">
        <f>IFERROR(IF($N414="Keep Contribution Same",H415,IF($N414="Enter Percentages",IF(N415="","",N415*L415),IF($N414="Keep Percentage Same",IF(G415="","",G415*L415),IF($N414="Enter Dollar Amount",IF(O415="","",O415),"")))),"")</f>
        <v/>
      </c>
      <c r="Q415" s="408" t="str">
        <f ca="1">IFERROR(L415-P415,"")</f>
        <v/>
      </c>
      <c r="R415" s="410" t="str">
        <f>IFERROR(IF(P415="","",M415*P415),"")</f>
        <v/>
      </c>
      <c r="S415" s="411"/>
      <c r="T415" s="408" t="str" cm="1">
        <f t="array" ca="1" aca="1" ref="T415">_xlfn.IFNA(VLOOKUP(INDIRECT("T"&amp;ROW()-1)&amp;"_"&amp;$D$12,BEGIN_RENEW_HEALTH:END_RENEW_HEALTH,RENEW_COL_EO,FALSE),"")</f>
        <v/>
      </c>
      <c r="U415" s="412" t="str">
        <f ca="1">IF(E415="","",E415)</f>
        <v/>
      </c>
      <c r="V415" s="413"/>
      <c r="W415" s="414"/>
      <c r="X415" s="415" t="str">
        <f>IFERROR(IF($V414="Keep Contribution Same",H415,IF($V414="Enter Percentages",IF(V415="","",V415*T415),IF($V414="Keep Percentage Same",IF(G415="","",G415*T415),IF($V414="Enter Dollar Amount",IF(W415="","",W415),"")))),"")</f>
        <v/>
      </c>
      <c r="Y415" s="408" t="str">
        <f ca="1">IFERROR(T415-X415,"")</f>
        <v/>
      </c>
      <c r="Z415" s="410" t="str">
        <f>IFERROR(IF(X415="","",U415*X415),"")</f>
        <v/>
      </c>
    </row>
    <row r="416" spans="1:26" ht="18.75" customHeight="1">
      <c r="A416" s="140"/>
      <c r="B416" s="140"/>
      <c r="D416" s="172" t="s">
        <v>239</v>
      </c>
      <c r="E416" s="407" t="str">
        <f ca="1">_xlfn.IFNA(VLOOKUP(F414,BEGIN_CURRENT_HEALTH:END_CURRENT_HEALTH,CURRENT_COL_ES_count,FALSE),"")</f>
        <v/>
      </c>
      <c r="F416" s="408" t="str">
        <f ca="1">_xlfn.IFNA(VLOOKUP(F414,BEGIN_CURRENT_HEALTH:END_CURRENT_HEALTH,CURRENT_COL_ES,FALSE),"")</f>
        <v/>
      </c>
      <c r="G416" s="468" t="str">
        <f t="shared" ca="1" si="40"/>
        <v/>
      </c>
      <c r="H416" s="408" t="str">
        <f ca="1">_xlfn.IFNA(VLOOKUP(F414,BEGIN_CURRENT_HEALTH:END_CURRENT_HEALTH,CURRENT_COL_ESContrib,FALSE),"")</f>
        <v/>
      </c>
      <c r="I416" s="409" t="str">
        <f ca="1" t="shared" si="41" ref="I416:I418">IFERROR(F416-H416,"")</f>
        <v/>
      </c>
      <c r="J416" s="410" t="str">
        <f ca="1">IF(F416="","",H416*E416)</f>
        <v/>
      </c>
      <c r="K416" s="411"/>
      <c r="L416" s="408" t="str" cm="1">
        <f t="array" ca="1" aca="1" ref="L416">_xlfn.IFNA(VLOOKUP(INDIRECT("L"&amp;ROW()-2)&amp;"_"&amp;$D$12,BEGIN_RENEW_HEALTH:END_RENEW_HEALTH,RENEW_COL_ES,FALSE),"")</f>
        <v/>
      </c>
      <c r="M416" s="412" t="str">
        <f ca="1">IF(E416="","",E416)</f>
        <v/>
      </c>
      <c r="N416" s="413"/>
      <c r="O416" s="414"/>
      <c r="P416" s="415" t="str">
        <f>IFERROR(IF($N414="Keep Contribution Same",H416,IF($N414="Enter Percentages",IF(N416="","",N416*L416),IF($N414="Keep Percentage Same",IF(G416="","",G416*L416),IF($N414="Enter Dollar Amount",IF(O416="","",O416),"")))),"")</f>
        <v/>
      </c>
      <c r="Q416" s="408" t="str">
        <f ca="1">IFERROR(L416-P416,"")</f>
        <v/>
      </c>
      <c r="R416" s="410" t="str">
        <f>IFERROR(IF(P416="","",M416*P416),"")</f>
        <v/>
      </c>
      <c r="S416" s="411"/>
      <c r="T416" s="408" t="str" cm="1">
        <f t="array" ca="1" aca="1" ref="T416">_xlfn.IFNA(VLOOKUP(INDIRECT("T"&amp;ROW()-2)&amp;"_"&amp;$D$12,BEGIN_RENEW_HEALTH:END_RENEW_HEALTH,RENEW_COL_ES,FALSE),"")</f>
        <v/>
      </c>
      <c r="U416" s="412" t="str">
        <f ca="1" t="shared" si="42" ref="U416:U418">IF(E416="","",E416)</f>
        <v/>
      </c>
      <c r="V416" s="413"/>
      <c r="W416" s="414"/>
      <c r="X416" s="415" t="str">
        <f>IFERROR(IF($V414="Keep Contribution Same",H416,IF($V414="Enter Percentages",IF(V416="","",V416*T416),IF($V414="Keep Percentage Same",IF(G416="","",G416*T416),IF($V414="Enter Dollar Amount",IF(W416="","",W416),"")))),"")</f>
        <v/>
      </c>
      <c r="Y416" s="408" t="str">
        <f ca="1" t="shared" si="43" ref="Y416:Y418">IFERROR(T416-X416,"")</f>
        <v/>
      </c>
      <c r="Z416" s="410" t="str">
        <f t="shared" si="44" ref="Z416:Z418">IFERROR(IF(X416="","",U416*X416),"")</f>
        <v/>
      </c>
    </row>
    <row r="417" spans="1:26" ht="18.75" customHeight="1">
      <c r="A417" s="140"/>
      <c r="B417" s="140"/>
      <c r="D417" s="172" t="s">
        <v>240</v>
      </c>
      <c r="E417" s="407" t="str">
        <f ca="1">_xlfn.IFNA(VLOOKUP(F414,BEGIN_CURRENT_HEALTH:END_CURRENT_HEALTH,CURRENT_COL_EC_count,FALSE),"")</f>
        <v/>
      </c>
      <c r="F417" s="408" t="str">
        <f ca="1">_xlfn.IFNA(VLOOKUP(F414,BEGIN_CURRENT_HEALTH:END_CURRENT_HEALTH,CURRENT_COL_EC,FALSE),"")</f>
        <v/>
      </c>
      <c r="G417" s="468" t="str">
        <f t="shared" ca="1" si="40"/>
        <v/>
      </c>
      <c r="H417" s="408" t="str">
        <f ca="1">_xlfn.IFNA(VLOOKUP(F414,BEGIN_CURRENT_HEALTH:END_CURRENT_HEALTH,CURRENT_COL_ECContrib,FALSE),"")</f>
        <v/>
      </c>
      <c r="I417" s="409" t="str">
        <f t="shared" ca="1" si="41"/>
        <v/>
      </c>
      <c r="J417" s="410" t="str">
        <f ca="1">IF(F417="","",H417*E417)</f>
        <v/>
      </c>
      <c r="K417" s="411"/>
      <c r="L417" s="408" t="str" cm="1">
        <f t="array" ca="1" aca="1" ref="L417">_xlfn.IFNA(VLOOKUP(INDIRECT("L"&amp;ROW()-3)&amp;"_"&amp;$D$12,BEGIN_RENEW_HEALTH:END_RENEW_HEALTH,RENEW_COL_EC,FALSE),"")</f>
        <v/>
      </c>
      <c r="M417" s="412" t="str">
        <f ca="1">IF(E417="","",E417)</f>
        <v/>
      </c>
      <c r="N417" s="413"/>
      <c r="O417" s="414"/>
      <c r="P417" s="415" t="str">
        <f>IFERROR(IF($N414="Keep Contribution Same",H417,IF($N414="Enter Percentages",IF(N417="","",N417*L417),IF($N414="Keep Percentage Same",IF(G417="","",G417*L417),IF($N414="Enter Dollar Amount",IF(O417="","",O417),"")))),"")</f>
        <v/>
      </c>
      <c r="Q417" s="408" t="str">
        <f ca="1">IFERROR(L417-P417,"")</f>
        <v/>
      </c>
      <c r="R417" s="410" t="str">
        <f>IFERROR(IF(P417="","",M417*P417),"")</f>
        <v/>
      </c>
      <c r="S417" s="411"/>
      <c r="T417" s="408" t="str" cm="1">
        <f t="array" ca="1" aca="1" ref="T417">_xlfn.IFNA(VLOOKUP(INDIRECT("T"&amp;ROW()-3)&amp;"_"&amp;$D$12,BEGIN_RENEW_HEALTH:END_RENEW_HEALTH,RENEW_COL_EC,FALSE),"")</f>
        <v/>
      </c>
      <c r="U417" s="412" t="str">
        <f t="shared" ca="1" si="42"/>
        <v/>
      </c>
      <c r="V417" s="413"/>
      <c r="W417" s="414"/>
      <c r="X417" s="415" t="str">
        <f>IFERROR(IF($V414="Keep Contribution Same",H417,IF($V414="Enter Percentages",IF(V417="","",V417*T417),IF($V414="Keep Percentage Same",IF(G417="","",G417*T417),IF($V414="Enter Dollar Amount",IF(W417="","",W417),"")))),"")</f>
        <v/>
      </c>
      <c r="Y417" s="408" t="str">
        <f t="shared" ca="1" si="43"/>
        <v/>
      </c>
      <c r="Z417" s="410" t="str">
        <f t="shared" si="44"/>
        <v/>
      </c>
    </row>
    <row r="418" spans="1:26" ht="18.75" customHeight="1" thickBot="1">
      <c r="A418" s="140"/>
      <c r="B418" s="140"/>
      <c r="D418" s="174" t="s">
        <v>241</v>
      </c>
      <c r="E418" s="416" t="str">
        <f ca="1">_xlfn.IFNA(VLOOKUP(F414,BEGIN_CURRENT_HEALTH:END_CURRENT_HEALTH,CURRENT_COL_FAM_count,FALSE),"")</f>
        <v/>
      </c>
      <c r="F418" s="417" t="str">
        <f ca="1">_xlfn.IFNA(VLOOKUP(F414,BEGIN_CURRENT_HEALTH:END_CURRENT_HEALTH,CURRENT_COL_FAM,FALSE),"")</f>
        <v/>
      </c>
      <c r="G418" s="469" t="str">
        <f t="shared" ca="1" si="40"/>
        <v/>
      </c>
      <c r="H418" s="417" t="str">
        <f ca="1">_xlfn.IFNA(VLOOKUP(F414,BEGIN_CURRENT_HEALTH:END_CURRENT_HEALTH,CURRENT_COL_FAMContrib,FALSE),"")</f>
        <v/>
      </c>
      <c r="I418" s="418" t="str">
        <f t="shared" ca="1" si="41"/>
        <v/>
      </c>
      <c r="J418" s="419" t="str">
        <f ca="1">IF(F418="","",H418*E418)</f>
        <v/>
      </c>
      <c r="K418" s="411"/>
      <c r="L418" s="417" t="str" cm="1">
        <f t="array" ca="1" aca="1" ref="L418">_xlfn.IFNA(VLOOKUP(INDIRECT("L"&amp;ROW()-4)&amp;"_"&amp;$D$12,BEGIN_RENEW_HEALTH:END_RENEW_HEALTH,RENEW_COL_FAM,FALSE),"")</f>
        <v/>
      </c>
      <c r="M418" s="423" t="str">
        <f ca="1">IF(E418="","",E418)</f>
        <v/>
      </c>
      <c r="N418" s="420"/>
      <c r="O418" s="421"/>
      <c r="P418" s="422" t="str">
        <f>IFERROR(IF($N414="Keep Contribution Same",H418,IF($N414="Enter Percentages",IF(N418="","",N418*L418),IF($N414="Keep Percentage Same",IF(G418="","",G418*L418),IF($N414="Enter Dollar Amount",IF(O418="","",O418),"")))),"")</f>
        <v/>
      </c>
      <c r="Q418" s="417" t="str">
        <f ca="1">IFERROR(L418-P418,"")</f>
        <v/>
      </c>
      <c r="R418" s="419" t="str">
        <f>IFERROR(IF(P418="","",M418*P418),"")</f>
        <v/>
      </c>
      <c r="S418" s="411"/>
      <c r="T418" s="417" t="str" cm="1">
        <f t="array" ca="1" aca="1" ref="T418">_xlfn.IFNA(VLOOKUP(INDIRECT("T"&amp;ROW()-4)&amp;"_"&amp;$D$12,BEGIN_RENEW_HEALTH:END_RENEW_HEALTH,RENEW_COL_FAM,FALSE),"")</f>
        <v/>
      </c>
      <c r="U418" s="423" t="str">
        <f t="shared" ca="1" si="42"/>
        <v/>
      </c>
      <c r="V418" s="420"/>
      <c r="W418" s="421"/>
      <c r="X418" s="422" t="str">
        <f>IFERROR(IF($V414="Keep Contribution Same",H418,IF($V414="Enter Percentages",IF(V418="","",V418*T418),IF($V414="Keep Percentage Same",IF(G418="","",G418*T418),IF($V414="Enter Dollar Amount",IF(W418="","",W418),"")))),"")</f>
        <v/>
      </c>
      <c r="Y418" s="417" t="str">
        <f t="shared" ca="1" si="43"/>
        <v/>
      </c>
      <c r="Z418" s="419" t="str">
        <f t="shared" si="44"/>
        <v/>
      </c>
    </row>
    <row r="419" spans="1:26" ht="18.75" customHeight="1" thickTop="1">
      <c r="A419" s="140"/>
      <c r="B419" s="140"/>
      <c r="D419" s="175" t="s">
        <v>242</v>
      </c>
      <c r="E419" s="424"/>
      <c r="F419" s="447" t="str">
        <f ca="1">IFERROR((F415*E415)+(F416*E416)+(F417*E417)+(F418*E418),"")</f>
        <v/>
      </c>
      <c r="G419" s="426"/>
      <c r="H419" s="427"/>
      <c r="I419" s="428"/>
      <c r="J419" s="429" t="str">
        <f ca="1">IFERROR(IF(J415="","",SUM(J415:J418)),0)</f>
        <v/>
      </c>
      <c r="K419" s="1"/>
      <c r="L419" s="430" t="str">
        <f ca="1">IFERROR((M415*L415)+(M416*L416)+(M417*L417)+(M418*L418),"")</f>
        <v/>
      </c>
      <c r="M419" s="427"/>
      <c r="N419" s="426"/>
      <c r="O419" s="427"/>
      <c r="P419" s="431"/>
      <c r="Q419" s="432"/>
      <c r="R419" s="429" t="str">
        <f>IFERROR(IF(R415="","",SUM(R415:R418)),0)</f>
        <v/>
      </c>
      <c r="T419" s="430" t="str">
        <f ca="1">IFERROR((U415*T415)+(U416*T416)+(U417*T417)+(U418*T418),"")</f>
        <v/>
      </c>
      <c r="U419" s="427"/>
      <c r="V419" s="426"/>
      <c r="W419" s="427"/>
      <c r="X419" s="431"/>
      <c r="Y419" s="432"/>
      <c r="Z419" s="429" t="str">
        <f>IFERROR(IF(Z415="","",SUM(Z415:Z418)),0)</f>
        <v/>
      </c>
    </row>
    <row r="420" spans="1:26" ht="18.75" customHeight="1">
      <c r="A420" s="140"/>
      <c r="B420" s="140"/>
      <c r="D420" s="177" t="s">
        <v>243</v>
      </c>
      <c r="E420" s="433"/>
      <c r="F420" s="448" t="str">
        <f ca="1">IFERROR(F419*12,"")</f>
        <v/>
      </c>
      <c r="G420" s="435"/>
      <c r="H420" s="436"/>
      <c r="I420" s="432"/>
      <c r="J420" s="437" t="str">
        <f ca="1">IF(J419="","",J419*12)</f>
        <v/>
      </c>
      <c r="K420" s="1"/>
      <c r="L420" s="438" t="str">
        <f ca="1">IFERROR(L419*12,"")</f>
        <v/>
      </c>
      <c r="M420" s="436"/>
      <c r="N420" s="435"/>
      <c r="O420" s="436"/>
      <c r="P420" s="432"/>
      <c r="Q420" s="432"/>
      <c r="R420" s="437" t="str">
        <f>IF(R419="","",R419*12)</f>
        <v/>
      </c>
      <c r="T420" s="438" t="str">
        <f ca="1">IFERROR(T419*12,"")</f>
        <v/>
      </c>
      <c r="U420" s="436"/>
      <c r="V420" s="435"/>
      <c r="W420" s="436"/>
      <c r="X420" s="432"/>
      <c r="Y420" s="432"/>
      <c r="Z420" s="437" t="str">
        <f>IF(Z419="","",Z419*12)</f>
        <v/>
      </c>
    </row>
    <row r="421" spans="1:26" ht="18" customHeight="1">
      <c r="A421" s="140"/>
      <c r="B421" s="140"/>
      <c r="D421" s="177" t="s">
        <v>244</v>
      </c>
      <c r="E421" s="433"/>
      <c r="F421" s="436"/>
      <c r="G421" s="435"/>
      <c r="H421" s="436"/>
      <c r="I421" s="432"/>
      <c r="J421" s="437"/>
      <c r="K421" s="1"/>
      <c r="L421" s="434" t="str">
        <f ca="1">IFERROR(L420-F420,"")</f>
        <v/>
      </c>
      <c r="M421" s="436"/>
      <c r="N421" s="435"/>
      <c r="O421" s="436"/>
      <c r="P421" s="432"/>
      <c r="Q421" s="432"/>
      <c r="R421" s="437" t="str">
        <f ca="1">IFERROR(IF(J420="","",R420-J420),0)</f>
        <v/>
      </c>
      <c r="T421" s="434" t="str">
        <f ca="1">IFERROR(T420-F420,"")</f>
        <v/>
      </c>
      <c r="U421" s="436"/>
      <c r="V421" s="435"/>
      <c r="W421" s="436"/>
      <c r="X421" s="432"/>
      <c r="Y421" s="432"/>
      <c r="Z421" s="437" t="str">
        <f>IFERROR(IF(R420="","",Z420-R420),0)</f>
        <v/>
      </c>
    </row>
    <row r="422" spans="1:26" ht="18" customHeight="1" thickBot="1">
      <c r="A422" s="140"/>
      <c r="B422" s="140"/>
      <c r="D422" s="180" t="s">
        <v>245</v>
      </c>
      <c r="E422" s="439"/>
      <c r="F422" s="440"/>
      <c r="G422" s="441"/>
      <c r="H422" s="440"/>
      <c r="I422" s="442"/>
      <c r="J422" s="443"/>
      <c r="K422" s="1"/>
      <c r="L422" s="444" t="str">
        <f ca="1">IFERROR(L420/F420-1,"")</f>
        <v/>
      </c>
      <c r="M422" s="440"/>
      <c r="N422" s="441"/>
      <c r="O422" s="440"/>
      <c r="P422" s="445"/>
      <c r="Q422" s="445"/>
      <c r="R422" s="446" t="str">
        <f ca="1">IFERROR(IF(J420="","",(R420/J420)-1),0)</f>
        <v/>
      </c>
      <c r="T422" s="444" t="str">
        <f ca="1">IFERROR(T420/F420-1,"")</f>
        <v/>
      </c>
      <c r="U422" s="440"/>
      <c r="V422" s="441"/>
      <c r="W422" s="440"/>
      <c r="X422" s="445"/>
      <c r="Y422" s="445"/>
      <c r="Z422" s="446" t="str">
        <f>IFERROR(IF(R420="","",(Z420/R420)-1),0)</f>
        <v/>
      </c>
    </row>
    <row r="423" spans="1:26" ht="18" customHeight="1">
      <c r="A423" s="140"/>
      <c r="B423" s="140"/>
      <c r="D423" s="181" t="s">
        <v>246</v>
      </c>
      <c r="E423" s="182"/>
      <c r="F423" s="182"/>
      <c r="G423" s="182"/>
      <c r="H423" s="182"/>
      <c r="I423" s="182"/>
      <c r="J423" s="183"/>
      <c r="K423"/>
      <c r="L423" s="184"/>
      <c r="M423" s="182"/>
      <c r="N423" s="182"/>
      <c r="O423" s="182"/>
      <c r="P423" s="182"/>
      <c r="Q423" s="182"/>
      <c r="R423" s="183"/>
      <c r="T423" s="184"/>
      <c r="U423" s="182"/>
      <c r="V423" s="182"/>
      <c r="W423" s="182"/>
      <c r="X423" s="182"/>
      <c r="Y423" s="182"/>
      <c r="Z423" s="183"/>
    </row>
    <row r="424" spans="1:26" ht="18" customHeight="1" hidden="1">
      <c r="A424" s="140"/>
      <c r="B424" s="140"/>
      <c r="D424" s="185" t="s">
        <v>247</v>
      </c>
      <c r="E424" s="186"/>
      <c r="F424" s="186"/>
      <c r="G424" s="186"/>
      <c r="H424" s="186"/>
      <c r="I424" s="186"/>
      <c r="J424" s="187"/>
      <c r="K424"/>
      <c r="L424" s="188"/>
      <c r="M424" s="186"/>
      <c r="N424" s="186"/>
      <c r="O424" s="186"/>
      <c r="P424" s="186"/>
      <c r="Q424" s="186"/>
      <c r="R424" s="187"/>
      <c r="T424" s="188"/>
      <c r="U424" s="186"/>
      <c r="V424" s="186"/>
      <c r="W424" s="186"/>
      <c r="X424" s="186"/>
      <c r="Y424" s="186"/>
      <c r="Z424" s="187"/>
    </row>
    <row r="425" spans="1:26" ht="18" customHeight="1" hidden="1">
      <c r="A425" s="140"/>
      <c r="B425" s="140"/>
      <c r="D425" s="189" t="s">
        <v>248</v>
      </c>
      <c r="E425" s="190" t="str">
        <f>D414&amp;"_"&amp;D12</f>
        <v>_</v>
      </c>
      <c r="F425" s="191"/>
      <c r="G425" s="191"/>
      <c r="H425" s="191"/>
      <c r="I425" s="190"/>
      <c r="J425" s="192"/>
      <c r="K425"/>
      <c r="L425" s="193" t="str">
        <f ca="1">L414&amp;"_"&amp;D12</f>
        <v>SELECT PLAN_</v>
      </c>
      <c r="M425" s="191"/>
      <c r="N425" s="191"/>
      <c r="O425" s="191"/>
      <c r="P425" s="190"/>
      <c r="Q425" s="191"/>
      <c r="R425" s="192"/>
      <c r="T425" s="193" t="str">
        <f>T414&amp;"_"&amp;D12</f>
        <v>SELECT PLAN_</v>
      </c>
      <c r="U425" s="191"/>
      <c r="V425" s="191"/>
      <c r="W425" s="191"/>
      <c r="X425" s="190"/>
      <c r="Y425" s="191"/>
      <c r="Z425" s="192"/>
    </row>
    <row r="426" spans="1:26" ht="18" customHeight="1" hidden="1">
      <c r="A426" s="140"/>
      <c r="B426" s="140"/>
      <c r="D426" s="189" t="s">
        <v>249</v>
      </c>
      <c r="E426" s="191"/>
      <c r="F426" s="191"/>
      <c r="G426" s="191"/>
      <c r="H426" s="191"/>
      <c r="I426" s="191"/>
      <c r="J426" s="192"/>
      <c r="K426"/>
      <c r="L426" s="189"/>
      <c r="M426" s="191"/>
      <c r="N426" s="191"/>
      <c r="O426" s="191"/>
      <c r="P426" s="191"/>
      <c r="Q426" s="191"/>
      <c r="R426" s="192"/>
      <c r="T426" s="189"/>
      <c r="U426" s="191"/>
      <c r="V426" s="191"/>
      <c r="W426" s="191"/>
      <c r="X426" s="191"/>
      <c r="Y426" s="191"/>
      <c r="Z426" s="192"/>
    </row>
    <row r="427" spans="1:26" ht="18" customHeight="1" hidden="1">
      <c r="A427" s="140"/>
      <c r="B427" s="140"/>
      <c r="D427" s="194" t="s">
        <v>250</v>
      </c>
      <c r="E427" s="195"/>
      <c r="F427" s="195"/>
      <c r="G427" s="195"/>
      <c r="H427" s="195"/>
      <c r="I427" s="195"/>
      <c r="J427" s="196"/>
      <c r="K427"/>
      <c r="L427" s="197"/>
      <c r="M427" s="195"/>
      <c r="N427" s="195"/>
      <c r="O427" s="195"/>
      <c r="P427" s="195"/>
      <c r="Q427" s="195"/>
      <c r="R427" s="196"/>
      <c r="T427" s="197"/>
      <c r="U427" s="195"/>
      <c r="V427" s="195"/>
      <c r="W427" s="195"/>
      <c r="X427" s="195"/>
      <c r="Y427" s="195"/>
      <c r="Z427" s="196"/>
    </row>
    <row r="428" spans="1:26" ht="18" customHeight="1" hidden="1">
      <c r="A428" s="140"/>
      <c r="B428" s="140"/>
      <c r="D428" s="198" t="s">
        <v>251</v>
      </c>
      <c r="E428" s="199" t="str">
        <f>_xlfn.XLOOKUP(E425,CurrentPlans!B:B,CurrentPlans!X:X,"NA",0,1)</f>
        <v>NA</v>
      </c>
      <c r="F428" s="200"/>
      <c r="G428" s="200"/>
      <c r="H428" s="200"/>
      <c r="I428" s="199"/>
      <c r="J428" s="201"/>
      <c r="K428"/>
      <c r="L428" s="202" t="str">
        <f ca="1">_xlfn.XLOOKUP(L425,RenewalPlans!B:B,RenewalPlans!AA:AA,"NA",0,1)</f>
        <v>NA</v>
      </c>
      <c r="M428" s="200"/>
      <c r="N428" s="200"/>
      <c r="O428" s="200"/>
      <c r="P428" s="199"/>
      <c r="Q428" s="200"/>
      <c r="R428" s="201"/>
      <c r="T428" s="202" t="str">
        <f>_xlfn.XLOOKUP(T425,RenewalPlans!B:B,RenewalPlans!AA:AA,"NA",0,1)</f>
        <v>NA</v>
      </c>
      <c r="U428" s="200"/>
      <c r="V428" s="200"/>
      <c r="W428" s="200"/>
      <c r="X428" s="199"/>
      <c r="Y428" s="200"/>
      <c r="Z428" s="201"/>
    </row>
    <row r="429" spans="1:26" ht="18" customHeight="1" hidden="1">
      <c r="A429" s="140"/>
      <c r="B429" s="140"/>
      <c r="D429" s="198" t="s">
        <v>252</v>
      </c>
      <c r="E429" s="199" t="str">
        <f>_xlfn.XLOOKUP(E425,CurrentPlans!B:B,CurrentPlans!Y:Y,"NA",0,1)</f>
        <v>NA</v>
      </c>
      <c r="F429" s="200"/>
      <c r="G429" s="200"/>
      <c r="H429" s="200"/>
      <c r="I429" s="199"/>
      <c r="J429" s="201"/>
      <c r="K429"/>
      <c r="L429" s="202" t="str">
        <f ca="1">_xlfn.XLOOKUP(L425,RenewalPlans!B:B,RenewalPlans!AB:AB,"NA",0,1)</f>
        <v>NA</v>
      </c>
      <c r="M429" s="200"/>
      <c r="N429" s="200"/>
      <c r="O429" s="200"/>
      <c r="P429" s="199"/>
      <c r="Q429" s="200"/>
      <c r="R429" s="201"/>
      <c r="T429" s="202" t="str">
        <f>_xlfn.XLOOKUP(T425,RenewalPlans!B:B,RenewalPlans!AB:AB,"NA",0,1)</f>
        <v>NA</v>
      </c>
      <c r="U429" s="200"/>
      <c r="V429" s="200"/>
      <c r="W429" s="200"/>
      <c r="X429" s="199"/>
      <c r="Y429" s="200"/>
      <c r="Z429" s="201"/>
    </row>
    <row r="430" spans="1:26" ht="18" customHeight="1" hidden="1">
      <c r="A430" s="140"/>
      <c r="B430" s="140"/>
      <c r="D430" s="120" t="s">
        <v>253</v>
      </c>
      <c r="E430" s="121" t="str">
        <f>_xlfn.XLOOKUP(E425,CurrentPlans!B:B,CurrentPlans!W:W,"NA",0,1)</f>
        <v>NA</v>
      </c>
      <c r="F430" s="122"/>
      <c r="G430" s="122"/>
      <c r="H430" s="122"/>
      <c r="I430" s="121"/>
      <c r="J430" s="123"/>
      <c r="K430"/>
      <c r="L430" s="124" t="str">
        <f ca="1">_xlfn.XLOOKUP(L425,RenewalPlans!B:B,RenewalPlans!Z:Z,"NA",0,1)</f>
        <v>NA</v>
      </c>
      <c r="M430" s="122"/>
      <c r="N430" s="122"/>
      <c r="O430" s="122"/>
      <c r="P430" s="121"/>
      <c r="Q430" s="122"/>
      <c r="R430" s="123"/>
      <c r="T430" s="124" t="str">
        <f>_xlfn.XLOOKUP(T425,RenewalPlans!B:B,RenewalPlans!Z:Z,"NA",0,1)</f>
        <v>NA</v>
      </c>
      <c r="U430" s="122"/>
      <c r="V430" s="122"/>
      <c r="W430" s="122"/>
      <c r="X430" s="121"/>
      <c r="Y430" s="122"/>
      <c r="Z430" s="123"/>
    </row>
    <row r="431" spans="1:26" ht="18" customHeight="1" hidden="1">
      <c r="A431" s="140"/>
      <c r="B431" s="140"/>
      <c r="D431" s="203" t="s">
        <v>254</v>
      </c>
      <c r="E431" s="204"/>
      <c r="F431" s="205"/>
      <c r="G431" s="205"/>
      <c r="H431" s="205"/>
      <c r="I431" s="204"/>
      <c r="J431" s="206"/>
      <c r="K431"/>
      <c r="L431" s="207"/>
      <c r="M431" s="205"/>
      <c r="N431" s="205"/>
      <c r="O431" s="205"/>
      <c r="P431" s="204"/>
      <c r="Q431" s="205"/>
      <c r="R431" s="206"/>
      <c r="T431" s="207"/>
      <c r="U431" s="205"/>
      <c r="V431" s="205"/>
      <c r="W431" s="205"/>
      <c r="X431" s="204"/>
      <c r="Y431" s="205"/>
      <c r="Z431" s="206"/>
    </row>
    <row r="432" spans="1:26" ht="18" customHeight="1" hidden="1">
      <c r="A432" s="140"/>
      <c r="B432" s="140"/>
      <c r="D432" s="125" t="s">
        <v>255</v>
      </c>
      <c r="E432" s="126" t="str">
        <f>_xlfn.XLOOKUP(E425,CurrentPlans!B:B,CurrentPlans!Z:Z,"NA",0,1)</f>
        <v>NA</v>
      </c>
      <c r="F432" s="127"/>
      <c r="G432" s="127"/>
      <c r="H432" s="127"/>
      <c r="I432" s="126"/>
      <c r="J432" s="128"/>
      <c r="K432"/>
      <c r="L432" s="129" t="str">
        <f ca="1">_xlfn.XLOOKUP(L425,RenewalPlans!B:B,RenewalPlans!AC:AC,"NA",0,1)</f>
        <v>NA</v>
      </c>
      <c r="M432" s="127"/>
      <c r="N432" s="127"/>
      <c r="O432" s="127"/>
      <c r="P432" s="126"/>
      <c r="Q432" s="127"/>
      <c r="R432" s="128"/>
      <c r="T432" s="129" t="str">
        <f>_xlfn.XLOOKUP(T425,RenewalPlans!B:B,RenewalPlans!AC:AC,"NA",0,1)</f>
        <v>NA</v>
      </c>
      <c r="U432" s="127"/>
      <c r="V432" s="127"/>
      <c r="W432" s="127"/>
      <c r="X432" s="126"/>
      <c r="Y432" s="127"/>
      <c r="Z432" s="128"/>
    </row>
    <row r="433" spans="1:26" ht="18" customHeight="1" hidden="1">
      <c r="A433" s="140"/>
      <c r="B433" s="140"/>
      <c r="D433" s="198" t="s">
        <v>256</v>
      </c>
      <c r="E433" s="208" t="str">
        <f>_xlfn.XLOOKUP(E425,CurrentPlans!B:B,CurrentPlans!AA:AA,"NA",0,1)</f>
        <v>NA</v>
      </c>
      <c r="F433" s="200"/>
      <c r="G433" s="200"/>
      <c r="H433" s="200"/>
      <c r="I433" s="208"/>
      <c r="J433" s="201"/>
      <c r="K433"/>
      <c r="L433" s="209" t="str">
        <f ca="1">_xlfn.XLOOKUP(L425,RenewalPlans!B:B,RenewalPlans!AD:AD,"NA",0,1)</f>
        <v>NA</v>
      </c>
      <c r="M433" s="200"/>
      <c r="N433" s="200"/>
      <c r="O433" s="200"/>
      <c r="P433" s="208"/>
      <c r="Q433" s="200"/>
      <c r="R433" s="201"/>
      <c r="T433" s="209" t="str">
        <f>_xlfn.XLOOKUP(T425,RenewalPlans!B:B,RenewalPlans!AD:AD,"NA",0,1)</f>
        <v>NA</v>
      </c>
      <c r="U433" s="200"/>
      <c r="V433" s="200"/>
      <c r="W433" s="200"/>
      <c r="X433" s="208"/>
      <c r="Y433" s="200"/>
      <c r="Z433" s="201"/>
    </row>
    <row r="434" spans="1:26" ht="18" customHeight="1" hidden="1">
      <c r="A434" s="140"/>
      <c r="B434" s="140"/>
      <c r="D434" s="203" t="s">
        <v>257</v>
      </c>
      <c r="E434" s="204"/>
      <c r="F434" s="205"/>
      <c r="G434" s="205"/>
      <c r="H434" s="205"/>
      <c r="I434" s="204"/>
      <c r="J434" s="206"/>
      <c r="K434"/>
      <c r="L434" s="207"/>
      <c r="M434" s="205"/>
      <c r="N434" s="205"/>
      <c r="O434" s="205"/>
      <c r="P434" s="204"/>
      <c r="Q434" s="205"/>
      <c r="R434" s="206"/>
      <c r="T434" s="207"/>
      <c r="U434" s="205"/>
      <c r="V434" s="205"/>
      <c r="W434" s="205"/>
      <c r="X434" s="204"/>
      <c r="Y434" s="205"/>
      <c r="Z434" s="206"/>
    </row>
    <row r="435" spans="1:26" ht="18" customHeight="1" hidden="1">
      <c r="A435" s="140"/>
      <c r="B435" s="140"/>
      <c r="D435" s="198" t="s">
        <v>258</v>
      </c>
      <c r="E435" s="208" t="str">
        <f>_xlfn.XLOOKUP(E425,CurrentPlans!B:B,CurrentPlans!AB:AB,"NA",0,1)</f>
        <v>NA</v>
      </c>
      <c r="F435" s="200"/>
      <c r="G435" s="200"/>
      <c r="H435" s="200"/>
      <c r="I435" s="208"/>
      <c r="J435" s="201"/>
      <c r="K435"/>
      <c r="L435" s="209" t="str">
        <f ca="1">_xlfn.XLOOKUP(L425,RenewalPlans!B:B,RenewalPlans!AE:AE,"NA",0,1)</f>
        <v>NA</v>
      </c>
      <c r="M435" s="200"/>
      <c r="N435" s="200"/>
      <c r="O435" s="200"/>
      <c r="P435" s="208"/>
      <c r="Q435" s="200"/>
      <c r="R435" s="201"/>
      <c r="T435" s="209" t="str">
        <f>_xlfn.XLOOKUP(T425,RenewalPlans!B:B,RenewalPlans!AE:AE,"NA",0,1)</f>
        <v>NA</v>
      </c>
      <c r="U435" s="200"/>
      <c r="V435" s="200"/>
      <c r="W435" s="200"/>
      <c r="X435" s="208"/>
      <c r="Y435" s="200"/>
      <c r="Z435" s="201"/>
    </row>
    <row r="436" spans="1:26" ht="18" customHeight="1" hidden="1">
      <c r="A436" s="140"/>
      <c r="B436" s="140"/>
      <c r="D436" s="198" t="s">
        <v>259</v>
      </c>
      <c r="E436" s="208" t="str">
        <f>_xlfn.XLOOKUP(E425,CurrentPlans!B:B,CurrentPlans!AC:AC,"NA",0,1)</f>
        <v>NA</v>
      </c>
      <c r="F436" s="200"/>
      <c r="G436" s="200"/>
      <c r="H436" s="200"/>
      <c r="I436" s="208"/>
      <c r="J436" s="201"/>
      <c r="K436"/>
      <c r="L436" s="209" t="str">
        <f ca="1">_xlfn.XLOOKUP(L425,RenewalPlans!B:B,RenewalPlans!AF:AF,"NA",0,1)</f>
        <v>NA</v>
      </c>
      <c r="M436" s="200"/>
      <c r="N436" s="200"/>
      <c r="O436" s="200"/>
      <c r="P436" s="208"/>
      <c r="Q436" s="200"/>
      <c r="R436" s="201"/>
      <c r="T436" s="209" t="str">
        <f>_xlfn.XLOOKUP(T425,RenewalPlans!B:B,RenewalPlans!AF:AF,"NA",0,1)</f>
        <v>NA</v>
      </c>
      <c r="U436" s="200"/>
      <c r="V436" s="200"/>
      <c r="W436" s="200"/>
      <c r="X436" s="208"/>
      <c r="Y436" s="200"/>
      <c r="Z436" s="201"/>
    </row>
    <row r="437" spans="1:26" ht="18" customHeight="1" hidden="1">
      <c r="A437" s="140"/>
      <c r="B437" s="140"/>
      <c r="D437" s="210"/>
      <c r="E437" s="211"/>
      <c r="F437" s="211"/>
      <c r="G437" s="211"/>
      <c r="H437" s="211"/>
      <c r="I437" s="211"/>
      <c r="J437" s="212"/>
      <c r="K437"/>
      <c r="L437" s="210"/>
      <c r="M437" s="211"/>
      <c r="N437" s="211"/>
      <c r="O437" s="211"/>
      <c r="P437" s="211"/>
      <c r="Q437" s="211"/>
      <c r="R437" s="212"/>
      <c r="T437" s="210"/>
      <c r="U437" s="211"/>
      <c r="V437" s="211"/>
      <c r="W437" s="211"/>
      <c r="X437" s="211"/>
      <c r="Y437" s="211"/>
      <c r="Z437" s="212"/>
    </row>
    <row r="438" spans="1:26" ht="18" customHeight="1" hidden="1">
      <c r="A438" s="140"/>
      <c r="B438" s="140"/>
      <c r="D438" s="185" t="s">
        <v>260</v>
      </c>
      <c r="E438" s="186"/>
      <c r="F438" s="186"/>
      <c r="G438" s="186"/>
      <c r="H438" s="186"/>
      <c r="I438" s="186"/>
      <c r="J438" s="187"/>
      <c r="K438"/>
      <c r="L438" s="188"/>
      <c r="M438" s="186"/>
      <c r="N438" s="186"/>
      <c r="O438" s="186"/>
      <c r="P438" s="186"/>
      <c r="Q438" s="186"/>
      <c r="R438" s="187"/>
      <c r="T438" s="188"/>
      <c r="U438" s="186"/>
      <c r="V438" s="186"/>
      <c r="W438" s="186"/>
      <c r="X438" s="186"/>
      <c r="Y438" s="186"/>
      <c r="Z438" s="187"/>
    </row>
    <row r="439" spans="1:26" ht="18" customHeight="1" hidden="1">
      <c r="A439" s="140"/>
      <c r="B439" s="140"/>
      <c r="D439" s="213" t="s">
        <v>261</v>
      </c>
      <c r="E439" s="130" t="str">
        <f>_xlfn.XLOOKUP(E425,CurrentPlans!B:B,CurrentPlans!AJ:AJ,"NA",0,1)</f>
        <v>NA</v>
      </c>
      <c r="F439" s="214"/>
      <c r="G439" s="214"/>
      <c r="H439" s="214"/>
      <c r="I439" s="130"/>
      <c r="J439" s="215"/>
      <c r="K439"/>
      <c r="L439" s="131" t="str">
        <f ca="1">_xlfn.XLOOKUP(L425,RenewalPlans!B:B,RenewalPlans!AM:AM,"NA",0,1)</f>
        <v>NA</v>
      </c>
      <c r="M439" s="214"/>
      <c r="N439" s="214"/>
      <c r="O439" s="214"/>
      <c r="P439" s="130"/>
      <c r="Q439" s="214"/>
      <c r="R439" s="215"/>
      <c r="T439" s="131" t="str">
        <f>_xlfn.XLOOKUP(T425,RenewalPlans!B:B,RenewalPlans!AM:AM,"NA",0,1)</f>
        <v>NA</v>
      </c>
      <c r="U439" s="214"/>
      <c r="V439" s="214"/>
      <c r="W439" s="214"/>
      <c r="X439" s="130"/>
      <c r="Y439" s="214"/>
      <c r="Z439" s="215"/>
    </row>
    <row r="440" spans="1:26" ht="18" customHeight="1" hidden="1">
      <c r="A440" s="140"/>
      <c r="B440" s="140"/>
      <c r="D440" s="198" t="s">
        <v>262</v>
      </c>
      <c r="E440" s="130" t="str">
        <f>_xlfn.XLOOKUP(E425,CurrentPlans!B:B,CurrentPlans!AM:AM,"NA",0,1)</f>
        <v>NA</v>
      </c>
      <c r="F440" s="200"/>
      <c r="G440" s="200"/>
      <c r="H440" s="200"/>
      <c r="I440" s="130"/>
      <c r="J440" s="201"/>
      <c r="K440"/>
      <c r="L440" s="131" t="str">
        <f ca="1">_xlfn.XLOOKUP(L425,RenewalPlans!B:B,RenewalPlans!AP:AP,"NA",0,1)</f>
        <v>NA</v>
      </c>
      <c r="M440" s="200"/>
      <c r="N440" s="200"/>
      <c r="O440" s="200"/>
      <c r="P440" s="130"/>
      <c r="Q440" s="200"/>
      <c r="R440" s="201"/>
      <c r="T440" s="131" t="str">
        <f>_xlfn.XLOOKUP(T425,RenewalPlans!B:B,RenewalPlans!AP:AP,"NA",0,1)</f>
        <v>NA</v>
      </c>
      <c r="U440" s="200"/>
      <c r="V440" s="200"/>
      <c r="W440" s="200"/>
      <c r="X440" s="130"/>
      <c r="Y440" s="200"/>
      <c r="Z440" s="201"/>
    </row>
    <row r="441" spans="1:26" ht="18" customHeight="1" hidden="1">
      <c r="A441" s="140"/>
      <c r="B441" s="140"/>
      <c r="D441" s="198" t="s">
        <v>263</v>
      </c>
      <c r="E441" s="130" t="str">
        <f>_xlfn.XLOOKUP(E425,CurrentPlans!B:B,CurrentPlans!AI:AI,"NA",0,1)</f>
        <v>NA</v>
      </c>
      <c r="F441" s="200"/>
      <c r="G441" s="200"/>
      <c r="H441" s="200"/>
      <c r="I441" s="130"/>
      <c r="J441" s="201"/>
      <c r="K441"/>
      <c r="L441" s="131" t="str">
        <f ca="1">_xlfn.XLOOKUP(L425,RenewalPlans!B:B,RenewalPlans!AL:AL,"NA",0,1)</f>
        <v>NA</v>
      </c>
      <c r="M441" s="200"/>
      <c r="N441" s="200"/>
      <c r="O441" s="200"/>
      <c r="P441" s="130"/>
      <c r="Q441" s="200"/>
      <c r="R441" s="201"/>
      <c r="T441" s="131" t="str">
        <f>_xlfn.XLOOKUP(T425,RenewalPlans!B:B,RenewalPlans!AL:AL,"NA",0,1)</f>
        <v>NA</v>
      </c>
      <c r="U441" s="200"/>
      <c r="V441" s="200"/>
      <c r="W441" s="200"/>
      <c r="X441" s="130"/>
      <c r="Y441" s="200"/>
      <c r="Z441" s="201"/>
    </row>
    <row r="442" spans="1:26" ht="18" customHeight="1" hidden="1">
      <c r="A442" s="140"/>
      <c r="B442" s="140"/>
      <c r="D442" s="198" t="s">
        <v>264</v>
      </c>
      <c r="E442" s="208" t="str">
        <f>_xlfn.XLOOKUP(E425,CurrentPlans!B:B,CurrentPlans!AN:AN,"NA",0,1)</f>
        <v>NA</v>
      </c>
      <c r="F442" s="200"/>
      <c r="G442" s="200"/>
      <c r="H442" s="200"/>
      <c r="I442" s="208"/>
      <c r="J442" s="201"/>
      <c r="K442"/>
      <c r="L442" s="209" t="str">
        <f ca="1">_xlfn.XLOOKUP(L425,RenewalPlans!B:B,RenewalPlans!AQ:AQ,"NA",0,1)</f>
        <v>NA</v>
      </c>
      <c r="M442" s="200"/>
      <c r="N442" s="200"/>
      <c r="O442" s="200"/>
      <c r="P442" s="208"/>
      <c r="Q442" s="200"/>
      <c r="R442" s="201"/>
      <c r="T442" s="209" t="str">
        <f>_xlfn.XLOOKUP(T425,RenewalPlans!B:B,RenewalPlans!AQ:AQ,"NA",0,1)</f>
        <v>NA</v>
      </c>
      <c r="U442" s="200"/>
      <c r="V442" s="200"/>
      <c r="W442" s="200"/>
      <c r="X442" s="208"/>
      <c r="Y442" s="200"/>
      <c r="Z442" s="201"/>
    </row>
    <row r="443" spans="1:26" ht="18" customHeight="1" hidden="1">
      <c r="A443" s="140"/>
      <c r="B443" s="140"/>
      <c r="D443" s="210"/>
      <c r="E443" s="211"/>
      <c r="F443" s="211"/>
      <c r="G443" s="211"/>
      <c r="H443" s="211"/>
      <c r="I443" s="211"/>
      <c r="J443" s="212"/>
      <c r="K443"/>
      <c r="L443" s="210"/>
      <c r="M443" s="211"/>
      <c r="N443" s="211"/>
      <c r="O443" s="211"/>
      <c r="P443" s="211"/>
      <c r="Q443" s="211"/>
      <c r="R443" s="212"/>
      <c r="T443" s="210"/>
      <c r="U443" s="211"/>
      <c r="V443" s="211"/>
      <c r="W443" s="211"/>
      <c r="X443" s="211"/>
      <c r="Y443" s="211"/>
      <c r="Z443" s="212"/>
    </row>
    <row r="444" spans="1:26" ht="18" customHeight="1" hidden="1">
      <c r="A444" s="140"/>
      <c r="B444" s="140"/>
      <c r="D444" s="185" t="s">
        <v>265</v>
      </c>
      <c r="E444" s="186"/>
      <c r="F444" s="186"/>
      <c r="G444" s="186"/>
      <c r="H444" s="186"/>
      <c r="I444" s="186"/>
      <c r="J444" s="187"/>
      <c r="K444"/>
      <c r="L444" s="188"/>
      <c r="M444" s="186"/>
      <c r="N444" s="186"/>
      <c r="O444" s="186"/>
      <c r="P444" s="186"/>
      <c r="Q444" s="186"/>
      <c r="R444" s="187"/>
      <c r="T444" s="188"/>
      <c r="U444" s="186"/>
      <c r="V444" s="186"/>
      <c r="W444" s="186"/>
      <c r="X444" s="186"/>
      <c r="Y444" s="186"/>
      <c r="Z444" s="187"/>
    </row>
    <row r="445" spans="1:26" ht="18" customHeight="1" hidden="1">
      <c r="A445" s="140"/>
      <c r="B445" s="140"/>
      <c r="D445" s="132" t="s">
        <v>266</v>
      </c>
      <c r="E445" s="133" t="str">
        <f>_xlfn.XLOOKUP(E425,CurrentPlans!B:B,CurrentPlans!AE:AE,"NA",0,1)</f>
        <v>NA</v>
      </c>
      <c r="F445" s="134"/>
      <c r="G445" s="134"/>
      <c r="H445" s="134"/>
      <c r="I445" s="133"/>
      <c r="J445" s="135"/>
      <c r="K445"/>
      <c r="L445" s="136" t="str">
        <f ca="1">_xlfn.XLOOKUP(L425,RenewalPlans!B:B,RenewalPlans!AH:AH,"NA",0,1)</f>
        <v>NA</v>
      </c>
      <c r="M445" s="134"/>
      <c r="N445" s="134"/>
      <c r="O445" s="134"/>
      <c r="P445" s="133"/>
      <c r="Q445" s="134"/>
      <c r="R445" s="135"/>
      <c r="T445" s="136" t="str">
        <f>_xlfn.XLOOKUP(T425,RenewalPlans!B:B,RenewalPlans!AH:AH,"NA",0,1)</f>
        <v>NA</v>
      </c>
      <c r="U445" s="134"/>
      <c r="V445" s="134"/>
      <c r="W445" s="134"/>
      <c r="X445" s="133"/>
      <c r="Y445" s="134"/>
      <c r="Z445" s="135"/>
    </row>
    <row r="446" spans="1:26" ht="18" customHeight="1" hidden="1">
      <c r="A446" s="140"/>
      <c r="B446" s="140"/>
      <c r="D446" s="120" t="s">
        <v>267</v>
      </c>
      <c r="E446" s="130" t="str">
        <f>_xlfn.XLOOKUP(E425,CurrentPlans!B:B,CurrentPlans!AF:AF,"NA",0,1)</f>
        <v>NA</v>
      </c>
      <c r="F446" s="122"/>
      <c r="G446" s="122"/>
      <c r="H446" s="122"/>
      <c r="I446" s="130"/>
      <c r="J446" s="123"/>
      <c r="K446"/>
      <c r="L446" s="131" t="str">
        <f ca="1">_xlfn.XLOOKUP(L425,RenewalPlans!B:B,RenewalPlans!AI:AI,"NA",0,1)</f>
        <v>NA</v>
      </c>
      <c r="M446" s="122"/>
      <c r="N446" s="122"/>
      <c r="O446" s="122"/>
      <c r="P446" s="130"/>
      <c r="Q446" s="122"/>
      <c r="R446" s="123"/>
      <c r="T446" s="131" t="str">
        <f>_xlfn.XLOOKUP(T425,RenewalPlans!B:B,RenewalPlans!AI:AI,"NA",0,1)</f>
        <v>NA</v>
      </c>
      <c r="U446" s="122"/>
      <c r="V446" s="122"/>
      <c r="W446" s="122"/>
      <c r="X446" s="130"/>
      <c r="Y446" s="122"/>
      <c r="Z446" s="123"/>
    </row>
    <row r="447" spans="1:26" ht="18" customHeight="1" hidden="1">
      <c r="A447" s="140"/>
      <c r="B447" s="140"/>
      <c r="D447" s="198" t="s">
        <v>268</v>
      </c>
      <c r="E447" s="130" t="str">
        <f>_xlfn.XLOOKUP(E425,CurrentPlans!B:B,CurrentPlans!AH:AH,"NA",0,1)</f>
        <v>NA</v>
      </c>
      <c r="F447" s="200"/>
      <c r="G447" s="200"/>
      <c r="H447" s="200"/>
      <c r="I447" s="130"/>
      <c r="J447" s="201"/>
      <c r="K447"/>
      <c r="L447" s="131" t="str">
        <f ca="1">_xlfn.XLOOKUP(L425,RenewalPlans!B:B,RenewalPlans!AK:AK,"NA",0,1)</f>
        <v>NA</v>
      </c>
      <c r="M447" s="200"/>
      <c r="N447" s="200"/>
      <c r="O447" s="200"/>
      <c r="P447" s="130"/>
      <c r="Q447" s="200"/>
      <c r="R447" s="201"/>
      <c r="T447" s="131" t="str">
        <f>_xlfn.XLOOKUP(T425,RenewalPlans!B:B,RenewalPlans!AK:AK,"NA",0,1)</f>
        <v>NA</v>
      </c>
      <c r="U447" s="200"/>
      <c r="V447" s="200"/>
      <c r="W447" s="200"/>
      <c r="X447" s="130"/>
      <c r="Y447" s="200"/>
      <c r="Z447" s="201"/>
    </row>
    <row r="448" spans="1:26" ht="18" customHeight="1" hidden="1">
      <c r="A448" s="140"/>
      <c r="B448" s="140"/>
      <c r="D448" s="198" t="s">
        <v>269</v>
      </c>
      <c r="E448" s="130" t="str">
        <f>_xlfn.XLOOKUP(E425,CurrentPlans!B:B,CurrentPlans!AG:AG,"NA",0,1)</f>
        <v>NA</v>
      </c>
      <c r="F448" s="200"/>
      <c r="G448" s="200"/>
      <c r="H448" s="200"/>
      <c r="I448" s="130"/>
      <c r="J448" s="201"/>
      <c r="K448"/>
      <c r="L448" s="131" t="str">
        <f ca="1">_xlfn.XLOOKUP(L425,RenewalPlans!B:B,RenewalPlans!AJ:AJ,"NA",0,1)</f>
        <v>NA</v>
      </c>
      <c r="M448" s="200"/>
      <c r="N448" s="200"/>
      <c r="O448" s="200"/>
      <c r="P448" s="130"/>
      <c r="Q448" s="200"/>
      <c r="R448" s="201"/>
      <c r="T448" s="131" t="str">
        <f>_xlfn.XLOOKUP(T425,RenewalPlans!B:B,RenewalPlans!AJ:AJ,"NA",0,1)</f>
        <v>NA</v>
      </c>
      <c r="U448" s="200"/>
      <c r="V448" s="200"/>
      <c r="W448" s="200"/>
      <c r="X448" s="130"/>
      <c r="Y448" s="200"/>
      <c r="Z448" s="201"/>
    </row>
    <row r="449" spans="1:26" ht="18" customHeight="1" hidden="1">
      <c r="A449" s="140"/>
      <c r="B449" s="140"/>
      <c r="D449" s="213" t="s">
        <v>270</v>
      </c>
      <c r="E449" s="216" t="str">
        <f>_xlfn.XLOOKUP(E425,CurrentPlans!B:B,CurrentPlans!AU:AU,"NA",0,1)</f>
        <v>NA</v>
      </c>
      <c r="F449" s="214"/>
      <c r="G449" s="214"/>
      <c r="H449" s="214"/>
      <c r="I449" s="217"/>
      <c r="J449" s="215"/>
      <c r="K449"/>
      <c r="L449" s="218" t="str">
        <f ca="1">_xlfn.XLOOKUP(L425,RenewalPlans!B:B,RenewalPlans!AX:AX,"NA",0,1)</f>
        <v>NA</v>
      </c>
      <c r="M449" s="214"/>
      <c r="N449" s="214"/>
      <c r="O449" s="214"/>
      <c r="P449" s="217"/>
      <c r="Q449" s="214"/>
      <c r="R449" s="215"/>
      <c r="T449" s="218" t="str">
        <f>_xlfn.XLOOKUP(T425,RenewalPlans!B:B,RenewalPlans!AX:AX,"NA",0,1)</f>
        <v>NA</v>
      </c>
      <c r="U449" s="214"/>
      <c r="V449" s="214"/>
      <c r="W449" s="214"/>
      <c r="X449" s="217"/>
      <c r="Y449" s="214"/>
      <c r="Z449" s="215"/>
    </row>
    <row r="450" spans="1:26" ht="18" customHeight="1" hidden="1">
      <c r="A450" s="140"/>
      <c r="B450" s="140"/>
      <c r="D450" s="213" t="s">
        <v>271</v>
      </c>
      <c r="E450" s="216" t="str">
        <f>_xlfn.XLOOKUP(E425,CurrentPlans!B:B,CurrentPlans!AT:AT,"NA",0,1)</f>
        <v>NA</v>
      </c>
      <c r="F450" s="214"/>
      <c r="G450" s="214"/>
      <c r="H450" s="214"/>
      <c r="I450" s="217"/>
      <c r="J450" s="215"/>
      <c r="K450"/>
      <c r="L450" s="218" t="str">
        <f ca="1">_xlfn.XLOOKUP(L425,RenewalPlans!B:B,RenewalPlans!AW:AW,"NA",0,1)</f>
        <v>NA</v>
      </c>
      <c r="M450" s="214"/>
      <c r="N450" s="214"/>
      <c r="O450" s="214"/>
      <c r="P450" s="217"/>
      <c r="Q450" s="214"/>
      <c r="R450" s="215"/>
      <c r="T450" s="218" t="str">
        <f>_xlfn.XLOOKUP(T425,RenewalPlans!B:B,RenewalPlans!AW:AW,"NA",0,1)</f>
        <v>NA</v>
      </c>
      <c r="U450" s="214"/>
      <c r="V450" s="214"/>
      <c r="W450" s="214"/>
      <c r="X450" s="217"/>
      <c r="Y450" s="214"/>
      <c r="Z450" s="215"/>
    </row>
    <row r="451" spans="1:26" ht="18" customHeight="1" hidden="1">
      <c r="A451" s="140"/>
      <c r="B451" s="140"/>
      <c r="D451" s="198" t="s">
        <v>272</v>
      </c>
      <c r="E451" s="130" t="str">
        <f>_xlfn.XLOOKUP(E425,CurrentPlans!B:B,CurrentPlans!AD:AD,"NA",0,1)</f>
        <v>NA</v>
      </c>
      <c r="F451" s="200"/>
      <c r="G451" s="200"/>
      <c r="H451" s="200"/>
      <c r="I451" s="130"/>
      <c r="J451" s="201"/>
      <c r="K451"/>
      <c r="L451" s="131" t="str">
        <f ca="1">_xlfn.XLOOKUP(L425,RenewalPlans!B:B,RenewalPlans!AG:AG,"NA",0,1)</f>
        <v>NA</v>
      </c>
      <c r="M451" s="200"/>
      <c r="N451" s="200"/>
      <c r="O451" s="200"/>
      <c r="P451" s="130"/>
      <c r="Q451" s="200"/>
      <c r="R451" s="201"/>
      <c r="T451" s="131" t="str">
        <f>_xlfn.XLOOKUP(T425,RenewalPlans!B:B,RenewalPlans!AG:AG,"NA",0,1)</f>
        <v>NA</v>
      </c>
      <c r="U451" s="200"/>
      <c r="V451" s="200"/>
      <c r="W451" s="200"/>
      <c r="X451" s="130"/>
      <c r="Y451" s="200"/>
      <c r="Z451" s="201"/>
    </row>
    <row r="452" spans="1:26" ht="18" customHeight="1" hidden="1">
      <c r="A452" s="140"/>
      <c r="B452" s="140"/>
      <c r="D452" s="198" t="s">
        <v>273</v>
      </c>
      <c r="E452" s="200"/>
      <c r="F452" s="200"/>
      <c r="G452" s="200"/>
      <c r="H452" s="200"/>
      <c r="I452" s="200"/>
      <c r="J452" s="201"/>
      <c r="K452"/>
      <c r="L452" s="198"/>
      <c r="M452" s="200"/>
      <c r="N452" s="200"/>
      <c r="O452" s="200"/>
      <c r="P452" s="200"/>
      <c r="Q452" s="200"/>
      <c r="R452" s="201"/>
      <c r="T452" s="198"/>
      <c r="U452" s="200"/>
      <c r="V452" s="200"/>
      <c r="W452" s="200"/>
      <c r="X452" s="200"/>
      <c r="Y452" s="200"/>
      <c r="Z452" s="201"/>
    </row>
    <row r="453" spans="1:26" ht="18" customHeight="1" hidden="1">
      <c r="A453" s="140"/>
      <c r="B453" s="140"/>
      <c r="D453" s="210"/>
      <c r="E453" s="211"/>
      <c r="F453" s="211"/>
      <c r="G453" s="211"/>
      <c r="H453" s="211"/>
      <c r="I453" s="211"/>
      <c r="J453" s="212"/>
      <c r="K453"/>
      <c r="L453" s="210"/>
      <c r="M453" s="211"/>
      <c r="N453" s="211"/>
      <c r="O453" s="211"/>
      <c r="P453" s="211"/>
      <c r="Q453" s="211"/>
      <c r="R453" s="212"/>
      <c r="T453" s="210"/>
      <c r="U453" s="211"/>
      <c r="V453" s="211"/>
      <c r="W453" s="211"/>
      <c r="X453" s="211"/>
      <c r="Y453" s="211"/>
      <c r="Z453" s="212"/>
    </row>
    <row r="454" spans="1:26" ht="18" customHeight="1" hidden="1">
      <c r="A454" s="140"/>
      <c r="B454" s="140"/>
      <c r="D454" s="219" t="s">
        <v>274</v>
      </c>
      <c r="E454" s="220"/>
      <c r="F454" s="220"/>
      <c r="G454" s="220"/>
      <c r="H454" s="220"/>
      <c r="I454" s="220"/>
      <c r="J454" s="221"/>
      <c r="K454"/>
      <c r="L454" s="222"/>
      <c r="M454" s="220"/>
      <c r="N454" s="220"/>
      <c r="O454" s="220"/>
      <c r="P454" s="220"/>
      <c r="Q454" s="220"/>
      <c r="R454" s="221"/>
      <c r="T454" s="222"/>
      <c r="U454" s="220"/>
      <c r="V454" s="220"/>
      <c r="W454" s="220"/>
      <c r="X454" s="220"/>
      <c r="Y454" s="220"/>
      <c r="Z454" s="221"/>
    </row>
    <row r="455" spans="1:26" ht="18" customHeight="1" hidden="1">
      <c r="A455" s="140"/>
      <c r="B455" s="140"/>
      <c r="D455" s="223" t="s">
        <v>250</v>
      </c>
      <c r="E455" s="205"/>
      <c r="F455" s="205"/>
      <c r="G455" s="205"/>
      <c r="H455" s="205"/>
      <c r="I455" s="205"/>
      <c r="J455" s="206"/>
      <c r="K455"/>
      <c r="L455" s="203"/>
      <c r="M455" s="205"/>
      <c r="N455" s="205"/>
      <c r="O455" s="205"/>
      <c r="P455" s="205"/>
      <c r="Q455" s="205"/>
      <c r="R455" s="206"/>
      <c r="T455" s="203"/>
      <c r="U455" s="205"/>
      <c r="V455" s="205"/>
      <c r="W455" s="205"/>
      <c r="X455" s="205"/>
      <c r="Y455" s="205"/>
      <c r="Z455" s="206"/>
    </row>
    <row r="456" spans="1:26" ht="18" customHeight="1" hidden="1">
      <c r="A456" s="140"/>
      <c r="B456" s="140"/>
      <c r="D456" s="198" t="s">
        <v>251</v>
      </c>
      <c r="E456" s="130" t="str">
        <f>_xlfn.XLOOKUP(E425,CurrentPlans!B:B,CurrentPlans!AP:AP,"NA",0,1)</f>
        <v>NA</v>
      </c>
      <c r="F456" s="200"/>
      <c r="G456" s="200"/>
      <c r="H456" s="200"/>
      <c r="I456" s="130"/>
      <c r="J456" s="201"/>
      <c r="K456"/>
      <c r="L456" s="131" t="str">
        <f ca="1">_xlfn.XLOOKUP(L425,RenewalPlans!B:B,RenewalPlans!AS:AS,"NA",0,1)</f>
        <v>NA</v>
      </c>
      <c r="M456" s="200"/>
      <c r="N456" s="200"/>
      <c r="O456" s="200"/>
      <c r="P456" s="130"/>
      <c r="Q456" s="200"/>
      <c r="R456" s="201"/>
      <c r="T456" s="131" t="str">
        <f>_xlfn.XLOOKUP(T425,RenewalPlans!B:B,RenewalPlans!AS:AS,"NA",0,1)</f>
        <v>NA</v>
      </c>
      <c r="U456" s="200"/>
      <c r="V456" s="200"/>
      <c r="W456" s="200"/>
      <c r="X456" s="130"/>
      <c r="Y456" s="200"/>
      <c r="Z456" s="201"/>
    </row>
    <row r="457" spans="1:26" ht="18" customHeight="1" hidden="1">
      <c r="A457" s="140"/>
      <c r="B457" s="140"/>
      <c r="D457" s="198" t="s">
        <v>252</v>
      </c>
      <c r="E457" s="130" t="str">
        <f>_xlfn.XLOOKUP(E425,CurrentPlans!B:B,CurrentPlans!AQ:AQ,"NA",0,1)</f>
        <v>NA</v>
      </c>
      <c r="F457" s="200"/>
      <c r="G457" s="200"/>
      <c r="H457" s="200"/>
      <c r="I457" s="130"/>
      <c r="J457" s="201"/>
      <c r="K457"/>
      <c r="L457" s="131" t="str">
        <f ca="1">_xlfn.XLOOKUP(L425,RenewalPlans!B:B,RenewalPlans!AT:AT,"NA",0,1)</f>
        <v>NA</v>
      </c>
      <c r="M457" s="200"/>
      <c r="N457" s="200"/>
      <c r="O457" s="200"/>
      <c r="P457" s="130"/>
      <c r="Q457" s="200"/>
      <c r="R457" s="201"/>
      <c r="T457" s="131" t="str">
        <f>_xlfn.XLOOKUP(T425,RenewalPlans!B:B,RenewalPlans!AT:AT,"NA",0,1)</f>
        <v>NA</v>
      </c>
      <c r="U457" s="200"/>
      <c r="V457" s="200"/>
      <c r="W457" s="200"/>
      <c r="X457" s="130"/>
      <c r="Y457" s="200"/>
      <c r="Z457" s="201"/>
    </row>
    <row r="458" spans="1:26" ht="18" customHeight="1" hidden="1">
      <c r="A458" s="140"/>
      <c r="B458" s="140"/>
      <c r="D458" s="120" t="s">
        <v>253</v>
      </c>
      <c r="E458" s="133" t="str">
        <f>_xlfn.XLOOKUP(E425,CurrentPlans!B:B,CurrentPlans!AO:AO,"NA",0,1)</f>
        <v>NA</v>
      </c>
      <c r="F458" s="122"/>
      <c r="G458" s="122"/>
      <c r="H458" s="122"/>
      <c r="I458" s="133"/>
      <c r="J458" s="123"/>
      <c r="K458"/>
      <c r="L458" s="136" t="str">
        <f ca="1">_xlfn.XLOOKUP(L425,RenewalPlans!B:B,RenewalPlans!AR:AR,"NA",0,1)</f>
        <v>NA</v>
      </c>
      <c r="M458" s="122"/>
      <c r="N458" s="122"/>
      <c r="O458" s="122"/>
      <c r="P458" s="133"/>
      <c r="Q458" s="122"/>
      <c r="R458" s="123"/>
      <c r="T458" s="136" t="str">
        <f>_xlfn.XLOOKUP(T425,RenewalPlans!B:B,RenewalPlans!AR:AR,"NA",0,1)</f>
        <v>NA</v>
      </c>
      <c r="U458" s="122"/>
      <c r="V458" s="122"/>
      <c r="W458" s="122"/>
      <c r="X458" s="133"/>
      <c r="Y458" s="122"/>
      <c r="Z458" s="123"/>
    </row>
    <row r="459" spans="1:26" ht="18" customHeight="1" hidden="1">
      <c r="A459" s="140"/>
      <c r="B459" s="140"/>
      <c r="D459" s="223" t="s">
        <v>254</v>
      </c>
      <c r="E459" s="205"/>
      <c r="F459" s="205"/>
      <c r="G459" s="205"/>
      <c r="H459" s="205"/>
      <c r="I459" s="205"/>
      <c r="J459" s="206"/>
      <c r="K459"/>
      <c r="L459" s="203"/>
      <c r="M459" s="205"/>
      <c r="N459" s="205"/>
      <c r="O459" s="205"/>
      <c r="P459" s="205"/>
      <c r="Q459" s="205"/>
      <c r="R459" s="206"/>
      <c r="T459" s="203"/>
      <c r="U459" s="205"/>
      <c r="V459" s="205"/>
      <c r="W459" s="205"/>
      <c r="X459" s="205"/>
      <c r="Y459" s="205"/>
      <c r="Z459" s="206"/>
    </row>
    <row r="460" spans="1:26" ht="18" customHeight="1" hidden="1">
      <c r="A460" s="140"/>
      <c r="B460" s="140"/>
      <c r="D460" s="198" t="s">
        <v>255</v>
      </c>
      <c r="E460" s="130" t="str">
        <f>_xlfn.XLOOKUP(E425,CurrentPlans!B:B,CurrentPlans!AR:AR,"NA",0,1)</f>
        <v>NA</v>
      </c>
      <c r="F460" s="200"/>
      <c r="G460" s="200"/>
      <c r="H460" s="200"/>
      <c r="I460" s="130"/>
      <c r="J460" s="201"/>
      <c r="K460"/>
      <c r="L460" s="131" t="str">
        <f ca="1">_xlfn.XLOOKUP(L425,RenewalPlans!B:B,RenewalPlans!AU:AU,"NA",0,1)</f>
        <v>NA</v>
      </c>
      <c r="M460" s="200"/>
      <c r="N460" s="200"/>
      <c r="O460" s="200"/>
      <c r="P460" s="130"/>
      <c r="Q460" s="200"/>
      <c r="R460" s="201"/>
      <c r="T460" s="131" t="str">
        <f>_xlfn.XLOOKUP(T425,RenewalPlans!B:B,RenewalPlans!AU:AU,"NA",0,1)</f>
        <v>NA</v>
      </c>
      <c r="U460" s="200"/>
      <c r="V460" s="200"/>
      <c r="W460" s="200"/>
      <c r="X460" s="130"/>
      <c r="Y460" s="200"/>
      <c r="Z460" s="201"/>
    </row>
    <row r="461" spans="1:26" ht="18" customHeight="1" hidden="1" thickBot="1">
      <c r="A461" s="140"/>
      <c r="B461" s="140"/>
      <c r="D461" s="224" t="s">
        <v>256</v>
      </c>
      <c r="E461" s="137" t="str">
        <f>_xlfn.XLOOKUP(E425,CurrentPlans!B:B,CurrentPlans!AS:AS,"NA",0,1)</f>
        <v>NA</v>
      </c>
      <c r="F461" s="225"/>
      <c r="G461" s="225"/>
      <c r="H461" s="225"/>
      <c r="I461" s="137"/>
      <c r="J461" s="226"/>
      <c r="K461"/>
      <c r="L461" s="138" t="str">
        <f ca="1">_xlfn.XLOOKUP(L425,RenewalPlans!B:B,RenewalPlans!AV:AV,"NA",0,1)</f>
        <v>NA</v>
      </c>
      <c r="M461" s="225"/>
      <c r="N461" s="225"/>
      <c r="O461" s="225"/>
      <c r="P461" s="137"/>
      <c r="Q461" s="225"/>
      <c r="R461" s="226"/>
      <c r="T461" s="138" t="str">
        <f>_xlfn.XLOOKUP(T425,RenewalPlans!B:B,RenewalPlans!AV:AV,"NA",0,1)</f>
        <v>NA</v>
      </c>
      <c r="U461" s="225"/>
      <c r="V461" s="225"/>
      <c r="W461" s="225"/>
      <c r="X461" s="137"/>
      <c r="Y461" s="225"/>
      <c r="Z461" s="226"/>
    </row>
    <row r="462" spans="1:26" ht="18" customHeight="1">
      <c r="A462" s="140"/>
      <c r="B462" s="140"/>
      <c r="D462" s="227"/>
      <c r="E462" s="176"/>
      <c r="F462" s="178"/>
      <c r="G462" s="179"/>
      <c r="H462" s="178"/>
      <c r="I462" s="176"/>
      <c r="J462" s="228"/>
      <c r="K462"/>
      <c r="L462" s="178"/>
      <c r="M462" s="176"/>
      <c r="N462" s="139"/>
      <c r="O462" s="178"/>
      <c r="P462" s="178"/>
      <c r="Q462" s="178"/>
      <c r="R462" s="228"/>
      <c r="T462" s="178"/>
      <c r="U462" s="176"/>
      <c r="V462" s="139"/>
      <c r="W462" s="178"/>
      <c r="X462" s="178"/>
      <c r="Y462" s="178"/>
      <c r="Z462" s="228"/>
    </row>
    <row r="463" spans="1:26" ht="5.25" customHeight="1" thickBot="1">
      <c r="A463" s="140"/>
      <c r="B463" s="140"/>
      <c r="D463" s="229"/>
      <c r="E463" s="229"/>
      <c r="F463" s="230"/>
      <c r="G463" s="231"/>
      <c r="H463" s="232"/>
      <c r="I463" s="233"/>
      <c r="J463" s="233"/>
      <c r="K463"/>
      <c r="L463" s="233"/>
      <c r="M463" s="233"/>
      <c r="N463" s="233"/>
      <c r="O463" s="233"/>
      <c r="P463" s="233"/>
      <c r="Q463" s="233"/>
      <c r="R463" s="233"/>
      <c r="T463" s="233"/>
      <c r="U463" s="233"/>
      <c r="V463" s="233"/>
      <c r="W463" s="233"/>
      <c r="X463" s="233"/>
      <c r="Y463" s="233"/>
      <c r="Z463" s="233"/>
    </row>
    <row r="464" spans="1:26" ht="50.15" customHeight="1">
      <c r="A464" s="140">
        <v>10</v>
      </c>
      <c r="B464" s="140" t="str">
        <f>IF(A464&gt;Class6_CurrentHealthCount,"DELETE",Class6_CurrentHealthStart+A464)</f>
        <v>DELETE</v>
      </c>
      <c r="C464" s="164" t="s">
        <v>283</v>
      </c>
      <c r="D464" s="273" t="str">
        <f>IF(B464="Delete","",VLOOKUP(F464,BEGIN_CURRENT_HEALTH:END_CURRENT_HEALTH,3,FALSE))</f>
        <v/>
      </c>
      <c r="E464" s="165"/>
      <c r="F464" s="272" t="str" cm="1">
        <f t="array" ca="1" aca="1" ref="F464">IF(B464="Delete","",INDIRECT("CurrentPlans!A"&amp;B464,TRUE))</f>
        <v/>
      </c>
      <c r="G464" s="166"/>
      <c r="H464" s="167"/>
      <c r="I464" s="168"/>
      <c r="J464" s="169"/>
      <c r="K464"/>
      <c r="L464" s="274" t="str">
        <f ca="1">_xlfn.IFNA(VLOOKUP(F464,BEGIN_RENEWEDFROM_HEALTH:ROW_RenewHealth_PlanID,3,FALSE),"SELECT PLAN")</f>
        <v>SELECT PLAN</v>
      </c>
      <c r="M464" s="170"/>
      <c r="N464" s="274" t="s">
        <v>237</v>
      </c>
      <c r="O464" s="171"/>
      <c r="P464" s="171"/>
      <c r="Q464" s="171"/>
      <c r="R464" s="169"/>
      <c r="T464" s="274" t="s">
        <v>38</v>
      </c>
      <c r="U464" s="170"/>
      <c r="V464" s="274" t="s">
        <v>237</v>
      </c>
      <c r="W464" s="171"/>
      <c r="X464" s="171"/>
      <c r="Y464" s="171"/>
      <c r="Z464" s="169"/>
    </row>
    <row r="465" spans="1:26" ht="18.75" customHeight="1">
      <c r="A465" s="140"/>
      <c r="B465" s="140"/>
      <c r="D465" s="172" t="s">
        <v>238</v>
      </c>
      <c r="E465" s="407" t="str">
        <f ca="1">_xlfn.IFNA(VLOOKUP(F464,BEGIN_CURRENT_HEALTH:END_CURRENT_HEALTH,CURRENT_COL_EO_count,FALSE),"")</f>
        <v/>
      </c>
      <c r="F465" s="408" t="str">
        <f ca="1">_xlfn.IFNA(VLOOKUP(F464,BEGIN_CURRENT_HEALTH:END_CURRENT_HEALTH,CURRENT_COL_EO,FALSE),"")</f>
        <v/>
      </c>
      <c r="G465" s="468" t="str">
        <f ca="1" t="shared" si="45" ref="G465:G468">IF(F465="","",H465/F465)</f>
        <v/>
      </c>
      <c r="H465" s="408" t="str">
        <f ca="1">_xlfn.IFNA(VLOOKUP(F464,BEGIN_CURRENT_HEALTH:END_CURRENT_HEALTH,CURRENT_COL_EOContrib,FALSE),"")</f>
        <v/>
      </c>
      <c r="I465" s="409" t="str">
        <f ca="1">IFERROR(F465-H465,"")</f>
        <v/>
      </c>
      <c r="J465" s="410" t="str">
        <f ca="1">IF(F465="","",H465*E465)</f>
        <v/>
      </c>
      <c r="K465" s="411"/>
      <c r="L465" s="408" t="str" cm="1">
        <f t="array" ca="1" aca="1" ref="L465">_xlfn.IFNA(VLOOKUP(INDIRECT("L"&amp;ROW()-1)&amp;"_"&amp;$D$12,BEGIN_RENEW_HEALTH:END_RENEW_HEALTH,RENEW_COL_EO,FALSE),"")</f>
        <v/>
      </c>
      <c r="M465" s="412" t="str">
        <f ca="1">IF(E465="","",E465)</f>
        <v/>
      </c>
      <c r="N465" s="413"/>
      <c r="O465" s="414"/>
      <c r="P465" s="415" t="str">
        <f>IFERROR(IF($N464="Keep Contribution Same",H465,IF($N464="Enter Percentages",IF(N465="","",N465*L465),IF($N464="Keep Percentage Same",IF(G465="","",G465*L465),IF($N464="Enter Dollar Amount",IF(O465="","",O465),"")))),"")</f>
        <v/>
      </c>
      <c r="Q465" s="408" t="str">
        <f ca="1">IFERROR(L465-P465,"")</f>
        <v/>
      </c>
      <c r="R465" s="410" t="str">
        <f>IFERROR(IF(P465="","",M465*P465),"")</f>
        <v/>
      </c>
      <c r="S465" s="411"/>
      <c r="T465" s="408" t="str" cm="1">
        <f t="array" ca="1" aca="1" ref="T465">_xlfn.IFNA(VLOOKUP(INDIRECT("T"&amp;ROW()-1)&amp;"_"&amp;$D$12,BEGIN_RENEW_HEALTH:END_RENEW_HEALTH,RENEW_COL_EO,FALSE),"")</f>
        <v/>
      </c>
      <c r="U465" s="412" t="str">
        <f ca="1">IF(E465="","",E465)</f>
        <v/>
      </c>
      <c r="V465" s="413"/>
      <c r="W465" s="414"/>
      <c r="X465" s="415" t="str">
        <f>IFERROR(IF($V464="Keep Contribution Same",H465,IF($V464="Enter Percentages",IF(V465="","",V465*T465),IF($V464="Keep Percentage Same",IF(G465="","",G465*T465),IF($V464="Enter Dollar Amount",IF(W465="","",W465),"")))),"")</f>
        <v/>
      </c>
      <c r="Y465" s="408" t="str">
        <f ca="1">IFERROR(T465-X465,"")</f>
        <v/>
      </c>
      <c r="Z465" s="410" t="str">
        <f>IFERROR(IF(X465="","",U465*X465),"")</f>
        <v/>
      </c>
    </row>
    <row r="466" spans="1:26" ht="18.75" customHeight="1">
      <c r="A466" s="140"/>
      <c r="B466" s="140"/>
      <c r="D466" s="172" t="s">
        <v>239</v>
      </c>
      <c r="E466" s="407" t="str">
        <f ca="1">_xlfn.IFNA(VLOOKUP(F464,BEGIN_CURRENT_HEALTH:END_CURRENT_HEALTH,CURRENT_COL_ES_count,FALSE),"")</f>
        <v/>
      </c>
      <c r="F466" s="408" t="str">
        <f ca="1">_xlfn.IFNA(VLOOKUP(F464,BEGIN_CURRENT_HEALTH:END_CURRENT_HEALTH,CURRENT_COL_ES,FALSE),"")</f>
        <v/>
      </c>
      <c r="G466" s="468" t="str">
        <f t="shared" ca="1" si="45"/>
        <v/>
      </c>
      <c r="H466" s="408" t="str">
        <f ca="1">_xlfn.IFNA(VLOOKUP(F464,BEGIN_CURRENT_HEALTH:END_CURRENT_HEALTH,CURRENT_COL_ESContrib,FALSE),"")</f>
        <v/>
      </c>
      <c r="I466" s="409" t="str">
        <f ca="1" t="shared" si="46" ref="I466:I468">IFERROR(F466-H466,"")</f>
        <v/>
      </c>
      <c r="J466" s="410" t="str">
        <f ca="1">IF(F466="","",H466*E466)</f>
        <v/>
      </c>
      <c r="K466" s="411"/>
      <c r="L466" s="408" t="str" cm="1">
        <f t="array" ca="1" aca="1" ref="L466">_xlfn.IFNA(VLOOKUP(INDIRECT("L"&amp;ROW()-2)&amp;"_"&amp;$D$12,BEGIN_RENEW_HEALTH:END_RENEW_HEALTH,RENEW_COL_ES,FALSE),"")</f>
        <v/>
      </c>
      <c r="M466" s="412" t="str">
        <f ca="1">IF(E466="","",E466)</f>
        <v/>
      </c>
      <c r="N466" s="413"/>
      <c r="O466" s="414"/>
      <c r="P466" s="415" t="str">
        <f>IFERROR(IF($N464="Keep Contribution Same",H466,IF($N464="Enter Percentages",IF(N466="","",N466*L466),IF($N464="Keep Percentage Same",IF(G466="","",G466*L466),IF($N464="Enter Dollar Amount",IF(O466="","",O466),"")))),"")</f>
        <v/>
      </c>
      <c r="Q466" s="408" t="str">
        <f ca="1">IFERROR(L466-P466,"")</f>
        <v/>
      </c>
      <c r="R466" s="410" t="str">
        <f>IFERROR(IF(P466="","",M466*P466),"")</f>
        <v/>
      </c>
      <c r="S466" s="411"/>
      <c r="T466" s="408" t="str" cm="1">
        <f t="array" ca="1" aca="1" ref="T466">_xlfn.IFNA(VLOOKUP(INDIRECT("T"&amp;ROW()-2)&amp;"_"&amp;$D$12,BEGIN_RENEW_HEALTH:END_RENEW_HEALTH,RENEW_COL_ES,FALSE),"")</f>
        <v/>
      </c>
      <c r="U466" s="412" t="str">
        <f ca="1" t="shared" si="47" ref="U466:U468">IF(E466="","",E466)</f>
        <v/>
      </c>
      <c r="V466" s="413"/>
      <c r="W466" s="414"/>
      <c r="X466" s="415" t="str">
        <f>IFERROR(IF($V464="Keep Contribution Same",H466,IF($V464="Enter Percentages",IF(V466="","",V466*T466),IF($V464="Keep Percentage Same",IF(G466="","",G466*T466),IF($V464="Enter Dollar Amount",IF(W466="","",W466),"")))),"")</f>
        <v/>
      </c>
      <c r="Y466" s="408" t="str">
        <f ca="1" t="shared" si="48" ref="Y466:Y468">IFERROR(T466-X466,"")</f>
        <v/>
      </c>
      <c r="Z466" s="410" t="str">
        <f t="shared" si="49" ref="Z466:Z468">IFERROR(IF(X466="","",U466*X466),"")</f>
        <v/>
      </c>
    </row>
    <row r="467" spans="1:26" ht="18.75" customHeight="1">
      <c r="A467" s="140"/>
      <c r="B467" s="140"/>
      <c r="D467" s="172" t="s">
        <v>240</v>
      </c>
      <c r="E467" s="407" t="str">
        <f ca="1">_xlfn.IFNA(VLOOKUP(F464,BEGIN_CURRENT_HEALTH:END_CURRENT_HEALTH,CURRENT_COL_EC_count,FALSE),"")</f>
        <v/>
      </c>
      <c r="F467" s="408" t="str">
        <f ca="1">_xlfn.IFNA(VLOOKUP(F464,BEGIN_CURRENT_HEALTH:END_CURRENT_HEALTH,CURRENT_COL_EC,FALSE),"")</f>
        <v/>
      </c>
      <c r="G467" s="468" t="str">
        <f t="shared" ca="1" si="45"/>
        <v/>
      </c>
      <c r="H467" s="408" t="str">
        <f ca="1">_xlfn.IFNA(VLOOKUP(F464,BEGIN_CURRENT_HEALTH:END_CURRENT_HEALTH,CURRENT_COL_ECContrib,FALSE),"")</f>
        <v/>
      </c>
      <c r="I467" s="409" t="str">
        <f t="shared" ca="1" si="46"/>
        <v/>
      </c>
      <c r="J467" s="410" t="str">
        <f ca="1">IF(F467="","",H467*E467)</f>
        <v/>
      </c>
      <c r="K467" s="411"/>
      <c r="L467" s="408" t="str" cm="1">
        <f t="array" ca="1" aca="1" ref="L467">_xlfn.IFNA(VLOOKUP(INDIRECT("L"&amp;ROW()-3)&amp;"_"&amp;$D$12,BEGIN_RENEW_HEALTH:END_RENEW_HEALTH,RENEW_COL_EC,FALSE),"")</f>
        <v/>
      </c>
      <c r="M467" s="412" t="str">
        <f ca="1">IF(E467="","",E467)</f>
        <v/>
      </c>
      <c r="N467" s="413"/>
      <c r="O467" s="414"/>
      <c r="P467" s="415" t="str">
        <f>IFERROR(IF($N464="Keep Contribution Same",H467,IF($N464="Enter Percentages",IF(N467="","",N467*L467),IF($N464="Keep Percentage Same",IF(G467="","",G467*L467),IF($N464="Enter Dollar Amount",IF(O467="","",O467),"")))),"")</f>
        <v/>
      </c>
      <c r="Q467" s="408" t="str">
        <f ca="1">IFERROR(L467-P467,"")</f>
        <v/>
      </c>
      <c r="R467" s="410" t="str">
        <f>IFERROR(IF(P467="","",M467*P467),"")</f>
        <v/>
      </c>
      <c r="S467" s="411"/>
      <c r="T467" s="408" t="str" cm="1">
        <f t="array" ca="1" aca="1" ref="T467">_xlfn.IFNA(VLOOKUP(INDIRECT("T"&amp;ROW()-3)&amp;"_"&amp;$D$12,BEGIN_RENEW_HEALTH:END_RENEW_HEALTH,RENEW_COL_EC,FALSE),"")</f>
        <v/>
      </c>
      <c r="U467" s="412" t="str">
        <f t="shared" ca="1" si="47"/>
        <v/>
      </c>
      <c r="V467" s="413"/>
      <c r="W467" s="414"/>
      <c r="X467" s="415" t="str">
        <f>IFERROR(IF($V464="Keep Contribution Same",H467,IF($V464="Enter Percentages",IF(V467="","",V467*T467),IF($V464="Keep Percentage Same",IF(G467="","",G467*T467),IF($V464="Enter Dollar Amount",IF(W467="","",W467),"")))),"")</f>
        <v/>
      </c>
      <c r="Y467" s="408" t="str">
        <f t="shared" ca="1" si="48"/>
        <v/>
      </c>
      <c r="Z467" s="410" t="str">
        <f t="shared" si="49"/>
        <v/>
      </c>
    </row>
    <row r="468" spans="1:26" ht="18.75" customHeight="1" thickBot="1">
      <c r="A468" s="140"/>
      <c r="B468" s="140"/>
      <c r="D468" s="174" t="s">
        <v>241</v>
      </c>
      <c r="E468" s="416" t="str">
        <f ca="1">_xlfn.IFNA(VLOOKUP(F464,BEGIN_CURRENT_HEALTH:END_CURRENT_HEALTH,CURRENT_COL_FAM_count,FALSE),"")</f>
        <v/>
      </c>
      <c r="F468" s="417" t="str">
        <f ca="1">_xlfn.IFNA(VLOOKUP(F464,BEGIN_CURRENT_HEALTH:END_CURRENT_HEALTH,CURRENT_COL_FAM,FALSE),"")</f>
        <v/>
      </c>
      <c r="G468" s="469" t="str">
        <f t="shared" ca="1" si="45"/>
        <v/>
      </c>
      <c r="H468" s="417" t="str">
        <f ca="1">_xlfn.IFNA(VLOOKUP(F464,BEGIN_CURRENT_HEALTH:END_CURRENT_HEALTH,CURRENT_COL_FAMContrib,FALSE),"")</f>
        <v/>
      </c>
      <c r="I468" s="418" t="str">
        <f t="shared" ca="1" si="46"/>
        <v/>
      </c>
      <c r="J468" s="419" t="str">
        <f ca="1">IF(F468="","",H468*E468)</f>
        <v/>
      </c>
      <c r="K468" s="411"/>
      <c r="L468" s="417" t="str" cm="1">
        <f t="array" ca="1" aca="1" ref="L468">_xlfn.IFNA(VLOOKUP(INDIRECT("L"&amp;ROW()-4)&amp;"_"&amp;$D$12,BEGIN_RENEW_HEALTH:END_RENEW_HEALTH,RENEW_COL_FAM,FALSE),"")</f>
        <v/>
      </c>
      <c r="M468" s="423" t="str">
        <f ca="1">IF(E468="","",E468)</f>
        <v/>
      </c>
      <c r="N468" s="420"/>
      <c r="O468" s="421"/>
      <c r="P468" s="422" t="str">
        <f>IFERROR(IF($N464="Keep Contribution Same",H468,IF($N464="Enter Percentages",IF(N468="","",N468*L468),IF($N464="Keep Percentage Same",IF(G468="","",G468*L468),IF($N464="Enter Dollar Amount",IF(O468="","",O468),"")))),"")</f>
        <v/>
      </c>
      <c r="Q468" s="417" t="str">
        <f ca="1">IFERROR(L468-P468,"")</f>
        <v/>
      </c>
      <c r="R468" s="419" t="str">
        <f>IFERROR(IF(P468="","",M468*P468),"")</f>
        <v/>
      </c>
      <c r="S468" s="411"/>
      <c r="T468" s="417" t="str" cm="1">
        <f t="array" ca="1" aca="1" ref="T468">_xlfn.IFNA(VLOOKUP(INDIRECT("T"&amp;ROW()-4)&amp;"_"&amp;$D$12,BEGIN_RENEW_HEALTH:END_RENEW_HEALTH,RENEW_COL_FAM,FALSE),"")</f>
        <v/>
      </c>
      <c r="U468" s="423" t="str">
        <f t="shared" ca="1" si="47"/>
        <v/>
      </c>
      <c r="V468" s="420"/>
      <c r="W468" s="421"/>
      <c r="X468" s="422" t="str">
        <f>IFERROR(IF($V464="Keep Contribution Same",H468,IF($V464="Enter Percentages",IF(V468="","",V468*T468),IF($V464="Keep Percentage Same",IF(G468="","",G468*T468),IF($V464="Enter Dollar Amount",IF(W468="","",W468),"")))),"")</f>
        <v/>
      </c>
      <c r="Y468" s="417" t="str">
        <f t="shared" ca="1" si="48"/>
        <v/>
      </c>
      <c r="Z468" s="419" t="str">
        <f t="shared" si="49"/>
        <v/>
      </c>
    </row>
    <row r="469" spans="1:26" ht="19.5" customHeight="1" thickTop="1">
      <c r="A469" s="140"/>
      <c r="B469" s="140"/>
      <c r="D469" s="175" t="s">
        <v>242</v>
      </c>
      <c r="E469" s="424"/>
      <c r="F469" s="447" t="str">
        <f ca="1">IFERROR((F465*E465)+(F466*E466)+(F467*E467)+(F468*E468),"")</f>
        <v/>
      </c>
      <c r="G469" s="426"/>
      <c r="H469" s="427"/>
      <c r="I469" s="428"/>
      <c r="J469" s="429" t="str">
        <f ca="1">IFERROR(IF(J465="","",SUM(J465:J468)),0)</f>
        <v/>
      </c>
      <c r="K469" s="1"/>
      <c r="L469" s="430" t="str">
        <f ca="1">IFERROR((M465*L465)+(M466*L466)+(M467*L467)+(M468*L468),"")</f>
        <v/>
      </c>
      <c r="M469" s="427"/>
      <c r="N469" s="426"/>
      <c r="O469" s="427"/>
      <c r="P469" s="431"/>
      <c r="Q469" s="432"/>
      <c r="R469" s="429" t="str">
        <f>IFERROR(IF(R465="","",SUM(R465:R468)),0)</f>
        <v/>
      </c>
      <c r="T469" s="430" t="str">
        <f ca="1">IFERROR((U465*T465)+(U466*T466)+(U467*T467)+(U468*T468),"")</f>
        <v/>
      </c>
      <c r="U469" s="427"/>
      <c r="V469" s="426"/>
      <c r="W469" s="427"/>
      <c r="X469" s="431"/>
      <c r="Y469" s="432"/>
      <c r="Z469" s="429" t="str">
        <f>IFERROR(IF(Z465="","",SUM(Z465:Z468)),0)</f>
        <v/>
      </c>
    </row>
    <row r="470" spans="1:26" ht="19.5" customHeight="1">
      <c r="A470" s="140"/>
      <c r="B470" s="140"/>
      <c r="D470" s="177" t="s">
        <v>243</v>
      </c>
      <c r="E470" s="433"/>
      <c r="F470" s="448" t="str">
        <f ca="1">IFERROR(F469*12,"")</f>
        <v/>
      </c>
      <c r="G470" s="435"/>
      <c r="H470" s="436"/>
      <c r="I470" s="432"/>
      <c r="J470" s="437" t="str">
        <f ca="1">IF(J469="","",J469*12)</f>
        <v/>
      </c>
      <c r="K470" s="1"/>
      <c r="L470" s="438" t="str">
        <f ca="1">IFERROR(L469*12,"")</f>
        <v/>
      </c>
      <c r="M470" s="436"/>
      <c r="N470" s="435"/>
      <c r="O470" s="436"/>
      <c r="P470" s="432"/>
      <c r="Q470" s="432"/>
      <c r="R470" s="437" t="str">
        <f>IF(R469="","",R469*12)</f>
        <v/>
      </c>
      <c r="T470" s="438" t="str">
        <f ca="1">IFERROR(T469*12,"")</f>
        <v/>
      </c>
      <c r="U470" s="436"/>
      <c r="V470" s="435"/>
      <c r="W470" s="436"/>
      <c r="X470" s="432"/>
      <c r="Y470" s="432"/>
      <c r="Z470" s="437" t="str">
        <f>IF(Z469="","",Z469*12)</f>
        <v/>
      </c>
    </row>
    <row r="471" spans="1:26" ht="18" customHeight="1">
      <c r="A471" s="140"/>
      <c r="B471" s="140"/>
      <c r="D471" s="177" t="s">
        <v>244</v>
      </c>
      <c r="E471" s="433"/>
      <c r="F471" s="436"/>
      <c r="G471" s="435"/>
      <c r="H471" s="436"/>
      <c r="I471" s="432"/>
      <c r="J471" s="437"/>
      <c r="K471" s="1"/>
      <c r="L471" s="434" t="str">
        <f ca="1">IFERROR(L470-F470,"")</f>
        <v/>
      </c>
      <c r="M471" s="436"/>
      <c r="N471" s="435"/>
      <c r="O471" s="436"/>
      <c r="P471" s="432"/>
      <c r="Q471" s="432"/>
      <c r="R471" s="437" t="str">
        <f ca="1">IFERROR(IF(J470="","",R470-J470),0)</f>
        <v/>
      </c>
      <c r="T471" s="434" t="str">
        <f ca="1">IFERROR(T470-F470,"")</f>
        <v/>
      </c>
      <c r="U471" s="436"/>
      <c r="V471" s="435"/>
      <c r="W471" s="436"/>
      <c r="X471" s="432"/>
      <c r="Y471" s="432"/>
      <c r="Z471" s="437" t="str">
        <f>IFERROR(IF(R470="","",Z470-R470),0)</f>
        <v/>
      </c>
    </row>
    <row r="472" spans="1:26" ht="18" customHeight="1" thickBot="1">
      <c r="A472" s="140"/>
      <c r="B472" s="140"/>
      <c r="D472" s="180" t="s">
        <v>245</v>
      </c>
      <c r="E472" s="439"/>
      <c r="F472" s="440"/>
      <c r="G472" s="441"/>
      <c r="H472" s="440"/>
      <c r="I472" s="442"/>
      <c r="J472" s="443"/>
      <c r="K472" s="1"/>
      <c r="L472" s="444" t="str">
        <f ca="1">IFERROR(L470/F470-1,"")</f>
        <v/>
      </c>
      <c r="M472" s="440"/>
      <c r="N472" s="441"/>
      <c r="O472" s="440"/>
      <c r="P472" s="445"/>
      <c r="Q472" s="445"/>
      <c r="R472" s="446" t="str">
        <f ca="1">IFERROR(IF(J470="","",(R470/J470)-1),0)</f>
        <v/>
      </c>
      <c r="T472" s="444" t="str">
        <f ca="1">IFERROR(T470/F470-1,"")</f>
        <v/>
      </c>
      <c r="U472" s="440"/>
      <c r="V472" s="441"/>
      <c r="W472" s="440"/>
      <c r="X472" s="445"/>
      <c r="Y472" s="445"/>
      <c r="Z472" s="446" t="str">
        <f>IFERROR(IF(R470="","",(Z470/R470)-1),0)</f>
        <v/>
      </c>
    </row>
    <row r="473" spans="1:26" ht="18" customHeight="1">
      <c r="A473" s="140"/>
      <c r="B473" s="140"/>
      <c r="D473" s="181" t="s">
        <v>246</v>
      </c>
      <c r="E473" s="182"/>
      <c r="F473" s="182"/>
      <c r="G473" s="182"/>
      <c r="H473" s="182"/>
      <c r="I473" s="182"/>
      <c r="J473" s="183"/>
      <c r="K473"/>
      <c r="L473" s="184"/>
      <c r="M473" s="182"/>
      <c r="N473" s="182"/>
      <c r="O473" s="182"/>
      <c r="P473" s="182"/>
      <c r="Q473" s="182"/>
      <c r="R473" s="183"/>
      <c r="T473" s="184"/>
      <c r="U473" s="182"/>
      <c r="V473" s="182"/>
      <c r="W473" s="182"/>
      <c r="X473" s="182"/>
      <c r="Y473" s="182"/>
      <c r="Z473" s="183"/>
    </row>
    <row r="474" spans="1:26" ht="18" customHeight="1" hidden="1">
      <c r="A474" s="140"/>
      <c r="B474" s="140"/>
      <c r="D474" s="185" t="s">
        <v>247</v>
      </c>
      <c r="E474" s="186"/>
      <c r="F474" s="186"/>
      <c r="G474" s="186"/>
      <c r="H474" s="186"/>
      <c r="I474" s="186"/>
      <c r="J474" s="187"/>
      <c r="K474"/>
      <c r="L474" s="188"/>
      <c r="M474" s="186"/>
      <c r="N474" s="186"/>
      <c r="O474" s="186"/>
      <c r="P474" s="186"/>
      <c r="Q474" s="186"/>
      <c r="R474" s="187"/>
      <c r="T474" s="188"/>
      <c r="U474" s="186"/>
      <c r="V474" s="186"/>
      <c r="W474" s="186"/>
      <c r="X474" s="186"/>
      <c r="Y474" s="186"/>
      <c r="Z474" s="187"/>
    </row>
    <row r="475" spans="1:26" ht="18" customHeight="1" hidden="1">
      <c r="A475" s="140"/>
      <c r="B475" s="140"/>
      <c r="D475" s="189" t="s">
        <v>248</v>
      </c>
      <c r="E475" s="190" t="str">
        <f>D464&amp;"_"&amp;D12</f>
        <v>_</v>
      </c>
      <c r="F475" s="191"/>
      <c r="G475" s="191"/>
      <c r="H475" s="191"/>
      <c r="I475" s="190"/>
      <c r="J475" s="192"/>
      <c r="K475"/>
      <c r="L475" s="193" t="str">
        <f ca="1">L464&amp;"_"&amp;D12</f>
        <v>SELECT PLAN_</v>
      </c>
      <c r="M475" s="191"/>
      <c r="N475" s="191"/>
      <c r="O475" s="191"/>
      <c r="P475" s="190"/>
      <c r="Q475" s="191"/>
      <c r="R475" s="192"/>
      <c r="T475" s="193" t="str">
        <f>T464&amp;"_"&amp;D12</f>
        <v>SELECT PLAN_</v>
      </c>
      <c r="U475" s="191"/>
      <c r="V475" s="191"/>
      <c r="W475" s="191"/>
      <c r="X475" s="190"/>
      <c r="Y475" s="191"/>
      <c r="Z475" s="192"/>
    </row>
    <row r="476" spans="1:26" ht="18" customHeight="1" hidden="1">
      <c r="A476" s="140"/>
      <c r="B476" s="140"/>
      <c r="D476" s="189" t="s">
        <v>249</v>
      </c>
      <c r="E476" s="191"/>
      <c r="F476" s="191"/>
      <c r="G476" s="191"/>
      <c r="H476" s="191"/>
      <c r="I476" s="191"/>
      <c r="J476" s="192"/>
      <c r="K476"/>
      <c r="L476" s="189"/>
      <c r="M476" s="191"/>
      <c r="N476" s="191"/>
      <c r="O476" s="191"/>
      <c r="P476" s="191"/>
      <c r="Q476" s="191"/>
      <c r="R476" s="192"/>
      <c r="T476" s="189"/>
      <c r="U476" s="191"/>
      <c r="V476" s="191"/>
      <c r="W476" s="191"/>
      <c r="X476" s="191"/>
      <c r="Y476" s="191"/>
      <c r="Z476" s="192"/>
    </row>
    <row r="477" spans="1:26" ht="18" customHeight="1" hidden="1">
      <c r="A477" s="140"/>
      <c r="B477" s="140"/>
      <c r="D477" s="194" t="s">
        <v>250</v>
      </c>
      <c r="E477" s="195"/>
      <c r="F477" s="195"/>
      <c r="G477" s="195"/>
      <c r="H477" s="195"/>
      <c r="I477" s="195"/>
      <c r="J477" s="196"/>
      <c r="K477"/>
      <c r="L477" s="197"/>
      <c r="M477" s="195"/>
      <c r="N477" s="195"/>
      <c r="O477" s="195"/>
      <c r="P477" s="195"/>
      <c r="Q477" s="195"/>
      <c r="R477" s="196"/>
      <c r="T477" s="197"/>
      <c r="U477" s="195"/>
      <c r="V477" s="195"/>
      <c r="W477" s="195"/>
      <c r="X477" s="195"/>
      <c r="Y477" s="195"/>
      <c r="Z477" s="196"/>
    </row>
    <row r="478" spans="1:26" ht="18" customHeight="1" hidden="1">
      <c r="A478" s="140"/>
      <c r="B478" s="140"/>
      <c r="D478" s="198" t="s">
        <v>251</v>
      </c>
      <c r="E478" s="199" t="str">
        <f>_xlfn.XLOOKUP(E475,CurrentPlans!B:B,CurrentPlans!X:X,"NA",0,1)</f>
        <v>NA</v>
      </c>
      <c r="F478" s="200"/>
      <c r="G478" s="200"/>
      <c r="H478" s="200"/>
      <c r="I478" s="199"/>
      <c r="J478" s="201"/>
      <c r="K478"/>
      <c r="L478" s="202" t="str">
        <f ca="1">_xlfn.XLOOKUP(L475,RenewalPlans!B:B,RenewalPlans!AA:AA,"NA",0,1)</f>
        <v>NA</v>
      </c>
      <c r="M478" s="200"/>
      <c r="N478" s="200"/>
      <c r="O478" s="200"/>
      <c r="P478" s="199"/>
      <c r="Q478" s="200"/>
      <c r="R478" s="201"/>
      <c r="T478" s="202" t="str">
        <f>_xlfn.XLOOKUP(T475,RenewalPlans!B:B,RenewalPlans!AA:AA,"NA",0,1)</f>
        <v>NA</v>
      </c>
      <c r="U478" s="200"/>
      <c r="V478" s="200"/>
      <c r="W478" s="200"/>
      <c r="X478" s="199"/>
      <c r="Y478" s="200"/>
      <c r="Z478" s="201"/>
    </row>
    <row r="479" spans="1:26" ht="18" customHeight="1" hidden="1">
      <c r="A479" s="140"/>
      <c r="B479" s="140"/>
      <c r="D479" s="198" t="s">
        <v>252</v>
      </c>
      <c r="E479" s="199" t="str">
        <f>_xlfn.XLOOKUP(E475,CurrentPlans!B:B,CurrentPlans!Y:Y,"NA",0,1)</f>
        <v>NA</v>
      </c>
      <c r="F479" s="200"/>
      <c r="G479" s="200"/>
      <c r="H479" s="200"/>
      <c r="I479" s="199"/>
      <c r="J479" s="201"/>
      <c r="K479"/>
      <c r="L479" s="202" t="str">
        <f ca="1">_xlfn.XLOOKUP(L475,RenewalPlans!B:B,RenewalPlans!AB:AB,"NA",0,1)</f>
        <v>NA</v>
      </c>
      <c r="M479" s="200"/>
      <c r="N479" s="200"/>
      <c r="O479" s="200"/>
      <c r="P479" s="199"/>
      <c r="Q479" s="200"/>
      <c r="R479" s="201"/>
      <c r="T479" s="202" t="str">
        <f>_xlfn.XLOOKUP(T475,RenewalPlans!B:B,RenewalPlans!AB:AB,"NA",0,1)</f>
        <v>NA</v>
      </c>
      <c r="U479" s="200"/>
      <c r="V479" s="200"/>
      <c r="W479" s="200"/>
      <c r="X479" s="199"/>
      <c r="Y479" s="200"/>
      <c r="Z479" s="201"/>
    </row>
    <row r="480" spans="1:26" ht="18" customHeight="1" hidden="1">
      <c r="A480" s="140"/>
      <c r="B480" s="140"/>
      <c r="D480" s="120" t="s">
        <v>253</v>
      </c>
      <c r="E480" s="121" t="str">
        <f>_xlfn.XLOOKUP(E475,CurrentPlans!B:B,CurrentPlans!W:W,"NA",0,1)</f>
        <v>NA</v>
      </c>
      <c r="F480" s="122"/>
      <c r="G480" s="122"/>
      <c r="H480" s="122"/>
      <c r="I480" s="121"/>
      <c r="J480" s="123"/>
      <c r="K480"/>
      <c r="L480" s="124" t="str">
        <f ca="1">_xlfn.XLOOKUP(L475,RenewalPlans!B:B,RenewalPlans!Z:Z,"NA",0,1)</f>
        <v>NA</v>
      </c>
      <c r="M480" s="122"/>
      <c r="N480" s="122"/>
      <c r="O480" s="122"/>
      <c r="P480" s="121"/>
      <c r="Q480" s="122"/>
      <c r="R480" s="123"/>
      <c r="T480" s="124" t="str">
        <f>_xlfn.XLOOKUP(T475,RenewalPlans!B:B,RenewalPlans!Z:Z,"NA",0,1)</f>
        <v>NA</v>
      </c>
      <c r="U480" s="122"/>
      <c r="V480" s="122"/>
      <c r="W480" s="122"/>
      <c r="X480" s="121"/>
      <c r="Y480" s="122"/>
      <c r="Z480" s="123"/>
    </row>
    <row r="481" spans="1:26" ht="18" customHeight="1" hidden="1">
      <c r="A481" s="140"/>
      <c r="B481" s="140"/>
      <c r="D481" s="203" t="s">
        <v>254</v>
      </c>
      <c r="E481" s="204"/>
      <c r="F481" s="205"/>
      <c r="G481" s="205"/>
      <c r="H481" s="205"/>
      <c r="I481" s="204"/>
      <c r="J481" s="206"/>
      <c r="K481"/>
      <c r="L481" s="207"/>
      <c r="M481" s="205"/>
      <c r="N481" s="205"/>
      <c r="O481" s="205"/>
      <c r="P481" s="204"/>
      <c r="Q481" s="205"/>
      <c r="R481" s="206"/>
      <c r="T481" s="207"/>
      <c r="U481" s="205"/>
      <c r="V481" s="205"/>
      <c r="W481" s="205"/>
      <c r="X481" s="204"/>
      <c r="Y481" s="205"/>
      <c r="Z481" s="206"/>
    </row>
    <row r="482" spans="1:26" ht="18" customHeight="1" hidden="1">
      <c r="A482" s="140"/>
      <c r="B482" s="140"/>
      <c r="D482" s="125" t="s">
        <v>255</v>
      </c>
      <c r="E482" s="126" t="str">
        <f>_xlfn.XLOOKUP(E475,CurrentPlans!B:B,CurrentPlans!Z:Z,"NA",0,1)</f>
        <v>NA</v>
      </c>
      <c r="F482" s="127"/>
      <c r="G482" s="127"/>
      <c r="H482" s="127"/>
      <c r="I482" s="126"/>
      <c r="J482" s="128"/>
      <c r="K482"/>
      <c r="L482" s="129" t="str">
        <f ca="1">_xlfn.XLOOKUP(L475,RenewalPlans!B:B,RenewalPlans!AC:AC,"NA",0,1)</f>
        <v>NA</v>
      </c>
      <c r="M482" s="127"/>
      <c r="N482" s="127"/>
      <c r="O482" s="127"/>
      <c r="P482" s="126"/>
      <c r="Q482" s="127"/>
      <c r="R482" s="128"/>
      <c r="T482" s="129" t="str">
        <f>_xlfn.XLOOKUP(T475,RenewalPlans!B:B,RenewalPlans!AC:AC,"NA",0,1)</f>
        <v>NA</v>
      </c>
      <c r="U482" s="127"/>
      <c r="V482" s="127"/>
      <c r="W482" s="127"/>
      <c r="X482" s="126"/>
      <c r="Y482" s="127"/>
      <c r="Z482" s="128"/>
    </row>
    <row r="483" spans="1:26" ht="18" customHeight="1" hidden="1">
      <c r="A483" s="140"/>
      <c r="B483" s="140"/>
      <c r="D483" s="198" t="s">
        <v>256</v>
      </c>
      <c r="E483" s="208" t="str">
        <f>_xlfn.XLOOKUP(E475,CurrentPlans!B:B,CurrentPlans!AA:AA,"NA",0,1)</f>
        <v>NA</v>
      </c>
      <c r="F483" s="200"/>
      <c r="G483" s="200"/>
      <c r="H483" s="200"/>
      <c r="I483" s="208"/>
      <c r="J483" s="201"/>
      <c r="K483"/>
      <c r="L483" s="209" t="str">
        <f ca="1">_xlfn.XLOOKUP(L475,RenewalPlans!B:B,RenewalPlans!AD:AD,"NA",0,1)</f>
        <v>NA</v>
      </c>
      <c r="M483" s="200"/>
      <c r="N483" s="200"/>
      <c r="O483" s="200"/>
      <c r="P483" s="208"/>
      <c r="Q483" s="200"/>
      <c r="R483" s="201"/>
      <c r="T483" s="209" t="str">
        <f>_xlfn.XLOOKUP(T475,RenewalPlans!B:B,RenewalPlans!AD:AD,"NA",0,1)</f>
        <v>NA</v>
      </c>
      <c r="U483" s="200"/>
      <c r="V483" s="200"/>
      <c r="W483" s="200"/>
      <c r="X483" s="208"/>
      <c r="Y483" s="200"/>
      <c r="Z483" s="201"/>
    </row>
    <row r="484" spans="1:26" ht="18" customHeight="1" hidden="1">
      <c r="A484" s="140"/>
      <c r="B484" s="140"/>
      <c r="D484" s="203" t="s">
        <v>257</v>
      </c>
      <c r="E484" s="204"/>
      <c r="F484" s="205"/>
      <c r="G484" s="205"/>
      <c r="H484" s="205"/>
      <c r="I484" s="204"/>
      <c r="J484" s="206"/>
      <c r="K484"/>
      <c r="L484" s="207"/>
      <c r="M484" s="205"/>
      <c r="N484" s="205"/>
      <c r="O484" s="205"/>
      <c r="P484" s="204"/>
      <c r="Q484" s="205"/>
      <c r="R484" s="206"/>
      <c r="T484" s="207"/>
      <c r="U484" s="205"/>
      <c r="V484" s="205"/>
      <c r="W484" s="205"/>
      <c r="X484" s="204"/>
      <c r="Y484" s="205"/>
      <c r="Z484" s="206"/>
    </row>
    <row r="485" spans="1:26" ht="18" customHeight="1" hidden="1">
      <c r="A485" s="140"/>
      <c r="B485" s="140"/>
      <c r="D485" s="198" t="s">
        <v>258</v>
      </c>
      <c r="E485" s="208" t="str">
        <f>_xlfn.XLOOKUP(E475,CurrentPlans!B:B,CurrentPlans!AB:AB,"NA",0,1)</f>
        <v>NA</v>
      </c>
      <c r="F485" s="200"/>
      <c r="G485" s="200"/>
      <c r="H485" s="200"/>
      <c r="I485" s="208"/>
      <c r="J485" s="201"/>
      <c r="K485"/>
      <c r="L485" s="209" t="str">
        <f ca="1">_xlfn.XLOOKUP(L475,RenewalPlans!B:B,RenewalPlans!AE:AE,"NA",0,1)</f>
        <v>NA</v>
      </c>
      <c r="M485" s="200"/>
      <c r="N485" s="200"/>
      <c r="O485" s="200"/>
      <c r="P485" s="208"/>
      <c r="Q485" s="200"/>
      <c r="R485" s="201"/>
      <c r="T485" s="209" t="str">
        <f>_xlfn.XLOOKUP(T475,RenewalPlans!B:B,RenewalPlans!AE:AE,"NA",0,1)</f>
        <v>NA</v>
      </c>
      <c r="U485" s="200"/>
      <c r="V485" s="200"/>
      <c r="W485" s="200"/>
      <c r="X485" s="208"/>
      <c r="Y485" s="200"/>
      <c r="Z485" s="201"/>
    </row>
    <row r="486" spans="1:26" ht="18" customHeight="1" hidden="1">
      <c r="A486" s="140"/>
      <c r="B486" s="140"/>
      <c r="D486" s="198" t="s">
        <v>259</v>
      </c>
      <c r="E486" s="208" t="str">
        <f>_xlfn.XLOOKUP(E475,CurrentPlans!B:B,CurrentPlans!AC:AC,"NA",0,1)</f>
        <v>NA</v>
      </c>
      <c r="F486" s="200"/>
      <c r="G486" s="200"/>
      <c r="H486" s="200"/>
      <c r="I486" s="208"/>
      <c r="J486" s="201"/>
      <c r="K486"/>
      <c r="L486" s="209" t="str">
        <f ca="1">_xlfn.XLOOKUP(L475,RenewalPlans!B:B,RenewalPlans!AF:AF,"NA",0,1)</f>
        <v>NA</v>
      </c>
      <c r="M486" s="200"/>
      <c r="N486" s="200"/>
      <c r="O486" s="200"/>
      <c r="P486" s="208"/>
      <c r="Q486" s="200"/>
      <c r="R486" s="201"/>
      <c r="T486" s="209" t="str">
        <f>_xlfn.XLOOKUP(T475,RenewalPlans!B:B,RenewalPlans!AF:AF,"NA",0,1)</f>
        <v>NA</v>
      </c>
      <c r="U486" s="200"/>
      <c r="V486" s="200"/>
      <c r="W486" s="200"/>
      <c r="X486" s="208"/>
      <c r="Y486" s="200"/>
      <c r="Z486" s="201"/>
    </row>
    <row r="487" spans="1:26" ht="18" customHeight="1" hidden="1">
      <c r="A487" s="140"/>
      <c r="B487" s="140"/>
      <c r="D487" s="210"/>
      <c r="E487" s="211"/>
      <c r="F487" s="211"/>
      <c r="G487" s="211"/>
      <c r="H487" s="211"/>
      <c r="I487" s="211"/>
      <c r="J487" s="212"/>
      <c r="K487"/>
      <c r="L487" s="210"/>
      <c r="M487" s="211"/>
      <c r="N487" s="211"/>
      <c r="O487" s="211"/>
      <c r="P487" s="211"/>
      <c r="Q487" s="211"/>
      <c r="R487" s="212"/>
      <c r="T487" s="210"/>
      <c r="U487" s="211"/>
      <c r="V487" s="211"/>
      <c r="W487" s="211"/>
      <c r="X487" s="211"/>
      <c r="Y487" s="211"/>
      <c r="Z487" s="212"/>
    </row>
    <row r="488" spans="1:26" ht="18" customHeight="1" hidden="1">
      <c r="A488" s="140"/>
      <c r="B488" s="140"/>
      <c r="D488" s="185" t="s">
        <v>260</v>
      </c>
      <c r="E488" s="186"/>
      <c r="F488" s="186"/>
      <c r="G488" s="186"/>
      <c r="H488" s="186"/>
      <c r="I488" s="186"/>
      <c r="J488" s="187"/>
      <c r="K488"/>
      <c r="L488" s="188"/>
      <c r="M488" s="186"/>
      <c r="N488" s="186"/>
      <c r="O488" s="186"/>
      <c r="P488" s="186"/>
      <c r="Q488" s="186"/>
      <c r="R488" s="187"/>
      <c r="T488" s="188"/>
      <c r="U488" s="186"/>
      <c r="V488" s="186"/>
      <c r="W488" s="186"/>
      <c r="X488" s="186"/>
      <c r="Y488" s="186"/>
      <c r="Z488" s="187"/>
    </row>
    <row r="489" spans="1:26" ht="18" customHeight="1" hidden="1">
      <c r="A489" s="140"/>
      <c r="B489" s="140"/>
      <c r="D489" s="213" t="s">
        <v>261</v>
      </c>
      <c r="E489" s="130" t="str">
        <f>_xlfn.XLOOKUP(E475,CurrentPlans!B:B,CurrentPlans!AJ:AJ,"NA",0,1)</f>
        <v>NA</v>
      </c>
      <c r="F489" s="214"/>
      <c r="G489" s="214"/>
      <c r="H489" s="214"/>
      <c r="I489" s="130"/>
      <c r="J489" s="215"/>
      <c r="K489"/>
      <c r="L489" s="131" t="str">
        <f ca="1">_xlfn.XLOOKUP(L475,RenewalPlans!B:B,RenewalPlans!AM:AM,"NA",0,1)</f>
        <v>NA</v>
      </c>
      <c r="M489" s="214"/>
      <c r="N489" s="214"/>
      <c r="O489" s="214"/>
      <c r="P489" s="130"/>
      <c r="Q489" s="214"/>
      <c r="R489" s="215"/>
      <c r="T489" s="131" t="str">
        <f>_xlfn.XLOOKUP(T475,RenewalPlans!B:B,RenewalPlans!AM:AM,"NA",0,1)</f>
        <v>NA</v>
      </c>
      <c r="U489" s="214"/>
      <c r="V489" s="214"/>
      <c r="W489" s="214"/>
      <c r="X489" s="130"/>
      <c r="Y489" s="214"/>
      <c r="Z489" s="215"/>
    </row>
    <row r="490" spans="1:26" ht="18" customHeight="1" hidden="1">
      <c r="A490" s="140"/>
      <c r="B490" s="140"/>
      <c r="D490" s="198" t="s">
        <v>262</v>
      </c>
      <c r="E490" s="130" t="str">
        <f>_xlfn.XLOOKUP(E475,CurrentPlans!B:B,CurrentPlans!AM:AM,"NA",0,1)</f>
        <v>NA</v>
      </c>
      <c r="F490" s="200"/>
      <c r="G490" s="200"/>
      <c r="H490" s="200"/>
      <c r="I490" s="130"/>
      <c r="J490" s="201"/>
      <c r="K490"/>
      <c r="L490" s="131" t="str">
        <f ca="1">_xlfn.XLOOKUP(L475,RenewalPlans!B:B,RenewalPlans!AP:AP,"NA",0,1)</f>
        <v>NA</v>
      </c>
      <c r="M490" s="200"/>
      <c r="N490" s="200"/>
      <c r="O490" s="200"/>
      <c r="P490" s="130"/>
      <c r="Q490" s="200"/>
      <c r="R490" s="201"/>
      <c r="T490" s="131" t="str">
        <f>_xlfn.XLOOKUP(T475,RenewalPlans!B:B,RenewalPlans!AP:AP,"NA",0,1)</f>
        <v>NA</v>
      </c>
      <c r="U490" s="200"/>
      <c r="V490" s="200"/>
      <c r="W490" s="200"/>
      <c r="X490" s="130"/>
      <c r="Y490" s="200"/>
      <c r="Z490" s="201"/>
    </row>
    <row r="491" spans="1:26" ht="18" customHeight="1" hidden="1">
      <c r="A491" s="140"/>
      <c r="B491" s="140"/>
      <c r="D491" s="198" t="s">
        <v>263</v>
      </c>
      <c r="E491" s="130" t="str">
        <f>_xlfn.XLOOKUP(E475,CurrentPlans!B:B,CurrentPlans!AI:AI,"NA",0,1)</f>
        <v>NA</v>
      </c>
      <c r="F491" s="200"/>
      <c r="G491" s="200"/>
      <c r="H491" s="200"/>
      <c r="I491" s="130"/>
      <c r="J491" s="201"/>
      <c r="K491"/>
      <c r="L491" s="131" t="str">
        <f ca="1">_xlfn.XLOOKUP(L475,RenewalPlans!B:B,RenewalPlans!AL:AL,"NA",0,1)</f>
        <v>NA</v>
      </c>
      <c r="M491" s="200"/>
      <c r="N491" s="200"/>
      <c r="O491" s="200"/>
      <c r="P491" s="130"/>
      <c r="Q491" s="200"/>
      <c r="R491" s="201"/>
      <c r="T491" s="131" t="str">
        <f>_xlfn.XLOOKUP(T475,RenewalPlans!B:B,RenewalPlans!AL:AL,"NA",0,1)</f>
        <v>NA</v>
      </c>
      <c r="U491" s="200"/>
      <c r="V491" s="200"/>
      <c r="W491" s="200"/>
      <c r="X491" s="130"/>
      <c r="Y491" s="200"/>
      <c r="Z491" s="201"/>
    </row>
    <row r="492" spans="1:26" ht="18" customHeight="1" hidden="1">
      <c r="A492" s="140"/>
      <c r="B492" s="140"/>
      <c r="D492" s="198" t="s">
        <v>264</v>
      </c>
      <c r="E492" s="208" t="str">
        <f>_xlfn.XLOOKUP(E475,CurrentPlans!B:B,CurrentPlans!AN:AN,"NA",0,1)</f>
        <v>NA</v>
      </c>
      <c r="F492" s="200"/>
      <c r="G492" s="200"/>
      <c r="H492" s="200"/>
      <c r="I492" s="208"/>
      <c r="J492" s="201"/>
      <c r="K492"/>
      <c r="L492" s="209" t="str">
        <f ca="1">_xlfn.XLOOKUP(L475,RenewalPlans!B:B,RenewalPlans!AQ:AQ,"NA",0,1)</f>
        <v>NA</v>
      </c>
      <c r="M492" s="200"/>
      <c r="N492" s="200"/>
      <c r="O492" s="200"/>
      <c r="P492" s="208"/>
      <c r="Q492" s="200"/>
      <c r="R492" s="201"/>
      <c r="T492" s="209" t="str">
        <f>_xlfn.XLOOKUP(T475,RenewalPlans!B:B,RenewalPlans!AQ:AQ,"NA",0,1)</f>
        <v>NA</v>
      </c>
      <c r="U492" s="200"/>
      <c r="V492" s="200"/>
      <c r="W492" s="200"/>
      <c r="X492" s="208"/>
      <c r="Y492" s="200"/>
      <c r="Z492" s="201"/>
    </row>
    <row r="493" spans="1:26" ht="18" customHeight="1" hidden="1">
      <c r="A493" s="140"/>
      <c r="B493" s="140"/>
      <c r="D493" s="210"/>
      <c r="E493" s="211"/>
      <c r="F493" s="211"/>
      <c r="G493" s="211"/>
      <c r="H493" s="211"/>
      <c r="I493" s="211"/>
      <c r="J493" s="212"/>
      <c r="K493"/>
      <c r="L493" s="210"/>
      <c r="M493" s="211"/>
      <c r="N493" s="211"/>
      <c r="O493" s="211"/>
      <c r="P493" s="211"/>
      <c r="Q493" s="211"/>
      <c r="R493" s="212"/>
      <c r="T493" s="210"/>
      <c r="U493" s="211"/>
      <c r="V493" s="211"/>
      <c r="W493" s="211"/>
      <c r="X493" s="211"/>
      <c r="Y493" s="211"/>
      <c r="Z493" s="212"/>
    </row>
    <row r="494" spans="1:26" ht="18" customHeight="1" hidden="1">
      <c r="A494" s="140"/>
      <c r="B494" s="140"/>
      <c r="D494" s="185" t="s">
        <v>265</v>
      </c>
      <c r="E494" s="186"/>
      <c r="F494" s="186"/>
      <c r="G494" s="186"/>
      <c r="H494" s="186"/>
      <c r="I494" s="186"/>
      <c r="J494" s="187"/>
      <c r="K494"/>
      <c r="L494" s="188"/>
      <c r="M494" s="186"/>
      <c r="N494" s="186"/>
      <c r="O494" s="186"/>
      <c r="P494" s="186"/>
      <c r="Q494" s="186"/>
      <c r="R494" s="187"/>
      <c r="T494" s="188"/>
      <c r="U494" s="186"/>
      <c r="V494" s="186"/>
      <c r="W494" s="186"/>
      <c r="X494" s="186"/>
      <c r="Y494" s="186"/>
      <c r="Z494" s="187"/>
    </row>
    <row r="495" spans="1:26" ht="18" customHeight="1" hidden="1">
      <c r="A495" s="140"/>
      <c r="B495" s="140"/>
      <c r="D495" s="132" t="s">
        <v>266</v>
      </c>
      <c r="E495" s="133" t="str">
        <f>_xlfn.XLOOKUP(E475,CurrentPlans!B:B,CurrentPlans!AE:AE,"NA",0,1)</f>
        <v>NA</v>
      </c>
      <c r="F495" s="134"/>
      <c r="G495" s="134"/>
      <c r="H495" s="134"/>
      <c r="I495" s="133"/>
      <c r="J495" s="135"/>
      <c r="K495"/>
      <c r="L495" s="136" t="str">
        <f ca="1">_xlfn.XLOOKUP(L475,RenewalPlans!B:B,RenewalPlans!AH:AH,"NA",0,1)</f>
        <v>NA</v>
      </c>
      <c r="M495" s="134"/>
      <c r="N495" s="134"/>
      <c r="O495" s="134"/>
      <c r="P495" s="133"/>
      <c r="Q495" s="134"/>
      <c r="R495" s="135"/>
      <c r="T495" s="136" t="str">
        <f>_xlfn.XLOOKUP(T475,RenewalPlans!B:B,RenewalPlans!AH:AH,"NA",0,1)</f>
        <v>NA</v>
      </c>
      <c r="U495" s="134"/>
      <c r="V495" s="134"/>
      <c r="W495" s="134"/>
      <c r="X495" s="133"/>
      <c r="Y495" s="134"/>
      <c r="Z495" s="135"/>
    </row>
    <row r="496" spans="1:26" ht="18" customHeight="1" hidden="1">
      <c r="A496" s="140"/>
      <c r="B496" s="140"/>
      <c r="D496" s="120" t="s">
        <v>267</v>
      </c>
      <c r="E496" s="130" t="str">
        <f>_xlfn.XLOOKUP(E475,CurrentPlans!B:B,CurrentPlans!AF:AF,"NA",0,1)</f>
        <v>NA</v>
      </c>
      <c r="F496" s="122"/>
      <c r="G496" s="122"/>
      <c r="H496" s="122"/>
      <c r="I496" s="130"/>
      <c r="J496" s="123"/>
      <c r="K496"/>
      <c r="L496" s="131" t="str">
        <f ca="1">_xlfn.XLOOKUP(L475,RenewalPlans!B:B,RenewalPlans!AI:AI,"NA",0,1)</f>
        <v>NA</v>
      </c>
      <c r="M496" s="122"/>
      <c r="N496" s="122"/>
      <c r="O496" s="122"/>
      <c r="P496" s="130"/>
      <c r="Q496" s="122"/>
      <c r="R496" s="123"/>
      <c r="T496" s="131" t="str">
        <f>_xlfn.XLOOKUP(T475,RenewalPlans!B:B,RenewalPlans!AI:AI,"NA",0,1)</f>
        <v>NA</v>
      </c>
      <c r="U496" s="122"/>
      <c r="V496" s="122"/>
      <c r="W496" s="122"/>
      <c r="X496" s="130"/>
      <c r="Y496" s="122"/>
      <c r="Z496" s="123"/>
    </row>
    <row r="497" spans="1:26" ht="18" customHeight="1" hidden="1">
      <c r="A497" s="140"/>
      <c r="B497" s="140"/>
      <c r="D497" s="198" t="s">
        <v>268</v>
      </c>
      <c r="E497" s="130" t="str">
        <f>_xlfn.XLOOKUP(E475,CurrentPlans!B:B,CurrentPlans!AH:AH,"NA",0,1)</f>
        <v>NA</v>
      </c>
      <c r="F497" s="200"/>
      <c r="G497" s="200"/>
      <c r="H497" s="200"/>
      <c r="I497" s="130"/>
      <c r="J497" s="201"/>
      <c r="K497"/>
      <c r="L497" s="131" t="str">
        <f ca="1">_xlfn.XLOOKUP(L475,RenewalPlans!B:B,RenewalPlans!AK:AK,"NA",0,1)</f>
        <v>NA</v>
      </c>
      <c r="M497" s="200"/>
      <c r="N497" s="200"/>
      <c r="O497" s="200"/>
      <c r="P497" s="130"/>
      <c r="Q497" s="200"/>
      <c r="R497" s="201"/>
      <c r="T497" s="131" t="str">
        <f>_xlfn.XLOOKUP(T475,RenewalPlans!B:B,RenewalPlans!AK:AK,"NA",0,1)</f>
        <v>NA</v>
      </c>
      <c r="U497" s="200"/>
      <c r="V497" s="200"/>
      <c r="W497" s="200"/>
      <c r="X497" s="130"/>
      <c r="Y497" s="200"/>
      <c r="Z497" s="201"/>
    </row>
    <row r="498" spans="1:26" ht="18" customHeight="1" hidden="1">
      <c r="A498" s="140"/>
      <c r="B498" s="140"/>
      <c r="D498" s="198" t="s">
        <v>269</v>
      </c>
      <c r="E498" s="130" t="str">
        <f>_xlfn.XLOOKUP(E475,CurrentPlans!B:B,CurrentPlans!AG:AG,"NA",0,1)</f>
        <v>NA</v>
      </c>
      <c r="F498" s="200"/>
      <c r="G498" s="200"/>
      <c r="H498" s="200"/>
      <c r="I498" s="130"/>
      <c r="J498" s="201"/>
      <c r="K498"/>
      <c r="L498" s="131" t="str">
        <f ca="1">_xlfn.XLOOKUP(L475,RenewalPlans!B:B,RenewalPlans!AJ:AJ,"NA",0,1)</f>
        <v>NA</v>
      </c>
      <c r="M498" s="200"/>
      <c r="N498" s="200"/>
      <c r="O498" s="200"/>
      <c r="P498" s="130"/>
      <c r="Q498" s="200"/>
      <c r="R498" s="201"/>
      <c r="T498" s="131" t="str">
        <f>_xlfn.XLOOKUP(T475,RenewalPlans!B:B,RenewalPlans!AJ:AJ,"NA",0,1)</f>
        <v>NA</v>
      </c>
      <c r="U498" s="200"/>
      <c r="V498" s="200"/>
      <c r="W498" s="200"/>
      <c r="X498" s="130"/>
      <c r="Y498" s="200"/>
      <c r="Z498" s="201"/>
    </row>
    <row r="499" spans="1:26" ht="18" customHeight="1" hidden="1">
      <c r="A499" s="140"/>
      <c r="B499" s="140"/>
      <c r="D499" s="213" t="s">
        <v>270</v>
      </c>
      <c r="E499" s="216" t="str">
        <f>_xlfn.XLOOKUP(E475,CurrentPlans!B:B,CurrentPlans!AU:AU,"NA",0,1)</f>
        <v>NA</v>
      </c>
      <c r="F499" s="214"/>
      <c r="G499" s="214"/>
      <c r="H499" s="214"/>
      <c r="I499" s="217"/>
      <c r="J499" s="215"/>
      <c r="K499"/>
      <c r="L499" s="218" t="str">
        <f ca="1">_xlfn.XLOOKUP(L475,RenewalPlans!B:B,RenewalPlans!AX:AX,"NA",0,1)</f>
        <v>NA</v>
      </c>
      <c r="M499" s="214"/>
      <c r="N499" s="214"/>
      <c r="O499" s="214"/>
      <c r="P499" s="217"/>
      <c r="Q499" s="214"/>
      <c r="R499" s="215"/>
      <c r="T499" s="218" t="str">
        <f>_xlfn.XLOOKUP(T475,RenewalPlans!B:B,RenewalPlans!AX:AX,"NA",0,1)</f>
        <v>NA</v>
      </c>
      <c r="U499" s="214"/>
      <c r="V499" s="214"/>
      <c r="W499" s="214"/>
      <c r="X499" s="217"/>
      <c r="Y499" s="214"/>
      <c r="Z499" s="215"/>
    </row>
    <row r="500" spans="1:26" ht="18" customHeight="1" hidden="1">
      <c r="A500" s="140"/>
      <c r="B500" s="140"/>
      <c r="D500" s="213" t="s">
        <v>271</v>
      </c>
      <c r="E500" s="216" t="str">
        <f>_xlfn.XLOOKUP(E475,CurrentPlans!B:B,CurrentPlans!AT:AT,"NA",0,1)</f>
        <v>NA</v>
      </c>
      <c r="F500" s="214"/>
      <c r="G500" s="214"/>
      <c r="H500" s="214"/>
      <c r="I500" s="217"/>
      <c r="J500" s="215"/>
      <c r="K500"/>
      <c r="L500" s="218" t="str">
        <f ca="1">_xlfn.XLOOKUP(L475,RenewalPlans!B:B,RenewalPlans!AW:AW,"NA",0,1)</f>
        <v>NA</v>
      </c>
      <c r="M500" s="214"/>
      <c r="N500" s="214"/>
      <c r="O500" s="214"/>
      <c r="P500" s="217"/>
      <c r="Q500" s="214"/>
      <c r="R500" s="215"/>
      <c r="T500" s="218" t="str">
        <f>_xlfn.XLOOKUP(T475,RenewalPlans!B:B,RenewalPlans!AW:AW,"NA",0,1)</f>
        <v>NA</v>
      </c>
      <c r="U500" s="214"/>
      <c r="V500" s="214"/>
      <c r="W500" s="214"/>
      <c r="X500" s="217"/>
      <c r="Y500" s="214"/>
      <c r="Z500" s="215"/>
    </row>
    <row r="501" spans="1:26" ht="18" customHeight="1" hidden="1">
      <c r="A501" s="140"/>
      <c r="B501" s="140"/>
      <c r="D501" s="198" t="s">
        <v>272</v>
      </c>
      <c r="E501" s="130" t="str">
        <f>_xlfn.XLOOKUP(E475,CurrentPlans!B:B,CurrentPlans!AD:AD,"NA",0,1)</f>
        <v>NA</v>
      </c>
      <c r="F501" s="200"/>
      <c r="G501" s="200"/>
      <c r="H501" s="200"/>
      <c r="I501" s="130"/>
      <c r="J501" s="201"/>
      <c r="K501"/>
      <c r="L501" s="131" t="str">
        <f ca="1">_xlfn.XLOOKUP(L475,RenewalPlans!B:B,RenewalPlans!AG:AG,"NA",0,1)</f>
        <v>NA</v>
      </c>
      <c r="M501" s="200"/>
      <c r="N501" s="200"/>
      <c r="O501" s="200"/>
      <c r="P501" s="130"/>
      <c r="Q501" s="200"/>
      <c r="R501" s="201"/>
      <c r="T501" s="131" t="str">
        <f>_xlfn.XLOOKUP(T475,RenewalPlans!B:B,RenewalPlans!AG:AG,"NA",0,1)</f>
        <v>NA</v>
      </c>
      <c r="U501" s="200"/>
      <c r="V501" s="200"/>
      <c r="W501" s="200"/>
      <c r="X501" s="130"/>
      <c r="Y501" s="200"/>
      <c r="Z501" s="201"/>
    </row>
    <row r="502" spans="1:26" ht="18" customHeight="1" hidden="1">
      <c r="A502" s="140"/>
      <c r="B502" s="140"/>
      <c r="D502" s="198" t="s">
        <v>273</v>
      </c>
      <c r="E502" s="200"/>
      <c r="F502" s="200"/>
      <c r="G502" s="200"/>
      <c r="H502" s="200"/>
      <c r="I502" s="200"/>
      <c r="J502" s="201"/>
      <c r="K502"/>
      <c r="L502" s="198"/>
      <c r="M502" s="200"/>
      <c r="N502" s="200"/>
      <c r="O502" s="200"/>
      <c r="P502" s="200"/>
      <c r="Q502" s="200"/>
      <c r="R502" s="201"/>
      <c r="T502" s="198"/>
      <c r="U502" s="200"/>
      <c r="V502" s="200"/>
      <c r="W502" s="200"/>
      <c r="X502" s="200"/>
      <c r="Y502" s="200"/>
      <c r="Z502" s="201"/>
    </row>
    <row r="503" spans="1:26" ht="18" customHeight="1" hidden="1">
      <c r="A503" s="140"/>
      <c r="B503" s="140"/>
      <c r="D503" s="210"/>
      <c r="E503" s="211"/>
      <c r="F503" s="211"/>
      <c r="G503" s="211"/>
      <c r="H503" s="211"/>
      <c r="I503" s="211"/>
      <c r="J503" s="212"/>
      <c r="K503"/>
      <c r="L503" s="210"/>
      <c r="M503" s="211"/>
      <c r="N503" s="211"/>
      <c r="O503" s="211"/>
      <c r="P503" s="211"/>
      <c r="Q503" s="211"/>
      <c r="R503" s="212"/>
      <c r="T503" s="210"/>
      <c r="U503" s="211"/>
      <c r="V503" s="211"/>
      <c r="W503" s="211"/>
      <c r="X503" s="211"/>
      <c r="Y503" s="211"/>
      <c r="Z503" s="212"/>
    </row>
    <row r="504" spans="1:26" ht="18" customHeight="1" hidden="1">
      <c r="A504" s="140"/>
      <c r="B504" s="140"/>
      <c r="D504" s="219" t="s">
        <v>274</v>
      </c>
      <c r="E504" s="220"/>
      <c r="F504" s="220"/>
      <c r="G504" s="220"/>
      <c r="H504" s="220"/>
      <c r="I504" s="220"/>
      <c r="J504" s="221"/>
      <c r="K504"/>
      <c r="L504" s="222"/>
      <c r="M504" s="220"/>
      <c r="N504" s="220"/>
      <c r="O504" s="220"/>
      <c r="P504" s="220"/>
      <c r="Q504" s="220"/>
      <c r="R504" s="221"/>
      <c r="T504" s="222"/>
      <c r="U504" s="220"/>
      <c r="V504" s="220"/>
      <c r="W504" s="220"/>
      <c r="X504" s="220"/>
      <c r="Y504" s="220"/>
      <c r="Z504" s="221"/>
    </row>
    <row r="505" spans="1:26" ht="18" customHeight="1" hidden="1">
      <c r="A505" s="140"/>
      <c r="B505" s="140"/>
      <c r="D505" s="223" t="s">
        <v>250</v>
      </c>
      <c r="E505" s="205"/>
      <c r="F505" s="205"/>
      <c r="G505" s="205"/>
      <c r="H505" s="205"/>
      <c r="I505" s="205"/>
      <c r="J505" s="206"/>
      <c r="K505"/>
      <c r="L505" s="203"/>
      <c r="M505" s="205"/>
      <c r="N505" s="205"/>
      <c r="O505" s="205"/>
      <c r="P505" s="205"/>
      <c r="Q505" s="205"/>
      <c r="R505" s="206"/>
      <c r="T505" s="203"/>
      <c r="U505" s="205"/>
      <c r="V505" s="205"/>
      <c r="W505" s="205"/>
      <c r="X505" s="205"/>
      <c r="Y505" s="205"/>
      <c r="Z505" s="206"/>
    </row>
    <row r="506" spans="1:26" ht="18" customHeight="1" hidden="1">
      <c r="A506" s="140"/>
      <c r="B506" s="140"/>
      <c r="D506" s="198" t="s">
        <v>251</v>
      </c>
      <c r="E506" s="130" t="str">
        <f>_xlfn.XLOOKUP(E475,CurrentPlans!B:B,CurrentPlans!AP:AP,"NA",0,1)</f>
        <v>NA</v>
      </c>
      <c r="F506" s="200"/>
      <c r="G506" s="200"/>
      <c r="H506" s="200"/>
      <c r="I506" s="130"/>
      <c r="J506" s="201"/>
      <c r="K506"/>
      <c r="L506" s="131" t="str">
        <f ca="1">_xlfn.XLOOKUP(L475,RenewalPlans!B:B,RenewalPlans!AS:AS,"NA",0,1)</f>
        <v>NA</v>
      </c>
      <c r="M506" s="200"/>
      <c r="N506" s="200"/>
      <c r="O506" s="200"/>
      <c r="P506" s="130"/>
      <c r="Q506" s="200"/>
      <c r="R506" s="201"/>
      <c r="T506" s="131" t="str">
        <f>_xlfn.XLOOKUP(T475,RenewalPlans!B:B,RenewalPlans!AS:AS,"NA",0,1)</f>
        <v>NA</v>
      </c>
      <c r="U506" s="200"/>
      <c r="V506" s="200"/>
      <c r="W506" s="200"/>
      <c r="X506" s="130"/>
      <c r="Y506" s="200"/>
      <c r="Z506" s="201"/>
    </row>
    <row r="507" spans="1:26" ht="18" customHeight="1" hidden="1">
      <c r="A507" s="140"/>
      <c r="B507" s="140"/>
      <c r="D507" s="198" t="s">
        <v>252</v>
      </c>
      <c r="E507" s="130" t="str">
        <f>_xlfn.XLOOKUP(E475,CurrentPlans!B:B,CurrentPlans!AQ:AQ,"NA",0,1)</f>
        <v>NA</v>
      </c>
      <c r="F507" s="200"/>
      <c r="G507" s="200"/>
      <c r="H507" s="200"/>
      <c r="I507" s="130"/>
      <c r="J507" s="201"/>
      <c r="K507"/>
      <c r="L507" s="131" t="str">
        <f ca="1">_xlfn.XLOOKUP(L475,RenewalPlans!B:B,RenewalPlans!AT:AT,"NA",0,1)</f>
        <v>NA</v>
      </c>
      <c r="M507" s="200"/>
      <c r="N507" s="200"/>
      <c r="O507" s="200"/>
      <c r="P507" s="130"/>
      <c r="Q507" s="200"/>
      <c r="R507" s="201"/>
      <c r="T507" s="131" t="str">
        <f>_xlfn.XLOOKUP(T475,RenewalPlans!B:B,RenewalPlans!AT:AT,"NA",0,1)</f>
        <v>NA</v>
      </c>
      <c r="U507" s="200"/>
      <c r="V507" s="200"/>
      <c r="W507" s="200"/>
      <c r="X507" s="130"/>
      <c r="Y507" s="200"/>
      <c r="Z507" s="201"/>
    </row>
    <row r="508" spans="1:26" ht="18" customHeight="1" hidden="1">
      <c r="A508" s="140"/>
      <c r="B508" s="140"/>
      <c r="D508" s="120" t="s">
        <v>253</v>
      </c>
      <c r="E508" s="133" t="str">
        <f>_xlfn.XLOOKUP(E475,CurrentPlans!B:B,CurrentPlans!AO:AO,"NA",0,1)</f>
        <v>NA</v>
      </c>
      <c r="F508" s="122"/>
      <c r="G508" s="122"/>
      <c r="H508" s="122"/>
      <c r="I508" s="133"/>
      <c r="J508" s="123"/>
      <c r="K508"/>
      <c r="L508" s="136" t="str">
        <f ca="1">_xlfn.XLOOKUP(L475,RenewalPlans!B:B,RenewalPlans!AR:AR,"NA",0,1)</f>
        <v>NA</v>
      </c>
      <c r="M508" s="122"/>
      <c r="N508" s="122"/>
      <c r="O508" s="122"/>
      <c r="P508" s="133"/>
      <c r="Q508" s="122"/>
      <c r="R508" s="123"/>
      <c r="T508" s="136" t="str">
        <f>_xlfn.XLOOKUP(T475,RenewalPlans!B:B,RenewalPlans!AR:AR,"NA",0,1)</f>
        <v>NA</v>
      </c>
      <c r="U508" s="122"/>
      <c r="V508" s="122"/>
      <c r="W508" s="122"/>
      <c r="X508" s="133"/>
      <c r="Y508" s="122"/>
      <c r="Z508" s="123"/>
    </row>
    <row r="509" spans="1:26" ht="18" customHeight="1" hidden="1">
      <c r="A509" s="140"/>
      <c r="B509" s="140"/>
      <c r="D509" s="223" t="s">
        <v>254</v>
      </c>
      <c r="E509" s="205"/>
      <c r="F509" s="205"/>
      <c r="G509" s="205"/>
      <c r="H509" s="205"/>
      <c r="I509" s="205"/>
      <c r="J509" s="206"/>
      <c r="K509"/>
      <c r="L509" s="203"/>
      <c r="M509" s="205"/>
      <c r="N509" s="205"/>
      <c r="O509" s="205"/>
      <c r="P509" s="205"/>
      <c r="Q509" s="205"/>
      <c r="R509" s="206"/>
      <c r="T509" s="203"/>
      <c r="U509" s="205"/>
      <c r="V509" s="205"/>
      <c r="W509" s="205"/>
      <c r="X509" s="205"/>
      <c r="Y509" s="205"/>
      <c r="Z509" s="206"/>
    </row>
    <row r="510" spans="1:26" ht="18" customHeight="1" hidden="1">
      <c r="A510" s="140"/>
      <c r="B510" s="140"/>
      <c r="D510" s="198" t="s">
        <v>255</v>
      </c>
      <c r="E510" s="130" t="str">
        <f>_xlfn.XLOOKUP(E475,CurrentPlans!B:B,CurrentPlans!AR:AR,"NA",0,1)</f>
        <v>NA</v>
      </c>
      <c r="F510" s="200"/>
      <c r="G510" s="200"/>
      <c r="H510" s="200"/>
      <c r="I510" s="130"/>
      <c r="J510" s="201"/>
      <c r="K510"/>
      <c r="L510" s="131" t="str">
        <f ca="1">_xlfn.XLOOKUP(L475,RenewalPlans!B:B,RenewalPlans!AU:AU,"NA",0,1)</f>
        <v>NA</v>
      </c>
      <c r="M510" s="200"/>
      <c r="N510" s="200"/>
      <c r="O510" s="200"/>
      <c r="P510" s="130"/>
      <c r="Q510" s="200"/>
      <c r="R510" s="201"/>
      <c r="T510" s="131" t="str">
        <f>_xlfn.XLOOKUP(T475,RenewalPlans!B:B,RenewalPlans!AU:AU,"NA",0,1)</f>
        <v>NA</v>
      </c>
      <c r="U510" s="200"/>
      <c r="V510" s="200"/>
      <c r="W510" s="200"/>
      <c r="X510" s="130"/>
      <c r="Y510" s="200"/>
      <c r="Z510" s="201"/>
    </row>
    <row r="511" spans="1:26" ht="18" customHeight="1" hidden="1" thickBot="1">
      <c r="A511" s="140"/>
      <c r="B511" s="140"/>
      <c r="D511" s="224" t="s">
        <v>256</v>
      </c>
      <c r="E511" s="137" t="str">
        <f>_xlfn.XLOOKUP(E475,CurrentPlans!B:B,CurrentPlans!AS:AS,"NA",0,1)</f>
        <v>NA</v>
      </c>
      <c r="F511" s="225"/>
      <c r="G511" s="225"/>
      <c r="H511" s="225"/>
      <c r="I511" s="137"/>
      <c r="J511" s="226"/>
      <c r="K511"/>
      <c r="L511" s="138" t="str">
        <f ca="1">_xlfn.XLOOKUP(L475,RenewalPlans!B:B,RenewalPlans!AV:AV,"NA",0,1)</f>
        <v>NA</v>
      </c>
      <c r="M511" s="225"/>
      <c r="N511" s="225"/>
      <c r="O511" s="225"/>
      <c r="P511" s="137"/>
      <c r="Q511" s="225"/>
      <c r="R511" s="226"/>
      <c r="T511" s="138" t="str">
        <f>_xlfn.XLOOKUP(T475,RenewalPlans!B:B,RenewalPlans!AV:AV,"NA",0,1)</f>
        <v>NA</v>
      </c>
      <c r="U511" s="225"/>
      <c r="V511" s="225"/>
      <c r="W511" s="225"/>
      <c r="X511" s="137"/>
      <c r="Y511" s="225"/>
      <c r="Z511" s="226"/>
    </row>
    <row r="512" spans="1:26" ht="18" customHeight="1">
      <c r="A512" s="140"/>
      <c r="B512" s="140"/>
      <c r="D512" s="227"/>
      <c r="E512" s="176"/>
      <c r="F512" s="178"/>
      <c r="G512" s="179"/>
      <c r="H512" s="178"/>
      <c r="I512" s="176"/>
      <c r="J512" s="228"/>
      <c r="K512"/>
      <c r="L512" s="178"/>
      <c r="M512" s="176"/>
      <c r="N512" s="139"/>
      <c r="O512" s="178"/>
      <c r="P512" s="178"/>
      <c r="Q512" s="178"/>
      <c r="R512" s="228"/>
      <c r="T512" s="178"/>
      <c r="U512" s="176"/>
      <c r="V512" s="139"/>
      <c r="W512" s="178"/>
      <c r="X512" s="178"/>
      <c r="Y512" s="178"/>
      <c r="Z512" s="228"/>
    </row>
    <row r="513" spans="1:26" ht="5.25" customHeight="1" thickBot="1">
      <c r="A513" s="140"/>
      <c r="B513" s="140"/>
      <c r="D513" s="229"/>
      <c r="E513" s="229"/>
      <c r="F513" s="230"/>
      <c r="G513" s="231"/>
      <c r="H513" s="232"/>
      <c r="I513" s="233"/>
      <c r="J513" s="233"/>
      <c r="K513"/>
      <c r="L513" s="233"/>
      <c r="M513" s="233"/>
      <c r="N513" s="233"/>
      <c r="O513" s="233"/>
      <c r="P513" s="233"/>
      <c r="Q513" s="233"/>
      <c r="R513" s="233"/>
      <c r="T513" s="233"/>
      <c r="U513" s="233"/>
      <c r="V513" s="233"/>
      <c r="W513" s="233"/>
      <c r="X513" s="233"/>
      <c r="Y513" s="233"/>
      <c r="Z513" s="233"/>
    </row>
    <row r="514" spans="1:26" ht="50.15" customHeight="1">
      <c r="A514" s="140"/>
      <c r="B514" s="140"/>
      <c r="C514" s="164" t="s">
        <v>284</v>
      </c>
      <c r="D514" s="275" t="s">
        <v>285</v>
      </c>
      <c r="E514" s="165"/>
      <c r="F514" s="321"/>
      <c r="G514" s="166"/>
      <c r="H514" s="167"/>
      <c r="I514" s="168"/>
      <c r="J514" s="169"/>
      <c r="K514"/>
      <c r="L514" s="274" t="s">
        <v>38</v>
      </c>
      <c r="M514" s="170"/>
      <c r="N514" s="274" t="s">
        <v>237</v>
      </c>
      <c r="O514" s="171"/>
      <c r="P514" s="171"/>
      <c r="Q514" s="171"/>
      <c r="R514" s="169"/>
      <c r="T514" s="274" t="s">
        <v>38</v>
      </c>
      <c r="U514" s="170"/>
      <c r="V514" s="274" t="s">
        <v>237</v>
      </c>
      <c r="W514" s="171"/>
      <c r="X514" s="171"/>
      <c r="Y514" s="171"/>
      <c r="Z514" s="169"/>
    </row>
    <row r="515" spans="1:26" ht="18.75" customHeight="1">
      <c r="A515" s="140"/>
      <c r="B515" s="140"/>
      <c r="D515" s="172" t="s">
        <v>238</v>
      </c>
      <c r="E515" s="407"/>
      <c r="F515" s="449"/>
      <c r="G515" s="470"/>
      <c r="H515" s="449"/>
      <c r="I515" s="450"/>
      <c r="J515" s="410"/>
      <c r="K515" s="411"/>
      <c r="L515" s="408" t="str" cm="1">
        <f t="array" ca="1" aca="1" ref="L515">_xlfn.IFNA(VLOOKUP(INDIRECT("L"&amp;ROW()-1)&amp;"_"&amp;$D$12,BEGIN_RENEW_HEALTH:END_RENEW_HEALTH,RENEW_COL_EO,FALSE),"")</f>
        <v/>
      </c>
      <c r="M515" s="412" t="str">
        <f>IF(E515="","",E515)</f>
        <v/>
      </c>
      <c r="N515" s="413"/>
      <c r="O515" s="414"/>
      <c r="P515" s="415" t="str">
        <f>IFERROR(IF($N514="Keep Contribution Same",H515,IF($N514="Enter Percentages",IF(N515="","",N515*L515),IF($N514="Keep Percentage Same",IF(G515="","",G515*L515),IF($N514="Enter Dollar Amount",IF(O515="","",O515),"")))),"")</f>
        <v/>
      </c>
      <c r="Q515" s="408" t="str">
        <f ca="1">IFERROR(L515-P515,"")</f>
        <v/>
      </c>
      <c r="R515" s="410" t="str">
        <f>IFERROR(IF(P515="","",M515*P515),"")</f>
        <v/>
      </c>
      <c r="S515" s="411"/>
      <c r="T515" s="408" t="str" cm="1">
        <f t="array" ca="1" aca="1" ref="T515">_xlfn.IFNA(VLOOKUP(INDIRECT("T"&amp;ROW()-1)&amp;"_"&amp;$D$12,BEGIN_RENEW_HEALTH:END_RENEW_HEALTH,RENEW_COL_EO,FALSE),"")</f>
        <v/>
      </c>
      <c r="U515" s="412" t="str">
        <f>IF(E515="","",E515)</f>
        <v/>
      </c>
      <c r="V515" s="413"/>
      <c r="W515" s="414"/>
      <c r="X515" s="415" t="str">
        <f>IFERROR(IF($V514="Keep Contribution Same",H515,IF($V514="Enter Percentages",IF(V515="","",V515*T515),IF($V514="Keep Percentage Same",IF(G515="","",G515*T515),IF($V514="Enter Dollar Amount",IF(W515="","",W515),"")))),"")</f>
        <v/>
      </c>
      <c r="Y515" s="408" t="str">
        <f ca="1">IFERROR(T515-X515,"")</f>
        <v/>
      </c>
      <c r="Z515" s="410" t="str">
        <f>IFERROR(IF(X515="","",U515*X515),"")</f>
        <v/>
      </c>
    </row>
    <row r="516" spans="1:26" ht="18.75" customHeight="1">
      <c r="A516" s="140"/>
      <c r="B516" s="140"/>
      <c r="D516" s="172" t="s">
        <v>239</v>
      </c>
      <c r="E516" s="407"/>
      <c r="F516" s="449"/>
      <c r="G516" s="470"/>
      <c r="H516" s="449"/>
      <c r="I516" s="450"/>
      <c r="J516" s="410"/>
      <c r="K516" s="411"/>
      <c r="L516" s="408" t="str" cm="1">
        <f t="array" ca="1" aca="1" ref="L516">_xlfn.IFNA(VLOOKUP(INDIRECT("L"&amp;ROW()-2)&amp;"_"&amp;$D$12,BEGIN_RENEW_HEALTH:END_RENEW_HEALTH,RENEW_COL_ES,FALSE),"")</f>
        <v/>
      </c>
      <c r="M516" s="412" t="str">
        <f>IF(E516="","",E516)</f>
        <v/>
      </c>
      <c r="N516" s="413"/>
      <c r="O516" s="414"/>
      <c r="P516" s="415" t="str">
        <f>IFERROR(IF($N514="Keep Contribution Same",H516,IF($N514="Enter Percentages",IF(N516="","",N516*L516),IF($N514="Keep Percentage Same",IF(G516="","",G516*L516),IF($N514="Enter Dollar Amount",IF(O516="","",O516),"")))),"")</f>
        <v/>
      </c>
      <c r="Q516" s="408" t="str">
        <f ca="1" t="shared" si="50" ref="Q516:Q518">IFERROR(L516-P516,"")</f>
        <v/>
      </c>
      <c r="R516" s="410" t="str">
        <f>IFERROR(IF(P516="","",M516*P516),"")</f>
        <v/>
      </c>
      <c r="S516" s="411"/>
      <c r="T516" s="408" t="str" cm="1">
        <f t="array" ca="1" aca="1" ref="T516">_xlfn.IFNA(VLOOKUP(INDIRECT("T"&amp;ROW()-2)&amp;"_"&amp;$D$12,BEGIN_RENEW_HEALTH:END_RENEW_HEALTH,RENEW_COL_ES,FALSE),"")</f>
        <v/>
      </c>
      <c r="U516" s="412" t="str">
        <f t="shared" si="51" ref="U516:U518">IF(E516="","",E516)</f>
        <v/>
      </c>
      <c r="V516" s="413"/>
      <c r="W516" s="414"/>
      <c r="X516" s="415" t="str">
        <f>IFERROR(IF($V514="Keep Contribution Same",H516,IF($V514="Enter Percentages",IF(V516="","",V516*T516),IF($V514="Keep Percentage Same",IF(G516="","",G516*T516),IF($V514="Enter Dollar Amount",IF(W516="","",W516),"")))),"")</f>
        <v/>
      </c>
      <c r="Y516" s="408" t="str">
        <f ca="1" t="shared" si="52" ref="Y516:Y518">IFERROR(T516-X516,"")</f>
        <v/>
      </c>
      <c r="Z516" s="410" t="str">
        <f t="shared" si="53" ref="Z516:Z518">IFERROR(IF(X516="","",U516*X516),"")</f>
        <v/>
      </c>
    </row>
    <row r="517" spans="1:26" ht="18.75" customHeight="1">
      <c r="A517" s="140"/>
      <c r="B517" s="140"/>
      <c r="D517" s="172" t="s">
        <v>240</v>
      </c>
      <c r="E517" s="407"/>
      <c r="F517" s="449"/>
      <c r="G517" s="470"/>
      <c r="H517" s="449"/>
      <c r="I517" s="450"/>
      <c r="J517" s="410"/>
      <c r="K517" s="411"/>
      <c r="L517" s="408" t="str" cm="1">
        <f t="array" ca="1" aca="1" ref="L517">_xlfn.IFNA(VLOOKUP(INDIRECT("L"&amp;ROW()-3)&amp;"_"&amp;$D$12,BEGIN_RENEW_HEALTH:END_RENEW_HEALTH,RENEW_COL_EC,FALSE),"")</f>
        <v/>
      </c>
      <c r="M517" s="412" t="str">
        <f>IF(E517="","",E517)</f>
        <v/>
      </c>
      <c r="N517" s="413"/>
      <c r="O517" s="414"/>
      <c r="P517" s="415" t="str">
        <f>IFERROR(IF($N514="Keep Contribution Same",H517,IF($N514="Enter Percentages",IF(N517="","",N517*L517),IF($N514="Keep Percentage Same",IF(G517="","",G517*L517),IF($N514="Enter Dollar Amount",IF(O517="","",O517),"")))),"")</f>
        <v/>
      </c>
      <c r="Q517" s="408" t="str">
        <f t="shared" ca="1" si="50"/>
        <v/>
      </c>
      <c r="R517" s="410" t="str">
        <f>IFERROR(IF(P517="","",M517*P517),"")</f>
        <v/>
      </c>
      <c r="S517" s="411"/>
      <c r="T517" s="408" t="str" cm="1">
        <f t="array" ca="1" aca="1" ref="T517">_xlfn.IFNA(VLOOKUP(INDIRECT("T"&amp;ROW()-3)&amp;"_"&amp;$D$12,BEGIN_RENEW_HEALTH:END_RENEW_HEALTH,RENEW_COL_EC,FALSE),"")</f>
        <v/>
      </c>
      <c r="U517" s="412" t="str">
        <f t="shared" si="51"/>
        <v/>
      </c>
      <c r="V517" s="413"/>
      <c r="W517" s="414"/>
      <c r="X517" s="415" t="str">
        <f>IFERROR(IF($V514="Keep Contribution Same",H517,IF($V514="Enter Percentages",IF(V517="","",V517*T517),IF($V514="Keep Percentage Same",IF(G517="","",G517*T517),IF($V514="Enter Dollar Amount",IF(W517="","",W517),"")))),"")</f>
        <v/>
      </c>
      <c r="Y517" s="408" t="str">
        <f t="shared" ca="1" si="52"/>
        <v/>
      </c>
      <c r="Z517" s="410" t="str">
        <f t="shared" si="53"/>
        <v/>
      </c>
    </row>
    <row r="518" spans="1:26" ht="18.75" customHeight="1" thickBot="1">
      <c r="A518" s="140"/>
      <c r="B518" s="140"/>
      <c r="D518" s="174" t="s">
        <v>241</v>
      </c>
      <c r="E518" s="416"/>
      <c r="F518" s="451"/>
      <c r="G518" s="471"/>
      <c r="H518" s="451"/>
      <c r="I518" s="452"/>
      <c r="J518" s="419"/>
      <c r="K518" s="411"/>
      <c r="L518" s="417" t="str" cm="1">
        <f t="array" ca="1" aca="1" ref="L518">_xlfn.IFNA(VLOOKUP(INDIRECT("L"&amp;ROW()-4)&amp;"_"&amp;$D$12,BEGIN_RENEW_HEALTH:END_RENEW_HEALTH,RENEW_COL_FAM,FALSE),"")</f>
        <v/>
      </c>
      <c r="M518" s="423" t="str">
        <f>IF(E518="","",E518)</f>
        <v/>
      </c>
      <c r="N518" s="420"/>
      <c r="O518" s="421"/>
      <c r="P518" s="422" t="str">
        <f>IFERROR(IF($N514="Keep Contribution Same",H518,IF($N514="Enter Percentages",IF(N518="","",N518*L518),IF($N514="Keep Percentage Same",IF(G518="","",G518*L518),IF($N514="Enter Dollar Amount",IF(O518="","",O518),"")))),"")</f>
        <v/>
      </c>
      <c r="Q518" s="417" t="str">
        <f t="shared" ca="1" si="50"/>
        <v/>
      </c>
      <c r="R518" s="419" t="str">
        <f>IFERROR(IF(P518="","",M518*P518),"")</f>
        <v/>
      </c>
      <c r="S518" s="411"/>
      <c r="T518" s="417" t="str" cm="1">
        <f t="array" ca="1" aca="1" ref="T518">_xlfn.IFNA(VLOOKUP(INDIRECT("T"&amp;ROW()-4)&amp;"_"&amp;$D$12,BEGIN_RENEW_HEALTH:END_RENEW_HEALTH,RENEW_COL_FAM,FALSE),"")</f>
        <v/>
      </c>
      <c r="U518" s="423" t="str">
        <f t="shared" si="51"/>
        <v/>
      </c>
      <c r="V518" s="420"/>
      <c r="W518" s="421"/>
      <c r="X518" s="422" t="str">
        <f>IFERROR(IF($V514="Keep Contribution Same",H518,IF($V514="Enter Percentages",IF(V518="","",V518*T518),IF($V514="Keep Percentage Same",IF(G518="","",G518*T518),IF($V514="Enter Dollar Amount",IF(W518="","",W518),"")))),"")</f>
        <v/>
      </c>
      <c r="Y518" s="417" t="str">
        <f t="shared" ca="1" si="52"/>
        <v/>
      </c>
      <c r="Z518" s="419" t="str">
        <f t="shared" si="53"/>
        <v/>
      </c>
    </row>
    <row r="519" spans="1:26" ht="18.75" customHeight="1" thickTop="1">
      <c r="A519" s="140"/>
      <c r="B519" s="140"/>
      <c r="D519" s="175" t="s">
        <v>329</v>
      </c>
      <c r="E519" s="424"/>
      <c r="F519" s="447">
        <f>IFERROR((F515*E515)+(F516*E516)+(F517*E517)+(F518*E518),"")</f>
        <v>0</v>
      </c>
      <c r="G519" s="426"/>
      <c r="H519" s="427"/>
      <c r="I519" s="428"/>
      <c r="J519" s="429" t="str">
        <f>IFERROR(IF(J515="","",SUM(J515:J518)),0)</f>
        <v/>
      </c>
      <c r="K519" s="1"/>
      <c r="L519" s="430" t="str">
        <f ca="1">IFERROR((M515*L515)+(M516*L516)+(M517*L517)+(M518*L518),"")</f>
        <v/>
      </c>
      <c r="M519" s="427"/>
      <c r="N519" s="426"/>
      <c r="O519" s="427"/>
      <c r="P519" s="431"/>
      <c r="Q519" s="432"/>
      <c r="R519" s="429" t="str">
        <f>IFERROR(IF(R515="","",SUM(R515:R518)),0)</f>
        <v/>
      </c>
      <c r="T519" s="430" t="str">
        <f ca="1">IFERROR((U515*T515)+(U516*T516)+(U517*T517)+(U518*T518),"")</f>
        <v/>
      </c>
      <c r="U519" s="427"/>
      <c r="V519" s="426"/>
      <c r="W519" s="427"/>
      <c r="X519" s="431"/>
      <c r="Y519" s="432"/>
      <c r="Z519" s="429" t="str">
        <f>IFERROR(IF(Z515="","",SUM(Z515:Z518)),0)</f>
        <v/>
      </c>
    </row>
    <row r="520" spans="1:26" ht="18.75" customHeight="1">
      <c r="A520" s="140"/>
      <c r="B520" s="140"/>
      <c r="D520" s="177" t="s">
        <v>243</v>
      </c>
      <c r="E520" s="433"/>
      <c r="F520" s="448">
        <f>IFERROR(F519*12,"")</f>
        <v>0</v>
      </c>
      <c r="G520" s="435"/>
      <c r="H520" s="436"/>
      <c r="I520" s="432"/>
      <c r="J520" s="437" t="str">
        <f>IF(J519="","",J519*12)</f>
        <v/>
      </c>
      <c r="K520" s="1"/>
      <c r="L520" s="438" t="str">
        <f ca="1">IFERROR(L519*12,"")</f>
        <v/>
      </c>
      <c r="M520" s="436"/>
      <c r="N520" s="435"/>
      <c r="O520" s="436"/>
      <c r="P520" s="432"/>
      <c r="Q520" s="432"/>
      <c r="R520" s="437" t="str">
        <f>IF(R519="","",R519*12)</f>
        <v/>
      </c>
      <c r="T520" s="438" t="str">
        <f ca="1">IFERROR(T519*12,"")</f>
        <v/>
      </c>
      <c r="U520" s="436"/>
      <c r="V520" s="435"/>
      <c r="W520" s="436"/>
      <c r="X520" s="432"/>
      <c r="Y520" s="432"/>
      <c r="Z520" s="437" t="str">
        <f>IF(Z519="","",Z519*12)</f>
        <v/>
      </c>
    </row>
    <row r="521" spans="1:26" ht="18" customHeight="1">
      <c r="A521" s="140"/>
      <c r="B521" s="140"/>
      <c r="D521" s="177" t="s">
        <v>244</v>
      </c>
      <c r="E521" s="433"/>
      <c r="F521" s="436"/>
      <c r="G521" s="435"/>
      <c r="H521" s="436"/>
      <c r="I521" s="432"/>
      <c r="J521" s="437" t="str">
        <f>IFERROR(IF(J520="","",R520-J520),0)</f>
        <v/>
      </c>
      <c r="K521" s="1"/>
      <c r="L521" s="434" t="str">
        <f ca="1">IFERROR(L520-F520,"")</f>
        <v/>
      </c>
      <c r="M521" s="436"/>
      <c r="N521" s="435"/>
      <c r="O521" s="436"/>
      <c r="P521" s="432"/>
      <c r="Q521" s="432"/>
      <c r="R521" s="437" t="str">
        <f>IFERROR(IF(J520="","",R520-J520),0)</f>
        <v/>
      </c>
      <c r="T521" s="434" t="str">
        <f ca="1">IFERROR(T520-F520,"")</f>
        <v/>
      </c>
      <c r="U521" s="436"/>
      <c r="V521" s="435"/>
      <c r="W521" s="436"/>
      <c r="X521" s="432"/>
      <c r="Y521" s="432"/>
      <c r="Z521" s="437" t="str">
        <f>IFERROR(IF(R520="","",Z520-R520),0)</f>
        <v/>
      </c>
    </row>
    <row r="522" spans="1:26" ht="18" customHeight="1" thickBot="1">
      <c r="A522" s="140"/>
      <c r="B522" s="140"/>
      <c r="D522" s="180" t="s">
        <v>245</v>
      </c>
      <c r="E522" s="439"/>
      <c r="F522" s="440"/>
      <c r="G522" s="441"/>
      <c r="H522" s="440"/>
      <c r="I522" s="442"/>
      <c r="J522" s="437" t="str">
        <f>IFERROR(IF(J520="","",(R520/J520)-1),0)</f>
        <v/>
      </c>
      <c r="K522" s="1"/>
      <c r="L522" s="444" t="str">
        <f ca="1">IFERROR(L520/F520-1,"")</f>
        <v/>
      </c>
      <c r="M522" s="440"/>
      <c r="N522" s="441"/>
      <c r="O522" s="440"/>
      <c r="P522" s="445"/>
      <c r="Q522" s="445"/>
      <c r="R522" s="446" t="str">
        <f>IFERROR(IF(J520="","",(R520/J520)-1),0)</f>
        <v/>
      </c>
      <c r="T522" s="444" t="str">
        <f ca="1">IFERROR(T520/F520-1,"")</f>
        <v/>
      </c>
      <c r="U522" s="440"/>
      <c r="V522" s="441"/>
      <c r="W522" s="440"/>
      <c r="X522" s="445"/>
      <c r="Y522" s="445"/>
      <c r="Z522" s="446" t="str">
        <f>IFERROR(IF(R520="","",(Z520/R520)-1),0)</f>
        <v/>
      </c>
    </row>
    <row r="523" spans="1:26" ht="18" customHeight="1">
      <c r="A523" s="140"/>
      <c r="B523" s="140"/>
      <c r="D523" s="181" t="s">
        <v>246</v>
      </c>
      <c r="E523" s="182"/>
      <c r="F523" s="182"/>
      <c r="G523" s="182"/>
      <c r="H523" s="182"/>
      <c r="I523" s="182"/>
      <c r="J523" s="183"/>
      <c r="K523"/>
      <c r="L523" s="184"/>
      <c r="M523" s="182"/>
      <c r="N523" s="182"/>
      <c r="O523" s="182"/>
      <c r="P523" s="182"/>
      <c r="Q523" s="182"/>
      <c r="R523" s="183"/>
      <c r="T523" s="184"/>
      <c r="U523" s="182"/>
      <c r="V523" s="182"/>
      <c r="W523" s="182"/>
      <c r="X523" s="182"/>
      <c r="Y523" s="182"/>
      <c r="Z523" s="183"/>
    </row>
    <row r="524" spans="1:26" ht="18" customHeight="1" hidden="1">
      <c r="A524" s="140"/>
      <c r="B524" s="140"/>
      <c r="D524" s="185" t="s">
        <v>247</v>
      </c>
      <c r="E524" s="186"/>
      <c r="F524" s="186"/>
      <c r="G524" s="186"/>
      <c r="H524" s="186"/>
      <c r="I524" s="186"/>
      <c r="J524" s="187"/>
      <c r="K524"/>
      <c r="L524" s="188"/>
      <c r="M524" s="186"/>
      <c r="N524" s="186"/>
      <c r="O524" s="186"/>
      <c r="P524" s="186"/>
      <c r="Q524" s="186"/>
      <c r="R524" s="187"/>
      <c r="T524" s="188"/>
      <c r="U524" s="186"/>
      <c r="V524" s="186"/>
      <c r="W524" s="186"/>
      <c r="X524" s="186"/>
      <c r="Y524" s="186"/>
      <c r="Z524" s="187"/>
    </row>
    <row r="525" spans="1:26" ht="18" customHeight="1" hidden="1">
      <c r="A525" s="140"/>
      <c r="B525" s="140"/>
      <c r="D525" s="189" t="s">
        <v>248</v>
      </c>
      <c r="E525" s="190" t="str">
        <f>D514&amp;"_"&amp;D12</f>
        <v>NEW PLAN_</v>
      </c>
      <c r="F525" s="191"/>
      <c r="G525" s="191"/>
      <c r="H525" s="191"/>
      <c r="I525" s="190"/>
      <c r="J525" s="192"/>
      <c r="K525"/>
      <c r="L525" s="193" t="str">
        <f>L514&amp;"_"&amp;D12</f>
        <v>SELECT PLAN_</v>
      </c>
      <c r="M525" s="191"/>
      <c r="N525" s="191"/>
      <c r="O525" s="191"/>
      <c r="P525" s="190"/>
      <c r="Q525" s="191"/>
      <c r="R525" s="192"/>
      <c r="T525" s="193" t="str">
        <f>T514&amp;"_"&amp;D12</f>
        <v>SELECT PLAN_</v>
      </c>
      <c r="U525" s="191"/>
      <c r="V525" s="191"/>
      <c r="W525" s="191"/>
      <c r="X525" s="190"/>
      <c r="Y525" s="191"/>
      <c r="Z525" s="192"/>
    </row>
    <row r="526" spans="1:26" ht="18" customHeight="1" hidden="1">
      <c r="A526" s="140"/>
      <c r="B526" s="140"/>
      <c r="D526" s="189" t="s">
        <v>249</v>
      </c>
      <c r="E526" s="191"/>
      <c r="F526" s="191"/>
      <c r="G526" s="191"/>
      <c r="H526" s="191"/>
      <c r="I526" s="191"/>
      <c r="J526" s="192"/>
      <c r="K526"/>
      <c r="L526" s="189"/>
      <c r="M526" s="191"/>
      <c r="N526" s="191"/>
      <c r="O526" s="191"/>
      <c r="P526" s="191"/>
      <c r="Q526" s="191"/>
      <c r="R526" s="192"/>
      <c r="T526" s="189"/>
      <c r="U526" s="191"/>
      <c r="V526" s="191"/>
      <c r="W526" s="191"/>
      <c r="X526" s="191"/>
      <c r="Y526" s="191"/>
      <c r="Z526" s="192"/>
    </row>
    <row r="527" spans="1:26" ht="18" customHeight="1" hidden="1">
      <c r="A527" s="140"/>
      <c r="B527" s="140"/>
      <c r="D527" s="194" t="s">
        <v>250</v>
      </c>
      <c r="E527" s="195"/>
      <c r="F527" s="195"/>
      <c r="G527" s="195"/>
      <c r="H527" s="195"/>
      <c r="I527" s="195"/>
      <c r="J527" s="196"/>
      <c r="K527"/>
      <c r="L527" s="197"/>
      <c r="M527" s="195"/>
      <c r="N527" s="195"/>
      <c r="O527" s="195"/>
      <c r="P527" s="195"/>
      <c r="Q527" s="195"/>
      <c r="R527" s="196"/>
      <c r="T527" s="197"/>
      <c r="U527" s="195"/>
      <c r="V527" s="195"/>
      <c r="W527" s="195"/>
      <c r="X527" s="195"/>
      <c r="Y527" s="195"/>
      <c r="Z527" s="196"/>
    </row>
    <row r="528" spans="1:26" ht="18" customHeight="1" hidden="1">
      <c r="A528" s="140"/>
      <c r="B528" s="140"/>
      <c r="D528" s="198" t="s">
        <v>251</v>
      </c>
      <c r="E528" s="199" t="str">
        <f>_xlfn.XLOOKUP(E525,CurrentPlans!B:B,CurrentPlans!X:X,"NA",0,1)</f>
        <v>NA</v>
      </c>
      <c r="F528" s="200"/>
      <c r="G528" s="200"/>
      <c r="H528" s="200"/>
      <c r="I528" s="199"/>
      <c r="J528" s="201"/>
      <c r="K528"/>
      <c r="L528" s="202" t="str">
        <f>_xlfn.XLOOKUP(L525,RenewalPlans!B:B,RenewalPlans!AA:AA,"NA",0,1)</f>
        <v>NA</v>
      </c>
      <c r="M528" s="200"/>
      <c r="N528" s="200"/>
      <c r="O528" s="200"/>
      <c r="P528" s="199"/>
      <c r="Q528" s="200"/>
      <c r="R528" s="201"/>
      <c r="T528" s="202" t="str">
        <f>_xlfn.XLOOKUP(T525,RenewalPlans!B:B,RenewalPlans!AA:AA,"NA",0,1)</f>
        <v>NA</v>
      </c>
      <c r="U528" s="200"/>
      <c r="V528" s="200"/>
      <c r="W528" s="200"/>
      <c r="X528" s="199"/>
      <c r="Y528" s="200"/>
      <c r="Z528" s="201"/>
    </row>
    <row r="529" spans="1:26" ht="18" customHeight="1" hidden="1">
      <c r="A529" s="140"/>
      <c r="B529" s="140"/>
      <c r="D529" s="198" t="s">
        <v>252</v>
      </c>
      <c r="E529" s="199" t="str">
        <f>_xlfn.XLOOKUP(E525,CurrentPlans!B:B,CurrentPlans!Y:Y,"NA",0,1)</f>
        <v>NA</v>
      </c>
      <c r="F529" s="200"/>
      <c r="G529" s="200"/>
      <c r="H529" s="200"/>
      <c r="I529" s="199"/>
      <c r="J529" s="201"/>
      <c r="K529"/>
      <c r="L529" s="202" t="str">
        <f>_xlfn.XLOOKUP(L525,RenewalPlans!B:B,RenewalPlans!AB:AB,"NA",0,1)</f>
        <v>NA</v>
      </c>
      <c r="M529" s="200"/>
      <c r="N529" s="200"/>
      <c r="O529" s="200"/>
      <c r="P529" s="199"/>
      <c r="Q529" s="200"/>
      <c r="R529" s="201"/>
      <c r="T529" s="202" t="str">
        <f>_xlfn.XLOOKUP(T525,RenewalPlans!B:B,RenewalPlans!AB:AB,"NA",0,1)</f>
        <v>NA</v>
      </c>
      <c r="U529" s="200"/>
      <c r="V529" s="200"/>
      <c r="W529" s="200"/>
      <c r="X529" s="199"/>
      <c r="Y529" s="200"/>
      <c r="Z529" s="201"/>
    </row>
    <row r="530" spans="1:26" ht="18" customHeight="1" hidden="1">
      <c r="A530" s="140"/>
      <c r="B530" s="140"/>
      <c r="D530" s="120" t="s">
        <v>253</v>
      </c>
      <c r="E530" s="121" t="str">
        <f>_xlfn.XLOOKUP(E525,CurrentPlans!B:B,CurrentPlans!W:W,"NA",0,1)</f>
        <v>NA</v>
      </c>
      <c r="F530" s="122"/>
      <c r="G530" s="122"/>
      <c r="H530" s="122"/>
      <c r="I530" s="121"/>
      <c r="J530" s="123"/>
      <c r="K530"/>
      <c r="L530" s="124" t="str">
        <f>_xlfn.XLOOKUP(L525,RenewalPlans!B:B,RenewalPlans!Z:Z,"NA",0,1)</f>
        <v>NA</v>
      </c>
      <c r="M530" s="122"/>
      <c r="N530" s="122"/>
      <c r="O530" s="122"/>
      <c r="P530" s="121"/>
      <c r="Q530" s="122"/>
      <c r="R530" s="123"/>
      <c r="T530" s="124" t="str">
        <f>_xlfn.XLOOKUP(T525,RenewalPlans!B:B,RenewalPlans!Z:Z,"NA",0,1)</f>
        <v>NA</v>
      </c>
      <c r="U530" s="122"/>
      <c r="V530" s="122"/>
      <c r="W530" s="122"/>
      <c r="X530" s="121"/>
      <c r="Y530" s="122"/>
      <c r="Z530" s="123"/>
    </row>
    <row r="531" spans="1:26" ht="18" customHeight="1" hidden="1">
      <c r="A531" s="140"/>
      <c r="B531" s="140"/>
      <c r="D531" s="203" t="s">
        <v>254</v>
      </c>
      <c r="E531" s="204"/>
      <c r="F531" s="205"/>
      <c r="G531" s="205"/>
      <c r="H531" s="205"/>
      <c r="I531" s="204"/>
      <c r="J531" s="206"/>
      <c r="K531"/>
      <c r="L531" s="207"/>
      <c r="M531" s="205"/>
      <c r="N531" s="205"/>
      <c r="O531" s="205"/>
      <c r="P531" s="204"/>
      <c r="Q531" s="205"/>
      <c r="R531" s="206"/>
      <c r="T531" s="207"/>
      <c r="U531" s="205"/>
      <c r="V531" s="205"/>
      <c r="W531" s="205"/>
      <c r="X531" s="204"/>
      <c r="Y531" s="205"/>
      <c r="Z531" s="206"/>
    </row>
    <row r="532" spans="1:26" ht="18" customHeight="1" hidden="1">
      <c r="A532" s="140"/>
      <c r="B532" s="140"/>
      <c r="D532" s="125" t="s">
        <v>255</v>
      </c>
      <c r="E532" s="126" t="str">
        <f>_xlfn.XLOOKUP(E525,CurrentPlans!B:B,CurrentPlans!Z:Z,"NA",0,1)</f>
        <v>NA</v>
      </c>
      <c r="F532" s="127"/>
      <c r="G532" s="127"/>
      <c r="H532" s="127"/>
      <c r="I532" s="126"/>
      <c r="J532" s="128"/>
      <c r="K532"/>
      <c r="L532" s="129" t="str">
        <f>_xlfn.XLOOKUP(L525,RenewalPlans!B:B,RenewalPlans!AC:AC,"NA",0,1)</f>
        <v>NA</v>
      </c>
      <c r="M532" s="127"/>
      <c r="N532" s="127"/>
      <c r="O532" s="127"/>
      <c r="P532" s="126"/>
      <c r="Q532" s="127"/>
      <c r="R532" s="128"/>
      <c r="T532" s="129" t="str">
        <f>_xlfn.XLOOKUP(T525,RenewalPlans!B:B,RenewalPlans!AC:AC,"NA",0,1)</f>
        <v>NA</v>
      </c>
      <c r="U532" s="127"/>
      <c r="V532" s="127"/>
      <c r="W532" s="127"/>
      <c r="X532" s="126"/>
      <c r="Y532" s="127"/>
      <c r="Z532" s="128"/>
    </row>
    <row r="533" spans="1:26" ht="18" customHeight="1" hidden="1">
      <c r="A533" s="140"/>
      <c r="B533" s="140"/>
      <c r="D533" s="198" t="s">
        <v>256</v>
      </c>
      <c r="E533" s="208" t="str">
        <f>_xlfn.XLOOKUP(E525,CurrentPlans!B:B,CurrentPlans!AA:AA,"NA",0,1)</f>
        <v>NA</v>
      </c>
      <c r="F533" s="200"/>
      <c r="G533" s="200"/>
      <c r="H533" s="200"/>
      <c r="I533" s="208"/>
      <c r="J533" s="201"/>
      <c r="K533"/>
      <c r="L533" s="209" t="str">
        <f>_xlfn.XLOOKUP(L525,RenewalPlans!B:B,RenewalPlans!AD:AD,"NA",0,1)</f>
        <v>NA</v>
      </c>
      <c r="M533" s="200"/>
      <c r="N533" s="200"/>
      <c r="O533" s="200"/>
      <c r="P533" s="208"/>
      <c r="Q533" s="200"/>
      <c r="R533" s="201"/>
      <c r="T533" s="209" t="str">
        <f>_xlfn.XLOOKUP(T525,RenewalPlans!B:B,RenewalPlans!AD:AD,"NA",0,1)</f>
        <v>NA</v>
      </c>
      <c r="U533" s="200"/>
      <c r="V533" s="200"/>
      <c r="W533" s="200"/>
      <c r="X533" s="208"/>
      <c r="Y533" s="200"/>
      <c r="Z533" s="201"/>
    </row>
    <row r="534" spans="1:26" ht="18" customHeight="1" hidden="1">
      <c r="A534" s="140"/>
      <c r="B534" s="140"/>
      <c r="D534" s="203" t="s">
        <v>257</v>
      </c>
      <c r="E534" s="204"/>
      <c r="F534" s="205"/>
      <c r="G534" s="205"/>
      <c r="H534" s="205"/>
      <c r="I534" s="204"/>
      <c r="J534" s="206"/>
      <c r="K534"/>
      <c r="L534" s="207"/>
      <c r="M534" s="205"/>
      <c r="N534" s="205"/>
      <c r="O534" s="205"/>
      <c r="P534" s="204"/>
      <c r="Q534" s="205"/>
      <c r="R534" s="206"/>
      <c r="T534" s="207"/>
      <c r="U534" s="205"/>
      <c r="V534" s="205"/>
      <c r="W534" s="205"/>
      <c r="X534" s="204"/>
      <c r="Y534" s="205"/>
      <c r="Z534" s="206"/>
    </row>
    <row r="535" spans="1:26" ht="18" customHeight="1" hidden="1">
      <c r="A535" s="140"/>
      <c r="B535" s="140"/>
      <c r="D535" s="198" t="s">
        <v>258</v>
      </c>
      <c r="E535" s="208" t="str">
        <f>_xlfn.XLOOKUP(E525,CurrentPlans!B:B,CurrentPlans!AB:AB,"NA",0,1)</f>
        <v>NA</v>
      </c>
      <c r="F535" s="200"/>
      <c r="G535" s="200"/>
      <c r="H535" s="200"/>
      <c r="I535" s="208"/>
      <c r="J535" s="201"/>
      <c r="K535"/>
      <c r="L535" s="209" t="str">
        <f>_xlfn.XLOOKUP(L525,RenewalPlans!B:B,RenewalPlans!AE:AE,"NA",0,1)</f>
        <v>NA</v>
      </c>
      <c r="M535" s="200"/>
      <c r="N535" s="200"/>
      <c r="O535" s="200"/>
      <c r="P535" s="208"/>
      <c r="Q535" s="200"/>
      <c r="R535" s="201"/>
      <c r="T535" s="209" t="str">
        <f>_xlfn.XLOOKUP(T525,RenewalPlans!B:B,RenewalPlans!AE:AE,"NA",0,1)</f>
        <v>NA</v>
      </c>
      <c r="U535" s="200"/>
      <c r="V535" s="200"/>
      <c r="W535" s="200"/>
      <c r="X535" s="208"/>
      <c r="Y535" s="200"/>
      <c r="Z535" s="201"/>
    </row>
    <row r="536" spans="1:26" ht="18" customHeight="1" hidden="1">
      <c r="A536" s="140"/>
      <c r="B536" s="140"/>
      <c r="D536" s="198" t="s">
        <v>259</v>
      </c>
      <c r="E536" s="208" t="str">
        <f>_xlfn.XLOOKUP(E525,CurrentPlans!B:B,CurrentPlans!AC:AC,"NA",0,1)</f>
        <v>NA</v>
      </c>
      <c r="F536" s="200"/>
      <c r="G536" s="200"/>
      <c r="H536" s="200"/>
      <c r="I536" s="208"/>
      <c r="J536" s="201"/>
      <c r="K536"/>
      <c r="L536" s="209" t="str">
        <f>_xlfn.XLOOKUP(L525,RenewalPlans!B:B,RenewalPlans!AF:AF,"NA",0,1)</f>
        <v>NA</v>
      </c>
      <c r="M536" s="200"/>
      <c r="N536" s="200"/>
      <c r="O536" s="200"/>
      <c r="P536" s="208"/>
      <c r="Q536" s="200"/>
      <c r="R536" s="201"/>
      <c r="T536" s="209" t="str">
        <f>_xlfn.XLOOKUP(T525,RenewalPlans!B:B,RenewalPlans!AF:AF,"NA",0,1)</f>
        <v>NA</v>
      </c>
      <c r="U536" s="200"/>
      <c r="V536" s="200"/>
      <c r="W536" s="200"/>
      <c r="X536" s="208"/>
      <c r="Y536" s="200"/>
      <c r="Z536" s="201"/>
    </row>
    <row r="537" spans="1:26" ht="18" customHeight="1" hidden="1">
      <c r="A537" s="140"/>
      <c r="B537" s="140"/>
      <c r="D537" s="210"/>
      <c r="E537" s="211"/>
      <c r="F537" s="211"/>
      <c r="G537" s="211"/>
      <c r="H537" s="211"/>
      <c r="I537" s="211"/>
      <c r="J537" s="212"/>
      <c r="K537"/>
      <c r="L537" s="210"/>
      <c r="M537" s="211"/>
      <c r="N537" s="211"/>
      <c r="O537" s="211"/>
      <c r="P537" s="211"/>
      <c r="Q537" s="211"/>
      <c r="R537" s="212"/>
      <c r="T537" s="210"/>
      <c r="U537" s="211"/>
      <c r="V537" s="211"/>
      <c r="W537" s="211"/>
      <c r="X537" s="211"/>
      <c r="Y537" s="211"/>
      <c r="Z537" s="212"/>
    </row>
    <row r="538" spans="1:26" ht="18" customHeight="1" hidden="1">
      <c r="A538" s="140"/>
      <c r="B538" s="140"/>
      <c r="D538" s="185" t="s">
        <v>260</v>
      </c>
      <c r="E538" s="186"/>
      <c r="F538" s="186"/>
      <c r="G538" s="186"/>
      <c r="H538" s="186"/>
      <c r="I538" s="186"/>
      <c r="J538" s="187"/>
      <c r="K538"/>
      <c r="L538" s="188"/>
      <c r="M538" s="186"/>
      <c r="N538" s="186"/>
      <c r="O538" s="186"/>
      <c r="P538" s="186"/>
      <c r="Q538" s="186"/>
      <c r="R538" s="187"/>
      <c r="T538" s="188"/>
      <c r="U538" s="186"/>
      <c r="V538" s="186"/>
      <c r="W538" s="186"/>
      <c r="X538" s="186"/>
      <c r="Y538" s="186"/>
      <c r="Z538" s="187"/>
    </row>
    <row r="539" spans="1:26" ht="18" customHeight="1" hidden="1">
      <c r="A539" s="140"/>
      <c r="B539" s="140"/>
      <c r="D539" s="213" t="s">
        <v>261</v>
      </c>
      <c r="E539" s="130" t="str">
        <f>_xlfn.XLOOKUP(E525,CurrentPlans!B:B,CurrentPlans!AJ:AJ,"NA",0,1)</f>
        <v>NA</v>
      </c>
      <c r="F539" s="214"/>
      <c r="G539" s="214"/>
      <c r="H539" s="214"/>
      <c r="I539" s="130"/>
      <c r="J539" s="215"/>
      <c r="K539"/>
      <c r="L539" s="131" t="str">
        <f>_xlfn.XLOOKUP(L525,RenewalPlans!B:B,RenewalPlans!AM:AM,"NA",0,1)</f>
        <v>NA</v>
      </c>
      <c r="M539" s="214"/>
      <c r="N539" s="214"/>
      <c r="O539" s="214"/>
      <c r="P539" s="130"/>
      <c r="Q539" s="214"/>
      <c r="R539" s="215"/>
      <c r="T539" s="131" t="str">
        <f>_xlfn.XLOOKUP(T525,RenewalPlans!B:B,RenewalPlans!AM:AM,"NA",0,1)</f>
        <v>NA</v>
      </c>
      <c r="U539" s="214"/>
      <c r="V539" s="214"/>
      <c r="W539" s="214"/>
      <c r="X539" s="130"/>
      <c r="Y539" s="214"/>
      <c r="Z539" s="215"/>
    </row>
    <row r="540" spans="1:26" ht="18" customHeight="1" hidden="1">
      <c r="A540" s="140"/>
      <c r="B540" s="140"/>
      <c r="D540" s="198" t="s">
        <v>262</v>
      </c>
      <c r="E540" s="130" t="str">
        <f>_xlfn.XLOOKUP(E525,CurrentPlans!B:B,CurrentPlans!AM:AM,"NA",0,1)</f>
        <v>NA</v>
      </c>
      <c r="F540" s="200"/>
      <c r="G540" s="200"/>
      <c r="H540" s="200"/>
      <c r="I540" s="130"/>
      <c r="J540" s="201"/>
      <c r="K540"/>
      <c r="L540" s="131" t="str">
        <f>_xlfn.XLOOKUP(L525,RenewalPlans!B:B,RenewalPlans!AP:AP,"NA",0,1)</f>
        <v>NA</v>
      </c>
      <c r="M540" s="200"/>
      <c r="N540" s="200"/>
      <c r="O540" s="200"/>
      <c r="P540" s="130"/>
      <c r="Q540" s="200"/>
      <c r="R540" s="201"/>
      <c r="T540" s="131" t="str">
        <f>_xlfn.XLOOKUP(T525,RenewalPlans!B:B,RenewalPlans!AP:AP,"NA",0,1)</f>
        <v>NA</v>
      </c>
      <c r="U540" s="200"/>
      <c r="V540" s="200"/>
      <c r="W540" s="200"/>
      <c r="X540" s="130"/>
      <c r="Y540" s="200"/>
      <c r="Z540" s="201"/>
    </row>
    <row r="541" spans="1:26" ht="18" customHeight="1" hidden="1">
      <c r="A541" s="140"/>
      <c r="B541" s="140"/>
      <c r="D541" s="198" t="s">
        <v>263</v>
      </c>
      <c r="E541" s="130" t="str">
        <f>_xlfn.XLOOKUP(E525,CurrentPlans!B:B,CurrentPlans!AI:AI,"NA",0,1)</f>
        <v>NA</v>
      </c>
      <c r="F541" s="200"/>
      <c r="G541" s="200"/>
      <c r="H541" s="200"/>
      <c r="I541" s="130"/>
      <c r="J541" s="201"/>
      <c r="K541"/>
      <c r="L541" s="131" t="str">
        <f>_xlfn.XLOOKUP(L525,RenewalPlans!B:B,RenewalPlans!AL:AL,"NA",0,1)</f>
        <v>NA</v>
      </c>
      <c r="M541" s="200"/>
      <c r="N541" s="200"/>
      <c r="O541" s="200"/>
      <c r="P541" s="130"/>
      <c r="Q541" s="200"/>
      <c r="R541" s="201"/>
      <c r="T541" s="131" t="str">
        <f>_xlfn.XLOOKUP(T525,RenewalPlans!B:B,RenewalPlans!AL:AL,"NA",0,1)</f>
        <v>NA</v>
      </c>
      <c r="U541" s="200"/>
      <c r="V541" s="200"/>
      <c r="W541" s="200"/>
      <c r="X541" s="130"/>
      <c r="Y541" s="200"/>
      <c r="Z541" s="201"/>
    </row>
    <row r="542" spans="1:26" ht="18" customHeight="1" hidden="1">
      <c r="A542" s="140"/>
      <c r="B542" s="140"/>
      <c r="D542" s="198" t="s">
        <v>264</v>
      </c>
      <c r="E542" s="208" t="str">
        <f>_xlfn.XLOOKUP(E525,CurrentPlans!B:B,CurrentPlans!AN:AN,"NA",0,1)</f>
        <v>NA</v>
      </c>
      <c r="F542" s="200"/>
      <c r="G542" s="200"/>
      <c r="H542" s="200"/>
      <c r="I542" s="208"/>
      <c r="J542" s="201"/>
      <c r="K542"/>
      <c r="L542" s="209" t="str">
        <f>_xlfn.XLOOKUP(L525,RenewalPlans!B:B,RenewalPlans!AQ:AQ,"NA",0,1)</f>
        <v>NA</v>
      </c>
      <c r="M542" s="200"/>
      <c r="N542" s="200"/>
      <c r="O542" s="200"/>
      <c r="P542" s="208"/>
      <c r="Q542" s="200"/>
      <c r="R542" s="201"/>
      <c r="T542" s="209" t="str">
        <f>_xlfn.XLOOKUP(T525,RenewalPlans!B:B,RenewalPlans!AQ:AQ,"NA",0,1)</f>
        <v>NA</v>
      </c>
      <c r="U542" s="200"/>
      <c r="V542" s="200"/>
      <c r="W542" s="200"/>
      <c r="X542" s="208"/>
      <c r="Y542" s="200"/>
      <c r="Z542" s="201"/>
    </row>
    <row r="543" spans="1:26" ht="18" customHeight="1" hidden="1">
      <c r="A543" s="140"/>
      <c r="B543" s="140"/>
      <c r="D543" s="210"/>
      <c r="E543" s="211"/>
      <c r="F543" s="211"/>
      <c r="G543" s="211"/>
      <c r="H543" s="211"/>
      <c r="I543" s="211"/>
      <c r="J543" s="212"/>
      <c r="K543"/>
      <c r="L543" s="210"/>
      <c r="M543" s="211"/>
      <c r="N543" s="211"/>
      <c r="O543" s="211"/>
      <c r="P543" s="211"/>
      <c r="Q543" s="211"/>
      <c r="R543" s="212"/>
      <c r="T543" s="210"/>
      <c r="U543" s="211"/>
      <c r="V543" s="211"/>
      <c r="W543" s="211"/>
      <c r="X543" s="211"/>
      <c r="Y543" s="211"/>
      <c r="Z543" s="212"/>
    </row>
    <row r="544" spans="1:26" ht="18" customHeight="1" hidden="1">
      <c r="A544" s="140"/>
      <c r="B544" s="140"/>
      <c r="D544" s="185" t="s">
        <v>265</v>
      </c>
      <c r="E544" s="186"/>
      <c r="F544" s="186"/>
      <c r="G544" s="186"/>
      <c r="H544" s="186"/>
      <c r="I544" s="186"/>
      <c r="J544" s="187"/>
      <c r="K544"/>
      <c r="L544" s="188"/>
      <c r="M544" s="186"/>
      <c r="N544" s="186"/>
      <c r="O544" s="186"/>
      <c r="P544" s="186"/>
      <c r="Q544" s="186"/>
      <c r="R544" s="187"/>
      <c r="T544" s="188"/>
      <c r="U544" s="186"/>
      <c r="V544" s="186"/>
      <c r="W544" s="186"/>
      <c r="X544" s="186"/>
      <c r="Y544" s="186"/>
      <c r="Z544" s="187"/>
    </row>
    <row r="545" spans="1:26" ht="18" customHeight="1" hidden="1">
      <c r="A545" s="140"/>
      <c r="B545" s="140"/>
      <c r="D545" s="132" t="s">
        <v>266</v>
      </c>
      <c r="E545" s="133" t="str">
        <f>_xlfn.XLOOKUP(E525,CurrentPlans!B:B,CurrentPlans!AE:AE,"NA",0,1)</f>
        <v>NA</v>
      </c>
      <c r="F545" s="134"/>
      <c r="G545" s="134"/>
      <c r="H545" s="134"/>
      <c r="I545" s="133"/>
      <c r="J545" s="135"/>
      <c r="K545"/>
      <c r="L545" s="136" t="str">
        <f>_xlfn.XLOOKUP(L525,RenewalPlans!B:B,RenewalPlans!AH:AH,"NA",0,1)</f>
        <v>NA</v>
      </c>
      <c r="M545" s="134"/>
      <c r="N545" s="134"/>
      <c r="O545" s="134"/>
      <c r="P545" s="133"/>
      <c r="Q545" s="134"/>
      <c r="R545" s="135"/>
      <c r="T545" s="136" t="str">
        <f>_xlfn.XLOOKUP(T525,RenewalPlans!B:B,RenewalPlans!AH:AH,"NA",0,1)</f>
        <v>NA</v>
      </c>
      <c r="U545" s="134"/>
      <c r="V545" s="134"/>
      <c r="W545" s="134"/>
      <c r="X545" s="133"/>
      <c r="Y545" s="134"/>
      <c r="Z545" s="135"/>
    </row>
    <row r="546" spans="1:26" ht="18" customHeight="1" hidden="1">
      <c r="A546" s="140"/>
      <c r="B546" s="140"/>
      <c r="D546" s="120" t="s">
        <v>267</v>
      </c>
      <c r="E546" s="130" t="str">
        <f>_xlfn.XLOOKUP(E525,CurrentPlans!B:B,CurrentPlans!AF:AF,"NA",0,1)</f>
        <v>NA</v>
      </c>
      <c r="F546" s="122"/>
      <c r="G546" s="122"/>
      <c r="H546" s="122"/>
      <c r="I546" s="130"/>
      <c r="J546" s="123"/>
      <c r="K546"/>
      <c r="L546" s="131" t="str">
        <f>_xlfn.XLOOKUP(L525,RenewalPlans!B:B,RenewalPlans!AI:AI,"NA",0,1)</f>
        <v>NA</v>
      </c>
      <c r="M546" s="122"/>
      <c r="N546" s="122"/>
      <c r="O546" s="122"/>
      <c r="P546" s="130"/>
      <c r="Q546" s="122"/>
      <c r="R546" s="123"/>
      <c r="T546" s="131" t="str">
        <f>_xlfn.XLOOKUP(T525,RenewalPlans!B:B,RenewalPlans!AI:AI,"NA",0,1)</f>
        <v>NA</v>
      </c>
      <c r="U546" s="122"/>
      <c r="V546" s="122"/>
      <c r="W546" s="122"/>
      <c r="X546" s="130"/>
      <c r="Y546" s="122"/>
      <c r="Z546" s="123"/>
    </row>
    <row r="547" spans="1:26" ht="18" customHeight="1" hidden="1">
      <c r="A547" s="140"/>
      <c r="B547" s="140"/>
      <c r="D547" s="198" t="s">
        <v>268</v>
      </c>
      <c r="E547" s="130" t="str">
        <f>_xlfn.XLOOKUP(E525,CurrentPlans!B:B,CurrentPlans!AH:AH,"NA",0,1)</f>
        <v>NA</v>
      </c>
      <c r="F547" s="200"/>
      <c r="G547" s="200"/>
      <c r="H547" s="200"/>
      <c r="I547" s="130"/>
      <c r="J547" s="201"/>
      <c r="K547"/>
      <c r="L547" s="131" t="str">
        <f>_xlfn.XLOOKUP(L525,RenewalPlans!B:B,RenewalPlans!AK:AK,"NA",0,1)</f>
        <v>NA</v>
      </c>
      <c r="M547" s="200"/>
      <c r="N547" s="200"/>
      <c r="O547" s="200"/>
      <c r="P547" s="130"/>
      <c r="Q547" s="200"/>
      <c r="R547" s="201"/>
      <c r="T547" s="131" t="str">
        <f>_xlfn.XLOOKUP(T525,RenewalPlans!B:B,RenewalPlans!AK:AK,"NA",0,1)</f>
        <v>NA</v>
      </c>
      <c r="U547" s="200"/>
      <c r="V547" s="200"/>
      <c r="W547" s="200"/>
      <c r="X547" s="130"/>
      <c r="Y547" s="200"/>
      <c r="Z547" s="201"/>
    </row>
    <row r="548" spans="1:26" ht="18" customHeight="1" hidden="1">
      <c r="A548" s="140"/>
      <c r="B548" s="140"/>
      <c r="D548" s="198" t="s">
        <v>269</v>
      </c>
      <c r="E548" s="130" t="str">
        <f>_xlfn.XLOOKUP(E525,CurrentPlans!B:B,CurrentPlans!AG:AG,"NA",0,1)</f>
        <v>NA</v>
      </c>
      <c r="F548" s="200"/>
      <c r="G548" s="200"/>
      <c r="H548" s="200"/>
      <c r="I548" s="130"/>
      <c r="J548" s="201"/>
      <c r="K548"/>
      <c r="L548" s="131" t="str">
        <f>_xlfn.XLOOKUP(L525,RenewalPlans!B:B,RenewalPlans!AJ:AJ,"NA",0,1)</f>
        <v>NA</v>
      </c>
      <c r="M548" s="200"/>
      <c r="N548" s="200"/>
      <c r="O548" s="200"/>
      <c r="P548" s="130"/>
      <c r="Q548" s="200"/>
      <c r="R548" s="201"/>
      <c r="T548" s="131" t="str">
        <f>_xlfn.XLOOKUP(T525,RenewalPlans!B:B,RenewalPlans!AJ:AJ,"NA",0,1)</f>
        <v>NA</v>
      </c>
      <c r="U548" s="200"/>
      <c r="V548" s="200"/>
      <c r="W548" s="200"/>
      <c r="X548" s="130"/>
      <c r="Y548" s="200"/>
      <c r="Z548" s="201"/>
    </row>
    <row r="549" spans="1:26" ht="18" customHeight="1" hidden="1">
      <c r="A549" s="140"/>
      <c r="B549" s="140"/>
      <c r="D549" s="213" t="s">
        <v>270</v>
      </c>
      <c r="E549" s="216" t="str">
        <f>_xlfn.XLOOKUP(E525,CurrentPlans!B:B,CurrentPlans!AU:AU,"NA",0,1)</f>
        <v>NA</v>
      </c>
      <c r="F549" s="214"/>
      <c r="G549" s="214"/>
      <c r="H549" s="214"/>
      <c r="I549" s="217"/>
      <c r="J549" s="215"/>
      <c r="K549"/>
      <c r="L549" s="218" t="str">
        <f>_xlfn.XLOOKUP(L525,RenewalPlans!B:B,RenewalPlans!AX:AX,"NA",0,1)</f>
        <v>NA</v>
      </c>
      <c r="M549" s="214"/>
      <c r="N549" s="214"/>
      <c r="O549" s="214"/>
      <c r="P549" s="217"/>
      <c r="Q549" s="214"/>
      <c r="R549" s="215"/>
      <c r="T549" s="218" t="str">
        <f>_xlfn.XLOOKUP(T525,RenewalPlans!B:B,RenewalPlans!AX:AX,"NA",0,1)</f>
        <v>NA</v>
      </c>
      <c r="U549" s="214"/>
      <c r="V549" s="214"/>
      <c r="W549" s="214"/>
      <c r="X549" s="217"/>
      <c r="Y549" s="214"/>
      <c r="Z549" s="215"/>
    </row>
    <row r="550" spans="1:26" ht="18" customHeight="1" hidden="1">
      <c r="A550" s="140"/>
      <c r="B550" s="140"/>
      <c r="D550" s="213" t="s">
        <v>271</v>
      </c>
      <c r="E550" s="216" t="str">
        <f>_xlfn.XLOOKUP(E525,CurrentPlans!B:B,CurrentPlans!AT:AT,"NA",0,1)</f>
        <v>NA</v>
      </c>
      <c r="F550" s="214"/>
      <c r="G550" s="214"/>
      <c r="H550" s="214"/>
      <c r="I550" s="217"/>
      <c r="J550" s="215"/>
      <c r="K550"/>
      <c r="L550" s="218" t="str">
        <f>_xlfn.XLOOKUP(L525,RenewalPlans!B:B,RenewalPlans!AW:AW,"NA",0,1)</f>
        <v>NA</v>
      </c>
      <c r="M550" s="214"/>
      <c r="N550" s="214"/>
      <c r="O550" s="214"/>
      <c r="P550" s="217"/>
      <c r="Q550" s="214"/>
      <c r="R550" s="215"/>
      <c r="T550" s="218" t="str">
        <f>_xlfn.XLOOKUP(T525,RenewalPlans!B:B,RenewalPlans!AW:AW,"NA",0,1)</f>
        <v>NA</v>
      </c>
      <c r="U550" s="214"/>
      <c r="V550" s="214"/>
      <c r="W550" s="214"/>
      <c r="X550" s="217"/>
      <c r="Y550" s="214"/>
      <c r="Z550" s="215"/>
    </row>
    <row r="551" spans="1:26" ht="18" customHeight="1" hidden="1">
      <c r="A551" s="140"/>
      <c r="B551" s="140"/>
      <c r="D551" s="198" t="s">
        <v>272</v>
      </c>
      <c r="E551" s="130" t="str">
        <f>_xlfn.XLOOKUP(E525,CurrentPlans!B:B,CurrentPlans!AD:AD,"NA",0,1)</f>
        <v>NA</v>
      </c>
      <c r="F551" s="200"/>
      <c r="G551" s="200"/>
      <c r="H551" s="200"/>
      <c r="I551" s="130"/>
      <c r="J551" s="201"/>
      <c r="K551"/>
      <c r="L551" s="131" t="str">
        <f>_xlfn.XLOOKUP(L525,RenewalPlans!B:B,RenewalPlans!AG:AG,"NA",0,1)</f>
        <v>NA</v>
      </c>
      <c r="M551" s="200"/>
      <c r="N551" s="200"/>
      <c r="O551" s="200"/>
      <c r="P551" s="130"/>
      <c r="Q551" s="200"/>
      <c r="R551" s="201"/>
      <c r="T551" s="131" t="str">
        <f>_xlfn.XLOOKUP(T525,RenewalPlans!B:B,RenewalPlans!AG:AG,"NA",0,1)</f>
        <v>NA</v>
      </c>
      <c r="U551" s="200"/>
      <c r="V551" s="200"/>
      <c r="W551" s="200"/>
      <c r="X551" s="130"/>
      <c r="Y551" s="200"/>
      <c r="Z551" s="201"/>
    </row>
    <row r="552" spans="1:26" ht="18" customHeight="1" hidden="1">
      <c r="A552" s="140"/>
      <c r="B552" s="140"/>
      <c r="D552" s="198" t="s">
        <v>273</v>
      </c>
      <c r="E552" s="200"/>
      <c r="F552" s="200"/>
      <c r="G552" s="200"/>
      <c r="H552" s="200"/>
      <c r="I552" s="200"/>
      <c r="J552" s="201"/>
      <c r="K552"/>
      <c r="L552" s="198"/>
      <c r="M552" s="200"/>
      <c r="N552" s="200"/>
      <c r="O552" s="200"/>
      <c r="P552" s="200"/>
      <c r="Q552" s="200"/>
      <c r="R552" s="201"/>
      <c r="T552" s="198"/>
      <c r="U552" s="200"/>
      <c r="V552" s="200"/>
      <c r="W552" s="200"/>
      <c r="X552" s="200"/>
      <c r="Y552" s="200"/>
      <c r="Z552" s="201"/>
    </row>
    <row r="553" spans="1:26" ht="18" customHeight="1" hidden="1">
      <c r="A553" s="140"/>
      <c r="B553" s="140"/>
      <c r="D553" s="210"/>
      <c r="E553" s="211"/>
      <c r="F553" s="211"/>
      <c r="G553" s="211"/>
      <c r="H553" s="211"/>
      <c r="I553" s="211"/>
      <c r="J553" s="212"/>
      <c r="K553"/>
      <c r="L553" s="210"/>
      <c r="M553" s="211"/>
      <c r="N553" s="211"/>
      <c r="O553" s="211"/>
      <c r="P553" s="211"/>
      <c r="Q553" s="211"/>
      <c r="R553" s="212"/>
      <c r="T553" s="210"/>
      <c r="U553" s="211"/>
      <c r="V553" s="211"/>
      <c r="W553" s="211"/>
      <c r="X553" s="211"/>
      <c r="Y553" s="211"/>
      <c r="Z553" s="212"/>
    </row>
    <row r="554" spans="1:26" ht="18" customHeight="1" hidden="1">
      <c r="A554" s="140"/>
      <c r="B554" s="140"/>
      <c r="D554" s="219" t="s">
        <v>274</v>
      </c>
      <c r="E554" s="220"/>
      <c r="F554" s="220"/>
      <c r="G554" s="220"/>
      <c r="H554" s="220"/>
      <c r="I554" s="220"/>
      <c r="J554" s="221"/>
      <c r="K554"/>
      <c r="L554" s="222"/>
      <c r="M554" s="220"/>
      <c r="N554" s="220"/>
      <c r="O554" s="220"/>
      <c r="P554" s="220"/>
      <c r="Q554" s="220"/>
      <c r="R554" s="221"/>
      <c r="T554" s="222"/>
      <c r="U554" s="220"/>
      <c r="V554" s="220"/>
      <c r="W554" s="220"/>
      <c r="X554" s="220"/>
      <c r="Y554" s="220"/>
      <c r="Z554" s="221"/>
    </row>
    <row r="555" spans="1:26" ht="18" customHeight="1" hidden="1">
      <c r="A555" s="140"/>
      <c r="B555" s="140"/>
      <c r="D555" s="223" t="s">
        <v>250</v>
      </c>
      <c r="E555" s="205"/>
      <c r="F555" s="205"/>
      <c r="G555" s="205"/>
      <c r="H555" s="205"/>
      <c r="I555" s="205"/>
      <c r="J555" s="206"/>
      <c r="K555"/>
      <c r="L555" s="203"/>
      <c r="M555" s="205"/>
      <c r="N555" s="205"/>
      <c r="O555" s="205"/>
      <c r="P555" s="205"/>
      <c r="Q555" s="205"/>
      <c r="R555" s="206"/>
      <c r="T555" s="203"/>
      <c r="U555" s="205"/>
      <c r="V555" s="205"/>
      <c r="W555" s="205"/>
      <c r="X555" s="205"/>
      <c r="Y555" s="205"/>
      <c r="Z555" s="206"/>
    </row>
    <row r="556" spans="1:26" ht="18" customHeight="1" hidden="1">
      <c r="A556" s="140"/>
      <c r="B556" s="140"/>
      <c r="D556" s="198" t="s">
        <v>251</v>
      </c>
      <c r="E556" s="130" t="str">
        <f>_xlfn.XLOOKUP(E525,CurrentPlans!B:B,CurrentPlans!AP:AP,"NA",0,1)</f>
        <v>NA</v>
      </c>
      <c r="F556" s="200"/>
      <c r="G556" s="200"/>
      <c r="H556" s="200"/>
      <c r="I556" s="130"/>
      <c r="J556" s="201"/>
      <c r="K556"/>
      <c r="L556" s="131" t="str">
        <f>_xlfn.XLOOKUP(L525,RenewalPlans!B:B,RenewalPlans!AS:AS,"NA",0,1)</f>
        <v>NA</v>
      </c>
      <c r="M556" s="200"/>
      <c r="N556" s="200"/>
      <c r="O556" s="200"/>
      <c r="P556" s="130"/>
      <c r="Q556" s="200"/>
      <c r="R556" s="201"/>
      <c r="T556" s="131" t="str">
        <f>_xlfn.XLOOKUP(T525,RenewalPlans!B:B,RenewalPlans!AS:AS,"NA",0,1)</f>
        <v>NA</v>
      </c>
      <c r="U556" s="200"/>
      <c r="V556" s="200"/>
      <c r="W556" s="200"/>
      <c r="X556" s="130"/>
      <c r="Y556" s="200"/>
      <c r="Z556" s="201"/>
    </row>
    <row r="557" spans="1:26" ht="18" customHeight="1" hidden="1">
      <c r="A557" s="140"/>
      <c r="B557" s="140"/>
      <c r="D557" s="198" t="s">
        <v>252</v>
      </c>
      <c r="E557" s="130" t="str">
        <f>_xlfn.XLOOKUP(E525,CurrentPlans!B:B,CurrentPlans!AQ:AQ,"NA",0,1)</f>
        <v>NA</v>
      </c>
      <c r="F557" s="200"/>
      <c r="G557" s="200"/>
      <c r="H557" s="200"/>
      <c r="I557" s="130"/>
      <c r="J557" s="201"/>
      <c r="K557"/>
      <c r="L557" s="131" t="str">
        <f>_xlfn.XLOOKUP(L525,RenewalPlans!B:B,RenewalPlans!AT:AT,"NA",0,1)</f>
        <v>NA</v>
      </c>
      <c r="M557" s="200"/>
      <c r="N557" s="200"/>
      <c r="O557" s="200"/>
      <c r="P557" s="130"/>
      <c r="Q557" s="200"/>
      <c r="R557" s="201"/>
      <c r="T557" s="131" t="str">
        <f>_xlfn.XLOOKUP(T525,RenewalPlans!B:B,RenewalPlans!AT:AT,"NA",0,1)</f>
        <v>NA</v>
      </c>
      <c r="U557" s="200"/>
      <c r="V557" s="200"/>
      <c r="W557" s="200"/>
      <c r="X557" s="130"/>
      <c r="Y557" s="200"/>
      <c r="Z557" s="201"/>
    </row>
    <row r="558" spans="1:26" ht="18" customHeight="1" hidden="1">
      <c r="A558" s="140"/>
      <c r="B558" s="140"/>
      <c r="D558" s="120" t="s">
        <v>253</v>
      </c>
      <c r="E558" s="133" t="str">
        <f>_xlfn.XLOOKUP(E525,CurrentPlans!B:B,CurrentPlans!AO:AO,"NA",0,1)</f>
        <v>NA</v>
      </c>
      <c r="F558" s="122"/>
      <c r="G558" s="122"/>
      <c r="H558" s="122"/>
      <c r="I558" s="133"/>
      <c r="J558" s="123"/>
      <c r="K558"/>
      <c r="L558" s="136" t="str">
        <f>_xlfn.XLOOKUP(L525,RenewalPlans!B:B,RenewalPlans!AR:AR,"NA",0,1)</f>
        <v>NA</v>
      </c>
      <c r="M558" s="122"/>
      <c r="N558" s="122"/>
      <c r="O558" s="122"/>
      <c r="P558" s="133"/>
      <c r="Q558" s="122"/>
      <c r="R558" s="123"/>
      <c r="T558" s="136" t="str">
        <f>_xlfn.XLOOKUP(T525,RenewalPlans!B:B,RenewalPlans!AR:AR,"NA",0,1)</f>
        <v>NA</v>
      </c>
      <c r="U558" s="122"/>
      <c r="V558" s="122"/>
      <c r="W558" s="122"/>
      <c r="X558" s="133"/>
      <c r="Y558" s="122"/>
      <c r="Z558" s="123"/>
    </row>
    <row r="559" spans="1:26" ht="18" customHeight="1" hidden="1">
      <c r="A559" s="140"/>
      <c r="B559" s="140"/>
      <c r="D559" s="223" t="s">
        <v>254</v>
      </c>
      <c r="E559" s="205"/>
      <c r="F559" s="205"/>
      <c r="G559" s="205"/>
      <c r="H559" s="205"/>
      <c r="I559" s="205"/>
      <c r="J559" s="206"/>
      <c r="K559"/>
      <c r="L559" s="203"/>
      <c r="M559" s="205"/>
      <c r="N559" s="205"/>
      <c r="O559" s="205"/>
      <c r="P559" s="205"/>
      <c r="Q559" s="205"/>
      <c r="R559" s="206"/>
      <c r="T559" s="203"/>
      <c r="U559" s="205"/>
      <c r="V559" s="205"/>
      <c r="W559" s="205"/>
      <c r="X559" s="205"/>
      <c r="Y559" s="205"/>
      <c r="Z559" s="206"/>
    </row>
    <row r="560" spans="1:26" ht="18" customHeight="1" hidden="1">
      <c r="A560" s="140"/>
      <c r="B560" s="140"/>
      <c r="D560" s="198" t="s">
        <v>255</v>
      </c>
      <c r="E560" s="130" t="str">
        <f>_xlfn.XLOOKUP(E525,CurrentPlans!B:B,CurrentPlans!AR:AR,"NA",0,1)</f>
        <v>NA</v>
      </c>
      <c r="F560" s="200"/>
      <c r="G560" s="200"/>
      <c r="H560" s="200"/>
      <c r="I560" s="130"/>
      <c r="J560" s="201"/>
      <c r="K560"/>
      <c r="L560" s="131" t="str">
        <f>_xlfn.XLOOKUP(L525,RenewalPlans!B:B,RenewalPlans!AU:AU,"NA",0,1)</f>
        <v>NA</v>
      </c>
      <c r="M560" s="200"/>
      <c r="N560" s="200"/>
      <c r="O560" s="200"/>
      <c r="P560" s="130"/>
      <c r="Q560" s="200"/>
      <c r="R560" s="201"/>
      <c r="T560" s="131" t="str">
        <f>_xlfn.XLOOKUP(T525,RenewalPlans!B:B,RenewalPlans!AU:AU,"NA",0,1)</f>
        <v>NA</v>
      </c>
      <c r="U560" s="200"/>
      <c r="V560" s="200"/>
      <c r="W560" s="200"/>
      <c r="X560" s="130"/>
      <c r="Y560" s="200"/>
      <c r="Z560" s="201"/>
    </row>
    <row r="561" spans="1:26" ht="18" customHeight="1" hidden="1" thickBot="1">
      <c r="A561" s="140"/>
      <c r="B561" s="140"/>
      <c r="D561" s="224" t="s">
        <v>256</v>
      </c>
      <c r="E561" s="137" t="str">
        <f>_xlfn.XLOOKUP(E525,CurrentPlans!B:B,CurrentPlans!AS:AS,"NA",0,1)</f>
        <v>NA</v>
      </c>
      <c r="F561" s="225"/>
      <c r="G561" s="225"/>
      <c r="H561" s="225"/>
      <c r="I561" s="137"/>
      <c r="J561" s="226"/>
      <c r="K561"/>
      <c r="L561" s="138" t="str">
        <f>_xlfn.XLOOKUP(L525,RenewalPlans!B:B,RenewalPlans!AV:AV,"NA",0,1)</f>
        <v>NA</v>
      </c>
      <c r="M561" s="225"/>
      <c r="N561" s="225"/>
      <c r="O561" s="225"/>
      <c r="P561" s="137"/>
      <c r="Q561" s="225"/>
      <c r="R561" s="226"/>
      <c r="T561" s="138" t="str">
        <f>_xlfn.XLOOKUP(T525,RenewalPlans!B:B,RenewalPlans!AV:AV,"NA",0,1)</f>
        <v>NA</v>
      </c>
      <c r="U561" s="225"/>
      <c r="V561" s="225"/>
      <c r="W561" s="225"/>
      <c r="X561" s="137"/>
      <c r="Y561" s="225"/>
      <c r="Z561" s="226"/>
    </row>
    <row r="562" spans="1:26" ht="18" customHeight="1">
      <c r="A562" s="140"/>
      <c r="B562" s="140"/>
      <c r="D562" s="227"/>
      <c r="E562" s="176"/>
      <c r="F562" s="178"/>
      <c r="G562" s="179"/>
      <c r="H562" s="178"/>
      <c r="I562" s="176"/>
      <c r="J562" s="228"/>
      <c r="K562"/>
      <c r="L562" s="178"/>
      <c r="M562" s="176"/>
      <c r="N562" s="139"/>
      <c r="O562" s="178"/>
      <c r="P562" s="178"/>
      <c r="Q562" s="178"/>
      <c r="R562" s="228"/>
      <c r="T562" s="178"/>
      <c r="U562" s="176"/>
      <c r="V562" s="139"/>
      <c r="W562" s="178"/>
      <c r="X562" s="178"/>
      <c r="Y562" s="178"/>
      <c r="Z562" s="228"/>
    </row>
    <row r="563" spans="1:26" ht="5.25" customHeight="1" thickBot="1">
      <c r="A563" s="140"/>
      <c r="B563" s="140"/>
      <c r="D563" s="229"/>
      <c r="E563" s="229"/>
      <c r="F563" s="230"/>
      <c r="G563" s="231"/>
      <c r="H563" s="232"/>
      <c r="I563" s="233"/>
      <c r="J563" s="233"/>
      <c r="K563"/>
      <c r="L563" s="233"/>
      <c r="M563" s="233"/>
      <c r="N563" s="233"/>
      <c r="O563" s="233"/>
      <c r="P563" s="233"/>
      <c r="Q563" s="233"/>
      <c r="R563" s="233"/>
      <c r="T563" s="233"/>
      <c r="U563" s="233"/>
      <c r="V563" s="233"/>
      <c r="W563" s="233"/>
      <c r="X563" s="233"/>
      <c r="Y563" s="233"/>
      <c r="Z563" s="233"/>
    </row>
    <row r="564" spans="1:26" ht="50.15" customHeight="1">
      <c r="A564" s="140"/>
      <c r="B564" s="140"/>
      <c r="C564" s="164" t="s">
        <v>286</v>
      </c>
      <c r="D564" s="275" t="s">
        <v>285</v>
      </c>
      <c r="E564" s="165"/>
      <c r="F564" s="272"/>
      <c r="G564" s="166"/>
      <c r="H564" s="167"/>
      <c r="I564" s="168"/>
      <c r="J564" s="169"/>
      <c r="K564"/>
      <c r="L564" s="274" t="s">
        <v>38</v>
      </c>
      <c r="M564" s="170"/>
      <c r="N564" s="274" t="s">
        <v>237</v>
      </c>
      <c r="O564" s="171"/>
      <c r="P564" s="171"/>
      <c r="Q564" s="171"/>
      <c r="R564" s="169"/>
      <c r="T564" s="274" t="s">
        <v>38</v>
      </c>
      <c r="U564" s="170"/>
      <c r="V564" s="274" t="s">
        <v>237</v>
      </c>
      <c r="W564" s="171"/>
      <c r="X564" s="171"/>
      <c r="Y564" s="171"/>
      <c r="Z564" s="169"/>
    </row>
    <row r="565" spans="1:26" ht="18.75" customHeight="1">
      <c r="A565" s="140"/>
      <c r="B565" s="140"/>
      <c r="D565" s="172" t="s">
        <v>238</v>
      </c>
      <c r="E565" s="407"/>
      <c r="F565" s="449"/>
      <c r="G565" s="470"/>
      <c r="H565" s="449"/>
      <c r="I565" s="450"/>
      <c r="J565" s="410"/>
      <c r="K565" s="411"/>
      <c r="L565" s="408" t="str" cm="1">
        <f t="array" ca="1" aca="1" ref="L565">_xlfn.IFNA(VLOOKUP(INDIRECT("L"&amp;ROW()-1)&amp;"_"&amp;$D$12,BEGIN_RENEW_HEALTH:END_RENEW_HEALTH,RENEW_COL_EO,FALSE),"")</f>
        <v/>
      </c>
      <c r="M565" s="412" t="str">
        <f>IF(E565="","",E565)</f>
        <v/>
      </c>
      <c r="N565" s="413"/>
      <c r="O565" s="414"/>
      <c r="P565" s="415" t="str">
        <f>IFERROR(IF($N564="Keep Contribution Same",H565,IF($N564="Enter Percentages",IF(N565="","",N565*L565),IF($N564="Keep Percentage Same",IF(G565="","",G565*L565),IF($N564="Enter Dollar Amount",IF(O565="","",O565),"")))),"")</f>
        <v/>
      </c>
      <c r="Q565" s="408" t="str">
        <f ca="1">IFERROR(L565-P565,"")</f>
        <v/>
      </c>
      <c r="R565" s="410" t="str">
        <f>IFERROR(IF(P565="","",M565*P565),"")</f>
        <v/>
      </c>
      <c r="S565" s="411"/>
      <c r="T565" s="408" t="str" cm="1">
        <f t="array" ca="1" aca="1" ref="T565">_xlfn.IFNA(VLOOKUP(INDIRECT("T"&amp;ROW()-1)&amp;"_"&amp;$D$12,BEGIN_RENEW_HEALTH:END_RENEW_HEALTH,RENEW_COL_EO,FALSE),"")</f>
        <v/>
      </c>
      <c r="U565" s="412" t="str">
        <f>IF(E565="","",E565)</f>
        <v/>
      </c>
      <c r="V565" s="413"/>
      <c r="W565" s="414"/>
      <c r="X565" s="415" t="str">
        <f>IFERROR(IF($V564="Keep Contribution Same",H565,IF($V564="Enter Percentages",IF(V565="","",V565*T565),IF($V564="Keep Percentage Same",IF(G565="","",G565*T565),IF($V564="Enter Dollar Amount",IF(W565="","",W565),"")))),"")</f>
        <v/>
      </c>
      <c r="Y565" s="408" t="str">
        <f ca="1">IFERROR(T565-X565,"")</f>
        <v/>
      </c>
      <c r="Z565" s="410" t="str">
        <f>IFERROR(IF(X565="","",U565*X565),"")</f>
        <v/>
      </c>
    </row>
    <row r="566" spans="1:26" ht="18.75" customHeight="1">
      <c r="A566" s="140"/>
      <c r="B566" s="140"/>
      <c r="D566" s="172" t="s">
        <v>239</v>
      </c>
      <c r="E566" s="407"/>
      <c r="F566" s="449"/>
      <c r="G566" s="470"/>
      <c r="H566" s="449"/>
      <c r="I566" s="450"/>
      <c r="J566" s="410"/>
      <c r="K566" s="411"/>
      <c r="L566" s="408" t="str" cm="1">
        <f t="array" ca="1" aca="1" ref="L566">_xlfn.IFNA(VLOOKUP(INDIRECT("L"&amp;ROW()-2)&amp;"_"&amp;$D$12,BEGIN_RENEW_HEALTH:END_RENEW_HEALTH,RENEW_COL_ES,FALSE),"")</f>
        <v/>
      </c>
      <c r="M566" s="412" t="str">
        <f>IF(E566="","",E566)</f>
        <v/>
      </c>
      <c r="N566" s="413"/>
      <c r="O566" s="414"/>
      <c r="P566" s="415" t="str">
        <f>IFERROR(IF($N564="Keep Contribution Same",H566,IF($N564="Enter Percentages",IF(N566="","",N566*L566),IF($N564="Keep Percentage Same",IF(G566="","",G566*L566),IF($N564="Enter Dollar Amount",IF(O566="","",O566),"")))),"")</f>
        <v/>
      </c>
      <c r="Q566" s="408" t="str">
        <f ca="1" t="shared" si="54" ref="Q566:Q568">IFERROR(L566-P566,"")</f>
        <v/>
      </c>
      <c r="R566" s="410" t="str">
        <f>IFERROR(IF(P566="","",M566*P566),"")</f>
        <v/>
      </c>
      <c r="S566" s="411"/>
      <c r="T566" s="408" t="str" cm="1">
        <f t="array" ca="1" aca="1" ref="T566">_xlfn.IFNA(VLOOKUP(INDIRECT("T"&amp;ROW()-2)&amp;"_"&amp;$D$12,BEGIN_RENEW_HEALTH:END_RENEW_HEALTH,RENEW_COL_ES,FALSE),"")</f>
        <v/>
      </c>
      <c r="U566" s="412" t="str">
        <f t="shared" si="55" ref="U566:U568">IF(E566="","",E566)</f>
        <v/>
      </c>
      <c r="V566" s="413"/>
      <c r="W566" s="414"/>
      <c r="X566" s="415" t="str">
        <f>IFERROR(IF($V564="Keep Contribution Same",H566,IF($V564="Enter Percentages",IF(V566="","",V566*T566),IF($V564="Keep Percentage Same",IF(G566="","",G566*T566),IF($V564="Enter Dollar Amount",IF(W566="","",W566),"")))),"")</f>
        <v/>
      </c>
      <c r="Y566" s="408" t="str">
        <f ca="1" t="shared" si="56" ref="Y566:Y568">IFERROR(T566-X566,"")</f>
        <v/>
      </c>
      <c r="Z566" s="410" t="str">
        <f t="shared" si="57" ref="Z566:Z568">IFERROR(IF(X566="","",U566*X566),"")</f>
        <v/>
      </c>
    </row>
    <row r="567" spans="1:26" ht="18.75" customHeight="1">
      <c r="A567" s="140"/>
      <c r="B567" s="140"/>
      <c r="D567" s="172" t="s">
        <v>240</v>
      </c>
      <c r="E567" s="407"/>
      <c r="F567" s="449"/>
      <c r="G567" s="470"/>
      <c r="H567" s="449"/>
      <c r="I567" s="450"/>
      <c r="J567" s="410"/>
      <c r="K567" s="411"/>
      <c r="L567" s="408" t="str" cm="1">
        <f t="array" ca="1" aca="1" ref="L567">_xlfn.IFNA(VLOOKUP(INDIRECT("L"&amp;ROW()-3)&amp;"_"&amp;$D$12,BEGIN_RENEW_HEALTH:END_RENEW_HEALTH,RENEW_COL_EC,FALSE),"")</f>
        <v/>
      </c>
      <c r="M567" s="412" t="str">
        <f>IF(E567="","",E567)</f>
        <v/>
      </c>
      <c r="N567" s="413"/>
      <c r="O567" s="414"/>
      <c r="P567" s="415" t="str">
        <f>IFERROR(IF($N564="Keep Contribution Same",H567,IF($N564="Enter Percentages",IF(N567="","",N567*L567),IF($N564="Keep Percentage Same",IF(G567="","",G567*L567),IF($N564="Enter Dollar Amount",IF(O567="","",O567),"")))),"")</f>
        <v/>
      </c>
      <c r="Q567" s="408" t="str">
        <f t="shared" ca="1" si="54"/>
        <v/>
      </c>
      <c r="R567" s="410" t="str">
        <f>IFERROR(IF(P567="","",M567*P567),"")</f>
        <v/>
      </c>
      <c r="S567" s="411"/>
      <c r="T567" s="408" t="str" cm="1">
        <f t="array" ca="1" aca="1" ref="T567">_xlfn.IFNA(VLOOKUP(INDIRECT("T"&amp;ROW()-3)&amp;"_"&amp;$D$12,BEGIN_RENEW_HEALTH:END_RENEW_HEALTH,RENEW_COL_EC,FALSE),"")</f>
        <v/>
      </c>
      <c r="U567" s="412" t="str">
        <f t="shared" si="55"/>
        <v/>
      </c>
      <c r="V567" s="413"/>
      <c r="W567" s="414"/>
      <c r="X567" s="415" t="str">
        <f>IFERROR(IF($V564="Keep Contribution Same",H567,IF($V564="Enter Percentages",IF(V567="","",V567*T567),IF($V564="Keep Percentage Same",IF(G567="","",G567*T567),IF($V564="Enter Dollar Amount",IF(W567="","",W567),"")))),"")</f>
        <v/>
      </c>
      <c r="Y567" s="408" t="str">
        <f t="shared" ca="1" si="56"/>
        <v/>
      </c>
      <c r="Z567" s="410" t="str">
        <f t="shared" si="57"/>
        <v/>
      </c>
    </row>
    <row r="568" spans="1:26" ht="18.75" customHeight="1" thickBot="1">
      <c r="A568" s="140"/>
      <c r="B568" s="140"/>
      <c r="D568" s="174" t="s">
        <v>241</v>
      </c>
      <c r="E568" s="416"/>
      <c r="F568" s="451"/>
      <c r="G568" s="471"/>
      <c r="H568" s="451"/>
      <c r="I568" s="452"/>
      <c r="J568" s="419"/>
      <c r="K568" s="411"/>
      <c r="L568" s="417" t="str" cm="1">
        <f t="array" ca="1" aca="1" ref="L568">_xlfn.IFNA(VLOOKUP(INDIRECT("L"&amp;ROW()-4)&amp;"_"&amp;$D$12,BEGIN_RENEW_HEALTH:END_RENEW_HEALTH,RENEW_COL_FAM,FALSE),"")</f>
        <v/>
      </c>
      <c r="M568" s="423" t="str">
        <f>IF(E568="","",E568)</f>
        <v/>
      </c>
      <c r="N568" s="420"/>
      <c r="O568" s="421"/>
      <c r="P568" s="422" t="str">
        <f>IFERROR(IF($N564="Keep Contribution Same",H568,IF($N564="Enter Percentages",IF(N568="","",N568*L568),IF($N564="Keep Percentage Same",IF(G568="","",G568*L568),IF($N564="Enter Dollar Amount",IF(O568="","",O568),"")))),"")</f>
        <v/>
      </c>
      <c r="Q568" s="417" t="str">
        <f t="shared" ca="1" si="54"/>
        <v/>
      </c>
      <c r="R568" s="419" t="str">
        <f>IFERROR(IF(P568="","",M568*P568),"")</f>
        <v/>
      </c>
      <c r="S568" s="411"/>
      <c r="T568" s="417" t="str" cm="1">
        <f t="array" ca="1" aca="1" ref="T568">_xlfn.IFNA(VLOOKUP(INDIRECT("T"&amp;ROW()-4)&amp;"_"&amp;$D$12,BEGIN_RENEW_HEALTH:END_RENEW_HEALTH,RENEW_COL_FAM,FALSE),"")</f>
        <v/>
      </c>
      <c r="U568" s="423" t="str">
        <f t="shared" si="55"/>
        <v/>
      </c>
      <c r="V568" s="420"/>
      <c r="W568" s="421"/>
      <c r="X568" s="422" t="str">
        <f>IFERROR(IF($V564="Keep Contribution Same",H568,IF($V564="Enter Percentages",IF(V568="","",V568*T568),IF($V564="Keep Percentage Same",IF(G568="","",G568*T568),IF($V564="Enter Dollar Amount",IF(W568="","",W568),"")))),"")</f>
        <v/>
      </c>
      <c r="Y568" s="417" t="str">
        <f t="shared" ca="1" si="56"/>
        <v/>
      </c>
      <c r="Z568" s="419" t="str">
        <f t="shared" si="57"/>
        <v/>
      </c>
    </row>
    <row r="569" spans="1:26" ht="18.75" customHeight="1" thickTop="1">
      <c r="A569" s="140"/>
      <c r="B569" s="140"/>
      <c r="D569" s="175" t="s">
        <v>329</v>
      </c>
      <c r="E569" s="424"/>
      <c r="F569" s="447">
        <f>IFERROR((F565*E565)+(F566*E566)+(F567*E567)+(F568*E568),"")</f>
        <v>0</v>
      </c>
      <c r="G569" s="426"/>
      <c r="H569" s="427"/>
      <c r="I569" s="428"/>
      <c r="J569" s="429" t="str">
        <f>IFERROR(IF(J565="","",SUM(J565:J568)),0)</f>
        <v/>
      </c>
      <c r="K569" s="1"/>
      <c r="L569" s="430" t="str">
        <f ca="1">IFERROR((M565*L565)+(M566*L566)+(M567*L567)+(M568*L568),"")</f>
        <v/>
      </c>
      <c r="M569" s="427"/>
      <c r="N569" s="426"/>
      <c r="O569" s="427"/>
      <c r="P569" s="431"/>
      <c r="Q569" s="432"/>
      <c r="R569" s="429" t="str">
        <f>IFERROR(IF(R565="","",SUM(R565:R568)),0)</f>
        <v/>
      </c>
      <c r="T569" s="430" t="str">
        <f ca="1">IFERROR((U565*T565)+(U566*T566)+(U567*T567)+(U568*T568),"")</f>
        <v/>
      </c>
      <c r="U569" s="427"/>
      <c r="V569" s="426"/>
      <c r="W569" s="427"/>
      <c r="X569" s="431"/>
      <c r="Y569" s="432"/>
      <c r="Z569" s="429" t="str">
        <f>IFERROR(IF(Z565="","",SUM(Z565:Z568)),0)</f>
        <v/>
      </c>
    </row>
    <row r="570" spans="1:26" ht="18.75" customHeight="1">
      <c r="A570" s="140"/>
      <c r="B570" s="140"/>
      <c r="D570" s="177" t="s">
        <v>243</v>
      </c>
      <c r="E570" s="433"/>
      <c r="F570" s="448">
        <f>IFERROR(F569*12,"")</f>
        <v>0</v>
      </c>
      <c r="G570" s="435"/>
      <c r="H570" s="436"/>
      <c r="I570" s="432"/>
      <c r="J570" s="437" t="str">
        <f>IF(J569="","",J569*12)</f>
        <v/>
      </c>
      <c r="K570" s="1"/>
      <c r="L570" s="438" t="str">
        <f ca="1">IFERROR(L569*12,"")</f>
        <v/>
      </c>
      <c r="M570" s="436"/>
      <c r="N570" s="435"/>
      <c r="O570" s="436"/>
      <c r="P570" s="432"/>
      <c r="Q570" s="432"/>
      <c r="R570" s="437" t="str">
        <f>IF(R569="","",R569*12)</f>
        <v/>
      </c>
      <c r="T570" s="438" t="str">
        <f ca="1">IFERROR(T569*12,"")</f>
        <v/>
      </c>
      <c r="U570" s="436"/>
      <c r="V570" s="435"/>
      <c r="W570" s="436"/>
      <c r="X570" s="432"/>
      <c r="Y570" s="432"/>
      <c r="Z570" s="437" t="str">
        <f>IF(Z569="","",Z569*12)</f>
        <v/>
      </c>
    </row>
    <row r="571" spans="1:26" ht="18" customHeight="1">
      <c r="A571" s="140"/>
      <c r="B571" s="140"/>
      <c r="D571" s="177" t="s">
        <v>244</v>
      </c>
      <c r="E571" s="433"/>
      <c r="F571" s="436"/>
      <c r="G571" s="435"/>
      <c r="H571" s="436"/>
      <c r="I571" s="432"/>
      <c r="J571" s="437" t="str">
        <f>IFERROR(IF(J570="","",R570-J570),0)</f>
        <v/>
      </c>
      <c r="K571" s="1"/>
      <c r="L571" s="434" t="str">
        <f ca="1">IFERROR(L570-F570,"")</f>
        <v/>
      </c>
      <c r="M571" s="436"/>
      <c r="N571" s="435"/>
      <c r="O571" s="436"/>
      <c r="P571" s="432"/>
      <c r="Q571" s="432"/>
      <c r="R571" s="437" t="str">
        <f>IFERROR(IF(J570="","",R570-J570),0)</f>
        <v/>
      </c>
      <c r="T571" s="434" t="str">
        <f ca="1">IFERROR(T570-F570,"")</f>
        <v/>
      </c>
      <c r="U571" s="436"/>
      <c r="V571" s="435"/>
      <c r="W571" s="436"/>
      <c r="X571" s="432"/>
      <c r="Y571" s="432"/>
      <c r="Z571" s="437" t="str">
        <f>IFERROR(IF(R570="","",Z570-R570),0)</f>
        <v/>
      </c>
    </row>
    <row r="572" spans="1:26" ht="18" customHeight="1" thickBot="1">
      <c r="A572" s="140"/>
      <c r="B572" s="140"/>
      <c r="D572" s="180" t="s">
        <v>245</v>
      </c>
      <c r="E572" s="439"/>
      <c r="F572" s="440"/>
      <c r="G572" s="441"/>
      <c r="H572" s="440"/>
      <c r="I572" s="442"/>
      <c r="J572" s="437" t="str">
        <f>IFERROR(IF(J570="","",(R570/J570)-1),0)</f>
        <v/>
      </c>
      <c r="K572" s="1"/>
      <c r="L572" s="444" t="str">
        <f ca="1">IFERROR(L570/F570-1,"")</f>
        <v/>
      </c>
      <c r="M572" s="440"/>
      <c r="N572" s="441"/>
      <c r="O572" s="440"/>
      <c r="P572" s="445"/>
      <c r="Q572" s="445"/>
      <c r="R572" s="446" t="str">
        <f>IFERROR(IF(J570="","",(R570/J570)-1),0)</f>
        <v/>
      </c>
      <c r="T572" s="444" t="str">
        <f ca="1">IFERROR(T570/F570-1,"")</f>
        <v/>
      </c>
      <c r="U572" s="440"/>
      <c r="V572" s="441"/>
      <c r="W572" s="440"/>
      <c r="X572" s="445"/>
      <c r="Y572" s="445"/>
      <c r="Z572" s="446" t="str">
        <f>IFERROR(IF(R570="","",(Z570/R570)-1),0)</f>
        <v/>
      </c>
    </row>
    <row r="573" spans="1:26" ht="18" customHeight="1">
      <c r="A573" s="140"/>
      <c r="B573" s="140"/>
      <c r="D573" s="181" t="s">
        <v>246</v>
      </c>
      <c r="E573" s="182"/>
      <c r="F573" s="182"/>
      <c r="G573" s="182"/>
      <c r="H573" s="182"/>
      <c r="I573" s="182"/>
      <c r="J573" s="183"/>
      <c r="K573"/>
      <c r="L573" s="184"/>
      <c r="M573" s="182"/>
      <c r="N573" s="182"/>
      <c r="O573" s="182"/>
      <c r="P573" s="182"/>
      <c r="Q573" s="182"/>
      <c r="R573" s="183"/>
      <c r="T573" s="184"/>
      <c r="U573" s="182"/>
      <c r="V573" s="182"/>
      <c r="W573" s="182"/>
      <c r="X573" s="182"/>
      <c r="Y573" s="182"/>
      <c r="Z573" s="183"/>
    </row>
    <row r="574" spans="1:26" ht="18" customHeight="1" hidden="1">
      <c r="A574" s="140"/>
      <c r="B574" s="140"/>
      <c r="D574" s="185" t="s">
        <v>247</v>
      </c>
      <c r="E574" s="186"/>
      <c r="F574" s="186"/>
      <c r="G574" s="186"/>
      <c r="H574" s="186"/>
      <c r="I574" s="186"/>
      <c r="J574" s="187"/>
      <c r="K574"/>
      <c r="L574" s="188"/>
      <c r="M574" s="186"/>
      <c r="N574" s="186"/>
      <c r="O574" s="186"/>
      <c r="P574" s="186"/>
      <c r="Q574" s="186"/>
      <c r="R574" s="187"/>
      <c r="T574" s="188"/>
      <c r="U574" s="186"/>
      <c r="V574" s="186"/>
      <c r="W574" s="186"/>
      <c r="X574" s="186"/>
      <c r="Y574" s="186"/>
      <c r="Z574" s="187"/>
    </row>
    <row r="575" spans="1:26" ht="18" customHeight="1" hidden="1">
      <c r="A575" s="140"/>
      <c r="B575" s="140"/>
      <c r="D575" s="189" t="s">
        <v>248</v>
      </c>
      <c r="E575" s="190" t="str">
        <f>D564&amp;"_"&amp;D12</f>
        <v>NEW PLAN_</v>
      </c>
      <c r="F575" s="191"/>
      <c r="G575" s="191"/>
      <c r="H575" s="191"/>
      <c r="I575" s="190"/>
      <c r="J575" s="192"/>
      <c r="K575"/>
      <c r="L575" s="193" t="str">
        <f>L564&amp;"_"&amp;D12</f>
        <v>SELECT PLAN_</v>
      </c>
      <c r="M575" s="191"/>
      <c r="N575" s="191"/>
      <c r="O575" s="191"/>
      <c r="P575" s="190"/>
      <c r="Q575" s="191"/>
      <c r="R575" s="192"/>
      <c r="T575" s="193" t="str">
        <f>T564&amp;"_"&amp;D12</f>
        <v>SELECT PLAN_</v>
      </c>
      <c r="U575" s="191"/>
      <c r="V575" s="191"/>
      <c r="W575" s="191"/>
      <c r="X575" s="190"/>
      <c r="Y575" s="191"/>
      <c r="Z575" s="192"/>
    </row>
    <row r="576" spans="1:26" ht="18" customHeight="1" hidden="1">
      <c r="A576" s="140"/>
      <c r="B576" s="140"/>
      <c r="D576" s="189" t="s">
        <v>249</v>
      </c>
      <c r="E576" s="191"/>
      <c r="F576" s="191"/>
      <c r="G576" s="191"/>
      <c r="H576" s="191"/>
      <c r="I576" s="191"/>
      <c r="J576" s="192"/>
      <c r="K576"/>
      <c r="L576" s="189"/>
      <c r="M576" s="191"/>
      <c r="N576" s="191"/>
      <c r="O576" s="191"/>
      <c r="P576" s="191"/>
      <c r="Q576" s="191"/>
      <c r="R576" s="192"/>
      <c r="T576" s="189"/>
      <c r="U576" s="191"/>
      <c r="V576" s="191"/>
      <c r="W576" s="191"/>
      <c r="X576" s="191"/>
      <c r="Y576" s="191"/>
      <c r="Z576" s="192"/>
    </row>
    <row r="577" spans="1:26" ht="18" customHeight="1" hidden="1">
      <c r="A577" s="140"/>
      <c r="B577" s="140"/>
      <c r="D577" s="194" t="s">
        <v>250</v>
      </c>
      <c r="E577" s="195"/>
      <c r="F577" s="195"/>
      <c r="G577" s="195"/>
      <c r="H577" s="195"/>
      <c r="I577" s="195"/>
      <c r="J577" s="196"/>
      <c r="K577"/>
      <c r="L577" s="197"/>
      <c r="M577" s="195"/>
      <c r="N577" s="195"/>
      <c r="O577" s="195"/>
      <c r="P577" s="195"/>
      <c r="Q577" s="195"/>
      <c r="R577" s="196"/>
      <c r="T577" s="197"/>
      <c r="U577" s="195"/>
      <c r="V577" s="195"/>
      <c r="W577" s="195"/>
      <c r="X577" s="195"/>
      <c r="Y577" s="195"/>
      <c r="Z577" s="196"/>
    </row>
    <row r="578" spans="1:26" ht="18" customHeight="1" hidden="1">
      <c r="A578" s="140"/>
      <c r="B578" s="140"/>
      <c r="D578" s="198" t="s">
        <v>251</v>
      </c>
      <c r="E578" s="199" t="str">
        <f>_xlfn.XLOOKUP(E575,CurrentPlans!B:B,CurrentPlans!X:X,"NA",0,1)</f>
        <v>NA</v>
      </c>
      <c r="F578" s="200"/>
      <c r="G578" s="200"/>
      <c r="H578" s="200"/>
      <c r="I578" s="199"/>
      <c r="J578" s="201"/>
      <c r="K578"/>
      <c r="L578" s="202" t="str">
        <f>_xlfn.XLOOKUP(L575,RenewalPlans!B:B,RenewalPlans!AA:AA,"NA",0,1)</f>
        <v>NA</v>
      </c>
      <c r="M578" s="200"/>
      <c r="N578" s="200"/>
      <c r="O578" s="200"/>
      <c r="P578" s="199"/>
      <c r="Q578" s="200"/>
      <c r="R578" s="201"/>
      <c r="T578" s="202" t="str">
        <f>_xlfn.XLOOKUP(T575,RenewalPlans!B:B,RenewalPlans!AA:AA,"NA",0,1)</f>
        <v>NA</v>
      </c>
      <c r="U578" s="200"/>
      <c r="V578" s="200"/>
      <c r="W578" s="200"/>
      <c r="X578" s="199"/>
      <c r="Y578" s="200"/>
      <c r="Z578" s="201"/>
    </row>
    <row r="579" spans="1:26" ht="18" customHeight="1" hidden="1">
      <c r="A579" s="140"/>
      <c r="B579" s="140"/>
      <c r="D579" s="198" t="s">
        <v>252</v>
      </c>
      <c r="E579" s="199" t="str">
        <f>_xlfn.XLOOKUP(E575,CurrentPlans!B:B,CurrentPlans!Y:Y,"NA",0,1)</f>
        <v>NA</v>
      </c>
      <c r="F579" s="200"/>
      <c r="G579" s="200"/>
      <c r="H579" s="200"/>
      <c r="I579" s="199"/>
      <c r="J579" s="201"/>
      <c r="K579"/>
      <c r="L579" s="202" t="str">
        <f>_xlfn.XLOOKUP(L575,RenewalPlans!B:B,RenewalPlans!AB:AB,"NA",0,1)</f>
        <v>NA</v>
      </c>
      <c r="M579" s="200"/>
      <c r="N579" s="200"/>
      <c r="O579" s="200"/>
      <c r="P579" s="199"/>
      <c r="Q579" s="200"/>
      <c r="R579" s="201"/>
      <c r="T579" s="202" t="str">
        <f>_xlfn.XLOOKUP(T575,RenewalPlans!B:B,RenewalPlans!AB:AB,"NA",0,1)</f>
        <v>NA</v>
      </c>
      <c r="U579" s="200"/>
      <c r="V579" s="200"/>
      <c r="W579" s="200"/>
      <c r="X579" s="199"/>
      <c r="Y579" s="200"/>
      <c r="Z579" s="201"/>
    </row>
    <row r="580" spans="1:26" ht="18" customHeight="1" hidden="1">
      <c r="A580" s="140"/>
      <c r="B580" s="140"/>
      <c r="D580" s="120" t="s">
        <v>253</v>
      </c>
      <c r="E580" s="121" t="str">
        <f>_xlfn.XLOOKUP(E575,CurrentPlans!B:B,CurrentPlans!W:W,"NA",0,1)</f>
        <v>NA</v>
      </c>
      <c r="F580" s="122"/>
      <c r="G580" s="122"/>
      <c r="H580" s="122"/>
      <c r="I580" s="121"/>
      <c r="J580" s="123"/>
      <c r="K580"/>
      <c r="L580" s="124" t="str">
        <f>_xlfn.XLOOKUP(L575,RenewalPlans!B:B,RenewalPlans!Z:Z,"NA",0,1)</f>
        <v>NA</v>
      </c>
      <c r="M580" s="122"/>
      <c r="N580" s="122"/>
      <c r="O580" s="122"/>
      <c r="P580" s="121"/>
      <c r="Q580" s="122"/>
      <c r="R580" s="123"/>
      <c r="T580" s="124" t="str">
        <f>_xlfn.XLOOKUP(T575,RenewalPlans!B:B,RenewalPlans!Z:Z,"NA",0,1)</f>
        <v>NA</v>
      </c>
      <c r="U580" s="122"/>
      <c r="V580" s="122"/>
      <c r="W580" s="122"/>
      <c r="X580" s="121"/>
      <c r="Y580" s="122"/>
      <c r="Z580" s="123"/>
    </row>
    <row r="581" spans="1:26" ht="18" customHeight="1" hidden="1">
      <c r="A581" s="140"/>
      <c r="B581" s="140"/>
      <c r="D581" s="203" t="s">
        <v>254</v>
      </c>
      <c r="E581" s="204"/>
      <c r="F581" s="205"/>
      <c r="G581" s="205"/>
      <c r="H581" s="205"/>
      <c r="I581" s="204"/>
      <c r="J581" s="206"/>
      <c r="K581"/>
      <c r="L581" s="207"/>
      <c r="M581" s="205"/>
      <c r="N581" s="205"/>
      <c r="O581" s="205"/>
      <c r="P581" s="204"/>
      <c r="Q581" s="205"/>
      <c r="R581" s="206"/>
      <c r="T581" s="207"/>
      <c r="U581" s="205"/>
      <c r="V581" s="205"/>
      <c r="W581" s="205"/>
      <c r="X581" s="204"/>
      <c r="Y581" s="205"/>
      <c r="Z581" s="206"/>
    </row>
    <row r="582" spans="1:26" ht="18" customHeight="1" hidden="1">
      <c r="A582" s="140"/>
      <c r="B582" s="140"/>
      <c r="D582" s="125" t="s">
        <v>255</v>
      </c>
      <c r="E582" s="126" t="str">
        <f>_xlfn.XLOOKUP(E575,CurrentPlans!B:B,CurrentPlans!Z:Z,"NA",0,1)</f>
        <v>NA</v>
      </c>
      <c r="F582" s="127"/>
      <c r="G582" s="127"/>
      <c r="H582" s="127"/>
      <c r="I582" s="126"/>
      <c r="J582" s="128"/>
      <c r="K582"/>
      <c r="L582" s="129" t="str">
        <f>_xlfn.XLOOKUP(L575,RenewalPlans!B:B,RenewalPlans!AC:AC,"NA",0,1)</f>
        <v>NA</v>
      </c>
      <c r="M582" s="127"/>
      <c r="N582" s="127"/>
      <c r="O582" s="127"/>
      <c r="P582" s="126"/>
      <c r="Q582" s="127"/>
      <c r="R582" s="128"/>
      <c r="T582" s="129" t="str">
        <f>_xlfn.XLOOKUP(T575,RenewalPlans!B:B,RenewalPlans!AC:AC,"NA",0,1)</f>
        <v>NA</v>
      </c>
      <c r="U582" s="127"/>
      <c r="V582" s="127"/>
      <c r="W582" s="127"/>
      <c r="X582" s="126"/>
      <c r="Y582" s="127"/>
      <c r="Z582" s="128"/>
    </row>
    <row r="583" spans="1:26" ht="18" customHeight="1" hidden="1">
      <c r="A583" s="140"/>
      <c r="B583" s="140"/>
      <c r="D583" s="198" t="s">
        <v>256</v>
      </c>
      <c r="E583" s="208" t="str">
        <f>_xlfn.XLOOKUP(E575,CurrentPlans!B:B,CurrentPlans!AA:AA,"NA",0,1)</f>
        <v>NA</v>
      </c>
      <c r="F583" s="200"/>
      <c r="G583" s="200"/>
      <c r="H583" s="200"/>
      <c r="I583" s="208"/>
      <c r="J583" s="201"/>
      <c r="K583"/>
      <c r="L583" s="209" t="str">
        <f>_xlfn.XLOOKUP(L575,RenewalPlans!B:B,RenewalPlans!AD:AD,"NA",0,1)</f>
        <v>NA</v>
      </c>
      <c r="M583" s="200"/>
      <c r="N583" s="200"/>
      <c r="O583" s="200"/>
      <c r="P583" s="208"/>
      <c r="Q583" s="200"/>
      <c r="R583" s="201"/>
      <c r="T583" s="209" t="str">
        <f>_xlfn.XLOOKUP(T575,RenewalPlans!B:B,RenewalPlans!AD:AD,"NA",0,1)</f>
        <v>NA</v>
      </c>
      <c r="U583" s="200"/>
      <c r="V583" s="200"/>
      <c r="W583" s="200"/>
      <c r="X583" s="208"/>
      <c r="Y583" s="200"/>
      <c r="Z583" s="201"/>
    </row>
    <row r="584" spans="1:26" ht="18" customHeight="1" hidden="1">
      <c r="A584" s="140"/>
      <c r="B584" s="140"/>
      <c r="D584" s="203" t="s">
        <v>257</v>
      </c>
      <c r="E584" s="204"/>
      <c r="F584" s="205"/>
      <c r="G584" s="205"/>
      <c r="H584" s="205"/>
      <c r="I584" s="204"/>
      <c r="J584" s="206"/>
      <c r="K584"/>
      <c r="L584" s="207"/>
      <c r="M584" s="205"/>
      <c r="N584" s="205"/>
      <c r="O584" s="205"/>
      <c r="P584" s="204"/>
      <c r="Q584" s="205"/>
      <c r="R584" s="206"/>
      <c r="T584" s="207"/>
      <c r="U584" s="205"/>
      <c r="V584" s="205"/>
      <c r="W584" s="205"/>
      <c r="X584" s="204"/>
      <c r="Y584" s="205"/>
      <c r="Z584" s="206"/>
    </row>
    <row r="585" spans="1:26" ht="18" customHeight="1" hidden="1">
      <c r="A585" s="140"/>
      <c r="B585" s="140"/>
      <c r="D585" s="198" t="s">
        <v>258</v>
      </c>
      <c r="E585" s="208" t="str">
        <f>_xlfn.XLOOKUP(E575,CurrentPlans!B:B,CurrentPlans!AB:AB,"NA",0,1)</f>
        <v>NA</v>
      </c>
      <c r="F585" s="200"/>
      <c r="G585" s="200"/>
      <c r="H585" s="200"/>
      <c r="I585" s="208"/>
      <c r="J585" s="201"/>
      <c r="K585"/>
      <c r="L585" s="209" t="str">
        <f>_xlfn.XLOOKUP(L575,RenewalPlans!B:B,RenewalPlans!AE:AE,"NA",0,1)</f>
        <v>NA</v>
      </c>
      <c r="M585" s="200"/>
      <c r="N585" s="200"/>
      <c r="O585" s="200"/>
      <c r="P585" s="208"/>
      <c r="Q585" s="200"/>
      <c r="R585" s="201"/>
      <c r="T585" s="209" t="str">
        <f>_xlfn.XLOOKUP(T575,RenewalPlans!B:B,RenewalPlans!AE:AE,"NA",0,1)</f>
        <v>NA</v>
      </c>
      <c r="U585" s="200"/>
      <c r="V585" s="200"/>
      <c r="W585" s="200"/>
      <c r="X585" s="208"/>
      <c r="Y585" s="200"/>
      <c r="Z585" s="201"/>
    </row>
    <row r="586" spans="1:26" ht="18" customHeight="1" hidden="1">
      <c r="A586" s="140"/>
      <c r="B586" s="140"/>
      <c r="D586" s="198" t="s">
        <v>259</v>
      </c>
      <c r="E586" s="208" t="str">
        <f>_xlfn.XLOOKUP(E575,CurrentPlans!B:B,CurrentPlans!AC:AC,"NA",0,1)</f>
        <v>NA</v>
      </c>
      <c r="F586" s="200"/>
      <c r="G586" s="200"/>
      <c r="H586" s="200"/>
      <c r="I586" s="208"/>
      <c r="J586" s="201"/>
      <c r="K586"/>
      <c r="L586" s="209" t="str">
        <f>_xlfn.XLOOKUP(L575,RenewalPlans!B:B,RenewalPlans!AF:AF,"NA",0,1)</f>
        <v>NA</v>
      </c>
      <c r="M586" s="200"/>
      <c r="N586" s="200"/>
      <c r="O586" s="200"/>
      <c r="P586" s="208"/>
      <c r="Q586" s="200"/>
      <c r="R586" s="201"/>
      <c r="T586" s="209" t="str">
        <f>_xlfn.XLOOKUP(T575,RenewalPlans!B:B,RenewalPlans!AF:AF,"NA",0,1)</f>
        <v>NA</v>
      </c>
      <c r="U586" s="200"/>
      <c r="V586" s="200"/>
      <c r="W586" s="200"/>
      <c r="X586" s="208"/>
      <c r="Y586" s="200"/>
      <c r="Z586" s="201"/>
    </row>
    <row r="587" spans="1:26" ht="18" customHeight="1" hidden="1">
      <c r="A587" s="140"/>
      <c r="B587" s="140"/>
      <c r="D587" s="210"/>
      <c r="E587" s="211"/>
      <c r="F587" s="211"/>
      <c r="G587" s="211"/>
      <c r="H587" s="211"/>
      <c r="I587" s="211"/>
      <c r="J587" s="212"/>
      <c r="K587"/>
      <c r="L587" s="210"/>
      <c r="M587" s="211"/>
      <c r="N587" s="211"/>
      <c r="O587" s="211"/>
      <c r="P587" s="211"/>
      <c r="Q587" s="211"/>
      <c r="R587" s="212"/>
      <c r="T587" s="210"/>
      <c r="U587" s="211"/>
      <c r="V587" s="211"/>
      <c r="W587" s="211"/>
      <c r="X587" s="211"/>
      <c r="Y587" s="211"/>
      <c r="Z587" s="212"/>
    </row>
    <row r="588" spans="1:26" ht="18" customHeight="1" hidden="1">
      <c r="A588" s="140"/>
      <c r="B588" s="140"/>
      <c r="D588" s="185" t="s">
        <v>260</v>
      </c>
      <c r="E588" s="186"/>
      <c r="F588" s="186"/>
      <c r="G588" s="186"/>
      <c r="H588" s="186"/>
      <c r="I588" s="186"/>
      <c r="J588" s="187"/>
      <c r="K588"/>
      <c r="L588" s="188"/>
      <c r="M588" s="186"/>
      <c r="N588" s="186"/>
      <c r="O588" s="186"/>
      <c r="P588" s="186"/>
      <c r="Q588" s="186"/>
      <c r="R588" s="187"/>
      <c r="T588" s="188"/>
      <c r="U588" s="186"/>
      <c r="V588" s="186"/>
      <c r="W588" s="186"/>
      <c r="X588" s="186"/>
      <c r="Y588" s="186"/>
      <c r="Z588" s="187"/>
    </row>
    <row r="589" spans="1:26" ht="18" customHeight="1" hidden="1">
      <c r="A589" s="140"/>
      <c r="B589" s="140"/>
      <c r="D589" s="213" t="s">
        <v>261</v>
      </c>
      <c r="E589" s="130" t="str">
        <f>_xlfn.XLOOKUP(E575,CurrentPlans!B:B,CurrentPlans!AJ:AJ,"NA",0,1)</f>
        <v>NA</v>
      </c>
      <c r="F589" s="214"/>
      <c r="G589" s="214"/>
      <c r="H589" s="214"/>
      <c r="I589" s="130"/>
      <c r="J589" s="215"/>
      <c r="K589"/>
      <c r="L589" s="131" t="str">
        <f>_xlfn.XLOOKUP(L575,RenewalPlans!B:B,RenewalPlans!AM:AM,"NA",0,1)</f>
        <v>NA</v>
      </c>
      <c r="M589" s="214"/>
      <c r="N589" s="214"/>
      <c r="O589" s="214"/>
      <c r="P589" s="130"/>
      <c r="Q589" s="214"/>
      <c r="R589" s="215"/>
      <c r="T589" s="131" t="str">
        <f>_xlfn.XLOOKUP(T575,RenewalPlans!B:B,RenewalPlans!AM:AM,"NA",0,1)</f>
        <v>NA</v>
      </c>
      <c r="U589" s="214"/>
      <c r="V589" s="214"/>
      <c r="W589" s="214"/>
      <c r="X589" s="130"/>
      <c r="Y589" s="214"/>
      <c r="Z589" s="215"/>
    </row>
    <row r="590" spans="1:26" ht="18" customHeight="1" hidden="1">
      <c r="A590" s="140"/>
      <c r="B590" s="140"/>
      <c r="D590" s="198" t="s">
        <v>262</v>
      </c>
      <c r="E590" s="130" t="str">
        <f>_xlfn.XLOOKUP(E575,CurrentPlans!B:B,CurrentPlans!AM:AM,"NA",0,1)</f>
        <v>NA</v>
      </c>
      <c r="F590" s="200"/>
      <c r="G590" s="200"/>
      <c r="H590" s="200"/>
      <c r="I590" s="130"/>
      <c r="J590" s="201"/>
      <c r="K590"/>
      <c r="L590" s="131" t="str">
        <f>_xlfn.XLOOKUP(L575,RenewalPlans!B:B,RenewalPlans!AP:AP,"NA",0,1)</f>
        <v>NA</v>
      </c>
      <c r="M590" s="200"/>
      <c r="N590" s="200"/>
      <c r="O590" s="200"/>
      <c r="P590" s="130"/>
      <c r="Q590" s="200"/>
      <c r="R590" s="201"/>
      <c r="T590" s="131" t="str">
        <f>_xlfn.XLOOKUP(T575,RenewalPlans!B:B,RenewalPlans!AP:AP,"NA",0,1)</f>
        <v>NA</v>
      </c>
      <c r="U590" s="200"/>
      <c r="V590" s="200"/>
      <c r="W590" s="200"/>
      <c r="X590" s="130"/>
      <c r="Y590" s="200"/>
      <c r="Z590" s="201"/>
    </row>
    <row r="591" spans="1:26" ht="18" customHeight="1" hidden="1">
      <c r="A591" s="140"/>
      <c r="B591" s="140"/>
      <c r="D591" s="198" t="s">
        <v>263</v>
      </c>
      <c r="E591" s="130" t="str">
        <f>_xlfn.XLOOKUP(E575,CurrentPlans!B:B,CurrentPlans!AI:AI,"NA",0,1)</f>
        <v>NA</v>
      </c>
      <c r="F591" s="200"/>
      <c r="G591" s="200"/>
      <c r="H591" s="200"/>
      <c r="I591" s="130"/>
      <c r="J591" s="201"/>
      <c r="K591"/>
      <c r="L591" s="131" t="str">
        <f>_xlfn.XLOOKUP(L575,RenewalPlans!B:B,RenewalPlans!AL:AL,"NA",0,1)</f>
        <v>NA</v>
      </c>
      <c r="M591" s="200"/>
      <c r="N591" s="200"/>
      <c r="O591" s="200"/>
      <c r="P591" s="130"/>
      <c r="Q591" s="200"/>
      <c r="R591" s="201"/>
      <c r="T591" s="131" t="str">
        <f>_xlfn.XLOOKUP(T575,RenewalPlans!B:B,RenewalPlans!AL:AL,"NA",0,1)</f>
        <v>NA</v>
      </c>
      <c r="U591" s="200"/>
      <c r="V591" s="200"/>
      <c r="W591" s="200"/>
      <c r="X591" s="130"/>
      <c r="Y591" s="200"/>
      <c r="Z591" s="201"/>
    </row>
    <row r="592" spans="1:26" ht="18" customHeight="1" hidden="1">
      <c r="A592" s="140"/>
      <c r="B592" s="140"/>
      <c r="D592" s="198" t="s">
        <v>264</v>
      </c>
      <c r="E592" s="208" t="str">
        <f>_xlfn.XLOOKUP(E575,CurrentPlans!B:B,CurrentPlans!AN:AN,"NA",0,1)</f>
        <v>NA</v>
      </c>
      <c r="F592" s="200"/>
      <c r="G592" s="200"/>
      <c r="H592" s="200"/>
      <c r="I592" s="208"/>
      <c r="J592" s="201"/>
      <c r="K592"/>
      <c r="L592" s="209" t="str">
        <f>_xlfn.XLOOKUP(L575,RenewalPlans!B:B,RenewalPlans!AQ:AQ,"NA",0,1)</f>
        <v>NA</v>
      </c>
      <c r="M592" s="200"/>
      <c r="N592" s="200"/>
      <c r="O592" s="200"/>
      <c r="P592" s="208"/>
      <c r="Q592" s="200"/>
      <c r="R592" s="201"/>
      <c r="T592" s="209" t="str">
        <f>_xlfn.XLOOKUP(T575,RenewalPlans!B:B,RenewalPlans!AQ:AQ,"NA",0,1)</f>
        <v>NA</v>
      </c>
      <c r="U592" s="200"/>
      <c r="V592" s="200"/>
      <c r="W592" s="200"/>
      <c r="X592" s="208"/>
      <c r="Y592" s="200"/>
      <c r="Z592" s="201"/>
    </row>
    <row r="593" spans="1:26" ht="18" customHeight="1" hidden="1">
      <c r="A593" s="140"/>
      <c r="B593" s="140"/>
      <c r="D593" s="210"/>
      <c r="E593" s="211"/>
      <c r="F593" s="211"/>
      <c r="G593" s="211"/>
      <c r="H593" s="211"/>
      <c r="I593" s="211"/>
      <c r="J593" s="212"/>
      <c r="K593"/>
      <c r="L593" s="210"/>
      <c r="M593" s="211"/>
      <c r="N593" s="211"/>
      <c r="O593" s="211"/>
      <c r="P593" s="211"/>
      <c r="Q593" s="211"/>
      <c r="R593" s="212"/>
      <c r="T593" s="210"/>
      <c r="U593" s="211"/>
      <c r="V593" s="211"/>
      <c r="W593" s="211"/>
      <c r="X593" s="211"/>
      <c r="Y593" s="211"/>
      <c r="Z593" s="212"/>
    </row>
    <row r="594" spans="1:26" ht="18" customHeight="1" hidden="1">
      <c r="A594" s="140"/>
      <c r="B594" s="140"/>
      <c r="D594" s="185" t="s">
        <v>265</v>
      </c>
      <c r="E594" s="186"/>
      <c r="F594" s="186"/>
      <c r="G594" s="186"/>
      <c r="H594" s="186"/>
      <c r="I594" s="186"/>
      <c r="J594" s="187"/>
      <c r="K594"/>
      <c r="L594" s="188"/>
      <c r="M594" s="186"/>
      <c r="N594" s="186"/>
      <c r="O594" s="186"/>
      <c r="P594" s="186"/>
      <c r="Q594" s="186"/>
      <c r="R594" s="187"/>
      <c r="T594" s="188"/>
      <c r="U594" s="186"/>
      <c r="V594" s="186"/>
      <c r="W594" s="186"/>
      <c r="X594" s="186"/>
      <c r="Y594" s="186"/>
      <c r="Z594" s="187"/>
    </row>
    <row r="595" spans="1:26" ht="18" customHeight="1" hidden="1">
      <c r="A595" s="140"/>
      <c r="B595" s="140"/>
      <c r="D595" s="132" t="s">
        <v>266</v>
      </c>
      <c r="E595" s="133" t="str">
        <f>_xlfn.XLOOKUP(E575,CurrentPlans!B:B,CurrentPlans!AE:AE,"NA",0,1)</f>
        <v>NA</v>
      </c>
      <c r="F595" s="134"/>
      <c r="G595" s="134"/>
      <c r="H595" s="134"/>
      <c r="I595" s="133"/>
      <c r="J595" s="135"/>
      <c r="K595"/>
      <c r="L595" s="136" t="str">
        <f>_xlfn.XLOOKUP(L575,RenewalPlans!B:B,RenewalPlans!AH:AH,"NA",0,1)</f>
        <v>NA</v>
      </c>
      <c r="M595" s="134"/>
      <c r="N595" s="134"/>
      <c r="O595" s="134"/>
      <c r="P595" s="133"/>
      <c r="Q595" s="134"/>
      <c r="R595" s="135"/>
      <c r="T595" s="136" t="str">
        <f>_xlfn.XLOOKUP(T575,RenewalPlans!B:B,RenewalPlans!AH:AH,"NA",0,1)</f>
        <v>NA</v>
      </c>
      <c r="U595" s="134"/>
      <c r="V595" s="134"/>
      <c r="W595" s="134"/>
      <c r="X595" s="133"/>
      <c r="Y595" s="134"/>
      <c r="Z595" s="135"/>
    </row>
    <row r="596" spans="1:26" ht="18" customHeight="1" hidden="1">
      <c r="A596" s="140"/>
      <c r="B596" s="140"/>
      <c r="D596" s="120" t="s">
        <v>267</v>
      </c>
      <c r="E596" s="130" t="str">
        <f>_xlfn.XLOOKUP(E575,CurrentPlans!B:B,CurrentPlans!AF:AF,"NA",0,1)</f>
        <v>NA</v>
      </c>
      <c r="F596" s="122"/>
      <c r="G596" s="122"/>
      <c r="H596" s="122"/>
      <c r="I596" s="130"/>
      <c r="J596" s="123"/>
      <c r="K596"/>
      <c r="L596" s="131" t="str">
        <f>_xlfn.XLOOKUP(L575,RenewalPlans!B:B,RenewalPlans!AI:AI,"NA",0,1)</f>
        <v>NA</v>
      </c>
      <c r="M596" s="122"/>
      <c r="N596" s="122"/>
      <c r="O596" s="122"/>
      <c r="P596" s="130"/>
      <c r="Q596" s="122"/>
      <c r="R596" s="123"/>
      <c r="T596" s="131" t="str">
        <f>_xlfn.XLOOKUP(T575,RenewalPlans!B:B,RenewalPlans!AI:AI,"NA",0,1)</f>
        <v>NA</v>
      </c>
      <c r="U596" s="122"/>
      <c r="V596" s="122"/>
      <c r="W596" s="122"/>
      <c r="X596" s="130"/>
      <c r="Y596" s="122"/>
      <c r="Z596" s="123"/>
    </row>
    <row r="597" spans="1:26" ht="18" customHeight="1" hidden="1">
      <c r="A597" s="140"/>
      <c r="B597" s="140"/>
      <c r="D597" s="198" t="s">
        <v>268</v>
      </c>
      <c r="E597" s="130" t="str">
        <f>_xlfn.XLOOKUP(E575,CurrentPlans!B:B,CurrentPlans!AH:AH,"NA",0,1)</f>
        <v>NA</v>
      </c>
      <c r="F597" s="200"/>
      <c r="G597" s="200"/>
      <c r="H597" s="200"/>
      <c r="I597" s="130"/>
      <c r="J597" s="201"/>
      <c r="K597"/>
      <c r="L597" s="131" t="str">
        <f>_xlfn.XLOOKUP(L575,RenewalPlans!B:B,RenewalPlans!AK:AK,"NA",0,1)</f>
        <v>NA</v>
      </c>
      <c r="M597" s="200"/>
      <c r="N597" s="200"/>
      <c r="O597" s="200"/>
      <c r="P597" s="130"/>
      <c r="Q597" s="200"/>
      <c r="R597" s="201"/>
      <c r="T597" s="131" t="str">
        <f>_xlfn.XLOOKUP(T575,RenewalPlans!B:B,RenewalPlans!AK:AK,"NA",0,1)</f>
        <v>NA</v>
      </c>
      <c r="U597" s="200"/>
      <c r="V597" s="200"/>
      <c r="W597" s="200"/>
      <c r="X597" s="130"/>
      <c r="Y597" s="200"/>
      <c r="Z597" s="201"/>
    </row>
    <row r="598" spans="1:26" ht="18" customHeight="1" hidden="1">
      <c r="A598" s="140"/>
      <c r="B598" s="140"/>
      <c r="D598" s="198" t="s">
        <v>269</v>
      </c>
      <c r="E598" s="130" t="str">
        <f>_xlfn.XLOOKUP(E575,CurrentPlans!B:B,CurrentPlans!AG:AG,"NA",0,1)</f>
        <v>NA</v>
      </c>
      <c r="F598" s="200"/>
      <c r="G598" s="200"/>
      <c r="H598" s="200"/>
      <c r="I598" s="130"/>
      <c r="J598" s="201"/>
      <c r="K598"/>
      <c r="L598" s="131" t="str">
        <f>_xlfn.XLOOKUP(L575,RenewalPlans!B:B,RenewalPlans!AJ:AJ,"NA",0,1)</f>
        <v>NA</v>
      </c>
      <c r="M598" s="200"/>
      <c r="N598" s="200"/>
      <c r="O598" s="200"/>
      <c r="P598" s="130"/>
      <c r="Q598" s="200"/>
      <c r="R598" s="201"/>
      <c r="T598" s="131" t="str">
        <f>_xlfn.XLOOKUP(T575,RenewalPlans!B:B,RenewalPlans!AJ:AJ,"NA",0,1)</f>
        <v>NA</v>
      </c>
      <c r="U598" s="200"/>
      <c r="V598" s="200"/>
      <c r="W598" s="200"/>
      <c r="X598" s="130"/>
      <c r="Y598" s="200"/>
      <c r="Z598" s="201"/>
    </row>
    <row r="599" spans="1:26" ht="18" customHeight="1" hidden="1">
      <c r="A599" s="140"/>
      <c r="B599" s="140"/>
      <c r="D599" s="213" t="s">
        <v>270</v>
      </c>
      <c r="E599" s="216" t="str">
        <f>_xlfn.XLOOKUP(E575,CurrentPlans!B:B,CurrentPlans!AU:AU,"NA",0,1)</f>
        <v>NA</v>
      </c>
      <c r="F599" s="214"/>
      <c r="G599" s="214"/>
      <c r="H599" s="214"/>
      <c r="I599" s="217"/>
      <c r="J599" s="215"/>
      <c r="K599"/>
      <c r="L599" s="218" t="str">
        <f>_xlfn.XLOOKUP(L575,RenewalPlans!B:B,RenewalPlans!AX:AX,"NA",0,1)</f>
        <v>NA</v>
      </c>
      <c r="M599" s="214"/>
      <c r="N599" s="214"/>
      <c r="O599" s="214"/>
      <c r="P599" s="217"/>
      <c r="Q599" s="214"/>
      <c r="R599" s="215"/>
      <c r="T599" s="218" t="str">
        <f>_xlfn.XLOOKUP(T575,RenewalPlans!B:B,RenewalPlans!AX:AX,"NA",0,1)</f>
        <v>NA</v>
      </c>
      <c r="U599" s="214"/>
      <c r="V599" s="214"/>
      <c r="W599" s="214"/>
      <c r="X599" s="217"/>
      <c r="Y599" s="214"/>
      <c r="Z599" s="215"/>
    </row>
    <row r="600" spans="1:26" ht="18" customHeight="1" hidden="1">
      <c r="A600" s="140"/>
      <c r="B600" s="140"/>
      <c r="D600" s="213" t="s">
        <v>271</v>
      </c>
      <c r="E600" s="216" t="str">
        <f>_xlfn.XLOOKUP(E575,CurrentPlans!B:B,CurrentPlans!AT:AT,"NA",0,1)</f>
        <v>NA</v>
      </c>
      <c r="F600" s="214"/>
      <c r="G600" s="214"/>
      <c r="H600" s="214"/>
      <c r="I600" s="217"/>
      <c r="J600" s="215"/>
      <c r="K600"/>
      <c r="L600" s="218" t="str">
        <f>_xlfn.XLOOKUP(L575,RenewalPlans!B:B,RenewalPlans!AW:AW,"NA",0,1)</f>
        <v>NA</v>
      </c>
      <c r="M600" s="214"/>
      <c r="N600" s="214"/>
      <c r="O600" s="214"/>
      <c r="P600" s="217"/>
      <c r="Q600" s="214"/>
      <c r="R600" s="215"/>
      <c r="T600" s="218" t="str">
        <f>_xlfn.XLOOKUP(T575,RenewalPlans!B:B,RenewalPlans!AW:AW,"NA",0,1)</f>
        <v>NA</v>
      </c>
      <c r="U600" s="214"/>
      <c r="V600" s="214"/>
      <c r="W600" s="214"/>
      <c r="X600" s="217"/>
      <c r="Y600" s="214"/>
      <c r="Z600" s="215"/>
    </row>
    <row r="601" spans="1:26" ht="18" customHeight="1" hidden="1">
      <c r="A601" s="140"/>
      <c r="B601" s="140"/>
      <c r="D601" s="198" t="s">
        <v>272</v>
      </c>
      <c r="E601" s="130" t="str">
        <f>_xlfn.XLOOKUP(E575,CurrentPlans!B:B,CurrentPlans!AD:AD,"NA",0,1)</f>
        <v>NA</v>
      </c>
      <c r="F601" s="200"/>
      <c r="G601" s="200"/>
      <c r="H601" s="200"/>
      <c r="I601" s="130"/>
      <c r="J601" s="201"/>
      <c r="K601"/>
      <c r="L601" s="131" t="str">
        <f>_xlfn.XLOOKUP(L575,RenewalPlans!B:B,RenewalPlans!AG:AG,"NA",0,1)</f>
        <v>NA</v>
      </c>
      <c r="M601" s="200"/>
      <c r="N601" s="200"/>
      <c r="O601" s="200"/>
      <c r="P601" s="130"/>
      <c r="Q601" s="200"/>
      <c r="R601" s="201"/>
      <c r="T601" s="131" t="str">
        <f>_xlfn.XLOOKUP(T575,RenewalPlans!B:B,RenewalPlans!AG:AG,"NA",0,1)</f>
        <v>NA</v>
      </c>
      <c r="U601" s="200"/>
      <c r="V601" s="200"/>
      <c r="W601" s="200"/>
      <c r="X601" s="130"/>
      <c r="Y601" s="200"/>
      <c r="Z601" s="201"/>
    </row>
    <row r="602" spans="1:26" ht="18" customHeight="1" hidden="1">
      <c r="A602" s="140"/>
      <c r="B602" s="140"/>
      <c r="D602" s="198" t="s">
        <v>273</v>
      </c>
      <c r="E602" s="200"/>
      <c r="F602" s="200"/>
      <c r="G602" s="200"/>
      <c r="H602" s="200"/>
      <c r="I602" s="200"/>
      <c r="J602" s="201"/>
      <c r="K602"/>
      <c r="L602" s="198"/>
      <c r="M602" s="200"/>
      <c r="N602" s="200"/>
      <c r="O602" s="200"/>
      <c r="P602" s="200"/>
      <c r="Q602" s="200"/>
      <c r="R602" s="201"/>
      <c r="T602" s="198"/>
      <c r="U602" s="200"/>
      <c r="V602" s="200"/>
      <c r="W602" s="200"/>
      <c r="X602" s="200"/>
      <c r="Y602" s="200"/>
      <c r="Z602" s="201"/>
    </row>
    <row r="603" spans="1:26" ht="18" customHeight="1" hidden="1">
      <c r="A603" s="140"/>
      <c r="B603" s="140"/>
      <c r="D603" s="210"/>
      <c r="E603" s="211"/>
      <c r="F603" s="211"/>
      <c r="G603" s="211"/>
      <c r="H603" s="211"/>
      <c r="I603" s="211"/>
      <c r="J603" s="212"/>
      <c r="K603"/>
      <c r="L603" s="210"/>
      <c r="M603" s="211"/>
      <c r="N603" s="211"/>
      <c r="O603" s="211"/>
      <c r="P603" s="211"/>
      <c r="Q603" s="211"/>
      <c r="R603" s="212"/>
      <c r="T603" s="210"/>
      <c r="U603" s="211"/>
      <c r="V603" s="211"/>
      <c r="W603" s="211"/>
      <c r="X603" s="211"/>
      <c r="Y603" s="211"/>
      <c r="Z603" s="212"/>
    </row>
    <row r="604" spans="1:26" ht="18" customHeight="1" hidden="1">
      <c r="A604" s="140"/>
      <c r="B604" s="140"/>
      <c r="D604" s="219" t="s">
        <v>274</v>
      </c>
      <c r="E604" s="220"/>
      <c r="F604" s="220"/>
      <c r="G604" s="220"/>
      <c r="H604" s="220"/>
      <c r="I604" s="220"/>
      <c r="J604" s="221"/>
      <c r="K604"/>
      <c r="L604" s="222"/>
      <c r="M604" s="220"/>
      <c r="N604" s="220"/>
      <c r="O604" s="220"/>
      <c r="P604" s="220"/>
      <c r="Q604" s="220"/>
      <c r="R604" s="221"/>
      <c r="T604" s="222"/>
      <c r="U604" s="220"/>
      <c r="V604" s="220"/>
      <c r="W604" s="220"/>
      <c r="X604" s="220"/>
      <c r="Y604" s="220"/>
      <c r="Z604" s="221"/>
    </row>
    <row r="605" spans="1:26" ht="18" customHeight="1" hidden="1">
      <c r="A605" s="140"/>
      <c r="B605" s="140"/>
      <c r="D605" s="223" t="s">
        <v>250</v>
      </c>
      <c r="E605" s="205"/>
      <c r="F605" s="205"/>
      <c r="G605" s="205"/>
      <c r="H605" s="205"/>
      <c r="I605" s="205"/>
      <c r="J605" s="206"/>
      <c r="K605"/>
      <c r="L605" s="203"/>
      <c r="M605" s="205"/>
      <c r="N605" s="205"/>
      <c r="O605" s="205"/>
      <c r="P605" s="205"/>
      <c r="Q605" s="205"/>
      <c r="R605" s="206"/>
      <c r="T605" s="203"/>
      <c r="U605" s="205"/>
      <c r="V605" s="205"/>
      <c r="W605" s="205"/>
      <c r="X605" s="205"/>
      <c r="Y605" s="205"/>
      <c r="Z605" s="206"/>
    </row>
    <row r="606" spans="1:26" ht="18" customHeight="1" hidden="1">
      <c r="A606" s="140"/>
      <c r="B606" s="140"/>
      <c r="D606" s="198" t="s">
        <v>251</v>
      </c>
      <c r="E606" s="130" t="str">
        <f>_xlfn.XLOOKUP(E575,CurrentPlans!B:B,CurrentPlans!AP:AP,"NA",0,1)</f>
        <v>NA</v>
      </c>
      <c r="F606" s="200"/>
      <c r="G606" s="200"/>
      <c r="H606" s="200"/>
      <c r="I606" s="130"/>
      <c r="J606" s="201"/>
      <c r="K606"/>
      <c r="L606" s="131" t="str">
        <f>_xlfn.XLOOKUP(L575,RenewalPlans!B:B,RenewalPlans!AS:AS,"NA",0,1)</f>
        <v>NA</v>
      </c>
      <c r="M606" s="200"/>
      <c r="N606" s="200"/>
      <c r="O606" s="200"/>
      <c r="P606" s="130"/>
      <c r="Q606" s="200"/>
      <c r="R606" s="201"/>
      <c r="T606" s="131" t="str">
        <f>_xlfn.XLOOKUP(T575,RenewalPlans!B:B,RenewalPlans!AS:AS,"NA",0,1)</f>
        <v>NA</v>
      </c>
      <c r="U606" s="200"/>
      <c r="V606" s="200"/>
      <c r="W606" s="200"/>
      <c r="X606" s="130"/>
      <c r="Y606" s="200"/>
      <c r="Z606" s="201"/>
    </row>
    <row r="607" spans="1:26" ht="18" customHeight="1" hidden="1">
      <c r="A607" s="140"/>
      <c r="B607" s="140"/>
      <c r="D607" s="198" t="s">
        <v>252</v>
      </c>
      <c r="E607" s="130" t="str">
        <f>_xlfn.XLOOKUP(E575,CurrentPlans!B:B,CurrentPlans!AQ:AQ,"NA",0,1)</f>
        <v>NA</v>
      </c>
      <c r="F607" s="200"/>
      <c r="G607" s="200"/>
      <c r="H607" s="200"/>
      <c r="I607" s="130"/>
      <c r="J607" s="201"/>
      <c r="K607"/>
      <c r="L607" s="131" t="str">
        <f>_xlfn.XLOOKUP(L575,RenewalPlans!B:B,RenewalPlans!AT:AT,"NA",0,1)</f>
        <v>NA</v>
      </c>
      <c r="M607" s="200"/>
      <c r="N607" s="200"/>
      <c r="O607" s="200"/>
      <c r="P607" s="130"/>
      <c r="Q607" s="200"/>
      <c r="R607" s="201"/>
      <c r="T607" s="131" t="str">
        <f>_xlfn.XLOOKUP(T575,RenewalPlans!B:B,RenewalPlans!AT:AT,"NA",0,1)</f>
        <v>NA</v>
      </c>
      <c r="U607" s="200"/>
      <c r="V607" s="200"/>
      <c r="W607" s="200"/>
      <c r="X607" s="130"/>
      <c r="Y607" s="200"/>
      <c r="Z607" s="201"/>
    </row>
    <row r="608" spans="1:26" ht="18" customHeight="1" hidden="1">
      <c r="A608" s="140"/>
      <c r="B608" s="140"/>
      <c r="D608" s="120" t="s">
        <v>253</v>
      </c>
      <c r="E608" s="133" t="str">
        <f>_xlfn.XLOOKUP(E575,CurrentPlans!B:B,CurrentPlans!AO:AO,"NA",0,1)</f>
        <v>NA</v>
      </c>
      <c r="F608" s="122"/>
      <c r="G608" s="122"/>
      <c r="H608" s="122"/>
      <c r="I608" s="133"/>
      <c r="J608" s="123"/>
      <c r="K608"/>
      <c r="L608" s="136" t="str">
        <f>_xlfn.XLOOKUP(L575,RenewalPlans!B:B,RenewalPlans!AR:AR,"NA",0,1)</f>
        <v>NA</v>
      </c>
      <c r="M608" s="122"/>
      <c r="N608" s="122"/>
      <c r="O608" s="122"/>
      <c r="P608" s="133"/>
      <c r="Q608" s="122"/>
      <c r="R608" s="123"/>
      <c r="T608" s="136" t="str">
        <f>_xlfn.XLOOKUP(T575,RenewalPlans!B:B,RenewalPlans!AR:AR,"NA",0,1)</f>
        <v>NA</v>
      </c>
      <c r="U608" s="122"/>
      <c r="V608" s="122"/>
      <c r="W608" s="122"/>
      <c r="X608" s="133"/>
      <c r="Y608" s="122"/>
      <c r="Z608" s="123"/>
    </row>
    <row r="609" spans="1:26" ht="18" customHeight="1" hidden="1">
      <c r="A609" s="140"/>
      <c r="B609" s="140"/>
      <c r="D609" s="223" t="s">
        <v>254</v>
      </c>
      <c r="E609" s="205"/>
      <c r="F609" s="205"/>
      <c r="G609" s="205"/>
      <c r="H609" s="205"/>
      <c r="I609" s="205"/>
      <c r="J609" s="206"/>
      <c r="K609"/>
      <c r="L609" s="203"/>
      <c r="M609" s="205"/>
      <c r="N609" s="205"/>
      <c r="O609" s="205"/>
      <c r="P609" s="205"/>
      <c r="Q609" s="205"/>
      <c r="R609" s="206"/>
      <c r="T609" s="203"/>
      <c r="U609" s="205"/>
      <c r="V609" s="205"/>
      <c r="W609" s="205"/>
      <c r="X609" s="205"/>
      <c r="Y609" s="205"/>
      <c r="Z609" s="206"/>
    </row>
    <row r="610" spans="1:26" ht="18" customHeight="1" hidden="1">
      <c r="A610" s="140"/>
      <c r="B610" s="140"/>
      <c r="D610" s="198" t="s">
        <v>255</v>
      </c>
      <c r="E610" s="130" t="str">
        <f>_xlfn.XLOOKUP(E575,CurrentPlans!B:B,CurrentPlans!AR:AR,"NA",0,1)</f>
        <v>NA</v>
      </c>
      <c r="F610" s="200"/>
      <c r="G610" s="200"/>
      <c r="H610" s="200"/>
      <c r="I610" s="130"/>
      <c r="J610" s="201"/>
      <c r="K610"/>
      <c r="L610" s="131" t="str">
        <f>_xlfn.XLOOKUP(L575,RenewalPlans!B:B,RenewalPlans!AU:AU,"NA",0,1)</f>
        <v>NA</v>
      </c>
      <c r="M610" s="200"/>
      <c r="N610" s="200"/>
      <c r="O610" s="200"/>
      <c r="P610" s="130"/>
      <c r="Q610" s="200"/>
      <c r="R610" s="201"/>
      <c r="T610" s="131" t="str">
        <f>_xlfn.XLOOKUP(T575,RenewalPlans!B:B,RenewalPlans!AU:AU,"NA",0,1)</f>
        <v>NA</v>
      </c>
      <c r="U610" s="200"/>
      <c r="V610" s="200"/>
      <c r="W610" s="200"/>
      <c r="X610" s="130"/>
      <c r="Y610" s="200"/>
      <c r="Z610" s="201"/>
    </row>
    <row r="611" spans="1:26" ht="18" customHeight="1" hidden="1" thickBot="1">
      <c r="A611" s="140"/>
      <c r="B611" s="140"/>
      <c r="D611" s="224" t="s">
        <v>256</v>
      </c>
      <c r="E611" s="137" t="str">
        <f>_xlfn.XLOOKUP(E575,CurrentPlans!B:B,CurrentPlans!AS:AS,"NA",0,1)</f>
        <v>NA</v>
      </c>
      <c r="F611" s="225"/>
      <c r="G611" s="225"/>
      <c r="H611" s="225"/>
      <c r="I611" s="137"/>
      <c r="J611" s="226"/>
      <c r="K611"/>
      <c r="L611" s="138" t="str">
        <f>_xlfn.XLOOKUP(L575,RenewalPlans!B:B,RenewalPlans!AV:AV,"NA",0,1)</f>
        <v>NA</v>
      </c>
      <c r="M611" s="225"/>
      <c r="N611" s="225"/>
      <c r="O611" s="225"/>
      <c r="P611" s="137"/>
      <c r="Q611" s="225"/>
      <c r="R611" s="226"/>
      <c r="T611" s="138" t="str">
        <f>_xlfn.XLOOKUP(T575,RenewalPlans!B:B,RenewalPlans!AV:AV,"NA",0,1)</f>
        <v>NA</v>
      </c>
      <c r="U611" s="225"/>
      <c r="V611" s="225"/>
      <c r="W611" s="225"/>
      <c r="X611" s="137"/>
      <c r="Y611" s="225"/>
      <c r="Z611" s="226"/>
    </row>
    <row r="612" spans="1:26" ht="18" customHeight="1">
      <c r="A612" s="140"/>
      <c r="B612" s="140"/>
      <c r="D612" s="227"/>
      <c r="E612" s="176"/>
      <c r="F612" s="178"/>
      <c r="G612" s="179"/>
      <c r="H612" s="178"/>
      <c r="I612" s="176"/>
      <c r="J612" s="228"/>
      <c r="K612"/>
      <c r="L612" s="178"/>
      <c r="M612" s="176"/>
      <c r="N612" s="139"/>
      <c r="O612" s="178"/>
      <c r="P612" s="178"/>
      <c r="Q612" s="178"/>
      <c r="R612" s="228"/>
      <c r="T612" s="178"/>
      <c r="U612" s="176"/>
      <c r="V612" s="139"/>
      <c r="W612" s="178"/>
      <c r="X612" s="178"/>
      <c r="Y612" s="178"/>
      <c r="Z612" s="228"/>
    </row>
    <row r="613" spans="1:26" ht="5.25" customHeight="1" thickBot="1">
      <c r="A613" s="140"/>
      <c r="B613" s="140"/>
      <c r="D613" s="229"/>
      <c r="E613" s="229"/>
      <c r="F613" s="230"/>
      <c r="G613" s="231"/>
      <c r="H613" s="232"/>
      <c r="I613" s="233"/>
      <c r="J613" s="233"/>
      <c r="K613"/>
      <c r="L613" s="233"/>
      <c r="M613" s="233"/>
      <c r="N613" s="233"/>
      <c r="O613" s="233"/>
      <c r="P613" s="233"/>
      <c r="Q613" s="233"/>
      <c r="R613" s="233"/>
      <c r="T613" s="233"/>
      <c r="U613" s="233"/>
      <c r="V613" s="233"/>
      <c r="W613" s="233"/>
      <c r="X613" s="233"/>
      <c r="Y613" s="233"/>
      <c r="Z613" s="233"/>
    </row>
    <row r="614" spans="1:26" ht="50.15" customHeight="1">
      <c r="A614" s="140"/>
      <c r="B614" s="140"/>
      <c r="C614" s="164" t="s">
        <v>287</v>
      </c>
      <c r="D614" s="275" t="s">
        <v>285</v>
      </c>
      <c r="E614" s="165"/>
      <c r="F614" s="272"/>
      <c r="G614" s="166"/>
      <c r="H614" s="167"/>
      <c r="I614" s="168"/>
      <c r="J614" s="169"/>
      <c r="K614"/>
      <c r="L614" s="274" t="s">
        <v>38</v>
      </c>
      <c r="M614" s="170"/>
      <c r="N614" s="274" t="s">
        <v>237</v>
      </c>
      <c r="O614" s="171"/>
      <c r="P614" s="171"/>
      <c r="Q614" s="171"/>
      <c r="R614" s="169"/>
      <c r="T614" s="274" t="s">
        <v>38</v>
      </c>
      <c r="U614" s="170"/>
      <c r="V614" s="274" t="s">
        <v>237</v>
      </c>
      <c r="W614" s="171"/>
      <c r="X614" s="171"/>
      <c r="Y614" s="171"/>
      <c r="Z614" s="169"/>
    </row>
    <row r="615" spans="1:26" ht="18.75" customHeight="1">
      <c r="A615" s="140"/>
      <c r="B615" s="140"/>
      <c r="D615" s="172" t="s">
        <v>238</v>
      </c>
      <c r="E615" s="407"/>
      <c r="F615" s="449"/>
      <c r="G615" s="470"/>
      <c r="H615" s="449"/>
      <c r="I615" s="450"/>
      <c r="J615" s="410"/>
      <c r="K615" s="411"/>
      <c r="L615" s="408" t="str" cm="1">
        <f t="array" ca="1" aca="1" ref="L615">_xlfn.IFNA(VLOOKUP(INDIRECT("L"&amp;ROW()-1)&amp;"_"&amp;$D$12,BEGIN_RENEW_HEALTH:END_RENEW_HEALTH,RENEW_COL_EO,FALSE),"")</f>
        <v/>
      </c>
      <c r="M615" s="412" t="str">
        <f>IF(E615="","",E615)</f>
        <v/>
      </c>
      <c r="N615" s="413"/>
      <c r="O615" s="414"/>
      <c r="P615" s="415" t="str">
        <f>IFERROR(IF($N614="Keep Contribution Same",H615,IF($N614="Enter Percentages",IF(N615="","",N615*L615),IF($N614="Keep Percentage Same",IF(G615="","",G615*L615),IF($N614="Enter Dollar Amount",IF(O615="","",O615),"")))),"")</f>
        <v/>
      </c>
      <c r="Q615" s="408" t="str">
        <f ca="1">IFERROR(L615-P615,"")</f>
        <v/>
      </c>
      <c r="R615" s="410" t="str">
        <f>IFERROR(IF(P615="","",M615*P615),"")</f>
        <v/>
      </c>
      <c r="S615" s="411"/>
      <c r="T615" s="408" t="str" cm="1">
        <f t="array" ca="1" aca="1" ref="T615">_xlfn.IFNA(VLOOKUP(INDIRECT("T"&amp;ROW()-1)&amp;"_"&amp;$D$12,BEGIN_RENEW_HEALTH:END_RENEW_HEALTH,RENEW_COL_EO,FALSE),"")</f>
        <v/>
      </c>
      <c r="U615" s="412" t="str">
        <f>IF(E615="","",E615)</f>
        <v/>
      </c>
      <c r="V615" s="413"/>
      <c r="W615" s="414"/>
      <c r="X615" s="415" t="str">
        <f>IFERROR(IF($V614="Keep Contribution Same",H615,IF($V614="Enter Percentages",IF(V615="","",V615*T615),IF($V614="Keep Percentage Same",IF(G615="","",G615*T615),IF($V614="Enter Dollar Amount",IF(W615="","",W615),"")))),"")</f>
        <v/>
      </c>
      <c r="Y615" s="408" t="str">
        <f ca="1">IFERROR(T615-X615,"")</f>
        <v/>
      </c>
      <c r="Z615" s="410" t="str">
        <f>IFERROR(IF(X615="","",U615*X615),"")</f>
        <v/>
      </c>
    </row>
    <row r="616" spans="1:26" ht="18.75" customHeight="1">
      <c r="A616" s="140"/>
      <c r="B616" s="140"/>
      <c r="D616" s="172" t="s">
        <v>239</v>
      </c>
      <c r="E616" s="407"/>
      <c r="F616" s="449"/>
      <c r="G616" s="470"/>
      <c r="H616" s="449"/>
      <c r="I616" s="450"/>
      <c r="J616" s="410"/>
      <c r="K616" s="411"/>
      <c r="L616" s="408" t="str" cm="1">
        <f t="array" ca="1" aca="1" ref="L616">_xlfn.IFNA(VLOOKUP(INDIRECT("L"&amp;ROW()-2)&amp;"_"&amp;$D$12,BEGIN_RENEW_HEALTH:END_RENEW_HEALTH,RENEW_COL_ES,FALSE),"")</f>
        <v/>
      </c>
      <c r="M616" s="412" t="str">
        <f>IF(E616="","",E616)</f>
        <v/>
      </c>
      <c r="N616" s="413"/>
      <c r="O616" s="414"/>
      <c r="P616" s="415" t="str">
        <f>IFERROR(IF($N614="Keep Contribution Same",H616,IF($N614="Enter Percentages",IF(N616="","",N616*L616),IF($N614="Keep Percentage Same",IF(G616="","",G616*L616),IF($N614="Enter Dollar Amount",IF(O616="","",O616),"")))),"")</f>
        <v/>
      </c>
      <c r="Q616" s="408" t="str">
        <f ca="1" t="shared" si="58" ref="Q616:Q618">IFERROR(L616-P616,"")</f>
        <v/>
      </c>
      <c r="R616" s="410" t="str">
        <f>IFERROR(IF(P616="","",M616*P616),"")</f>
        <v/>
      </c>
      <c r="S616" s="411"/>
      <c r="T616" s="408" t="str" cm="1">
        <f t="array" ca="1" aca="1" ref="T616">_xlfn.IFNA(VLOOKUP(INDIRECT("T"&amp;ROW()-2)&amp;"_"&amp;$D$12,BEGIN_RENEW_HEALTH:END_RENEW_HEALTH,RENEW_COL_ES,FALSE),"")</f>
        <v/>
      </c>
      <c r="U616" s="412" t="str">
        <f t="shared" si="59" ref="U616:U618">IF(E616="","",E616)</f>
        <v/>
      </c>
      <c r="V616" s="413"/>
      <c r="W616" s="414"/>
      <c r="X616" s="415" t="str">
        <f>IFERROR(IF($V614="Keep Contribution Same",H616,IF($V614="Enter Percentages",IF(V616="","",V616*T616),IF($V614="Keep Percentage Same",IF(G616="","",G616*T616),IF($V614="Enter Dollar Amount",IF(W616="","",W616),"")))),"")</f>
        <v/>
      </c>
      <c r="Y616" s="408" t="str">
        <f ca="1" t="shared" si="60" ref="Y616:Y618">IFERROR(T616-X616,"")</f>
        <v/>
      </c>
      <c r="Z616" s="410" t="str">
        <f t="shared" si="61" ref="Z616:Z618">IFERROR(IF(X616="","",U616*X616),"")</f>
        <v/>
      </c>
    </row>
    <row r="617" spans="1:26" ht="18.75" customHeight="1">
      <c r="A617" s="140"/>
      <c r="B617" s="140"/>
      <c r="D617" s="172" t="s">
        <v>240</v>
      </c>
      <c r="E617" s="407"/>
      <c r="F617" s="449"/>
      <c r="G617" s="470"/>
      <c r="H617" s="449"/>
      <c r="I617" s="450"/>
      <c r="J617" s="410"/>
      <c r="K617" s="411"/>
      <c r="L617" s="408" t="str" cm="1">
        <f t="array" ca="1" aca="1" ref="L617">_xlfn.IFNA(VLOOKUP(INDIRECT("L"&amp;ROW()-3)&amp;"_"&amp;$D$12,BEGIN_RENEW_HEALTH:END_RENEW_HEALTH,RENEW_COL_EC,FALSE),"")</f>
        <v/>
      </c>
      <c r="M617" s="412" t="str">
        <f>IF(E617="","",E617)</f>
        <v/>
      </c>
      <c r="N617" s="413"/>
      <c r="O617" s="414"/>
      <c r="P617" s="415" t="str">
        <f>IFERROR(IF($N614="Keep Contribution Same",H617,IF($N614="Enter Percentages",IF(N617="","",N617*L617),IF($N614="Keep Percentage Same",IF(G617="","",G617*L617),IF($N614="Enter Dollar Amount",IF(O617="","",O617),"")))),"")</f>
        <v/>
      </c>
      <c r="Q617" s="408" t="str">
        <f t="shared" ca="1" si="58"/>
        <v/>
      </c>
      <c r="R617" s="410" t="str">
        <f>IFERROR(IF(P617="","",M617*P617),"")</f>
        <v/>
      </c>
      <c r="S617" s="411"/>
      <c r="T617" s="408" t="str" cm="1">
        <f t="array" ca="1" aca="1" ref="T617">_xlfn.IFNA(VLOOKUP(INDIRECT("T"&amp;ROW()-3)&amp;"_"&amp;$D$12,BEGIN_RENEW_HEALTH:END_RENEW_HEALTH,RENEW_COL_EC,FALSE),"")</f>
        <v/>
      </c>
      <c r="U617" s="412" t="str">
        <f t="shared" si="59"/>
        <v/>
      </c>
      <c r="V617" s="413"/>
      <c r="W617" s="414"/>
      <c r="X617" s="415" t="str">
        <f>IFERROR(IF($V614="Keep Contribution Same",H617,IF($V614="Enter Percentages",IF(V617="","",V617*T617),IF($V614="Keep Percentage Same",IF(G617="","",G617*T617),IF($V614="Enter Dollar Amount",IF(W617="","",W617),"")))),"")</f>
        <v/>
      </c>
      <c r="Y617" s="408" t="str">
        <f t="shared" ca="1" si="60"/>
        <v/>
      </c>
      <c r="Z617" s="410" t="str">
        <f t="shared" si="61"/>
        <v/>
      </c>
    </row>
    <row r="618" spans="1:26" ht="18.75" customHeight="1" thickBot="1">
      <c r="A618" s="140"/>
      <c r="B618" s="140"/>
      <c r="D618" s="174" t="s">
        <v>241</v>
      </c>
      <c r="E618" s="416"/>
      <c r="F618" s="451"/>
      <c r="G618" s="471"/>
      <c r="H618" s="451"/>
      <c r="I618" s="452"/>
      <c r="J618" s="419"/>
      <c r="K618" s="411"/>
      <c r="L618" s="417" t="str" cm="1">
        <f t="array" ca="1" aca="1" ref="L618">_xlfn.IFNA(VLOOKUP(INDIRECT("L"&amp;ROW()-4)&amp;"_"&amp;$D$12,BEGIN_RENEW_HEALTH:END_RENEW_HEALTH,RENEW_COL_FAM,FALSE),"")</f>
        <v/>
      </c>
      <c r="M618" s="423" t="str">
        <f>IF(E618="","",E618)</f>
        <v/>
      </c>
      <c r="N618" s="420"/>
      <c r="O618" s="421"/>
      <c r="P618" s="422" t="str">
        <f>IFERROR(IF($N614="Keep Contribution Same",H618,IF($N614="Enter Percentages",IF(N618="","",N618*L618),IF($N614="Keep Percentage Same",IF(G618="","",G618*L618),IF($N614="Enter Dollar Amount",IF(O618="","",O618),"")))),"")</f>
        <v/>
      </c>
      <c r="Q618" s="417" t="str">
        <f t="shared" ca="1" si="58"/>
        <v/>
      </c>
      <c r="R618" s="419" t="str">
        <f>IFERROR(IF(P618="","",M618*P618),"")</f>
        <v/>
      </c>
      <c r="S618" s="411"/>
      <c r="T618" s="417" t="str" cm="1">
        <f t="array" ca="1" aca="1" ref="T618">_xlfn.IFNA(VLOOKUP(INDIRECT("T"&amp;ROW()-4)&amp;"_"&amp;$D$12,BEGIN_RENEW_HEALTH:END_RENEW_HEALTH,RENEW_COL_FAM,FALSE),"")</f>
        <v/>
      </c>
      <c r="U618" s="423" t="str">
        <f t="shared" si="59"/>
        <v/>
      </c>
      <c r="V618" s="420"/>
      <c r="W618" s="421"/>
      <c r="X618" s="422" t="str">
        <f>IFERROR(IF($V614="Keep Contribution Same",H618,IF($V614="Enter Percentages",IF(V618="","",V618*T618),IF($V614="Keep Percentage Same",IF(G618="","",G618*T618),IF($V614="Enter Dollar Amount",IF(W618="","",W618),"")))),"")</f>
        <v/>
      </c>
      <c r="Y618" s="417" t="str">
        <f t="shared" ca="1" si="60"/>
        <v/>
      </c>
      <c r="Z618" s="419" t="str">
        <f t="shared" si="61"/>
        <v/>
      </c>
    </row>
    <row r="619" spans="1:26" ht="18.75" customHeight="1" thickTop="1">
      <c r="A619" s="140"/>
      <c r="B619" s="140"/>
      <c r="D619" s="175" t="s">
        <v>329</v>
      </c>
      <c r="E619" s="459"/>
      <c r="F619" s="447">
        <f>IFERROR((F615*E615)+(F616*E616)+(F617*E617)+(F618*E618),"")</f>
        <v>0</v>
      </c>
      <c r="G619" s="426"/>
      <c r="H619" s="427"/>
      <c r="I619" s="428"/>
      <c r="J619" s="429" t="str">
        <f>IFERROR(IF(J615="","",SUM(J615:J618)),0)</f>
        <v/>
      </c>
      <c r="K619" s="1"/>
      <c r="L619" s="430" t="str">
        <f ca="1">IFERROR((M615*L615)+(M616*L616)+(M617*L617)+(M618*L618),"")</f>
        <v/>
      </c>
      <c r="M619" s="427"/>
      <c r="N619" s="426"/>
      <c r="O619" s="427"/>
      <c r="P619" s="431"/>
      <c r="Q619" s="432"/>
      <c r="R619" s="429" t="str">
        <f>IFERROR(IF(R615="","",SUM(R615:R618)),0)</f>
        <v/>
      </c>
      <c r="T619" s="430" t="str">
        <f ca="1">IFERROR((U615*T615)+(U616*T616)+(U617*T617)+(U618*T618),"")</f>
        <v/>
      </c>
      <c r="U619" s="427"/>
      <c r="V619" s="426"/>
      <c r="W619" s="427"/>
      <c r="X619" s="431"/>
      <c r="Y619" s="432"/>
      <c r="Z619" s="429" t="str">
        <f>IFERROR(IF(Z615="","",SUM(Z615:Z618)),0)</f>
        <v/>
      </c>
    </row>
    <row r="620" spans="1:26" ht="18.75" customHeight="1">
      <c r="A620" s="140"/>
      <c r="B620" s="140"/>
      <c r="D620" s="177" t="s">
        <v>243</v>
      </c>
      <c r="E620" s="460"/>
      <c r="F620" s="448">
        <f>IFERROR(F619*12,"")</f>
        <v>0</v>
      </c>
      <c r="G620" s="435"/>
      <c r="H620" s="436"/>
      <c r="I620" s="432"/>
      <c r="J620" s="437" t="str">
        <f>IF(J619="","",J619*12)</f>
        <v/>
      </c>
      <c r="K620" s="1"/>
      <c r="L620" s="438" t="str">
        <f ca="1">IFERROR(L619*12,"")</f>
        <v/>
      </c>
      <c r="M620" s="436"/>
      <c r="N620" s="435"/>
      <c r="O620" s="436"/>
      <c r="P620" s="432"/>
      <c r="Q620" s="432"/>
      <c r="R620" s="437" t="str">
        <f>IF(R619="","",R619*12)</f>
        <v/>
      </c>
      <c r="T620" s="438" t="str">
        <f ca="1">IFERROR(T619*12,"")</f>
        <v/>
      </c>
      <c r="U620" s="436"/>
      <c r="V620" s="435"/>
      <c r="W620" s="436"/>
      <c r="X620" s="432"/>
      <c r="Y620" s="432"/>
      <c r="Z620" s="437" t="str">
        <f>IF(Z619="","",Z619*12)</f>
        <v/>
      </c>
    </row>
    <row r="621" spans="1:26" ht="18.75" customHeight="1">
      <c r="A621" s="140"/>
      <c r="B621" s="140"/>
      <c r="D621" s="177" t="s">
        <v>244</v>
      </c>
      <c r="E621" s="433"/>
      <c r="F621" s="436"/>
      <c r="G621" s="435"/>
      <c r="H621" s="436"/>
      <c r="I621" s="432"/>
      <c r="J621" s="437" t="str">
        <f>IFERROR(IF(J620="","",R620-J620),0)</f>
        <v/>
      </c>
      <c r="K621" s="1"/>
      <c r="L621" s="434" t="str">
        <f ca="1">IFERROR(L620-F620,"")</f>
        <v/>
      </c>
      <c r="M621" s="436"/>
      <c r="N621" s="435"/>
      <c r="O621" s="436"/>
      <c r="P621" s="432"/>
      <c r="Q621" s="432"/>
      <c r="R621" s="437" t="str">
        <f>IFERROR(IF(J620="","",R620-J620),0)</f>
        <v/>
      </c>
      <c r="T621" s="434" t="str">
        <f ca="1">IFERROR(T620-F620,"")</f>
        <v/>
      </c>
      <c r="U621" s="436"/>
      <c r="V621" s="435"/>
      <c r="W621" s="436"/>
      <c r="X621" s="432"/>
      <c r="Y621" s="432"/>
      <c r="Z621" s="437" t="str">
        <f>IFERROR(IF(R620="","",Z620-R620),0)</f>
        <v/>
      </c>
    </row>
    <row r="622" spans="1:26" ht="18" customHeight="1" thickBot="1">
      <c r="A622" s="140"/>
      <c r="B622" s="140"/>
      <c r="D622" s="180" t="s">
        <v>245</v>
      </c>
      <c r="E622" s="439"/>
      <c r="F622" s="440"/>
      <c r="G622" s="441"/>
      <c r="H622" s="440"/>
      <c r="I622" s="442"/>
      <c r="J622" s="437" t="str">
        <f>IFERROR(IF(J620="","",(R620/J620)-1),0)</f>
        <v/>
      </c>
      <c r="K622" s="1"/>
      <c r="L622" s="444" t="str">
        <f ca="1">IFERROR(L620/F620-1,"")</f>
        <v/>
      </c>
      <c r="M622" s="440"/>
      <c r="N622" s="441"/>
      <c r="O622" s="440"/>
      <c r="P622" s="445"/>
      <c r="Q622" s="445"/>
      <c r="R622" s="446" t="str">
        <f>IFERROR(IF(J620="","",(R620/J620)-1),0)</f>
        <v/>
      </c>
      <c r="T622" s="444" t="str">
        <f ca="1">IFERROR(T620/F620-1,"")</f>
        <v/>
      </c>
      <c r="U622" s="440"/>
      <c r="V622" s="441"/>
      <c r="W622" s="440"/>
      <c r="X622" s="445"/>
      <c r="Y622" s="445"/>
      <c r="Z622" s="446" t="str">
        <f>IFERROR(IF(R620="","",(Z620/R620)-1),0)</f>
        <v/>
      </c>
    </row>
    <row r="623" spans="1:26" ht="18" customHeight="1">
      <c r="A623" s="140"/>
      <c r="B623" s="140"/>
      <c r="D623" s="181" t="s">
        <v>246</v>
      </c>
      <c r="E623" s="182"/>
      <c r="F623" s="182"/>
      <c r="G623" s="182"/>
      <c r="H623" s="182"/>
      <c r="I623" s="182"/>
      <c r="J623" s="183"/>
      <c r="K623"/>
      <c r="L623" s="184"/>
      <c r="M623" s="182"/>
      <c r="N623" s="182"/>
      <c r="O623" s="182"/>
      <c r="P623" s="182"/>
      <c r="Q623" s="182"/>
      <c r="R623" s="183"/>
      <c r="T623" s="184"/>
      <c r="U623" s="182"/>
      <c r="V623" s="182"/>
      <c r="W623" s="182"/>
      <c r="X623" s="182"/>
      <c r="Y623" s="182"/>
      <c r="Z623" s="183"/>
    </row>
    <row r="624" spans="1:26" ht="18" customHeight="1" hidden="1">
      <c r="A624" s="140"/>
      <c r="B624" s="140"/>
      <c r="D624" s="185" t="s">
        <v>247</v>
      </c>
      <c r="E624" s="186"/>
      <c r="F624" s="186"/>
      <c r="G624" s="186"/>
      <c r="H624" s="186"/>
      <c r="I624" s="186"/>
      <c r="J624" s="187"/>
      <c r="K624"/>
      <c r="L624" s="188"/>
      <c r="M624" s="186"/>
      <c r="N624" s="186"/>
      <c r="O624" s="186"/>
      <c r="P624" s="186"/>
      <c r="Q624" s="186"/>
      <c r="R624" s="187"/>
      <c r="T624" s="188"/>
      <c r="U624" s="186"/>
      <c r="V624" s="186"/>
      <c r="W624" s="186"/>
      <c r="X624" s="186"/>
      <c r="Y624" s="186"/>
      <c r="Z624" s="187"/>
    </row>
    <row r="625" spans="1:26" ht="18" customHeight="1" hidden="1">
      <c r="A625" s="140"/>
      <c r="B625" s="140"/>
      <c r="D625" s="189" t="s">
        <v>248</v>
      </c>
      <c r="E625" s="190" t="str">
        <f>D614&amp;"_"&amp;D12</f>
        <v>NEW PLAN_</v>
      </c>
      <c r="F625" s="191"/>
      <c r="G625" s="191"/>
      <c r="H625" s="191"/>
      <c r="I625" s="190"/>
      <c r="J625" s="192"/>
      <c r="K625"/>
      <c r="L625" s="193" t="str">
        <f>L614&amp;"_"&amp;D12</f>
        <v>SELECT PLAN_</v>
      </c>
      <c r="M625" s="191"/>
      <c r="N625" s="191"/>
      <c r="O625" s="191"/>
      <c r="P625" s="190"/>
      <c r="Q625" s="191"/>
      <c r="R625" s="192"/>
      <c r="T625" s="193" t="str">
        <f>T614&amp;"_"&amp;D12</f>
        <v>SELECT PLAN_</v>
      </c>
      <c r="U625" s="191"/>
      <c r="V625" s="191"/>
      <c r="W625" s="191"/>
      <c r="X625" s="190"/>
      <c r="Y625" s="191"/>
      <c r="Z625" s="192"/>
    </row>
    <row r="626" spans="1:26" ht="18" customHeight="1" hidden="1">
      <c r="A626" s="140"/>
      <c r="B626" s="140"/>
      <c r="D626" s="189" t="s">
        <v>249</v>
      </c>
      <c r="E626" s="191"/>
      <c r="F626" s="191"/>
      <c r="G626" s="191"/>
      <c r="H626" s="191"/>
      <c r="I626" s="191"/>
      <c r="J626" s="192"/>
      <c r="K626"/>
      <c r="L626" s="189"/>
      <c r="M626" s="191"/>
      <c r="N626" s="191"/>
      <c r="O626" s="191"/>
      <c r="P626" s="191"/>
      <c r="Q626" s="191"/>
      <c r="R626" s="192"/>
      <c r="T626" s="189"/>
      <c r="U626" s="191"/>
      <c r="V626" s="191"/>
      <c r="W626" s="191"/>
      <c r="X626" s="191"/>
      <c r="Y626" s="191"/>
      <c r="Z626" s="192"/>
    </row>
    <row r="627" spans="1:26" ht="32.25" customHeight="1" hidden="1">
      <c r="A627" s="140"/>
      <c r="B627" s="140"/>
      <c r="D627" s="194" t="s">
        <v>250</v>
      </c>
      <c r="E627" s="195"/>
      <c r="F627" s="195"/>
      <c r="G627" s="195"/>
      <c r="H627" s="195"/>
      <c r="I627" s="195"/>
      <c r="J627" s="196"/>
      <c r="K627"/>
      <c r="L627" s="197"/>
      <c r="M627" s="195"/>
      <c r="N627" s="195"/>
      <c r="O627" s="195"/>
      <c r="P627" s="195"/>
      <c r="Q627" s="195"/>
      <c r="R627" s="196"/>
      <c r="T627" s="197"/>
      <c r="U627" s="195"/>
      <c r="V627" s="195"/>
      <c r="W627" s="195"/>
      <c r="X627" s="195"/>
      <c r="Y627" s="195"/>
      <c r="Z627" s="196"/>
    </row>
    <row r="628" spans="1:26" ht="18" customHeight="1" hidden="1">
      <c r="A628" s="140"/>
      <c r="B628" s="140"/>
      <c r="D628" s="198" t="s">
        <v>251</v>
      </c>
      <c r="E628" s="199" t="str">
        <f>_xlfn.XLOOKUP(E625,CurrentPlans!B:B,CurrentPlans!X:X,"NA",0,1)</f>
        <v>NA</v>
      </c>
      <c r="F628" s="200"/>
      <c r="G628" s="200"/>
      <c r="H628" s="200"/>
      <c r="I628" s="199"/>
      <c r="J628" s="201"/>
      <c r="K628"/>
      <c r="L628" s="202" t="str">
        <f>_xlfn.XLOOKUP(L625,RenewalPlans!B:B,RenewalPlans!AA:AA,"NA",0,1)</f>
        <v>NA</v>
      </c>
      <c r="M628" s="200"/>
      <c r="N628" s="200"/>
      <c r="O628" s="200"/>
      <c r="P628" s="199"/>
      <c r="Q628" s="200"/>
      <c r="R628" s="201"/>
      <c r="T628" s="202" t="str">
        <f>_xlfn.XLOOKUP(T625,RenewalPlans!B:B,RenewalPlans!AA:AA,"NA",0,1)</f>
        <v>NA</v>
      </c>
      <c r="U628" s="200"/>
      <c r="V628" s="200"/>
      <c r="W628" s="200"/>
      <c r="X628" s="199"/>
      <c r="Y628" s="200"/>
      <c r="Z628" s="201"/>
    </row>
    <row r="629" spans="1:26" ht="18" customHeight="1" hidden="1">
      <c r="A629" s="140"/>
      <c r="B629" s="140"/>
      <c r="D629" s="198" t="s">
        <v>252</v>
      </c>
      <c r="E629" s="199" t="str">
        <f>_xlfn.XLOOKUP(E625,CurrentPlans!B:B,CurrentPlans!Y:Y,"NA",0,1)</f>
        <v>NA</v>
      </c>
      <c r="F629" s="200"/>
      <c r="G629" s="200"/>
      <c r="H629" s="200"/>
      <c r="I629" s="199"/>
      <c r="J629" s="201"/>
      <c r="K629"/>
      <c r="L629" s="202" t="str">
        <f>_xlfn.XLOOKUP(L625,RenewalPlans!B:B,RenewalPlans!AB:AB,"NA",0,1)</f>
        <v>NA</v>
      </c>
      <c r="M629" s="200"/>
      <c r="N629" s="200"/>
      <c r="O629" s="200"/>
      <c r="P629" s="199"/>
      <c r="Q629" s="200"/>
      <c r="R629" s="201"/>
      <c r="T629" s="202" t="str">
        <f>_xlfn.XLOOKUP(T625,RenewalPlans!B:B,RenewalPlans!AB:AB,"NA",0,1)</f>
        <v>NA</v>
      </c>
      <c r="U629" s="200"/>
      <c r="V629" s="200"/>
      <c r="W629" s="200"/>
      <c r="X629" s="199"/>
      <c r="Y629" s="200"/>
      <c r="Z629" s="201"/>
    </row>
    <row r="630" spans="1:26" ht="18" customHeight="1" hidden="1">
      <c r="A630" s="140"/>
      <c r="B630" s="140"/>
      <c r="D630" s="120" t="s">
        <v>253</v>
      </c>
      <c r="E630" s="121" t="str">
        <f>_xlfn.XLOOKUP(E625,CurrentPlans!B:B,CurrentPlans!W:W,"NA",0,1)</f>
        <v>NA</v>
      </c>
      <c r="F630" s="122"/>
      <c r="G630" s="122"/>
      <c r="H630" s="122"/>
      <c r="I630" s="121"/>
      <c r="J630" s="123"/>
      <c r="K630"/>
      <c r="L630" s="124" t="str">
        <f>_xlfn.XLOOKUP(L625,RenewalPlans!B:B,RenewalPlans!Z:Z,"NA",0,1)</f>
        <v>NA</v>
      </c>
      <c r="M630" s="122"/>
      <c r="N630" s="122"/>
      <c r="O630" s="122"/>
      <c r="P630" s="121"/>
      <c r="Q630" s="122"/>
      <c r="R630" s="123"/>
      <c r="T630" s="124" t="str">
        <f>_xlfn.XLOOKUP(T625,RenewalPlans!B:B,RenewalPlans!Z:Z,"NA",0,1)</f>
        <v>NA</v>
      </c>
      <c r="U630" s="122"/>
      <c r="V630" s="122"/>
      <c r="W630" s="122"/>
      <c r="X630" s="121"/>
      <c r="Y630" s="122"/>
      <c r="Z630" s="123"/>
    </row>
    <row r="631" spans="1:26" ht="18" customHeight="1" hidden="1">
      <c r="A631" s="140"/>
      <c r="B631" s="140"/>
      <c r="D631" s="203" t="s">
        <v>254</v>
      </c>
      <c r="E631" s="204"/>
      <c r="F631" s="205"/>
      <c r="G631" s="205"/>
      <c r="H631" s="205"/>
      <c r="I631" s="204"/>
      <c r="J631" s="206"/>
      <c r="K631"/>
      <c r="L631" s="207"/>
      <c r="M631" s="205"/>
      <c r="N631" s="205"/>
      <c r="O631" s="205"/>
      <c r="P631" s="204"/>
      <c r="Q631" s="205"/>
      <c r="R631" s="206"/>
      <c r="T631" s="207"/>
      <c r="U631" s="205"/>
      <c r="V631" s="205"/>
      <c r="W631" s="205"/>
      <c r="X631" s="204"/>
      <c r="Y631" s="205"/>
      <c r="Z631" s="206"/>
    </row>
    <row r="632" spans="1:26" ht="18" customHeight="1" hidden="1">
      <c r="A632" s="140"/>
      <c r="B632" s="140"/>
      <c r="D632" s="125" t="s">
        <v>255</v>
      </c>
      <c r="E632" s="126" t="str">
        <f>_xlfn.XLOOKUP(E625,CurrentPlans!B:B,CurrentPlans!Z:Z,"NA",0,1)</f>
        <v>NA</v>
      </c>
      <c r="F632" s="127"/>
      <c r="G632" s="127"/>
      <c r="H632" s="127"/>
      <c r="I632" s="126"/>
      <c r="J632" s="128"/>
      <c r="K632"/>
      <c r="L632" s="129" t="str">
        <f>_xlfn.XLOOKUP(L625,RenewalPlans!B:B,RenewalPlans!AC:AC,"NA",0,1)</f>
        <v>NA</v>
      </c>
      <c r="M632" s="127"/>
      <c r="N632" s="127"/>
      <c r="O632" s="127"/>
      <c r="P632" s="126"/>
      <c r="Q632" s="127"/>
      <c r="R632" s="128"/>
      <c r="T632" s="129" t="str">
        <f>_xlfn.XLOOKUP(T625,RenewalPlans!B:B,RenewalPlans!AC:AC,"NA",0,1)</f>
        <v>NA</v>
      </c>
      <c r="U632" s="127"/>
      <c r="V632" s="127"/>
      <c r="W632" s="127"/>
      <c r="X632" s="126"/>
      <c r="Y632" s="127"/>
      <c r="Z632" s="128"/>
    </row>
    <row r="633" spans="1:26" ht="18" customHeight="1" hidden="1">
      <c r="A633" s="140"/>
      <c r="B633" s="140"/>
      <c r="D633" s="198" t="s">
        <v>256</v>
      </c>
      <c r="E633" s="208" t="str">
        <f>_xlfn.XLOOKUP(E625,CurrentPlans!B:B,CurrentPlans!AA:AA,"NA",0,1)</f>
        <v>NA</v>
      </c>
      <c r="F633" s="200"/>
      <c r="G633" s="200"/>
      <c r="H633" s="200"/>
      <c r="I633" s="208"/>
      <c r="J633" s="201"/>
      <c r="K633"/>
      <c r="L633" s="209" t="str">
        <f>_xlfn.XLOOKUP(L625,RenewalPlans!B:B,RenewalPlans!AD:AD,"NA",0,1)</f>
        <v>NA</v>
      </c>
      <c r="M633" s="200"/>
      <c r="N633" s="200"/>
      <c r="O633" s="200"/>
      <c r="P633" s="208"/>
      <c r="Q633" s="200"/>
      <c r="R633" s="201"/>
      <c r="T633" s="209" t="str">
        <f>_xlfn.XLOOKUP(T625,RenewalPlans!B:B,RenewalPlans!AD:AD,"NA",0,1)</f>
        <v>NA</v>
      </c>
      <c r="U633" s="200"/>
      <c r="V633" s="200"/>
      <c r="W633" s="200"/>
      <c r="X633" s="208"/>
      <c r="Y633" s="200"/>
      <c r="Z633" s="201"/>
    </row>
    <row r="634" spans="1:26" ht="18" customHeight="1" hidden="1">
      <c r="A634" s="140"/>
      <c r="B634" s="140"/>
      <c r="D634" s="203" t="s">
        <v>257</v>
      </c>
      <c r="E634" s="204"/>
      <c r="F634" s="205"/>
      <c r="G634" s="205"/>
      <c r="H634" s="205"/>
      <c r="I634" s="204"/>
      <c r="J634" s="206"/>
      <c r="K634"/>
      <c r="L634" s="207"/>
      <c r="M634" s="205"/>
      <c r="N634" s="205"/>
      <c r="O634" s="205"/>
      <c r="P634" s="204"/>
      <c r="Q634" s="205"/>
      <c r="R634" s="206"/>
      <c r="T634" s="207"/>
      <c r="U634" s="205"/>
      <c r="V634" s="205"/>
      <c r="W634" s="205"/>
      <c r="X634" s="204"/>
      <c r="Y634" s="205"/>
      <c r="Z634" s="206"/>
    </row>
    <row r="635" spans="1:26" ht="18" customHeight="1" hidden="1">
      <c r="A635" s="140"/>
      <c r="B635" s="140"/>
      <c r="D635" s="198" t="s">
        <v>258</v>
      </c>
      <c r="E635" s="208" t="str">
        <f>_xlfn.XLOOKUP(E625,CurrentPlans!B:B,CurrentPlans!AB:AB,"NA",0,1)</f>
        <v>NA</v>
      </c>
      <c r="F635" s="200"/>
      <c r="G635" s="200"/>
      <c r="H635" s="200"/>
      <c r="I635" s="208"/>
      <c r="J635" s="201"/>
      <c r="K635"/>
      <c r="L635" s="209" t="str">
        <f>_xlfn.XLOOKUP(L625,RenewalPlans!B:B,RenewalPlans!AE:AE,"NA",0,1)</f>
        <v>NA</v>
      </c>
      <c r="M635" s="200"/>
      <c r="N635" s="200"/>
      <c r="O635" s="200"/>
      <c r="P635" s="208"/>
      <c r="Q635" s="200"/>
      <c r="R635" s="201"/>
      <c r="T635" s="209" t="str">
        <f>_xlfn.XLOOKUP(T625,RenewalPlans!B:B,RenewalPlans!AE:AE,"NA",0,1)</f>
        <v>NA</v>
      </c>
      <c r="U635" s="200"/>
      <c r="V635" s="200"/>
      <c r="W635" s="200"/>
      <c r="X635" s="208"/>
      <c r="Y635" s="200"/>
      <c r="Z635" s="201"/>
    </row>
    <row r="636" spans="1:26" ht="18" customHeight="1" hidden="1">
      <c r="A636" s="140"/>
      <c r="B636" s="140"/>
      <c r="D636" s="198" t="s">
        <v>259</v>
      </c>
      <c r="E636" s="208" t="str">
        <f>_xlfn.XLOOKUP(E625,CurrentPlans!B:B,CurrentPlans!AC:AC,"NA",0,1)</f>
        <v>NA</v>
      </c>
      <c r="F636" s="200"/>
      <c r="G636" s="200"/>
      <c r="H636" s="200"/>
      <c r="I636" s="208"/>
      <c r="J636" s="201"/>
      <c r="K636"/>
      <c r="L636" s="209" t="str">
        <f>_xlfn.XLOOKUP(L625,RenewalPlans!B:B,RenewalPlans!AF:AF,"NA",0,1)</f>
        <v>NA</v>
      </c>
      <c r="M636" s="200"/>
      <c r="N636" s="200"/>
      <c r="O636" s="200"/>
      <c r="P636" s="208"/>
      <c r="Q636" s="200"/>
      <c r="R636" s="201"/>
      <c r="T636" s="209" t="str">
        <f>_xlfn.XLOOKUP(T625,RenewalPlans!B:B,RenewalPlans!AF:AF,"NA",0,1)</f>
        <v>NA</v>
      </c>
      <c r="U636" s="200"/>
      <c r="V636" s="200"/>
      <c r="W636" s="200"/>
      <c r="X636" s="208"/>
      <c r="Y636" s="200"/>
      <c r="Z636" s="201"/>
    </row>
    <row r="637" spans="1:26" ht="18" customHeight="1" hidden="1">
      <c r="A637" s="140"/>
      <c r="B637" s="140"/>
      <c r="D637" s="210"/>
      <c r="E637" s="211"/>
      <c r="F637" s="211"/>
      <c r="G637" s="211"/>
      <c r="H637" s="211"/>
      <c r="I637" s="211"/>
      <c r="J637" s="212"/>
      <c r="K637"/>
      <c r="L637" s="210"/>
      <c r="M637" s="211"/>
      <c r="N637" s="211"/>
      <c r="O637" s="211"/>
      <c r="P637" s="211"/>
      <c r="Q637" s="211"/>
      <c r="R637" s="212"/>
      <c r="T637" s="210"/>
      <c r="U637" s="211"/>
      <c r="V637" s="211"/>
      <c r="W637" s="211"/>
      <c r="X637" s="211"/>
      <c r="Y637" s="211"/>
      <c r="Z637" s="212"/>
    </row>
    <row r="638" spans="1:26" ht="18" customHeight="1" hidden="1">
      <c r="A638" s="140"/>
      <c r="B638" s="140"/>
      <c r="D638" s="185" t="s">
        <v>260</v>
      </c>
      <c r="E638" s="186"/>
      <c r="F638" s="186"/>
      <c r="G638" s="186"/>
      <c r="H638" s="186"/>
      <c r="I638" s="186"/>
      <c r="J638" s="187"/>
      <c r="K638"/>
      <c r="L638" s="188"/>
      <c r="M638" s="186"/>
      <c r="N638" s="186"/>
      <c r="O638" s="186"/>
      <c r="P638" s="186"/>
      <c r="Q638" s="186"/>
      <c r="R638" s="187"/>
      <c r="T638" s="188"/>
      <c r="U638" s="186"/>
      <c r="V638" s="186"/>
      <c r="W638" s="186"/>
      <c r="X638" s="186"/>
      <c r="Y638" s="186"/>
      <c r="Z638" s="187"/>
    </row>
    <row r="639" spans="1:26" ht="18" customHeight="1" hidden="1">
      <c r="A639" s="140"/>
      <c r="B639" s="140"/>
      <c r="D639" s="213" t="s">
        <v>261</v>
      </c>
      <c r="E639" s="130" t="str">
        <f>_xlfn.XLOOKUP(E625,CurrentPlans!B:B,CurrentPlans!AJ:AJ,"NA",0,1)</f>
        <v>NA</v>
      </c>
      <c r="F639" s="214"/>
      <c r="G639" s="214"/>
      <c r="H639" s="214"/>
      <c r="I639" s="130"/>
      <c r="J639" s="215"/>
      <c r="K639"/>
      <c r="L639" s="131" t="str">
        <f>_xlfn.XLOOKUP(L625,RenewalPlans!B:B,RenewalPlans!AM:AM,"NA",0,1)</f>
        <v>NA</v>
      </c>
      <c r="M639" s="214"/>
      <c r="N639" s="214"/>
      <c r="O639" s="214"/>
      <c r="P639" s="130"/>
      <c r="Q639" s="214"/>
      <c r="R639" s="215"/>
      <c r="T639" s="131" t="str">
        <f>_xlfn.XLOOKUP(T625,RenewalPlans!B:B,RenewalPlans!AM:AM,"NA",0,1)</f>
        <v>NA</v>
      </c>
      <c r="U639" s="214"/>
      <c r="V639" s="214"/>
      <c r="W639" s="214"/>
      <c r="X639" s="130"/>
      <c r="Y639" s="214"/>
      <c r="Z639" s="215"/>
    </row>
    <row r="640" spans="1:26" ht="18" customHeight="1" hidden="1">
      <c r="A640" s="140"/>
      <c r="B640" s="140"/>
      <c r="D640" s="198" t="s">
        <v>262</v>
      </c>
      <c r="E640" s="130" t="str">
        <f>_xlfn.XLOOKUP(E625,CurrentPlans!B:B,CurrentPlans!AM:AM,"NA",0,1)</f>
        <v>NA</v>
      </c>
      <c r="F640" s="200"/>
      <c r="G640" s="200"/>
      <c r="H640" s="200"/>
      <c r="I640" s="130"/>
      <c r="J640" s="201"/>
      <c r="K640"/>
      <c r="L640" s="131" t="str">
        <f>_xlfn.XLOOKUP(L625,RenewalPlans!B:B,RenewalPlans!AP:AP,"NA",0,1)</f>
        <v>NA</v>
      </c>
      <c r="M640" s="200"/>
      <c r="N640" s="200"/>
      <c r="O640" s="200"/>
      <c r="P640" s="130"/>
      <c r="Q640" s="200"/>
      <c r="R640" s="201"/>
      <c r="T640" s="131" t="str">
        <f>_xlfn.XLOOKUP(T625,RenewalPlans!B:B,RenewalPlans!AP:AP,"NA",0,1)</f>
        <v>NA</v>
      </c>
      <c r="U640" s="200"/>
      <c r="V640" s="200"/>
      <c r="W640" s="200"/>
      <c r="X640" s="130"/>
      <c r="Y640" s="200"/>
      <c r="Z640" s="201"/>
    </row>
    <row r="641" spans="1:26" ht="18" customHeight="1" hidden="1">
      <c r="A641" s="140"/>
      <c r="B641" s="140"/>
      <c r="D641" s="198" t="s">
        <v>263</v>
      </c>
      <c r="E641" s="130" t="str">
        <f>_xlfn.XLOOKUP(E625,CurrentPlans!B:B,CurrentPlans!AI:AI,"NA",0,1)</f>
        <v>NA</v>
      </c>
      <c r="F641" s="200"/>
      <c r="G641" s="200"/>
      <c r="H641" s="200"/>
      <c r="I641" s="130"/>
      <c r="J641" s="201"/>
      <c r="K641"/>
      <c r="L641" s="131" t="str">
        <f>_xlfn.XLOOKUP(L625,RenewalPlans!B:B,RenewalPlans!AL:AL,"NA",0,1)</f>
        <v>NA</v>
      </c>
      <c r="M641" s="200"/>
      <c r="N641" s="200"/>
      <c r="O641" s="200"/>
      <c r="P641" s="130"/>
      <c r="Q641" s="200"/>
      <c r="R641" s="201"/>
      <c r="T641" s="131" t="str">
        <f>_xlfn.XLOOKUP(T625,RenewalPlans!B:B,RenewalPlans!AL:AL,"NA",0,1)</f>
        <v>NA</v>
      </c>
      <c r="U641" s="200"/>
      <c r="V641" s="200"/>
      <c r="W641" s="200"/>
      <c r="X641" s="130"/>
      <c r="Y641" s="200"/>
      <c r="Z641" s="201"/>
    </row>
    <row r="642" spans="1:26" ht="18" customHeight="1" hidden="1">
      <c r="A642" s="140"/>
      <c r="B642" s="140"/>
      <c r="D642" s="198" t="s">
        <v>264</v>
      </c>
      <c r="E642" s="208" t="str">
        <f>_xlfn.XLOOKUP(E625,CurrentPlans!B:B,CurrentPlans!AN:AN,"NA",0,1)</f>
        <v>NA</v>
      </c>
      <c r="F642" s="200"/>
      <c r="G642" s="200"/>
      <c r="H642" s="200"/>
      <c r="I642" s="208"/>
      <c r="J642" s="201"/>
      <c r="K642"/>
      <c r="L642" s="209" t="str">
        <f>_xlfn.XLOOKUP(L625,RenewalPlans!B:B,RenewalPlans!AQ:AQ,"NA",0,1)</f>
        <v>NA</v>
      </c>
      <c r="M642" s="200"/>
      <c r="N642" s="200"/>
      <c r="O642" s="200"/>
      <c r="P642" s="208"/>
      <c r="Q642" s="200"/>
      <c r="R642" s="201"/>
      <c r="T642" s="209" t="str">
        <f>_xlfn.XLOOKUP(T625,RenewalPlans!B:B,RenewalPlans!AQ:AQ,"NA",0,1)</f>
        <v>NA</v>
      </c>
      <c r="U642" s="200"/>
      <c r="V642" s="200"/>
      <c r="W642" s="200"/>
      <c r="X642" s="208"/>
      <c r="Y642" s="200"/>
      <c r="Z642" s="201"/>
    </row>
    <row r="643" spans="1:26" ht="18" customHeight="1" hidden="1">
      <c r="A643" s="140"/>
      <c r="B643" s="140"/>
      <c r="D643" s="210"/>
      <c r="E643" s="211"/>
      <c r="F643" s="211"/>
      <c r="G643" s="211"/>
      <c r="H643" s="211"/>
      <c r="I643" s="211"/>
      <c r="J643" s="212"/>
      <c r="K643"/>
      <c r="L643" s="210"/>
      <c r="M643" s="211"/>
      <c r="N643" s="211"/>
      <c r="O643" s="211"/>
      <c r="P643" s="211"/>
      <c r="Q643" s="211"/>
      <c r="R643" s="212"/>
      <c r="T643" s="210"/>
      <c r="U643" s="211"/>
      <c r="V643" s="211"/>
      <c r="W643" s="211"/>
      <c r="X643" s="211"/>
      <c r="Y643" s="211"/>
      <c r="Z643" s="212"/>
    </row>
    <row r="644" spans="1:26" ht="18" customHeight="1" hidden="1">
      <c r="A644" s="140"/>
      <c r="B644" s="140"/>
      <c r="D644" s="185" t="s">
        <v>265</v>
      </c>
      <c r="E644" s="186"/>
      <c r="F644" s="186"/>
      <c r="G644" s="186"/>
      <c r="H644" s="186"/>
      <c r="I644" s="186"/>
      <c r="J644" s="187"/>
      <c r="K644"/>
      <c r="L644" s="188"/>
      <c r="M644" s="186"/>
      <c r="N644" s="186"/>
      <c r="O644" s="186"/>
      <c r="P644" s="186"/>
      <c r="Q644" s="186"/>
      <c r="R644" s="187"/>
      <c r="T644" s="188"/>
      <c r="U644" s="186"/>
      <c r="V644" s="186"/>
      <c r="W644" s="186"/>
      <c r="X644" s="186"/>
      <c r="Y644" s="186"/>
      <c r="Z644" s="187"/>
    </row>
    <row r="645" spans="1:26" ht="18" customHeight="1" hidden="1">
      <c r="A645" s="140"/>
      <c r="B645" s="140"/>
      <c r="D645" s="132" t="s">
        <v>266</v>
      </c>
      <c r="E645" s="133" t="str">
        <f>_xlfn.XLOOKUP(E625,CurrentPlans!B:B,CurrentPlans!AE:AE,"NA",0,1)</f>
        <v>NA</v>
      </c>
      <c r="F645" s="134"/>
      <c r="G645" s="134"/>
      <c r="H645" s="134"/>
      <c r="I645" s="133"/>
      <c r="J645" s="135"/>
      <c r="K645"/>
      <c r="L645" s="136" t="str">
        <f>_xlfn.XLOOKUP(L625,RenewalPlans!B:B,RenewalPlans!AH:AH,"NA",0,1)</f>
        <v>NA</v>
      </c>
      <c r="M645" s="134"/>
      <c r="N645" s="134"/>
      <c r="O645" s="134"/>
      <c r="P645" s="133"/>
      <c r="Q645" s="134"/>
      <c r="R645" s="135"/>
      <c r="T645" s="136" t="str">
        <f>_xlfn.XLOOKUP(T625,RenewalPlans!B:B,RenewalPlans!AH:AH,"NA",0,1)</f>
        <v>NA</v>
      </c>
      <c r="U645" s="134"/>
      <c r="V645" s="134"/>
      <c r="W645" s="134"/>
      <c r="X645" s="133"/>
      <c r="Y645" s="134"/>
      <c r="Z645" s="135"/>
    </row>
    <row r="646" spans="1:26" ht="18" customHeight="1" hidden="1">
      <c r="A646" s="140"/>
      <c r="B646" s="140"/>
      <c r="D646" s="120" t="s">
        <v>267</v>
      </c>
      <c r="E646" s="130" t="str">
        <f>_xlfn.XLOOKUP(E625,CurrentPlans!B:B,CurrentPlans!AF:AF,"NA",0,1)</f>
        <v>NA</v>
      </c>
      <c r="F646" s="122"/>
      <c r="G646" s="122"/>
      <c r="H646" s="122"/>
      <c r="I646" s="130"/>
      <c r="J646" s="123"/>
      <c r="K646"/>
      <c r="L646" s="131" t="str">
        <f>_xlfn.XLOOKUP(L625,RenewalPlans!B:B,RenewalPlans!AI:AI,"NA",0,1)</f>
        <v>NA</v>
      </c>
      <c r="M646" s="122"/>
      <c r="N646" s="122"/>
      <c r="O646" s="122"/>
      <c r="P646" s="130"/>
      <c r="Q646" s="122"/>
      <c r="R646" s="123"/>
      <c r="T646" s="131" t="str">
        <f>_xlfn.XLOOKUP(T625,RenewalPlans!B:B,RenewalPlans!AI:AI,"NA",0,1)</f>
        <v>NA</v>
      </c>
      <c r="U646" s="122"/>
      <c r="V646" s="122"/>
      <c r="W646" s="122"/>
      <c r="X646" s="130"/>
      <c r="Y646" s="122"/>
      <c r="Z646" s="123"/>
    </row>
    <row r="647" spans="1:26" ht="18" customHeight="1" hidden="1">
      <c r="A647" s="140"/>
      <c r="B647" s="140"/>
      <c r="D647" s="198" t="s">
        <v>268</v>
      </c>
      <c r="E647" s="130" t="str">
        <f>_xlfn.XLOOKUP(E625,CurrentPlans!B:B,CurrentPlans!AH:AH,"NA",0,1)</f>
        <v>NA</v>
      </c>
      <c r="F647" s="200"/>
      <c r="G647" s="200"/>
      <c r="H647" s="200"/>
      <c r="I647" s="130"/>
      <c r="J647" s="201"/>
      <c r="K647"/>
      <c r="L647" s="131" t="str">
        <f>_xlfn.XLOOKUP(L625,RenewalPlans!B:B,RenewalPlans!AK:AK,"NA",0,1)</f>
        <v>NA</v>
      </c>
      <c r="M647" s="200"/>
      <c r="N647" s="200"/>
      <c r="O647" s="200"/>
      <c r="P647" s="130"/>
      <c r="Q647" s="200"/>
      <c r="R647" s="201"/>
      <c r="T647" s="131" t="str">
        <f>_xlfn.XLOOKUP(T625,RenewalPlans!B:B,RenewalPlans!AK:AK,"NA",0,1)</f>
        <v>NA</v>
      </c>
      <c r="U647" s="200"/>
      <c r="V647" s="200"/>
      <c r="W647" s="200"/>
      <c r="X647" s="130"/>
      <c r="Y647" s="200"/>
      <c r="Z647" s="201"/>
    </row>
    <row r="648" spans="1:26" ht="18" customHeight="1" hidden="1">
      <c r="A648" s="140"/>
      <c r="B648" s="140"/>
      <c r="D648" s="198" t="s">
        <v>269</v>
      </c>
      <c r="E648" s="130" t="str">
        <f>_xlfn.XLOOKUP(E625,CurrentPlans!B:B,CurrentPlans!AG:AG,"NA",0,1)</f>
        <v>NA</v>
      </c>
      <c r="F648" s="200"/>
      <c r="G648" s="200"/>
      <c r="H648" s="200"/>
      <c r="I648" s="130"/>
      <c r="J648" s="201"/>
      <c r="K648"/>
      <c r="L648" s="131" t="str">
        <f>_xlfn.XLOOKUP(L625,RenewalPlans!B:B,RenewalPlans!AJ:AJ,"NA",0,1)</f>
        <v>NA</v>
      </c>
      <c r="M648" s="200"/>
      <c r="N648" s="200"/>
      <c r="O648" s="200"/>
      <c r="P648" s="130"/>
      <c r="Q648" s="200"/>
      <c r="R648" s="201"/>
      <c r="T648" s="131" t="str">
        <f>_xlfn.XLOOKUP(T625,RenewalPlans!B:B,RenewalPlans!AJ:AJ,"NA",0,1)</f>
        <v>NA</v>
      </c>
      <c r="U648" s="200"/>
      <c r="V648" s="200"/>
      <c r="W648" s="200"/>
      <c r="X648" s="130"/>
      <c r="Y648" s="200"/>
      <c r="Z648" s="201"/>
    </row>
    <row r="649" spans="1:26" ht="18" customHeight="1" hidden="1">
      <c r="A649" s="140"/>
      <c r="B649" s="140"/>
      <c r="D649" s="213" t="s">
        <v>270</v>
      </c>
      <c r="E649" s="216" t="str">
        <f>_xlfn.XLOOKUP(E625,CurrentPlans!B:B,CurrentPlans!AU:AU,"NA",0,1)</f>
        <v>NA</v>
      </c>
      <c r="F649" s="214"/>
      <c r="G649" s="214"/>
      <c r="H649" s="214"/>
      <c r="I649" s="217"/>
      <c r="J649" s="215"/>
      <c r="K649"/>
      <c r="L649" s="218" t="str">
        <f>_xlfn.XLOOKUP(L625,RenewalPlans!B:B,RenewalPlans!AX:AX,"NA",0,1)</f>
        <v>NA</v>
      </c>
      <c r="M649" s="214"/>
      <c r="N649" s="214"/>
      <c r="O649" s="214"/>
      <c r="P649" s="217"/>
      <c r="Q649" s="214"/>
      <c r="R649" s="215"/>
      <c r="T649" s="218" t="str">
        <f>_xlfn.XLOOKUP(T625,RenewalPlans!B:B,RenewalPlans!AX:AX,"NA",0,1)</f>
        <v>NA</v>
      </c>
      <c r="U649" s="214"/>
      <c r="V649" s="214"/>
      <c r="W649" s="214"/>
      <c r="X649" s="217"/>
      <c r="Y649" s="214"/>
      <c r="Z649" s="215"/>
    </row>
    <row r="650" spans="1:26" ht="18" customHeight="1" hidden="1">
      <c r="A650" s="140"/>
      <c r="B650" s="140"/>
      <c r="D650" s="213" t="s">
        <v>271</v>
      </c>
      <c r="E650" s="216" t="str">
        <f>_xlfn.XLOOKUP(E625,CurrentPlans!B:B,CurrentPlans!AT:AT,"NA",0,1)</f>
        <v>NA</v>
      </c>
      <c r="F650" s="214"/>
      <c r="G650" s="214"/>
      <c r="H650" s="214"/>
      <c r="I650" s="217"/>
      <c r="J650" s="215"/>
      <c r="K650"/>
      <c r="L650" s="218" t="str">
        <f>_xlfn.XLOOKUP(L625,RenewalPlans!B:B,RenewalPlans!AW:AW,"NA",0,1)</f>
        <v>NA</v>
      </c>
      <c r="M650" s="214"/>
      <c r="N650" s="214"/>
      <c r="O650" s="214"/>
      <c r="P650" s="217"/>
      <c r="Q650" s="214"/>
      <c r="R650" s="215"/>
      <c r="T650" s="218" t="str">
        <f>_xlfn.XLOOKUP(T625,RenewalPlans!B:B,RenewalPlans!AW:AW,"NA",0,1)</f>
        <v>NA</v>
      </c>
      <c r="U650" s="214"/>
      <c r="V650" s="214"/>
      <c r="W650" s="214"/>
      <c r="X650" s="217"/>
      <c r="Y650" s="214"/>
      <c r="Z650" s="215"/>
    </row>
    <row r="651" spans="1:26" ht="18" customHeight="1" hidden="1">
      <c r="A651" s="140"/>
      <c r="B651" s="140"/>
      <c r="D651" s="198" t="s">
        <v>272</v>
      </c>
      <c r="E651" s="130" t="str">
        <f>_xlfn.XLOOKUP(E625,CurrentPlans!B:B,CurrentPlans!AD:AD,"NA",0,1)</f>
        <v>NA</v>
      </c>
      <c r="F651" s="200"/>
      <c r="G651" s="200"/>
      <c r="H651" s="200"/>
      <c r="I651" s="130"/>
      <c r="J651" s="201"/>
      <c r="K651"/>
      <c r="L651" s="131" t="str">
        <f>_xlfn.XLOOKUP(L625,RenewalPlans!B:B,RenewalPlans!AG:AG,"NA",0,1)</f>
        <v>NA</v>
      </c>
      <c r="M651" s="200"/>
      <c r="N651" s="200"/>
      <c r="O651" s="200"/>
      <c r="P651" s="130"/>
      <c r="Q651" s="200"/>
      <c r="R651" s="201"/>
      <c r="T651" s="131" t="str">
        <f>_xlfn.XLOOKUP(T625,RenewalPlans!B:B,RenewalPlans!AG:AG,"NA",0,1)</f>
        <v>NA</v>
      </c>
      <c r="U651" s="200"/>
      <c r="V651" s="200"/>
      <c r="W651" s="200"/>
      <c r="X651" s="130"/>
      <c r="Y651" s="200"/>
      <c r="Z651" s="201"/>
    </row>
    <row r="652" spans="1:26" ht="18" customHeight="1" hidden="1">
      <c r="A652" s="140"/>
      <c r="B652" s="140"/>
      <c r="D652" s="198" t="s">
        <v>273</v>
      </c>
      <c r="E652" s="200"/>
      <c r="F652" s="200"/>
      <c r="G652" s="200"/>
      <c r="H652" s="200"/>
      <c r="I652" s="200"/>
      <c r="J652" s="201"/>
      <c r="K652"/>
      <c r="L652" s="198"/>
      <c r="M652" s="200"/>
      <c r="N652" s="200"/>
      <c r="O652" s="200"/>
      <c r="P652" s="200"/>
      <c r="Q652" s="200"/>
      <c r="R652" s="201"/>
      <c r="T652" s="198"/>
      <c r="U652" s="200"/>
      <c r="V652" s="200"/>
      <c r="W652" s="200"/>
      <c r="X652" s="200"/>
      <c r="Y652" s="200"/>
      <c r="Z652" s="201"/>
    </row>
    <row r="653" spans="1:26" ht="18" customHeight="1" hidden="1">
      <c r="A653" s="140"/>
      <c r="B653" s="140"/>
      <c r="D653" s="210"/>
      <c r="E653" s="211"/>
      <c r="F653" s="211"/>
      <c r="G653" s="211"/>
      <c r="H653" s="211"/>
      <c r="I653" s="211"/>
      <c r="J653" s="212"/>
      <c r="K653"/>
      <c r="L653" s="210"/>
      <c r="M653" s="211"/>
      <c r="N653" s="211"/>
      <c r="O653" s="211"/>
      <c r="P653" s="211"/>
      <c r="Q653" s="211"/>
      <c r="R653" s="212"/>
      <c r="T653" s="210"/>
      <c r="U653" s="211"/>
      <c r="V653" s="211"/>
      <c r="W653" s="211"/>
      <c r="X653" s="211"/>
      <c r="Y653" s="211"/>
      <c r="Z653" s="212"/>
    </row>
    <row r="654" spans="1:26" ht="18" customHeight="1" hidden="1">
      <c r="A654" s="140"/>
      <c r="B654" s="140"/>
      <c r="D654" s="219" t="s">
        <v>274</v>
      </c>
      <c r="E654" s="220"/>
      <c r="F654" s="220"/>
      <c r="G654" s="220"/>
      <c r="H654" s="220"/>
      <c r="I654" s="220"/>
      <c r="J654" s="221"/>
      <c r="K654"/>
      <c r="L654" s="222"/>
      <c r="M654" s="220"/>
      <c r="N654" s="220"/>
      <c r="O654" s="220"/>
      <c r="P654" s="220"/>
      <c r="Q654" s="220"/>
      <c r="R654" s="221"/>
      <c r="T654" s="222"/>
      <c r="U654" s="220"/>
      <c r="V654" s="220"/>
      <c r="W654" s="220"/>
      <c r="X654" s="220"/>
      <c r="Y654" s="220"/>
      <c r="Z654" s="221"/>
    </row>
    <row r="655" spans="1:26" ht="18" customHeight="1" hidden="1">
      <c r="A655" s="140"/>
      <c r="B655" s="140"/>
      <c r="D655" s="223" t="s">
        <v>250</v>
      </c>
      <c r="E655" s="205"/>
      <c r="F655" s="205"/>
      <c r="G655" s="205"/>
      <c r="H655" s="205"/>
      <c r="I655" s="205"/>
      <c r="J655" s="206"/>
      <c r="K655"/>
      <c r="L655" s="203"/>
      <c r="M655" s="205"/>
      <c r="N655" s="205"/>
      <c r="O655" s="205"/>
      <c r="P655" s="205"/>
      <c r="Q655" s="205"/>
      <c r="R655" s="206"/>
      <c r="T655" s="203"/>
      <c r="U655" s="205"/>
      <c r="V655" s="205"/>
      <c r="W655" s="205"/>
      <c r="X655" s="205"/>
      <c r="Y655" s="205"/>
      <c r="Z655" s="206"/>
    </row>
    <row r="656" spans="1:26" ht="18" customHeight="1" hidden="1">
      <c r="A656" s="140"/>
      <c r="B656" s="140"/>
      <c r="D656" s="198" t="s">
        <v>251</v>
      </c>
      <c r="E656" s="130" t="str">
        <f>_xlfn.XLOOKUP(E625,CurrentPlans!B:B,CurrentPlans!AP:AP,"NA",0,1)</f>
        <v>NA</v>
      </c>
      <c r="F656" s="200"/>
      <c r="G656" s="200"/>
      <c r="H656" s="200"/>
      <c r="I656" s="130"/>
      <c r="J656" s="201"/>
      <c r="K656"/>
      <c r="L656" s="131" t="str">
        <f>_xlfn.XLOOKUP(L625,RenewalPlans!B:B,RenewalPlans!AS:AS,"NA",0,1)</f>
        <v>NA</v>
      </c>
      <c r="M656" s="200"/>
      <c r="N656" s="200"/>
      <c r="O656" s="200"/>
      <c r="P656" s="130"/>
      <c r="Q656" s="200"/>
      <c r="R656" s="201"/>
      <c r="T656" s="131" t="str">
        <f>_xlfn.XLOOKUP(T625,RenewalPlans!B:B,RenewalPlans!AS:AS,"NA",0,1)</f>
        <v>NA</v>
      </c>
      <c r="U656" s="200"/>
      <c r="V656" s="200"/>
      <c r="W656" s="200"/>
      <c r="X656" s="130"/>
      <c r="Y656" s="200"/>
      <c r="Z656" s="201"/>
    </row>
    <row r="657" spans="1:26" ht="18" customHeight="1" hidden="1">
      <c r="A657" s="140"/>
      <c r="B657" s="140"/>
      <c r="D657" s="198" t="s">
        <v>252</v>
      </c>
      <c r="E657" s="130" t="str">
        <f>_xlfn.XLOOKUP(E625,CurrentPlans!B:B,CurrentPlans!AQ:AQ,"NA",0,1)</f>
        <v>NA</v>
      </c>
      <c r="F657" s="200"/>
      <c r="G657" s="200"/>
      <c r="H657" s="200"/>
      <c r="I657" s="130"/>
      <c r="J657" s="201"/>
      <c r="K657"/>
      <c r="L657" s="131" t="str">
        <f>_xlfn.XLOOKUP(L625,RenewalPlans!B:B,RenewalPlans!AT:AT,"NA",0,1)</f>
        <v>NA</v>
      </c>
      <c r="M657" s="200"/>
      <c r="N657" s="200"/>
      <c r="O657" s="200"/>
      <c r="P657" s="130"/>
      <c r="Q657" s="200"/>
      <c r="R657" s="201"/>
      <c r="T657" s="131" t="str">
        <f>_xlfn.XLOOKUP(T625,RenewalPlans!B:B,RenewalPlans!AT:AT,"NA",0,1)</f>
        <v>NA</v>
      </c>
      <c r="U657" s="200"/>
      <c r="V657" s="200"/>
      <c r="W657" s="200"/>
      <c r="X657" s="130"/>
      <c r="Y657" s="200"/>
      <c r="Z657" s="201"/>
    </row>
    <row r="658" spans="1:26" ht="18" customHeight="1" hidden="1">
      <c r="A658" s="140"/>
      <c r="B658" s="140"/>
      <c r="D658" s="120" t="s">
        <v>253</v>
      </c>
      <c r="E658" s="133" t="str">
        <f>_xlfn.XLOOKUP(E625,CurrentPlans!B:B,CurrentPlans!AO:AO,"NA",0,1)</f>
        <v>NA</v>
      </c>
      <c r="F658" s="122"/>
      <c r="G658" s="122"/>
      <c r="H658" s="122"/>
      <c r="I658" s="133"/>
      <c r="J658" s="123"/>
      <c r="K658"/>
      <c r="L658" s="136" t="str">
        <f>_xlfn.XLOOKUP(L625,RenewalPlans!B:B,RenewalPlans!AR:AR,"NA",0,1)</f>
        <v>NA</v>
      </c>
      <c r="M658" s="122"/>
      <c r="N658" s="122"/>
      <c r="O658" s="122"/>
      <c r="P658" s="133"/>
      <c r="Q658" s="122"/>
      <c r="R658" s="123"/>
      <c r="T658" s="136" t="str">
        <f>_xlfn.XLOOKUP(T625,RenewalPlans!B:B,RenewalPlans!AR:AR,"NA",0,1)</f>
        <v>NA</v>
      </c>
      <c r="U658" s="122"/>
      <c r="V658" s="122"/>
      <c r="W658" s="122"/>
      <c r="X658" s="133"/>
      <c r="Y658" s="122"/>
      <c r="Z658" s="123"/>
    </row>
    <row r="659" spans="1:26" ht="18" customHeight="1" hidden="1">
      <c r="A659" s="140"/>
      <c r="B659" s="140"/>
      <c r="D659" s="223" t="s">
        <v>254</v>
      </c>
      <c r="E659" s="205"/>
      <c r="F659" s="205"/>
      <c r="G659" s="205"/>
      <c r="H659" s="205"/>
      <c r="I659" s="205"/>
      <c r="J659" s="206"/>
      <c r="K659"/>
      <c r="L659" s="203"/>
      <c r="M659" s="205"/>
      <c r="N659" s="205"/>
      <c r="O659" s="205"/>
      <c r="P659" s="205"/>
      <c r="Q659" s="205"/>
      <c r="R659" s="206"/>
      <c r="T659" s="203"/>
      <c r="U659" s="205"/>
      <c r="V659" s="205"/>
      <c r="W659" s="205"/>
      <c r="X659" s="205"/>
      <c r="Y659" s="205"/>
      <c r="Z659" s="206"/>
    </row>
    <row r="660" spans="1:26" ht="18" customHeight="1" hidden="1">
      <c r="A660" s="140"/>
      <c r="B660" s="140"/>
      <c r="D660" s="198" t="s">
        <v>255</v>
      </c>
      <c r="E660" s="130" t="str">
        <f>_xlfn.XLOOKUP(E625,CurrentPlans!B:B,CurrentPlans!AR:AR,"NA",0,1)</f>
        <v>NA</v>
      </c>
      <c r="F660" s="200"/>
      <c r="G660" s="200"/>
      <c r="H660" s="200"/>
      <c r="I660" s="130"/>
      <c r="J660" s="201"/>
      <c r="K660"/>
      <c r="L660" s="131" t="str">
        <f>_xlfn.XLOOKUP(L625,RenewalPlans!B:B,RenewalPlans!AU:AU,"NA",0,1)</f>
        <v>NA</v>
      </c>
      <c r="M660" s="200"/>
      <c r="N660" s="200"/>
      <c r="O660" s="200"/>
      <c r="P660" s="130"/>
      <c r="Q660" s="200"/>
      <c r="R660" s="201"/>
      <c r="T660" s="131" t="str">
        <f>_xlfn.XLOOKUP(T625,RenewalPlans!B:B,RenewalPlans!AU:AU,"NA",0,1)</f>
        <v>NA</v>
      </c>
      <c r="U660" s="200"/>
      <c r="V660" s="200"/>
      <c r="W660" s="200"/>
      <c r="X660" s="130"/>
      <c r="Y660" s="200"/>
      <c r="Z660" s="201"/>
    </row>
    <row r="661" spans="1:26" ht="18" customHeight="1" hidden="1" thickBot="1">
      <c r="A661" s="140"/>
      <c r="B661" s="140"/>
      <c r="D661" s="224" t="s">
        <v>256</v>
      </c>
      <c r="E661" s="137" t="str">
        <f>_xlfn.XLOOKUP(E625,CurrentPlans!B:B,CurrentPlans!AS:AS,"NA",0,1)</f>
        <v>NA</v>
      </c>
      <c r="F661" s="225"/>
      <c r="G661" s="225"/>
      <c r="H661" s="225"/>
      <c r="I661" s="137"/>
      <c r="J661" s="226"/>
      <c r="K661"/>
      <c r="L661" s="138" t="str">
        <f>_xlfn.XLOOKUP(L625,RenewalPlans!B:B,RenewalPlans!AV:AV,"NA",0,1)</f>
        <v>NA</v>
      </c>
      <c r="M661" s="225"/>
      <c r="N661" s="225"/>
      <c r="O661" s="225"/>
      <c r="P661" s="137"/>
      <c r="Q661" s="225"/>
      <c r="R661" s="226"/>
      <c r="T661" s="138" t="str">
        <f>_xlfn.XLOOKUP(T625,RenewalPlans!B:B,RenewalPlans!AV:AV,"NA",0,1)</f>
        <v>NA</v>
      </c>
      <c r="U661" s="225"/>
      <c r="V661" s="225"/>
      <c r="W661" s="225"/>
      <c r="X661" s="137"/>
      <c r="Y661" s="225"/>
      <c r="Z661" s="226"/>
    </row>
    <row r="662" spans="1:27" ht="18" customHeight="1">
      <c r="A662" s="140"/>
      <c r="B662" s="140"/>
      <c r="D662" s="227"/>
      <c r="E662" s="176"/>
      <c r="F662" s="178"/>
      <c r="G662" s="179"/>
      <c r="H662" s="178"/>
      <c r="I662" s="176"/>
      <c r="J662" s="228"/>
      <c r="K662"/>
      <c r="L662" s="178"/>
      <c r="M662" s="176"/>
      <c r="N662" s="139"/>
      <c r="O662" s="178"/>
      <c r="P662" s="178"/>
      <c r="Q662" s="178"/>
      <c r="R662" s="228"/>
      <c r="T662" s="178"/>
      <c r="U662" s="176"/>
      <c r="V662" s="139"/>
      <c r="W662" s="178"/>
      <c r="X662" s="178"/>
      <c r="Y662" s="178"/>
      <c r="Z662" s="228"/>
      <c r="AA662"/>
    </row>
    <row r="663" spans="1:140" s="162" customFormat="1" ht="5.25" customHeight="1" thickBot="1">
      <c r="A663" s="140"/>
      <c r="B663" s="140"/>
      <c r="C663" s="141"/>
      <c r="D663" s="229"/>
      <c r="E663" s="229"/>
      <c r="F663" s="230"/>
      <c r="G663" s="231"/>
      <c r="H663" s="232"/>
      <c r="I663" s="233"/>
      <c r="J663" s="233"/>
      <c r="K663"/>
      <c r="L663" s="233"/>
      <c r="M663" s="233"/>
      <c r="N663" s="233"/>
      <c r="O663" s="233"/>
      <c r="P663" s="233"/>
      <c r="Q663" s="233"/>
      <c r="R663" s="233"/>
      <c r="S663" s="1"/>
      <c r="T663" s="233"/>
      <c r="U663" s="233"/>
      <c r="V663" s="233"/>
      <c r="W663" s="233"/>
      <c r="X663" s="233"/>
      <c r="Y663" s="233"/>
      <c r="Z663" s="23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row>
    <row r="664" spans="1:27" ht="38.25" customHeight="1" thickTop="1" thickBot="1">
      <c r="A664" s="153"/>
      <c r="B664" s="153"/>
      <c r="C664" s="234"/>
      <c r="D664" s="484" t="s">
        <v>288</v>
      </c>
      <c r="E664" s="485"/>
      <c r="F664" s="485"/>
      <c r="G664" s="485"/>
      <c r="H664" s="485"/>
      <c r="I664" s="485"/>
      <c r="J664" s="485"/>
      <c r="K664" s="485"/>
      <c r="L664" s="485"/>
      <c r="M664" s="485"/>
      <c r="N664" s="485"/>
      <c r="O664" s="485"/>
      <c r="P664" s="485"/>
      <c r="Q664" s="485"/>
      <c r="R664" s="486"/>
      <c r="S664" s="162"/>
      <c r="T664" s="235"/>
      <c r="U664" s="236"/>
      <c r="V664" s="236"/>
      <c r="W664" s="236"/>
      <c r="X664" s="236"/>
      <c r="Y664" s="236"/>
      <c r="Z664" s="236"/>
      <c r="AA664"/>
    </row>
    <row r="665" spans="1:27" ht="50.15" customHeight="1">
      <c r="A665" s="140">
        <v>1</v>
      </c>
      <c r="B665" s="140" t="str">
        <f>IF(A665&gt;Class6_CurrentDentalCount,"DELETE",Class6_CurrentDentalStart+A665)</f>
        <v>DELETE</v>
      </c>
      <c r="C665" s="164" t="s">
        <v>289</v>
      </c>
      <c r="D665" s="273" t="str">
        <f>IF(B665="Delete","",VLOOKUP(F665,BEGIN_CURRENT_DENTAL:END_CURRENT_DENTAL,3,FALSE))</f>
        <v/>
      </c>
      <c r="E665" s="165"/>
      <c r="F665" s="272" t="str" cm="1">
        <f t="array" ca="1" aca="1" ref="F665">IF(B665="Delete","",INDIRECT("CurrentPlans!A"&amp;B665,TRUE))</f>
        <v/>
      </c>
      <c r="G665" s="166"/>
      <c r="H665" s="167"/>
      <c r="I665" s="168"/>
      <c r="J665" s="169"/>
      <c r="K665"/>
      <c r="L665" s="274" t="str">
        <f ca="1">_xlfn.IFNA(VLOOKUP(F665,BEGIN_RENEWEDFROM_DENTAL:ROW_RenewDental_PlanID,3,FALSE),"SELECT PLAN")</f>
        <v>SELECT PLAN</v>
      </c>
      <c r="M665" s="170"/>
      <c r="N665" s="274" t="s">
        <v>237</v>
      </c>
      <c r="O665" s="171"/>
      <c r="P665" s="171"/>
      <c r="Q665" s="171"/>
      <c r="R665" s="169"/>
      <c r="T665" s="274" t="s">
        <v>38</v>
      </c>
      <c r="U665" s="170"/>
      <c r="V665" s="274" t="s">
        <v>237</v>
      </c>
      <c r="W665" s="171"/>
      <c r="X665" s="171"/>
      <c r="Y665" s="171"/>
      <c r="Z665" s="169"/>
      <c r="AA665"/>
    </row>
    <row r="666" spans="1:26" ht="18.75" customHeight="1">
      <c r="A666" s="140"/>
      <c r="B666" s="140"/>
      <c r="D666" s="172" t="s">
        <v>238</v>
      </c>
      <c r="E666" s="407" t="str">
        <f ca="1">_xlfn.IFNA(VLOOKUP(F665,BEGIN_CURRENT_DENTAL:END_CURRENT_DENTAL,CURRENT_COL_EO_count,FALSE),"")</f>
        <v/>
      </c>
      <c r="F666" s="408" t="str">
        <f ca="1">_xlfn.IFNA(VLOOKUP(F665,BEGIN_CURRENT_DENTAL:END_CURRENT_DENTAL,CURRENT_COL_EO,FALSE),"")</f>
        <v/>
      </c>
      <c r="G666" s="468" t="str">
        <f ca="1" t="shared" si="62" ref="G666:G669">IF(F666="","",H666/F666)</f>
        <v/>
      </c>
      <c r="H666" s="408" t="str">
        <f ca="1">_xlfn.IFNA(VLOOKUP(F665,BEGIN_CURRENT_DENTAL:END_CURRENT_DENTAL,CURRENT_COL_EOContrib,FALSE),"")</f>
        <v/>
      </c>
      <c r="I666" s="409" t="str">
        <f ca="1">IFERROR(F666-H666,"")</f>
        <v/>
      </c>
      <c r="J666" s="410" t="str">
        <f ca="1">IF(F666="","",H666*E666)</f>
        <v/>
      </c>
      <c r="K666" s="411"/>
      <c r="L666" s="408" t="str" cm="1">
        <f t="array" ca="1" aca="1" ref="L666">_xlfn.IFNA(VLOOKUP(INDIRECT("L"&amp;ROW()-1)&amp;"_"&amp;$D$12,BEGIN_Renew_Dental:END_RENEW_DENTAL,RENEW_COL_EO,FALSE),"")</f>
        <v/>
      </c>
      <c r="M666" s="412" t="str">
        <f ca="1">IF(E666="","",E666)</f>
        <v/>
      </c>
      <c r="N666" s="413"/>
      <c r="O666" s="414"/>
      <c r="P666" s="415" t="str">
        <f>IFERROR(IF($N665="Keep Contribution Same",H666,IF($N665="Enter Percentages",IF(N666="","",N666*L666),IF($N665="Keep Percentage Same",IF(G666="","",G666*L666),IF($N665="Enter Dollar Amount",IF(O666="","",O666),"")))),"")</f>
        <v/>
      </c>
      <c r="Q666" s="408" t="str">
        <f ca="1">IFERROR(L666-P666,"")</f>
        <v/>
      </c>
      <c r="R666" s="410" t="str">
        <f>IFERROR(IF(P666="","",M666*P666),"")</f>
        <v/>
      </c>
      <c r="S666" s="411"/>
      <c r="T666" s="408" t="str" cm="1">
        <f t="array" ca="1" aca="1" ref="T666">_xlfn.IFNA(VLOOKUP(INDIRECT("T"&amp;ROW()-1)&amp;"_"&amp;$D$12,BEGIN_Renew_Dental:END_RENEW_DENTAL,RENEW_COL_EO,FALSE),"")</f>
        <v/>
      </c>
      <c r="U666" s="412" t="str">
        <f ca="1">IF(E666="","",E666)</f>
        <v/>
      </c>
      <c r="V666" s="413"/>
      <c r="W666" s="414"/>
      <c r="X666" s="415" t="str">
        <f>IFERROR(IF($V665="Keep Contribution Same",H666,IF($V665="Enter Percentages",IF(V666="","",V666*T666),IF($V665="Keep Percentage Same",IF(G666="","",G666*T666),IF($V665="Enter Dollar Amount",IF(W666="","",W666),"")))),"")</f>
        <v/>
      </c>
      <c r="Y666" s="408" t="str">
        <f ca="1">IFERROR(T666-X666,"")</f>
        <v/>
      </c>
      <c r="Z666" s="410" t="str">
        <f>IFERROR(IF(X666="","",U666*X666),"")</f>
        <v/>
      </c>
    </row>
    <row r="667" spans="1:26" ht="18.75" customHeight="1">
      <c r="A667" s="140"/>
      <c r="B667" s="140"/>
      <c r="D667" s="172" t="s">
        <v>239</v>
      </c>
      <c r="E667" s="407" t="str">
        <f ca="1">_xlfn.IFNA(VLOOKUP(F665,BEGIN_CURRENT_DENTAL:END_CURRENT_DENTAL,CURRENT_COL_ES_count,FALSE),"")</f>
        <v/>
      </c>
      <c r="F667" s="408" t="str">
        <f ca="1">_xlfn.IFNA(VLOOKUP(F665,BEGIN_CURRENT_DENTAL:END_CURRENT_DENTAL,CURRENT_COL_ES,FALSE),"")</f>
        <v/>
      </c>
      <c r="G667" s="468" t="str">
        <f t="shared" ca="1" si="62"/>
        <v/>
      </c>
      <c r="H667" s="408" t="str">
        <f ca="1">_xlfn.IFNA(VLOOKUP(F665,BEGIN_CURRENT_DENTAL:END_CURRENT_DENTAL,CURRENT_COL_ESContrib,FALSE),"")</f>
        <v/>
      </c>
      <c r="I667" s="409" t="str">
        <f ca="1" t="shared" si="63" ref="I667:I669">IFERROR(F667-H667,"")</f>
        <v/>
      </c>
      <c r="J667" s="410" t="str">
        <f ca="1">IF(F667="","",H667*E667)</f>
        <v/>
      </c>
      <c r="K667" s="411"/>
      <c r="L667" s="408" t="str" cm="1">
        <f t="array" ca="1" aca="1" ref="L667">_xlfn.IFNA(VLOOKUP(INDIRECT("L"&amp;ROW()-2)&amp;"_"&amp;$D$12,BEGIN_Renew_Dental:END_RENEW_DENTAL,RENEW_COL_ES,FALSE),"")</f>
        <v/>
      </c>
      <c r="M667" s="412" t="str">
        <f ca="1">IF(E667="","",E667)</f>
        <v/>
      </c>
      <c r="N667" s="413"/>
      <c r="O667" s="414"/>
      <c r="P667" s="415" t="str">
        <f>IFERROR(IF($N665="Keep Contribution Same",H667,IF($N665="Enter Percentages",IF(N667="","",N667*L667),IF($N665="Keep Percentage Same",IF(G667="","",G667*L667),IF($N665="Enter Dollar Amount",IF(O667="","",O667),"")))),"")</f>
        <v/>
      </c>
      <c r="Q667" s="408" t="str">
        <f ca="1">IFERROR(L667-P667,"")</f>
        <v/>
      </c>
      <c r="R667" s="410" t="str">
        <f>IFERROR(IF(P667="","",M667*P667),"")</f>
        <v/>
      </c>
      <c r="S667" s="411"/>
      <c r="T667" s="408" t="str" cm="1">
        <f t="array" ca="1" aca="1" ref="T667">_xlfn.IFNA(VLOOKUP(INDIRECT("T"&amp;ROW()-2)&amp;"_"&amp;$D$12,BEGIN_Renew_Dental:END_RENEW_DENTAL,RENEW_COL_ES,FALSE),"")</f>
        <v/>
      </c>
      <c r="U667" s="412" t="str">
        <f ca="1" t="shared" si="64" ref="U667:U669">IF(E667="","",E667)</f>
        <v/>
      </c>
      <c r="V667" s="413"/>
      <c r="W667" s="414"/>
      <c r="X667" s="415" t="str">
        <f>IFERROR(IF($V665="Keep Contribution Same",H667,IF($V665="Enter Percentages",IF(V667="","",V667*T667),IF($V665="Keep Percentage Same",IF(G667="","",G667*T667),IF($V665="Enter Dollar Amount",IF(W667="","",W667),"")))),"")</f>
        <v/>
      </c>
      <c r="Y667" s="408" t="str">
        <f ca="1" t="shared" si="65" ref="Y667:Y669">IFERROR(T667-X667,"")</f>
        <v/>
      </c>
      <c r="Z667" s="410" t="str">
        <f t="shared" si="66" ref="Z667:Z669">IFERROR(IF(X667="","",U667*X667),"")</f>
        <v/>
      </c>
    </row>
    <row r="668" spans="1:26" ht="18.75" customHeight="1">
      <c r="A668" s="140"/>
      <c r="B668" s="140"/>
      <c r="D668" s="172" t="s">
        <v>240</v>
      </c>
      <c r="E668" s="407" t="str">
        <f ca="1">_xlfn.IFNA(VLOOKUP(F665,BEGIN_CURRENT_DENTAL:END_CURRENT_DENTAL,CURRENT_COL_EC_count,FALSE),"")</f>
        <v/>
      </c>
      <c r="F668" s="408" t="str">
        <f ca="1">_xlfn.IFNA(VLOOKUP(F665,BEGIN_CURRENT_DENTAL:END_CURRENT_DENTAL,CURRENT_COL_EC,FALSE),"")</f>
        <v/>
      </c>
      <c r="G668" s="468" t="str">
        <f t="shared" ca="1" si="62"/>
        <v/>
      </c>
      <c r="H668" s="408" t="str">
        <f ca="1">_xlfn.IFNA(VLOOKUP(F665,BEGIN_CURRENT_DENTAL:END_CURRENT_DENTAL,CURRENT_COL_ECContrib,FALSE),"")</f>
        <v/>
      </c>
      <c r="I668" s="409" t="str">
        <f t="shared" ca="1" si="63"/>
        <v/>
      </c>
      <c r="J668" s="410" t="str">
        <f ca="1">IF(F668="","",H668*E668)</f>
        <v/>
      </c>
      <c r="K668" s="411"/>
      <c r="L668" s="408" t="str" cm="1">
        <f t="array" ca="1" aca="1" ref="L668">_xlfn.IFNA(VLOOKUP(INDIRECT("L"&amp;ROW()-3)&amp;"_"&amp;$D$12,BEGIN_Renew_Dental:END_RENEW_DENTAL,RENEW_COL_EC,FALSE),"")</f>
        <v/>
      </c>
      <c r="M668" s="412" t="str">
        <f ca="1">IF(E668="","",E668)</f>
        <v/>
      </c>
      <c r="N668" s="413"/>
      <c r="O668" s="414"/>
      <c r="P668" s="415" t="str">
        <f>IFERROR(IF($N665="Keep Contribution Same",H668,IF($N665="Enter Percentages",IF(N668="","",N668*L668),IF($N665="Keep Percentage Same",IF(G668="","",G668*L668),IF($N665="Enter Dollar Amount",IF(O668="","",O668),"")))),"")</f>
        <v/>
      </c>
      <c r="Q668" s="408" t="str">
        <f ca="1">IFERROR(L668-P668,"")</f>
        <v/>
      </c>
      <c r="R668" s="410" t="str">
        <f>IFERROR(IF(P668="","",M668*P668),"")</f>
        <v/>
      </c>
      <c r="S668" s="411"/>
      <c r="T668" s="408" t="str" cm="1">
        <f t="array" ca="1" aca="1" ref="T668">_xlfn.IFNA(VLOOKUP(INDIRECT("T"&amp;ROW()-3)&amp;"_"&amp;$D$12,BEGIN_Renew_Dental:END_RENEW_DENTAL,RENEW_COL_EC,FALSE),"")</f>
        <v/>
      </c>
      <c r="U668" s="412" t="str">
        <f t="shared" ca="1" si="64"/>
        <v/>
      </c>
      <c r="V668" s="413"/>
      <c r="W668" s="414"/>
      <c r="X668" s="415" t="str">
        <f>IFERROR(IF($V665="Keep Contribution Same",H668,IF($V665="Enter Percentages",IF(V668="","",V668*T668),IF($V665="Keep Percentage Same",IF(G668="","",G668*T668),IF($V665="Enter Dollar Amount",IF(W668="","",W668),"")))),"")</f>
        <v/>
      </c>
      <c r="Y668" s="408" t="str">
        <f t="shared" ca="1" si="65"/>
        <v/>
      </c>
      <c r="Z668" s="410" t="str">
        <f t="shared" si="66"/>
        <v/>
      </c>
    </row>
    <row r="669" spans="1:26" ht="18.75" customHeight="1" thickBot="1">
      <c r="A669" s="140"/>
      <c r="B669" s="140"/>
      <c r="D669" s="174" t="s">
        <v>241</v>
      </c>
      <c r="E669" s="416" t="str">
        <f ca="1">_xlfn.IFNA(VLOOKUP(F665,BEGIN_CURRENT_DENTAL:END_CURRENT_DENTAL,CURRENT_COL_FAM_count,FALSE),"")</f>
        <v/>
      </c>
      <c r="F669" s="417" t="str">
        <f ca="1">_xlfn.IFNA(VLOOKUP(F665,BEGIN_CURRENT_DENTAL:END_CURRENT_DENTAL,CURRENT_COL_FAM,FALSE),"")</f>
        <v/>
      </c>
      <c r="G669" s="469" t="str">
        <f t="shared" ca="1" si="62"/>
        <v/>
      </c>
      <c r="H669" s="417" t="str">
        <f ca="1">_xlfn.IFNA(VLOOKUP(F665,BEGIN_CURRENT_DENTAL:END_CURRENT_DENTAL,CURRENT_COL_FAMContrib,FALSE),"")</f>
        <v/>
      </c>
      <c r="I669" s="418" t="str">
        <f t="shared" ca="1" si="63"/>
        <v/>
      </c>
      <c r="J669" s="419" t="str">
        <f ca="1">IF(F669="","",H669*E669)</f>
        <v/>
      </c>
      <c r="K669" s="411"/>
      <c r="L669" s="417" t="str" cm="1">
        <f t="array" ca="1" aca="1" ref="L669">_xlfn.IFNA(VLOOKUP(INDIRECT("L"&amp;ROW()-4)&amp;"_"&amp;$D$12,BEGIN_Renew_Dental:END_RENEW_DENTAL,RENEW_COL_FAM,FALSE),"")</f>
        <v/>
      </c>
      <c r="M669" s="423" t="str">
        <f ca="1">IF(E669="","",E669)</f>
        <v/>
      </c>
      <c r="N669" s="420"/>
      <c r="O669" s="421"/>
      <c r="P669" s="422" t="str">
        <f>IFERROR(IF($N665="Keep Contribution Same",H669,IF($N665="Enter Percentages",IF(N669="","",N669*L669),IF($N665="Keep Percentage Same",IF(G669="","",G669*L669),IF($N665="Enter Dollar Amount",IF(O669="","",O669),"")))),"")</f>
        <v/>
      </c>
      <c r="Q669" s="417" t="str">
        <f ca="1">IFERROR(L669-P669,"")</f>
        <v/>
      </c>
      <c r="R669" s="419" t="str">
        <f>IFERROR(IF(P669="","",M669*P669),"")</f>
        <v/>
      </c>
      <c r="S669" s="411"/>
      <c r="T669" s="417" t="str" cm="1">
        <f t="array" ca="1" aca="1" ref="T669">_xlfn.IFNA(VLOOKUP(INDIRECT("T"&amp;ROW()-4)&amp;"_"&amp;$D$12,BEGIN_Renew_Dental:END_RENEW_DENTAL,RENEW_COL_FAM,FALSE),"")</f>
        <v/>
      </c>
      <c r="U669" s="423" t="str">
        <f t="shared" ca="1" si="64"/>
        <v/>
      </c>
      <c r="V669" s="420"/>
      <c r="W669" s="421"/>
      <c r="X669" s="422" t="str">
        <f>IFERROR(IF($V665="Keep Contribution Same",H669,IF($V665="Enter Percentages",IF(V669="","",V669*T669),IF($V665="Keep Percentage Same",IF(G669="","",G669*T669),IF($V665="Enter Dollar Amount",IF(W669="","",W669),"")))),"")</f>
        <v/>
      </c>
      <c r="Y669" s="417" t="str">
        <f t="shared" ca="1" si="65"/>
        <v/>
      </c>
      <c r="Z669" s="419" t="str">
        <f t="shared" si="66"/>
        <v/>
      </c>
    </row>
    <row r="670" spans="1:26" ht="18.75" customHeight="1" thickTop="1">
      <c r="A670" s="140"/>
      <c r="B670" s="140"/>
      <c r="D670" s="175" t="s">
        <v>242</v>
      </c>
      <c r="E670" s="424"/>
      <c r="F670" s="427"/>
      <c r="G670" s="426"/>
      <c r="H670" s="427"/>
      <c r="I670" s="428"/>
      <c r="J670" s="429" t="str">
        <f ca="1">IFERROR(IF(J666="","",SUM(J666:J669)),0)</f>
        <v/>
      </c>
      <c r="K670" s="1"/>
      <c r="L670" s="424"/>
      <c r="M670" s="427"/>
      <c r="N670" s="426"/>
      <c r="O670" s="427"/>
      <c r="P670" s="431"/>
      <c r="Q670" s="432"/>
      <c r="R670" s="429" t="str">
        <f>IFERROR(IF(R666="","",SUM(R666:R669)),0)</f>
        <v/>
      </c>
      <c r="T670" s="424"/>
      <c r="U670" s="427"/>
      <c r="V670" s="426"/>
      <c r="W670" s="427"/>
      <c r="X670" s="431"/>
      <c r="Y670" s="432"/>
      <c r="Z670" s="429" t="str">
        <f>IFERROR(IF(Z666="","",SUM(Z666:Z669)),0)</f>
        <v/>
      </c>
    </row>
    <row r="671" spans="1:26" ht="18.75" customHeight="1">
      <c r="A671" s="140"/>
      <c r="B671" s="140"/>
      <c r="D671" s="177" t="s">
        <v>243</v>
      </c>
      <c r="E671" s="433"/>
      <c r="F671" s="436"/>
      <c r="G671" s="435"/>
      <c r="H671" s="436"/>
      <c r="I671" s="432"/>
      <c r="J671" s="437" t="str">
        <f ca="1">IF(J670="","",J670*12)</f>
        <v/>
      </c>
      <c r="K671" s="1"/>
      <c r="L671" s="433"/>
      <c r="M671" s="436"/>
      <c r="N671" s="435"/>
      <c r="O671" s="436"/>
      <c r="P671" s="432"/>
      <c r="Q671" s="432"/>
      <c r="R671" s="437" t="str">
        <f>IF(R670="","",R670*12)</f>
        <v/>
      </c>
      <c r="T671" s="433"/>
      <c r="U671" s="436"/>
      <c r="V671" s="435"/>
      <c r="W671" s="436"/>
      <c r="X671" s="432"/>
      <c r="Y671" s="432"/>
      <c r="Z671" s="437" t="str">
        <f>IF(Z670="","",Z670*12)</f>
        <v/>
      </c>
    </row>
    <row r="672" spans="1:26" ht="18.75" customHeight="1">
      <c r="A672" s="140"/>
      <c r="B672" s="140"/>
      <c r="D672" s="177" t="s">
        <v>244</v>
      </c>
      <c r="E672" s="433"/>
      <c r="F672" s="436"/>
      <c r="G672" s="435"/>
      <c r="H672" s="436"/>
      <c r="I672" s="432"/>
      <c r="J672" s="437"/>
      <c r="K672" s="1"/>
      <c r="L672" s="433"/>
      <c r="M672" s="436"/>
      <c r="N672" s="435"/>
      <c r="O672" s="436"/>
      <c r="P672" s="432"/>
      <c r="Q672" s="432"/>
      <c r="R672" s="437" t="str">
        <f ca="1">IFERROR(IF(J671="","",R671-J671),0)</f>
        <v/>
      </c>
      <c r="T672" s="433"/>
      <c r="U672" s="436"/>
      <c r="V672" s="435"/>
      <c r="W672" s="436"/>
      <c r="X672" s="432"/>
      <c r="Y672" s="432"/>
      <c r="Z672" s="437" t="str">
        <f>IFERROR(IF(R671="","",Z671-R671),0)</f>
        <v/>
      </c>
    </row>
    <row r="673" spans="1:26" ht="18" customHeight="1" thickBot="1">
      <c r="A673" s="140"/>
      <c r="B673" s="140"/>
      <c r="D673" s="180" t="s">
        <v>245</v>
      </c>
      <c r="E673" s="439"/>
      <c r="F673" s="440"/>
      <c r="G673" s="441"/>
      <c r="H673" s="440"/>
      <c r="I673" s="442"/>
      <c r="J673" s="437"/>
      <c r="K673" s="1"/>
      <c r="L673" s="439"/>
      <c r="M673" s="440"/>
      <c r="N673" s="441"/>
      <c r="O673" s="440"/>
      <c r="P673" s="445"/>
      <c r="Q673" s="445"/>
      <c r="R673" s="446" t="str">
        <f ca="1">IFERROR(IF(J671="","",(R671/J671)-1),0)</f>
        <v/>
      </c>
      <c r="T673" s="439"/>
      <c r="U673" s="440"/>
      <c r="V673" s="441"/>
      <c r="W673" s="440"/>
      <c r="X673" s="445"/>
      <c r="Y673" s="445"/>
      <c r="Z673" s="446" t="str">
        <f>IFERROR(IF(R671="","",(Z671/R671)-1),0)</f>
        <v/>
      </c>
    </row>
    <row r="674" spans="1:26" ht="5.25" customHeight="1" thickBot="1">
      <c r="A674" s="140"/>
      <c r="B674" s="140"/>
      <c r="D674" s="229"/>
      <c r="E674" s="454"/>
      <c r="F674" s="455"/>
      <c r="G674" s="456"/>
      <c r="H674" s="457"/>
      <c r="I674" s="458"/>
      <c r="J674" s="458"/>
      <c r="K674" s="1"/>
      <c r="L674" s="458"/>
      <c r="M674" s="458"/>
      <c r="N674" s="458"/>
      <c r="O674" s="458"/>
      <c r="P674" s="458"/>
      <c r="Q674" s="458"/>
      <c r="R674" s="458"/>
      <c r="T674" s="458"/>
      <c r="U674" s="458"/>
      <c r="V674" s="458"/>
      <c r="W674" s="458"/>
      <c r="X674" s="458"/>
      <c r="Y674" s="458"/>
      <c r="Z674" s="458"/>
    </row>
    <row r="675" spans="1:26" ht="50.15" customHeight="1">
      <c r="A675" s="140">
        <v>2</v>
      </c>
      <c r="B675" s="140" t="str">
        <f>IF(A675&gt;Class6_CurrentDentalCount,"DELETE",Class6_CurrentDentalStart+A675)</f>
        <v>DELETE</v>
      </c>
      <c r="C675" s="164" t="s">
        <v>290</v>
      </c>
      <c r="D675" s="273" t="str">
        <f>IF(B675="Delete","",VLOOKUP(F675,BEGIN_CURRENT_DENTAL:END_CURRENT_DENTAL,3,FALSE))</f>
        <v/>
      </c>
      <c r="E675" s="165"/>
      <c r="F675" s="272" t="str" cm="1">
        <f t="array" ca="1" aca="1" ref="F675">IF(B675="Delete","",INDIRECT("CurrentPlans!A"&amp;B675,TRUE))</f>
        <v/>
      </c>
      <c r="G675" s="166"/>
      <c r="H675" s="167"/>
      <c r="I675" s="168"/>
      <c r="J675" s="169"/>
      <c r="K675"/>
      <c r="L675" s="274" t="str">
        <f ca="1">_xlfn.IFNA(VLOOKUP(F675,BEGIN_RENEWEDFROM_DENTAL:ROW_RenewDental_PlanID,3,FALSE),"SELECT PLAN")</f>
        <v>SELECT PLAN</v>
      </c>
      <c r="M675" s="170"/>
      <c r="N675" s="274" t="s">
        <v>237</v>
      </c>
      <c r="O675" s="171"/>
      <c r="P675" s="171"/>
      <c r="Q675" s="171"/>
      <c r="R675" s="169"/>
      <c r="T675" s="274" t="s">
        <v>38</v>
      </c>
      <c r="U675" s="170"/>
      <c r="V675" s="274" t="s">
        <v>237</v>
      </c>
      <c r="W675" s="171"/>
      <c r="X675" s="171"/>
      <c r="Y675" s="171"/>
      <c r="Z675" s="169"/>
    </row>
    <row r="676" spans="1:26" ht="18.75" customHeight="1">
      <c r="A676" s="140"/>
      <c r="B676" s="140"/>
      <c r="D676" s="172" t="s">
        <v>238</v>
      </c>
      <c r="E676" s="407" t="str">
        <f ca="1">_xlfn.IFNA(VLOOKUP(F675,BEGIN_CURRENT_DENTAL:END_CURRENT_DENTAL,CURRENT_COL_EO_count,FALSE),"")</f>
        <v/>
      </c>
      <c r="F676" s="408" t="str">
        <f ca="1">_xlfn.IFNA(VLOOKUP(F675,BEGIN_CURRENT_DENTAL:END_CURRENT_DENTAL,CURRENT_COL_EO,FALSE),"")</f>
        <v/>
      </c>
      <c r="G676" s="468" t="str">
        <f ca="1" t="shared" si="67" ref="G676:G679">IF(F676="","",H676/F676)</f>
        <v/>
      </c>
      <c r="H676" s="408" t="str">
        <f ca="1">_xlfn.IFNA(VLOOKUP(F675,BEGIN_CURRENT_DENTAL:END_CURRENT_DENTAL,CURRENT_COL_EOContrib,FALSE),"")</f>
        <v/>
      </c>
      <c r="I676" s="409" t="str">
        <f ca="1">IFERROR(F676-H676,"")</f>
        <v/>
      </c>
      <c r="J676" s="410" t="str">
        <f ca="1">IF(F676="","",H676*E676)</f>
        <v/>
      </c>
      <c r="K676" s="411"/>
      <c r="L676" s="408" t="str" cm="1">
        <f t="array" ca="1" aca="1" ref="L676">_xlfn.IFNA(VLOOKUP(INDIRECT("L"&amp;ROW()-1)&amp;"_"&amp;$D$12,BEGIN_Renew_Dental:END_RENEW_DENTAL,RENEW_COL_EO,FALSE),"")</f>
        <v/>
      </c>
      <c r="M676" s="412" t="str">
        <f ca="1">IF(E676="","",E676)</f>
        <v/>
      </c>
      <c r="N676" s="413"/>
      <c r="O676" s="414"/>
      <c r="P676" s="415" t="str">
        <f>IFERROR(IF($N675="Keep Contribution Same",H676,IF($N675="Enter Percentages",IF(N676="","",N676*L676),IF($N675="Keep Percentage Same",IF(G676="","",G676*L676),IF($N675="Enter Dollar Amount",IF(O676="","",O676),"")))),"")</f>
        <v/>
      </c>
      <c r="Q676" s="408" t="str">
        <f ca="1">IFERROR(L676-P676,"")</f>
        <v/>
      </c>
      <c r="R676" s="410" t="str">
        <f>IFERROR(IF(P676="","",M676*P676),"")</f>
        <v/>
      </c>
      <c r="S676" s="411"/>
      <c r="T676" s="408" t="str" cm="1">
        <f t="array" ca="1" aca="1" ref="T676">_xlfn.IFNA(VLOOKUP(INDIRECT("T"&amp;ROW()-1)&amp;"_"&amp;$D$12,BEGIN_Renew_Dental:END_RENEW_DENTAL,RENEW_COL_EO,FALSE),"")</f>
        <v/>
      </c>
      <c r="U676" s="412" t="str">
        <f ca="1">IF(E676="","",E676)</f>
        <v/>
      </c>
      <c r="V676" s="413"/>
      <c r="W676" s="414"/>
      <c r="X676" s="415" t="str">
        <f>IFERROR(IF($V675="Keep Contribution Same",H676,IF($V675="Enter Percentages",IF(V676="","",V676*T676),IF($V675="Keep Percentage Same",IF(G676="","",G676*T676),IF($V675="Enter Dollar Amount",IF(W676="","",W676),"")))),"")</f>
        <v/>
      </c>
      <c r="Y676" s="408" t="str">
        <f ca="1">IFERROR(T676-X676,"")</f>
        <v/>
      </c>
      <c r="Z676" s="410" t="str">
        <f>IFERROR(IF(X676="","",U676*X676),"")</f>
        <v/>
      </c>
    </row>
    <row r="677" spans="1:26" ht="18.75" customHeight="1">
      <c r="A677" s="140"/>
      <c r="B677" s="140"/>
      <c r="D677" s="172" t="s">
        <v>239</v>
      </c>
      <c r="E677" s="407" t="str">
        <f ca="1">_xlfn.IFNA(VLOOKUP(F675,BEGIN_CURRENT_DENTAL:END_CURRENT_DENTAL,CURRENT_COL_ES_count,FALSE),"")</f>
        <v/>
      </c>
      <c r="F677" s="408" t="str">
        <f ca="1">_xlfn.IFNA(VLOOKUP(F675,BEGIN_CURRENT_DENTAL:END_CURRENT_DENTAL,CURRENT_COL_ES,FALSE),"")</f>
        <v/>
      </c>
      <c r="G677" s="468" t="str">
        <f t="shared" ca="1" si="67"/>
        <v/>
      </c>
      <c r="H677" s="408" t="str">
        <f ca="1">_xlfn.IFNA(VLOOKUP(F675,BEGIN_CURRENT_DENTAL:END_CURRENT_DENTAL,CURRENT_COL_ESContrib,FALSE),"")</f>
        <v/>
      </c>
      <c r="I677" s="409" t="str">
        <f ca="1" t="shared" si="68" ref="I677:I679">IFERROR(F677-H677,"")</f>
        <v/>
      </c>
      <c r="J677" s="410" t="str">
        <f ca="1">IF(F677="","",H677*E677)</f>
        <v/>
      </c>
      <c r="K677" s="411"/>
      <c r="L677" s="408" t="str" cm="1">
        <f t="array" ca="1" aca="1" ref="L677">_xlfn.IFNA(VLOOKUP(INDIRECT("L"&amp;ROW()-2)&amp;"_"&amp;$D$12,BEGIN_Renew_Dental:END_RENEW_DENTAL,RENEW_COL_ES,FALSE),"")</f>
        <v/>
      </c>
      <c r="M677" s="412" t="str">
        <f ca="1">IF(E677="","",E677)</f>
        <v/>
      </c>
      <c r="N677" s="413"/>
      <c r="O677" s="414"/>
      <c r="P677" s="415" t="str">
        <f>IFERROR(IF($N675="Keep Contribution Same",H677,IF($N675="Enter Percentages",IF(N677="","",N677*L677),IF($N675="Keep Percentage Same",IF(G677="","",G677*L677),IF($N675="Enter Dollar Amount",IF(O677="","",O677),"")))),"")</f>
        <v/>
      </c>
      <c r="Q677" s="408" t="str">
        <f ca="1">IFERROR(L677-P677,"")</f>
        <v/>
      </c>
      <c r="R677" s="410" t="str">
        <f>IFERROR(IF(P677="","",M677*P677),"")</f>
        <v/>
      </c>
      <c r="S677" s="411"/>
      <c r="T677" s="408" t="str" cm="1">
        <f t="array" ca="1" aca="1" ref="T677">_xlfn.IFNA(VLOOKUP(INDIRECT("T"&amp;ROW()-2)&amp;"_"&amp;$D$12,BEGIN_Renew_Dental:END_RENEW_DENTAL,RENEW_COL_ES,FALSE),"")</f>
        <v/>
      </c>
      <c r="U677" s="412" t="str">
        <f ca="1" t="shared" si="69" ref="U677:U679">IF(E677="","",E677)</f>
        <v/>
      </c>
      <c r="V677" s="413"/>
      <c r="W677" s="414"/>
      <c r="X677" s="415" t="str">
        <f>IFERROR(IF($V675="Keep Contribution Same",H677,IF($V675="Enter Percentages",IF(V677="","",V677*T677),IF($V675="Keep Percentage Same",IF(G677="","",G677*T677),IF($V675="Enter Dollar Amount",IF(W677="","",W677),"")))),"")</f>
        <v/>
      </c>
      <c r="Y677" s="408" t="str">
        <f ca="1" t="shared" si="70" ref="Y677:Y679">IFERROR(T677-X677,"")</f>
        <v/>
      </c>
      <c r="Z677" s="410" t="str">
        <f t="shared" si="71" ref="Z677:Z679">IFERROR(IF(X677="","",U677*X677),"")</f>
        <v/>
      </c>
    </row>
    <row r="678" spans="1:26" ht="18.75" customHeight="1">
      <c r="A678" s="140"/>
      <c r="B678" s="140"/>
      <c r="D678" s="172" t="s">
        <v>240</v>
      </c>
      <c r="E678" s="407" t="str">
        <f ca="1">_xlfn.IFNA(VLOOKUP(F675,BEGIN_CURRENT_DENTAL:END_CURRENT_DENTAL,CURRENT_COL_EC_count,FALSE),"")</f>
        <v/>
      </c>
      <c r="F678" s="408" t="str">
        <f ca="1">_xlfn.IFNA(VLOOKUP(F675,BEGIN_CURRENT_DENTAL:END_CURRENT_DENTAL,CURRENT_COL_EC,FALSE),"")</f>
        <v/>
      </c>
      <c r="G678" s="468" t="str">
        <f t="shared" ca="1" si="67"/>
        <v/>
      </c>
      <c r="H678" s="408" t="str">
        <f ca="1">_xlfn.IFNA(VLOOKUP(F675,BEGIN_CURRENT_DENTAL:END_CURRENT_DENTAL,CURRENT_COL_ECContrib,FALSE),"")</f>
        <v/>
      </c>
      <c r="I678" s="409" t="str">
        <f t="shared" ca="1" si="68"/>
        <v/>
      </c>
      <c r="J678" s="410" t="str">
        <f ca="1">IF(F678="","",H678*E678)</f>
        <v/>
      </c>
      <c r="K678" s="411"/>
      <c r="L678" s="408" t="str" cm="1">
        <f t="array" ca="1" aca="1" ref="L678">_xlfn.IFNA(VLOOKUP(INDIRECT("L"&amp;ROW()-3)&amp;"_"&amp;$D$12,BEGIN_Renew_Dental:END_RENEW_DENTAL,RENEW_COL_EC,FALSE),"")</f>
        <v/>
      </c>
      <c r="M678" s="412" t="str">
        <f ca="1">IF(E678="","",E678)</f>
        <v/>
      </c>
      <c r="N678" s="413"/>
      <c r="O678" s="414"/>
      <c r="P678" s="415" t="str">
        <f>IFERROR(IF($N675="Keep Contribution Same",H678,IF($N675="Enter Percentages",IF(N678="","",N678*L678),IF($N675="Keep Percentage Same",IF(G678="","",G678*L678),IF($N675="Enter Dollar Amount",IF(O678="","",O678),"")))),"")</f>
        <v/>
      </c>
      <c r="Q678" s="408" t="str">
        <f ca="1">IFERROR(L678-P678,"")</f>
        <v/>
      </c>
      <c r="R678" s="410" t="str">
        <f>IFERROR(IF(P678="","",M678*P678),"")</f>
        <v/>
      </c>
      <c r="S678" s="411"/>
      <c r="T678" s="408" t="str" cm="1">
        <f t="array" ca="1" aca="1" ref="T678">_xlfn.IFNA(VLOOKUP(INDIRECT("T"&amp;ROW()-3)&amp;"_"&amp;$D$12,BEGIN_Renew_Dental:END_RENEW_DENTAL,RENEW_COL_EC,FALSE),"")</f>
        <v/>
      </c>
      <c r="U678" s="412" t="str">
        <f t="shared" ca="1" si="69"/>
        <v/>
      </c>
      <c r="V678" s="413"/>
      <c r="W678" s="414"/>
      <c r="X678" s="415" t="str">
        <f>IFERROR(IF($V675="Keep Contribution Same",H678,IF($V675="Enter Percentages",IF(V678="","",V678*T678),IF($V675="Keep Percentage Same",IF(G678="","",G678*T678),IF($V675="Enter Dollar Amount",IF(W678="","",W678),"")))),"")</f>
        <v/>
      </c>
      <c r="Y678" s="408" t="str">
        <f t="shared" ca="1" si="70"/>
        <v/>
      </c>
      <c r="Z678" s="410" t="str">
        <f t="shared" si="71"/>
        <v/>
      </c>
    </row>
    <row r="679" spans="1:26" ht="18.75" customHeight="1" thickBot="1">
      <c r="A679" s="140"/>
      <c r="B679" s="140"/>
      <c r="D679" s="174" t="s">
        <v>241</v>
      </c>
      <c r="E679" s="416" t="str">
        <f ca="1">_xlfn.IFNA(VLOOKUP(F675,BEGIN_CURRENT_DENTAL:END_CURRENT_DENTAL,CURRENT_COL_FAM_count,FALSE),"")</f>
        <v/>
      </c>
      <c r="F679" s="417" t="str">
        <f ca="1">_xlfn.IFNA(VLOOKUP(F675,BEGIN_CURRENT_DENTAL:END_CURRENT_DENTAL,CURRENT_COL_FAM,FALSE),"")</f>
        <v/>
      </c>
      <c r="G679" s="469" t="str">
        <f t="shared" ca="1" si="67"/>
        <v/>
      </c>
      <c r="H679" s="417" t="str">
        <f ca="1">_xlfn.IFNA(VLOOKUP(F675,BEGIN_CURRENT_DENTAL:END_CURRENT_DENTAL,CURRENT_COL_FAMContrib,FALSE),"")</f>
        <v/>
      </c>
      <c r="I679" s="418" t="str">
        <f t="shared" ca="1" si="68"/>
        <v/>
      </c>
      <c r="J679" s="419" t="str">
        <f ca="1">IF(F679="","",H679*E679)</f>
        <v/>
      </c>
      <c r="K679" s="411"/>
      <c r="L679" s="417" t="str" cm="1">
        <f t="array" ca="1" aca="1" ref="L679">_xlfn.IFNA(VLOOKUP(INDIRECT("L"&amp;ROW()-4)&amp;"_"&amp;$D$12,BEGIN_Renew_Dental:END_RENEW_DENTAL,RENEW_COL_FAM,FALSE),"")</f>
        <v/>
      </c>
      <c r="M679" s="423" t="str">
        <f ca="1">IF(E679="","",E679)</f>
        <v/>
      </c>
      <c r="N679" s="420"/>
      <c r="O679" s="421"/>
      <c r="P679" s="422" t="str">
        <f>IFERROR(IF($N675="Keep Contribution Same",H679,IF($N675="Enter Percentages",IF(N679="","",N679*L679),IF($N675="Keep Percentage Same",IF(G679="","",G679*L679),IF($N675="Enter Dollar Amount",IF(O679="","",O679),"")))),"")</f>
        <v/>
      </c>
      <c r="Q679" s="417" t="str">
        <f ca="1">IFERROR(L679-P679,"")</f>
        <v/>
      </c>
      <c r="R679" s="419" t="str">
        <f>IFERROR(IF(P679="","",M679*P679),"")</f>
        <v/>
      </c>
      <c r="S679" s="411"/>
      <c r="T679" s="417" t="str" cm="1">
        <f t="array" ca="1" aca="1" ref="T679">_xlfn.IFNA(VLOOKUP(INDIRECT("T"&amp;ROW()-4)&amp;"_"&amp;$D$12,BEGIN_Renew_Dental:END_RENEW_DENTAL,RENEW_COL_FAM,FALSE),"")</f>
        <v/>
      </c>
      <c r="U679" s="423" t="str">
        <f t="shared" ca="1" si="69"/>
        <v/>
      </c>
      <c r="V679" s="420"/>
      <c r="W679" s="421"/>
      <c r="X679" s="422" t="str">
        <f>IFERROR(IF($V675="Keep Contribution Same",H679,IF($V675="Enter Percentages",IF(V679="","",V679*T679),IF($V675="Keep Percentage Same",IF(G679="","",G679*T679),IF($V675="Enter Dollar Amount",IF(W679="","",W679),"")))),"")</f>
        <v/>
      </c>
      <c r="Y679" s="417" t="str">
        <f t="shared" ca="1" si="70"/>
        <v/>
      </c>
      <c r="Z679" s="419" t="str">
        <f t="shared" si="71"/>
        <v/>
      </c>
    </row>
    <row r="680" spans="1:26" ht="18.75" customHeight="1" thickTop="1">
      <c r="A680" s="140"/>
      <c r="B680" s="140"/>
      <c r="D680" s="175" t="s">
        <v>242</v>
      </c>
      <c r="E680" s="424"/>
      <c r="F680" s="427"/>
      <c r="G680" s="426"/>
      <c r="H680" s="427"/>
      <c r="I680" s="428"/>
      <c r="J680" s="429" t="str">
        <f ca="1">IFERROR(IF(J676="","",SUM(J676:J679)),0)</f>
        <v/>
      </c>
      <c r="K680" s="1"/>
      <c r="L680" s="424"/>
      <c r="M680" s="427"/>
      <c r="N680" s="426"/>
      <c r="O680" s="427"/>
      <c r="P680" s="431"/>
      <c r="Q680" s="432"/>
      <c r="R680" s="429" t="str">
        <f>IFERROR(IF(R676="","",SUM(R676:R679)),0)</f>
        <v/>
      </c>
      <c r="T680" s="424"/>
      <c r="U680" s="427"/>
      <c r="V680" s="426"/>
      <c r="W680" s="427"/>
      <c r="X680" s="431"/>
      <c r="Y680" s="432"/>
      <c r="Z680" s="429" t="str">
        <f>IFERROR(IF(Z676="","",SUM(Z676:Z679)),0)</f>
        <v/>
      </c>
    </row>
    <row r="681" spans="1:26" ht="18" customHeight="1">
      <c r="A681" s="140"/>
      <c r="B681" s="140"/>
      <c r="D681" s="177" t="s">
        <v>243</v>
      </c>
      <c r="E681" s="433"/>
      <c r="F681" s="436"/>
      <c r="G681" s="435"/>
      <c r="H681" s="436"/>
      <c r="I681" s="432"/>
      <c r="J681" s="437" t="str">
        <f ca="1">IF(J680="","",J680*12)</f>
        <v/>
      </c>
      <c r="K681" s="1"/>
      <c r="L681" s="433"/>
      <c r="M681" s="436"/>
      <c r="N681" s="435"/>
      <c r="O681" s="436"/>
      <c r="P681" s="432"/>
      <c r="Q681" s="432"/>
      <c r="R681" s="437" t="str">
        <f>IF(R680="","",R680*12)</f>
        <v/>
      </c>
      <c r="T681" s="433"/>
      <c r="U681" s="436"/>
      <c r="V681" s="435"/>
      <c r="W681" s="436"/>
      <c r="X681" s="432"/>
      <c r="Y681" s="432"/>
      <c r="Z681" s="437" t="str">
        <f>IF(Z680="","",Z680*12)</f>
        <v/>
      </c>
    </row>
    <row r="682" spans="1:26" ht="18" customHeight="1">
      <c r="A682" s="140"/>
      <c r="B682" s="140"/>
      <c r="D682" s="177" t="s">
        <v>244</v>
      </c>
      <c r="E682" s="433"/>
      <c r="F682" s="436"/>
      <c r="G682" s="435"/>
      <c r="H682" s="436"/>
      <c r="I682" s="432"/>
      <c r="J682" s="437"/>
      <c r="K682" s="1"/>
      <c r="L682" s="433"/>
      <c r="M682" s="436"/>
      <c r="N682" s="435"/>
      <c r="O682" s="436"/>
      <c r="P682" s="432"/>
      <c r="Q682" s="432"/>
      <c r="R682" s="437" t="str">
        <f ca="1">IFERROR(IF(J681="","",R681-J681),0)</f>
        <v/>
      </c>
      <c r="T682" s="433"/>
      <c r="U682" s="436"/>
      <c r="V682" s="435"/>
      <c r="W682" s="436"/>
      <c r="X682" s="432"/>
      <c r="Y682" s="432"/>
      <c r="Z682" s="437" t="str">
        <f>IFERROR(IF(R681="","",Z681-R681),0)</f>
        <v/>
      </c>
    </row>
    <row r="683" spans="1:26" ht="18" customHeight="1" thickBot="1">
      <c r="A683" s="140"/>
      <c r="B683" s="140"/>
      <c r="D683" s="180" t="s">
        <v>245</v>
      </c>
      <c r="E683" s="439"/>
      <c r="F683" s="440"/>
      <c r="G683" s="441"/>
      <c r="H683" s="440"/>
      <c r="I683" s="442"/>
      <c r="J683" s="437"/>
      <c r="K683" s="1"/>
      <c r="L683" s="439"/>
      <c r="M683" s="440"/>
      <c r="N683" s="441"/>
      <c r="O683" s="440"/>
      <c r="P683" s="445"/>
      <c r="Q683" s="445"/>
      <c r="R683" s="446" t="str">
        <f ca="1">IFERROR(IF(J681="","",(R681/J681)-1),0)</f>
        <v/>
      </c>
      <c r="T683" s="439"/>
      <c r="U683" s="440"/>
      <c r="V683" s="441"/>
      <c r="W683" s="440"/>
      <c r="X683" s="445"/>
      <c r="Y683" s="445"/>
      <c r="Z683" s="446" t="str">
        <f>IFERROR(IF(R681="","",(Z681/R681)-1),0)</f>
        <v/>
      </c>
    </row>
    <row r="684" spans="1:26" ht="5.25" customHeight="1" thickBot="1">
      <c r="A684" s="140"/>
      <c r="B684" s="140"/>
      <c r="D684" s="229"/>
      <c r="E684" s="229"/>
      <c r="F684" s="230"/>
      <c r="G684" s="231"/>
      <c r="H684" s="232"/>
      <c r="I684" s="233"/>
      <c r="J684" s="233"/>
      <c r="K684"/>
      <c r="L684" s="233"/>
      <c r="M684" s="233"/>
      <c r="N684" s="233"/>
      <c r="O684" s="233"/>
      <c r="P684" s="233"/>
      <c r="Q684" s="233"/>
      <c r="R684" s="233"/>
      <c r="T684" s="233"/>
      <c r="U684" s="233"/>
      <c r="V684" s="233"/>
      <c r="W684" s="233"/>
      <c r="X684" s="233"/>
      <c r="Y684" s="233"/>
      <c r="Z684" s="233"/>
    </row>
    <row r="685" spans="1:26" ht="50.15" customHeight="1">
      <c r="A685" s="140">
        <v>3</v>
      </c>
      <c r="B685" s="140" t="str">
        <f>IF(A685&gt;Class6_CurrentDentalCount,"DELETE",Class6_CurrentDentalStart+A685)</f>
        <v>DELETE</v>
      </c>
      <c r="C685" s="164" t="s">
        <v>291</v>
      </c>
      <c r="D685" s="273" t="str">
        <f>IF(B685="Delete","",VLOOKUP(F685,BEGIN_CURRENT_DENTAL:END_CURRENT_DENTAL,3,FALSE))</f>
        <v/>
      </c>
      <c r="E685" s="165"/>
      <c r="F685" s="272" t="str" cm="1">
        <f t="array" ca="1" aca="1" ref="F685">IF(B685="Delete","",INDIRECT("CurrentPlans!A"&amp;B685,TRUE))</f>
        <v/>
      </c>
      <c r="G685" s="166"/>
      <c r="H685" s="167"/>
      <c r="I685" s="168"/>
      <c r="J685" s="169"/>
      <c r="K685"/>
      <c r="L685" s="274" t="str">
        <f ca="1">_xlfn.IFNA(VLOOKUP(F685,BEGIN_RENEWEDFROM_DENTAL:ROW_RenewDental_PlanID,3,FALSE),"SELECT PLAN")</f>
        <v>SELECT PLAN</v>
      </c>
      <c r="M685" s="170"/>
      <c r="N685" s="274" t="s">
        <v>237</v>
      </c>
      <c r="O685" s="171"/>
      <c r="P685" s="171"/>
      <c r="Q685" s="171"/>
      <c r="R685" s="169"/>
      <c r="T685" s="274" t="s">
        <v>38</v>
      </c>
      <c r="U685" s="170"/>
      <c r="V685" s="274" t="s">
        <v>237</v>
      </c>
      <c r="W685" s="171"/>
      <c r="X685" s="171"/>
      <c r="Y685" s="171"/>
      <c r="Z685" s="169"/>
    </row>
    <row r="686" spans="1:26" ht="18.75" customHeight="1">
      <c r="A686" s="140"/>
      <c r="B686" s="140"/>
      <c r="D686" s="172" t="s">
        <v>238</v>
      </c>
      <c r="E686" s="407" t="str">
        <f ca="1">_xlfn.IFNA(VLOOKUP(F685,BEGIN_CURRENT_DENTAL:END_CURRENT_DENTAL,CURRENT_COL_EO_count,FALSE),"")</f>
        <v/>
      </c>
      <c r="F686" s="408" t="str">
        <f ca="1">_xlfn.IFNA(VLOOKUP(F685,BEGIN_CURRENT_DENTAL:END_CURRENT_DENTAL,CURRENT_COL_EO,FALSE),"")</f>
        <v/>
      </c>
      <c r="G686" s="468" t="str">
        <f ca="1" t="shared" si="72" ref="G686:G689">IF(F686="","",H686/F686)</f>
        <v/>
      </c>
      <c r="H686" s="408" t="str">
        <f ca="1">_xlfn.IFNA(VLOOKUP(F685,BEGIN_CURRENT_DENTAL:END_CURRENT_DENTAL,CURRENT_COL_EOContrib,FALSE),"")</f>
        <v/>
      </c>
      <c r="I686" s="409" t="str">
        <f ca="1">IFERROR(F686-H686,"")</f>
        <v/>
      </c>
      <c r="J686" s="410" t="str">
        <f ca="1">IF(F686="","",H686*E686)</f>
        <v/>
      </c>
      <c r="K686" s="411"/>
      <c r="L686" s="408" t="str" cm="1">
        <f t="array" ca="1" aca="1" ref="L686">_xlfn.IFNA(VLOOKUP(INDIRECT("L"&amp;ROW()-1)&amp;"_"&amp;$D$12,BEGIN_Renew_Dental:END_RENEW_DENTAL,RENEW_COL_EO,FALSE),"")</f>
        <v/>
      </c>
      <c r="M686" s="412" t="str">
        <f ca="1">IF(E686="","",E686)</f>
        <v/>
      </c>
      <c r="N686" s="413"/>
      <c r="O686" s="414"/>
      <c r="P686" s="415" t="str">
        <f>IFERROR(IF($N685="Keep Contribution Same",H686,IF($N685="Enter Percentages",IF(N686="","",N686*L686),IF($N685="Keep Percentage Same",IF(G686="","",G686*L686),IF($N685="Enter Dollar Amount",IF(O686="","",O686),"")))),"")</f>
        <v/>
      </c>
      <c r="Q686" s="408" t="str">
        <f ca="1">IFERROR(L686-P686,"")</f>
        <v/>
      </c>
      <c r="R686" s="410" t="str">
        <f>IFERROR(IF(P686="","",M686*P686),"")</f>
        <v/>
      </c>
      <c r="S686" s="411"/>
      <c r="T686" s="408" t="str" cm="1">
        <f t="array" ca="1" aca="1" ref="T686">_xlfn.IFNA(VLOOKUP(INDIRECT("T"&amp;ROW()-1)&amp;"_"&amp;$D$12,BEGIN_Renew_Dental:END_RENEW_DENTAL,RENEW_COL_EO,FALSE),"")</f>
        <v/>
      </c>
      <c r="U686" s="412" t="str">
        <f ca="1">IF(E686="","",E686)</f>
        <v/>
      </c>
      <c r="V686" s="413"/>
      <c r="W686" s="414"/>
      <c r="X686" s="415" t="str">
        <f>IFERROR(IF($V685="Keep Contribution Same",H686,IF($V685="Enter Percentages",IF(V686="","",V686*T686),IF($V685="Keep Percentage Same",IF(G686="","",G686*T686),IF($V685="Enter Dollar Amount",IF(W686="","",W686),"")))),"")</f>
        <v/>
      </c>
      <c r="Y686" s="408" t="str">
        <f ca="1">IFERROR(T686-X686,"")</f>
        <v/>
      </c>
      <c r="Z686" s="410" t="str">
        <f>IFERROR(IF(X686="","",U686*X686),"")</f>
        <v/>
      </c>
    </row>
    <row r="687" spans="1:26" ht="18.75" customHeight="1">
      <c r="A687" s="140"/>
      <c r="B687" s="140"/>
      <c r="D687" s="172" t="s">
        <v>239</v>
      </c>
      <c r="E687" s="407" t="str">
        <f ca="1">_xlfn.IFNA(VLOOKUP(F685,BEGIN_CURRENT_DENTAL:END_CURRENT_DENTAL,CURRENT_COL_ES_count,FALSE),"")</f>
        <v/>
      </c>
      <c r="F687" s="408" t="str">
        <f ca="1">_xlfn.IFNA(VLOOKUP(F685,BEGIN_CURRENT_DENTAL:END_CURRENT_DENTAL,CURRENT_COL_ES,FALSE),"")</f>
        <v/>
      </c>
      <c r="G687" s="468" t="str">
        <f t="shared" ca="1" si="72"/>
        <v/>
      </c>
      <c r="H687" s="408" t="str">
        <f ca="1">_xlfn.IFNA(VLOOKUP(F685,BEGIN_CURRENT_DENTAL:END_CURRENT_DENTAL,CURRENT_COL_ESContrib,FALSE),"")</f>
        <v/>
      </c>
      <c r="I687" s="409" t="str">
        <f ca="1" t="shared" si="73" ref="I687:I689">IFERROR(F687-H687,"")</f>
        <v/>
      </c>
      <c r="J687" s="410" t="str">
        <f ca="1">IF(F687="","",H687*E687)</f>
        <v/>
      </c>
      <c r="K687" s="411"/>
      <c r="L687" s="408" t="str" cm="1">
        <f t="array" ca="1" aca="1" ref="L687">_xlfn.IFNA(VLOOKUP(INDIRECT("L"&amp;ROW()-2)&amp;"_"&amp;$D$12,BEGIN_Renew_Dental:END_RENEW_DENTAL,RENEW_COL_ES,FALSE),"")</f>
        <v/>
      </c>
      <c r="M687" s="412" t="str">
        <f ca="1">IF(E687="","",E687)</f>
        <v/>
      </c>
      <c r="N687" s="413"/>
      <c r="O687" s="414"/>
      <c r="P687" s="415" t="str">
        <f>IFERROR(IF($N685="Keep Contribution Same",H687,IF($N685="Enter Percentages",IF(N687="","",N687*L687),IF($N685="Keep Percentage Same",IF(G687="","",G687*L687),IF($N685="Enter Dollar Amount",IF(O687="","",O687),"")))),"")</f>
        <v/>
      </c>
      <c r="Q687" s="408" t="str">
        <f ca="1">IFERROR(L687-P687,"")</f>
        <v/>
      </c>
      <c r="R687" s="410" t="str">
        <f>IFERROR(IF(P687="","",M687*P687),"")</f>
        <v/>
      </c>
      <c r="S687" s="411"/>
      <c r="T687" s="408" t="str" cm="1">
        <f t="array" ca="1" aca="1" ref="T687">_xlfn.IFNA(VLOOKUP(INDIRECT("T"&amp;ROW()-2)&amp;"_"&amp;$D$12,BEGIN_Renew_Dental:END_RENEW_DENTAL,RENEW_COL_ES,FALSE),"")</f>
        <v/>
      </c>
      <c r="U687" s="412" t="str">
        <f ca="1" t="shared" si="74" ref="U687:U689">IF(E687="","",E687)</f>
        <v/>
      </c>
      <c r="V687" s="413"/>
      <c r="W687" s="414"/>
      <c r="X687" s="415" t="str">
        <f>IFERROR(IF($V685="Keep Contribution Same",H687,IF($V685="Enter Percentages",IF(V687="","",V687*T687),IF($V685="Keep Percentage Same",IF(G687="","",G687*T687),IF($V685="Enter Dollar Amount",IF(W687="","",W687),"")))),"")</f>
        <v/>
      </c>
      <c r="Y687" s="408" t="str">
        <f ca="1" t="shared" si="75" ref="Y687:Y689">IFERROR(T687-X687,"")</f>
        <v/>
      </c>
      <c r="Z687" s="410" t="str">
        <f t="shared" si="76" ref="Z687:Z689">IFERROR(IF(X687="","",U687*X687),"")</f>
        <v/>
      </c>
    </row>
    <row r="688" spans="1:26" ht="18.75" customHeight="1">
      <c r="A688" s="140"/>
      <c r="B688" s="140"/>
      <c r="D688" s="172" t="s">
        <v>240</v>
      </c>
      <c r="E688" s="407" t="str">
        <f ca="1">_xlfn.IFNA(VLOOKUP(F685,BEGIN_CURRENT_DENTAL:END_CURRENT_DENTAL,CURRENT_COL_EC_count,FALSE),"")</f>
        <v/>
      </c>
      <c r="F688" s="408" t="str">
        <f ca="1">_xlfn.IFNA(VLOOKUP(F685,BEGIN_CURRENT_DENTAL:END_CURRENT_DENTAL,CURRENT_COL_EC,FALSE),"")</f>
        <v/>
      </c>
      <c r="G688" s="468" t="str">
        <f t="shared" ca="1" si="72"/>
        <v/>
      </c>
      <c r="H688" s="408" t="str">
        <f ca="1">_xlfn.IFNA(VLOOKUP(F685,BEGIN_CURRENT_DENTAL:END_CURRENT_DENTAL,CURRENT_COL_ECContrib,FALSE),"")</f>
        <v/>
      </c>
      <c r="I688" s="409" t="str">
        <f t="shared" ca="1" si="73"/>
        <v/>
      </c>
      <c r="J688" s="410" t="str">
        <f ca="1">IF(F688="","",H688*E688)</f>
        <v/>
      </c>
      <c r="K688" s="411"/>
      <c r="L688" s="408" t="str" cm="1">
        <f t="array" ca="1" aca="1" ref="L688">_xlfn.IFNA(VLOOKUP(INDIRECT("L"&amp;ROW()-3)&amp;"_"&amp;$D$12,BEGIN_Renew_Dental:END_RENEW_DENTAL,RENEW_COL_EC,FALSE),"")</f>
        <v/>
      </c>
      <c r="M688" s="412" t="str">
        <f ca="1">IF(E688="","",E688)</f>
        <v/>
      </c>
      <c r="N688" s="413"/>
      <c r="O688" s="414"/>
      <c r="P688" s="415" t="str">
        <f>IFERROR(IF($N685="Keep Contribution Same",H688,IF($N685="Enter Percentages",IF(N688="","",N688*L688),IF($N685="Keep Percentage Same",IF(G688="","",G688*L688),IF($N685="Enter Dollar Amount",IF(O688="","",O688),"")))),"")</f>
        <v/>
      </c>
      <c r="Q688" s="408" t="str">
        <f ca="1">IFERROR(L688-P688,"")</f>
        <v/>
      </c>
      <c r="R688" s="410" t="str">
        <f>IFERROR(IF(P688="","",M688*P688),"")</f>
        <v/>
      </c>
      <c r="S688" s="411"/>
      <c r="T688" s="408" t="str" cm="1">
        <f t="array" ca="1" aca="1" ref="T688">_xlfn.IFNA(VLOOKUP(INDIRECT("T"&amp;ROW()-3)&amp;"_"&amp;$D$12,BEGIN_Renew_Dental:END_RENEW_DENTAL,RENEW_COL_EC,FALSE),"")</f>
        <v/>
      </c>
      <c r="U688" s="412" t="str">
        <f t="shared" ca="1" si="74"/>
        <v/>
      </c>
      <c r="V688" s="413"/>
      <c r="W688" s="414"/>
      <c r="X688" s="415" t="str">
        <f>IFERROR(IF($V685="Keep Contribution Same",H688,IF($V685="Enter Percentages",IF(V688="","",V688*T688),IF($V685="Keep Percentage Same",IF(G688="","",G688*T688),IF($V685="Enter Dollar Amount",IF(W688="","",W688),"")))),"")</f>
        <v/>
      </c>
      <c r="Y688" s="408" t="str">
        <f t="shared" ca="1" si="75"/>
        <v/>
      </c>
      <c r="Z688" s="410" t="str">
        <f t="shared" si="76"/>
        <v/>
      </c>
    </row>
    <row r="689" spans="1:26" ht="18.75" customHeight="1" thickBot="1">
      <c r="A689" s="140"/>
      <c r="B689" s="140"/>
      <c r="D689" s="174" t="s">
        <v>241</v>
      </c>
      <c r="E689" s="416" t="str">
        <f ca="1">_xlfn.IFNA(VLOOKUP(F685,BEGIN_CURRENT_DENTAL:END_CURRENT_DENTAL,CURRENT_COL_FAM_count,FALSE),"")</f>
        <v/>
      </c>
      <c r="F689" s="417" t="str">
        <f ca="1">_xlfn.IFNA(VLOOKUP(F685,BEGIN_CURRENT_DENTAL:END_CURRENT_DENTAL,CURRENT_COL_FAM,FALSE),"")</f>
        <v/>
      </c>
      <c r="G689" s="469" t="str">
        <f t="shared" ca="1" si="72"/>
        <v/>
      </c>
      <c r="H689" s="417" t="str">
        <f ca="1">_xlfn.IFNA(VLOOKUP(F685,BEGIN_CURRENT_DENTAL:END_CURRENT_DENTAL,CURRENT_COL_FAMContrib,FALSE),"")</f>
        <v/>
      </c>
      <c r="I689" s="418" t="str">
        <f t="shared" ca="1" si="73"/>
        <v/>
      </c>
      <c r="J689" s="419" t="str">
        <f ca="1">IF(F689="","",H689*E689)</f>
        <v/>
      </c>
      <c r="K689" s="411"/>
      <c r="L689" s="417" t="str" cm="1">
        <f t="array" ca="1" aca="1" ref="L689">_xlfn.IFNA(VLOOKUP(INDIRECT("L"&amp;ROW()-4)&amp;"_"&amp;$D$12,BEGIN_Renew_Dental:END_RENEW_DENTAL,RENEW_COL_FAM,FALSE),"")</f>
        <v/>
      </c>
      <c r="M689" s="423" t="str">
        <f ca="1">IF(E689="","",E689)</f>
        <v/>
      </c>
      <c r="N689" s="420"/>
      <c r="O689" s="421"/>
      <c r="P689" s="422" t="str">
        <f>IFERROR(IF($N685="Keep Contribution Same",H689,IF($N685="Enter Percentages",IF(N689="","",N689*L689),IF($N685="Keep Percentage Same",IF(G689="","",G689*L689),IF($N685="Enter Dollar Amount",IF(O689="","",O689),"")))),"")</f>
        <v/>
      </c>
      <c r="Q689" s="417" t="str">
        <f ca="1">IFERROR(L689-P689,"")</f>
        <v/>
      </c>
      <c r="R689" s="419" t="str">
        <f>IFERROR(IF(P689="","",M689*P689),"")</f>
        <v/>
      </c>
      <c r="S689" s="411"/>
      <c r="T689" s="417" t="str" cm="1">
        <f t="array" ca="1" aca="1" ref="T689">_xlfn.IFNA(VLOOKUP(INDIRECT("T"&amp;ROW()-4)&amp;"_"&amp;$D$12,BEGIN_Renew_Dental:END_RENEW_DENTAL,RENEW_COL_FAM,FALSE),"")</f>
        <v/>
      </c>
      <c r="U689" s="423" t="str">
        <f t="shared" ca="1" si="74"/>
        <v/>
      </c>
      <c r="V689" s="420"/>
      <c r="W689" s="421"/>
      <c r="X689" s="422" t="str">
        <f>IFERROR(IF($V685="Keep Contribution Same",H689,IF($V685="Enter Percentages",IF(V689="","",V689*T689),IF($V685="Keep Percentage Same",IF(G689="","",G689*T689),IF($V685="Enter Dollar Amount",IF(W689="","",W689),"")))),"")</f>
        <v/>
      </c>
      <c r="Y689" s="417" t="str">
        <f t="shared" ca="1" si="75"/>
        <v/>
      </c>
      <c r="Z689" s="419" t="str">
        <f t="shared" si="76"/>
        <v/>
      </c>
    </row>
    <row r="690" spans="1:26" ht="18.75" customHeight="1" thickTop="1">
      <c r="A690" s="140"/>
      <c r="B690" s="140"/>
      <c r="D690" s="175" t="s">
        <v>242</v>
      </c>
      <c r="E690" s="424"/>
      <c r="F690" s="427"/>
      <c r="G690" s="426"/>
      <c r="H690" s="427"/>
      <c r="I690" s="428"/>
      <c r="J690" s="429" t="str">
        <f ca="1">IFERROR(IF(J686="","",SUM(J686:J689)),0)</f>
        <v/>
      </c>
      <c r="K690" s="1"/>
      <c r="L690" s="424"/>
      <c r="M690" s="427"/>
      <c r="N690" s="426"/>
      <c r="O690" s="427"/>
      <c r="P690" s="431"/>
      <c r="Q690" s="432"/>
      <c r="R690" s="429" t="str">
        <f>IFERROR(IF(R686="","",SUM(R686:R689)),0)</f>
        <v/>
      </c>
      <c r="T690" s="424"/>
      <c r="U690" s="427"/>
      <c r="V690" s="426"/>
      <c r="W690" s="427"/>
      <c r="X690" s="431"/>
      <c r="Y690" s="432"/>
      <c r="Z690" s="429" t="str">
        <f>IFERROR(IF(Z686="","",SUM(Z686:Z689)),0)</f>
        <v/>
      </c>
    </row>
    <row r="691" spans="1:26" ht="18.75" customHeight="1">
      <c r="A691" s="140"/>
      <c r="B691" s="140"/>
      <c r="D691" s="177" t="s">
        <v>243</v>
      </c>
      <c r="E691" s="433"/>
      <c r="F691" s="436"/>
      <c r="G691" s="435"/>
      <c r="H691" s="436"/>
      <c r="I691" s="432"/>
      <c r="J691" s="437" t="str">
        <f ca="1">IF(J690="","",J690*12)</f>
        <v/>
      </c>
      <c r="K691" s="1"/>
      <c r="L691" s="433"/>
      <c r="M691" s="436"/>
      <c r="N691" s="435"/>
      <c r="O691" s="436"/>
      <c r="P691" s="432"/>
      <c r="Q691" s="432"/>
      <c r="R691" s="437" t="str">
        <f>IF(R690="","",R690*12)</f>
        <v/>
      </c>
      <c r="T691" s="433"/>
      <c r="U691" s="436"/>
      <c r="V691" s="435"/>
      <c r="W691" s="436"/>
      <c r="X691" s="432"/>
      <c r="Y691" s="432"/>
      <c r="Z691" s="437" t="str">
        <f>IF(Z690="","",Z690*12)</f>
        <v/>
      </c>
    </row>
    <row r="692" spans="1:26" ht="18" customHeight="1">
      <c r="A692" s="140"/>
      <c r="B692" s="140"/>
      <c r="D692" s="177" t="s">
        <v>244</v>
      </c>
      <c r="E692" s="433"/>
      <c r="F692" s="436"/>
      <c r="G692" s="435"/>
      <c r="H692" s="436"/>
      <c r="I692" s="432"/>
      <c r="J692" s="437"/>
      <c r="K692" s="1"/>
      <c r="L692" s="433"/>
      <c r="M692" s="436"/>
      <c r="N692" s="435"/>
      <c r="O692" s="436"/>
      <c r="P692" s="432"/>
      <c r="Q692" s="432"/>
      <c r="R692" s="437" t="str">
        <f ca="1">IFERROR(IF(J691="","",R691-J691),0)</f>
        <v/>
      </c>
      <c r="T692" s="433"/>
      <c r="U692" s="436"/>
      <c r="V692" s="435"/>
      <c r="W692" s="436"/>
      <c r="X692" s="432"/>
      <c r="Y692" s="432"/>
      <c r="Z692" s="437" t="str">
        <f>IFERROR(IF(R691="","",Z691-R691),0)</f>
        <v/>
      </c>
    </row>
    <row r="693" spans="1:26" ht="18" customHeight="1" thickBot="1">
      <c r="A693" s="140"/>
      <c r="B693" s="140"/>
      <c r="D693" s="180" t="s">
        <v>245</v>
      </c>
      <c r="E693" s="439"/>
      <c r="F693" s="440"/>
      <c r="G693" s="441"/>
      <c r="H693" s="440"/>
      <c r="I693" s="442"/>
      <c r="J693" s="437"/>
      <c r="K693" s="1"/>
      <c r="L693" s="439"/>
      <c r="M693" s="440"/>
      <c r="N693" s="441"/>
      <c r="O693" s="440"/>
      <c r="P693" s="445"/>
      <c r="Q693" s="445"/>
      <c r="R693" s="446" t="str">
        <f ca="1">IFERROR(IF(J691="","",(R691/J691)-1),0)</f>
        <v/>
      </c>
      <c r="T693" s="439"/>
      <c r="U693" s="440"/>
      <c r="V693" s="441"/>
      <c r="W693" s="440"/>
      <c r="X693" s="445"/>
      <c r="Y693" s="445"/>
      <c r="Z693" s="446" t="str">
        <f>IFERROR(IF(R691="","",(Z691/R691)-1),0)</f>
        <v/>
      </c>
    </row>
    <row r="694" spans="1:26" ht="5.25" customHeight="1" thickBot="1">
      <c r="A694" s="140"/>
      <c r="B694" s="140"/>
      <c r="D694" s="229"/>
      <c r="E694" s="229"/>
      <c r="F694" s="230"/>
      <c r="G694" s="231"/>
      <c r="H694" s="232"/>
      <c r="I694" s="233"/>
      <c r="J694" s="233"/>
      <c r="K694"/>
      <c r="L694" s="233"/>
      <c r="M694" s="233"/>
      <c r="N694" s="233"/>
      <c r="O694" s="233"/>
      <c r="P694" s="233"/>
      <c r="Q694" s="233"/>
      <c r="R694" s="233"/>
      <c r="T694" s="233"/>
      <c r="U694" s="233"/>
      <c r="V694" s="233"/>
      <c r="W694" s="233"/>
      <c r="X694" s="233"/>
      <c r="Y694" s="233"/>
      <c r="Z694" s="233"/>
    </row>
    <row r="695" spans="1:26" ht="50.15" customHeight="1">
      <c r="A695" s="140">
        <v>4</v>
      </c>
      <c r="B695" s="140" t="str">
        <f>IF(A695&gt;Class6_CurrentDentalCount,"DELETE",Class6_CurrentDentalStart+A695)</f>
        <v>DELETE</v>
      </c>
      <c r="C695" s="164" t="s">
        <v>292</v>
      </c>
      <c r="D695" s="273" t="str">
        <f>IF(B695="Delete","",VLOOKUP(F695,BEGIN_CURRENT_DENTAL:END_CURRENT_DENTAL,3,FALSE))</f>
        <v/>
      </c>
      <c r="E695" s="165"/>
      <c r="F695" s="272" t="str" cm="1">
        <f t="array" ca="1" aca="1" ref="F695">IF(B695="Delete","",INDIRECT("CurrentPlans!A"&amp;B695,TRUE))</f>
        <v/>
      </c>
      <c r="G695" s="166"/>
      <c r="H695" s="167"/>
      <c r="I695" s="168"/>
      <c r="J695" s="169"/>
      <c r="K695"/>
      <c r="L695" s="274" t="str">
        <f ca="1">_xlfn.IFNA(VLOOKUP(F695,BEGIN_RENEWEDFROM_DENTAL:ROW_RenewDental_PlanID,3,FALSE),"SELECT PLAN")</f>
        <v>SELECT PLAN</v>
      </c>
      <c r="M695" s="170"/>
      <c r="N695" s="274" t="s">
        <v>237</v>
      </c>
      <c r="O695" s="171"/>
      <c r="P695" s="171"/>
      <c r="Q695" s="171"/>
      <c r="R695" s="169"/>
      <c r="T695" s="274" t="s">
        <v>38</v>
      </c>
      <c r="U695" s="170"/>
      <c r="V695" s="274" t="s">
        <v>237</v>
      </c>
      <c r="W695" s="171"/>
      <c r="X695" s="171"/>
      <c r="Y695" s="171"/>
      <c r="Z695" s="169"/>
    </row>
    <row r="696" spans="1:26" ht="18.75" customHeight="1">
      <c r="A696" s="140"/>
      <c r="B696" s="140"/>
      <c r="D696" s="172" t="s">
        <v>238</v>
      </c>
      <c r="E696" s="407" t="str">
        <f ca="1">_xlfn.IFNA(VLOOKUP(F695,BEGIN_CURRENT_DENTAL:END_CURRENT_DENTAL,CURRENT_COL_EO_count,FALSE),"")</f>
        <v/>
      </c>
      <c r="F696" s="408" t="str">
        <f ca="1">_xlfn.IFNA(VLOOKUP(F695,BEGIN_CURRENT_DENTAL:END_CURRENT_DENTAL,CURRENT_COL_EO,FALSE),"")</f>
        <v/>
      </c>
      <c r="G696" s="468" t="str">
        <f ca="1" t="shared" si="77" ref="G696:G699">IF(F696="","",H696/F696)</f>
        <v/>
      </c>
      <c r="H696" s="408" t="str">
        <f ca="1">_xlfn.IFNA(VLOOKUP(F695,BEGIN_CURRENT_DENTAL:END_CURRENT_DENTAL,CURRENT_COL_EOContrib,FALSE),"")</f>
        <v/>
      </c>
      <c r="I696" s="409" t="str">
        <f ca="1">IFERROR(F696-H696,"")</f>
        <v/>
      </c>
      <c r="J696" s="410" t="str">
        <f ca="1">IF(F696="","",H696*E696)</f>
        <v/>
      </c>
      <c r="K696" s="411"/>
      <c r="L696" s="408" t="str" cm="1">
        <f t="array" ca="1" aca="1" ref="L696">_xlfn.IFNA(VLOOKUP(INDIRECT("L"&amp;ROW()-1)&amp;"_"&amp;$D$12,BEGIN_Renew_Dental:END_RENEW_DENTAL,RENEW_COL_EO,FALSE),"")</f>
        <v/>
      </c>
      <c r="M696" s="412" t="str">
        <f ca="1">IF(E696="","",E696)</f>
        <v/>
      </c>
      <c r="N696" s="413"/>
      <c r="O696" s="414"/>
      <c r="P696" s="415" t="str">
        <f>IFERROR(IF($N695="Keep Contribution Same",H696,IF($N695="Enter Percentages",IF(N696="","",N696*L696),IF($N695="Keep Percentage Same",IF(G696="","",G696*L696),IF($N695="Enter Dollar Amount",IF(O696="","",O696),"")))),"")</f>
        <v/>
      </c>
      <c r="Q696" s="408" t="str">
        <f ca="1">IFERROR(L696-P696,"")</f>
        <v/>
      </c>
      <c r="R696" s="410" t="str">
        <f>IFERROR(IF(P696="","",M696*P696),"")</f>
        <v/>
      </c>
      <c r="S696" s="411"/>
      <c r="T696" s="408" t="str" cm="1">
        <f t="array" ca="1" aca="1" ref="T696">_xlfn.IFNA(VLOOKUP(INDIRECT("T"&amp;ROW()-1)&amp;"_"&amp;$D$12,BEGIN_Renew_Dental:END_RENEW_DENTAL,RENEW_COL_EO,FALSE),"")</f>
        <v/>
      </c>
      <c r="U696" s="412" t="str">
        <f ca="1">IF(E696="","",E696)</f>
        <v/>
      </c>
      <c r="V696" s="413"/>
      <c r="W696" s="414"/>
      <c r="X696" s="415" t="str">
        <f>IFERROR(IF($V695="Keep Contribution Same",H696,IF($V695="Enter Percentages",IF(V696="","",V696*T696),IF($V695="Keep Percentage Same",IF(G696="","",G696*T696),IF($V695="Enter Dollar Amount",IF(W696="","",W696),"")))),"")</f>
        <v/>
      </c>
      <c r="Y696" s="408" t="str">
        <f ca="1">IFERROR(T696-X696,"")</f>
        <v/>
      </c>
      <c r="Z696" s="410" t="str">
        <f>IFERROR(IF(X696="","",U696*X696),"")</f>
        <v/>
      </c>
    </row>
    <row r="697" spans="1:26" ht="18.75" customHeight="1">
      <c r="A697" s="140"/>
      <c r="B697" s="140"/>
      <c r="D697" s="172" t="s">
        <v>239</v>
      </c>
      <c r="E697" s="407" t="str">
        <f ca="1">_xlfn.IFNA(VLOOKUP(F695,BEGIN_CURRENT_DENTAL:END_CURRENT_DENTAL,CURRENT_COL_ES_count,FALSE),"")</f>
        <v/>
      </c>
      <c r="F697" s="408" t="str">
        <f ca="1">_xlfn.IFNA(VLOOKUP(F695,BEGIN_CURRENT_DENTAL:END_CURRENT_DENTAL,CURRENT_COL_ES,FALSE),"")</f>
        <v/>
      </c>
      <c r="G697" s="468" t="str">
        <f t="shared" ca="1" si="77"/>
        <v/>
      </c>
      <c r="H697" s="408" t="str">
        <f ca="1">_xlfn.IFNA(VLOOKUP(F695,BEGIN_CURRENT_DENTAL:END_CURRENT_DENTAL,CURRENT_COL_ESContrib,FALSE),"")</f>
        <v/>
      </c>
      <c r="I697" s="409" t="str">
        <f ca="1" t="shared" si="78" ref="I697:I699">IFERROR(F697-H697,"")</f>
        <v/>
      </c>
      <c r="J697" s="410" t="str">
        <f ca="1">IF(F697="","",H697*E697)</f>
        <v/>
      </c>
      <c r="K697" s="411"/>
      <c r="L697" s="408" t="str" cm="1">
        <f t="array" ca="1" aca="1" ref="L697">_xlfn.IFNA(VLOOKUP(INDIRECT("L"&amp;ROW()-2)&amp;"_"&amp;$D$12,BEGIN_Renew_Dental:END_RENEW_DENTAL,RENEW_COL_ES,FALSE),"")</f>
        <v/>
      </c>
      <c r="M697" s="412" t="str">
        <f ca="1">IF(E697="","",E697)</f>
        <v/>
      </c>
      <c r="N697" s="413"/>
      <c r="O697" s="414"/>
      <c r="P697" s="415" t="str">
        <f>IFERROR(IF($N695="Keep Contribution Same",H697,IF($N695="Enter Percentages",IF(N697="","",N697*L697),IF($N695="Keep Percentage Same",IF(G697="","",G697*L697),IF($N695="Enter Dollar Amount",IF(O697="","",O697),"")))),"")</f>
        <v/>
      </c>
      <c r="Q697" s="408" t="str">
        <f ca="1">IFERROR(L697-P697,"")</f>
        <v/>
      </c>
      <c r="R697" s="410" t="str">
        <f>IFERROR(IF(P697="","",M697*P697),"")</f>
        <v/>
      </c>
      <c r="S697" s="411"/>
      <c r="T697" s="408" t="str" cm="1">
        <f t="array" ca="1" aca="1" ref="T697">_xlfn.IFNA(VLOOKUP(INDIRECT("T"&amp;ROW()-2)&amp;"_"&amp;$D$12,BEGIN_Renew_Dental:END_RENEW_DENTAL,RENEW_COL_ES,FALSE),"")</f>
        <v/>
      </c>
      <c r="U697" s="412" t="str">
        <f ca="1" t="shared" si="79" ref="U697:U699">IF(E697="","",E697)</f>
        <v/>
      </c>
      <c r="V697" s="413"/>
      <c r="W697" s="414"/>
      <c r="X697" s="415" t="str">
        <f>IFERROR(IF($V695="Keep Contribution Same",H697,IF($V695="Enter Percentages",IF(V697="","",V697*T697),IF($V695="Keep Percentage Same",IF(G697="","",G697*T697),IF($V695="Enter Dollar Amount",IF(W697="","",W697),"")))),"")</f>
        <v/>
      </c>
      <c r="Y697" s="408" t="str">
        <f ca="1" t="shared" si="80" ref="Y697:Y699">IFERROR(T697-X697,"")</f>
        <v/>
      </c>
      <c r="Z697" s="410" t="str">
        <f t="shared" si="81" ref="Z697:Z699">IFERROR(IF(X697="","",U697*X697),"")</f>
        <v/>
      </c>
    </row>
    <row r="698" spans="1:26" ht="18.75" customHeight="1">
      <c r="A698" s="140"/>
      <c r="B698" s="140"/>
      <c r="D698" s="172" t="s">
        <v>240</v>
      </c>
      <c r="E698" s="407" t="str">
        <f ca="1">_xlfn.IFNA(VLOOKUP(F695,BEGIN_CURRENT_DENTAL:END_CURRENT_DENTAL,CURRENT_COL_EC_count,FALSE),"")</f>
        <v/>
      </c>
      <c r="F698" s="408" t="str">
        <f ca="1">_xlfn.IFNA(VLOOKUP(F695,BEGIN_CURRENT_DENTAL:END_CURRENT_DENTAL,CURRENT_COL_EC,FALSE),"")</f>
        <v/>
      </c>
      <c r="G698" s="468" t="str">
        <f t="shared" ca="1" si="77"/>
        <v/>
      </c>
      <c r="H698" s="408" t="str">
        <f ca="1">_xlfn.IFNA(VLOOKUP(F695,BEGIN_CURRENT_DENTAL:END_CURRENT_DENTAL,CURRENT_COL_ECContrib,FALSE),"")</f>
        <v/>
      </c>
      <c r="I698" s="409" t="str">
        <f t="shared" ca="1" si="78"/>
        <v/>
      </c>
      <c r="J698" s="410" t="str">
        <f ca="1">IF(F698="","",H698*E698)</f>
        <v/>
      </c>
      <c r="K698" s="411"/>
      <c r="L698" s="408" t="str" cm="1">
        <f t="array" ca="1" aca="1" ref="L698">_xlfn.IFNA(VLOOKUP(INDIRECT("L"&amp;ROW()-3)&amp;"_"&amp;$D$12,BEGIN_Renew_Dental:END_RENEW_DENTAL,RENEW_COL_EC,FALSE),"")</f>
        <v/>
      </c>
      <c r="M698" s="412" t="str">
        <f ca="1">IF(E698="","",E698)</f>
        <v/>
      </c>
      <c r="N698" s="413"/>
      <c r="O698" s="414"/>
      <c r="P698" s="415" t="str">
        <f>IFERROR(IF($N695="Keep Contribution Same",H698,IF($N695="Enter Percentages",IF(N698="","",N698*L698),IF($N695="Keep Percentage Same",IF(G698="","",G698*L698),IF($N695="Enter Dollar Amount",IF(O698="","",O698),"")))),"")</f>
        <v/>
      </c>
      <c r="Q698" s="408" t="str">
        <f ca="1">IFERROR(L698-P698,"")</f>
        <v/>
      </c>
      <c r="R698" s="410" t="str">
        <f>IFERROR(IF(P698="","",M698*P698),"")</f>
        <v/>
      </c>
      <c r="S698" s="411"/>
      <c r="T698" s="408" t="str" cm="1">
        <f t="array" ca="1" aca="1" ref="T698">_xlfn.IFNA(VLOOKUP(INDIRECT("T"&amp;ROW()-3)&amp;"_"&amp;$D$12,BEGIN_Renew_Dental:END_RENEW_DENTAL,RENEW_COL_EC,FALSE),"")</f>
        <v/>
      </c>
      <c r="U698" s="412" t="str">
        <f t="shared" ca="1" si="79"/>
        <v/>
      </c>
      <c r="V698" s="413"/>
      <c r="W698" s="414"/>
      <c r="X698" s="415" t="str">
        <f>IFERROR(IF($V695="Keep Contribution Same",H698,IF($V695="Enter Percentages",IF(V698="","",V698*T698),IF($V695="Keep Percentage Same",IF(G698="","",G698*T698),IF($V695="Enter Dollar Amount",IF(W698="","",W698),"")))),"")</f>
        <v/>
      </c>
      <c r="Y698" s="408" t="str">
        <f t="shared" ca="1" si="80"/>
        <v/>
      </c>
      <c r="Z698" s="410" t="str">
        <f t="shared" si="81"/>
        <v/>
      </c>
    </row>
    <row r="699" spans="1:26" ht="18.75" customHeight="1" thickBot="1">
      <c r="A699" s="140"/>
      <c r="B699" s="140"/>
      <c r="D699" s="174" t="s">
        <v>241</v>
      </c>
      <c r="E699" s="416" t="str">
        <f ca="1">_xlfn.IFNA(VLOOKUP(F695,BEGIN_CURRENT_DENTAL:END_CURRENT_DENTAL,CURRENT_COL_FAM_count,FALSE),"")</f>
        <v/>
      </c>
      <c r="F699" s="417" t="str">
        <f ca="1">_xlfn.IFNA(VLOOKUP(F695,BEGIN_CURRENT_DENTAL:END_CURRENT_DENTAL,CURRENT_COL_FAM,FALSE),"")</f>
        <v/>
      </c>
      <c r="G699" s="469" t="str">
        <f t="shared" ca="1" si="77"/>
        <v/>
      </c>
      <c r="H699" s="417" t="str">
        <f ca="1">_xlfn.IFNA(VLOOKUP(F695,BEGIN_CURRENT_DENTAL:END_CURRENT_DENTAL,CURRENT_COL_FAMContrib,FALSE),"")</f>
        <v/>
      </c>
      <c r="I699" s="418" t="str">
        <f t="shared" ca="1" si="78"/>
        <v/>
      </c>
      <c r="J699" s="419" t="str">
        <f ca="1">IF(F699="","",H699*E699)</f>
        <v/>
      </c>
      <c r="K699" s="411"/>
      <c r="L699" s="417" t="str" cm="1">
        <f t="array" ca="1" aca="1" ref="L699">_xlfn.IFNA(VLOOKUP(INDIRECT("L"&amp;ROW()-4)&amp;"_"&amp;$D$12,BEGIN_Renew_Dental:END_RENEW_DENTAL,RENEW_COL_FAM,FALSE),"")</f>
        <v/>
      </c>
      <c r="M699" s="423" t="str">
        <f ca="1">IF(E699="","",E699)</f>
        <v/>
      </c>
      <c r="N699" s="420"/>
      <c r="O699" s="421"/>
      <c r="P699" s="422" t="str">
        <f>IFERROR(IF($N695="Keep Contribution Same",H699,IF($N695="Enter Percentages",IF(N699="","",N699*L699),IF($N695="Keep Percentage Same",IF(G699="","",G699*L699),IF($N695="Enter Dollar Amount",IF(O699="","",O699),"")))),"")</f>
        <v/>
      </c>
      <c r="Q699" s="417" t="str">
        <f ca="1">IFERROR(L699-P699,"")</f>
        <v/>
      </c>
      <c r="R699" s="419" t="str">
        <f>IFERROR(IF(P699="","",M699*P699),"")</f>
        <v/>
      </c>
      <c r="S699" s="411"/>
      <c r="T699" s="417" t="str" cm="1">
        <f t="array" ca="1" aca="1" ref="T699">_xlfn.IFNA(VLOOKUP(INDIRECT("T"&amp;ROW()-4)&amp;"_"&amp;$D$12,BEGIN_Renew_Dental:END_RENEW_DENTAL,RENEW_COL_FAM,FALSE),"")</f>
        <v/>
      </c>
      <c r="U699" s="423" t="str">
        <f t="shared" ca="1" si="79"/>
        <v/>
      </c>
      <c r="V699" s="420"/>
      <c r="W699" s="421"/>
      <c r="X699" s="422" t="str">
        <f>IFERROR(IF($V695="Keep Contribution Same",H699,IF($V695="Enter Percentages",IF(V699="","",V699*T699),IF($V695="Keep Percentage Same",IF(G699="","",G699*T699),IF($V695="Enter Dollar Amount",IF(W699="","",W699),"")))),"")</f>
        <v/>
      </c>
      <c r="Y699" s="417" t="str">
        <f t="shared" ca="1" si="80"/>
        <v/>
      </c>
      <c r="Z699" s="419" t="str">
        <f t="shared" si="81"/>
        <v/>
      </c>
    </row>
    <row r="700" spans="1:26" ht="18.75" customHeight="1" thickTop="1">
      <c r="A700" s="140"/>
      <c r="B700" s="140"/>
      <c r="D700" s="175" t="s">
        <v>242</v>
      </c>
      <c r="E700" s="424"/>
      <c r="F700" s="427"/>
      <c r="G700" s="426"/>
      <c r="H700" s="427"/>
      <c r="I700" s="428"/>
      <c r="J700" s="429" t="str">
        <f ca="1">IFERROR(IF(J696="","",SUM(J696:J699)),0)</f>
        <v/>
      </c>
      <c r="K700" s="1"/>
      <c r="L700" s="424"/>
      <c r="M700" s="427"/>
      <c r="N700" s="426"/>
      <c r="O700" s="427"/>
      <c r="P700" s="431"/>
      <c r="Q700" s="432"/>
      <c r="R700" s="429" t="str">
        <f>IFERROR(IF(R696="","",SUM(R696:R699)),0)</f>
        <v/>
      </c>
      <c r="T700" s="424"/>
      <c r="U700" s="427"/>
      <c r="V700" s="426"/>
      <c r="W700" s="427"/>
      <c r="X700" s="431"/>
      <c r="Y700" s="432"/>
      <c r="Z700" s="429" t="str">
        <f>IFERROR(IF(Z696="","",SUM(Z696:Z699)),0)</f>
        <v/>
      </c>
    </row>
    <row r="701" spans="1:26" ht="18.75" customHeight="1">
      <c r="A701" s="140"/>
      <c r="B701" s="140"/>
      <c r="D701" s="177" t="s">
        <v>243</v>
      </c>
      <c r="E701" s="433"/>
      <c r="F701" s="436"/>
      <c r="G701" s="435"/>
      <c r="H701" s="436"/>
      <c r="I701" s="432"/>
      <c r="J701" s="437" t="str">
        <f ca="1">IF(J700="","",J700*12)</f>
        <v/>
      </c>
      <c r="K701" s="1"/>
      <c r="L701" s="433"/>
      <c r="M701" s="436"/>
      <c r="N701" s="435"/>
      <c r="O701" s="436"/>
      <c r="P701" s="432"/>
      <c r="Q701" s="432"/>
      <c r="R701" s="437" t="str">
        <f>IF(R700="","",R700*12)</f>
        <v/>
      </c>
      <c r="T701" s="433"/>
      <c r="U701" s="436"/>
      <c r="V701" s="435"/>
      <c r="W701" s="436"/>
      <c r="X701" s="432"/>
      <c r="Y701" s="432"/>
      <c r="Z701" s="437" t="str">
        <f>IF(Z700="","",Z700*12)</f>
        <v/>
      </c>
    </row>
    <row r="702" spans="1:26" ht="18" customHeight="1">
      <c r="A702" s="140"/>
      <c r="B702" s="140"/>
      <c r="D702" s="177" t="s">
        <v>244</v>
      </c>
      <c r="E702" s="433"/>
      <c r="F702" s="436"/>
      <c r="G702" s="435"/>
      <c r="H702" s="436"/>
      <c r="I702" s="432"/>
      <c r="J702" s="437"/>
      <c r="K702" s="1"/>
      <c r="L702" s="433"/>
      <c r="M702" s="436"/>
      <c r="N702" s="435"/>
      <c r="O702" s="436"/>
      <c r="P702" s="432"/>
      <c r="Q702" s="432"/>
      <c r="R702" s="437" t="str">
        <f ca="1">IFERROR(IF(J701="","",R701-J701),0)</f>
        <v/>
      </c>
      <c r="T702" s="433"/>
      <c r="U702" s="436"/>
      <c r="V702" s="435"/>
      <c r="W702" s="436"/>
      <c r="X702" s="432"/>
      <c r="Y702" s="432"/>
      <c r="Z702" s="437" t="str">
        <f>IFERROR(IF(R701="","",Z701-R701),0)</f>
        <v/>
      </c>
    </row>
    <row r="703" spans="1:26" ht="18" customHeight="1" thickBot="1">
      <c r="A703" s="140"/>
      <c r="B703" s="140"/>
      <c r="D703" s="180" t="s">
        <v>245</v>
      </c>
      <c r="E703" s="439"/>
      <c r="F703" s="440"/>
      <c r="G703" s="441"/>
      <c r="H703" s="440"/>
      <c r="I703" s="442"/>
      <c r="J703" s="437"/>
      <c r="K703" s="1"/>
      <c r="L703" s="439"/>
      <c r="M703" s="440"/>
      <c r="N703" s="441"/>
      <c r="O703" s="440"/>
      <c r="P703" s="445"/>
      <c r="Q703" s="445"/>
      <c r="R703" s="446" t="str">
        <f ca="1">IFERROR(IF(J701="","",(R701/J701)-1),0)</f>
        <v/>
      </c>
      <c r="T703" s="439"/>
      <c r="U703" s="440"/>
      <c r="V703" s="441"/>
      <c r="W703" s="440"/>
      <c r="X703" s="445"/>
      <c r="Y703" s="445"/>
      <c r="Z703" s="446" t="str">
        <f>IFERROR(IF(R701="","",(Z701/R701)-1),0)</f>
        <v/>
      </c>
    </row>
    <row r="704" spans="1:26" ht="5.25" customHeight="1" thickBot="1">
      <c r="A704" s="140"/>
      <c r="B704" s="140"/>
      <c r="D704" s="229"/>
      <c r="E704" s="229"/>
      <c r="F704" s="230"/>
      <c r="G704" s="231"/>
      <c r="H704" s="232"/>
      <c r="I704" s="233"/>
      <c r="J704" s="233"/>
      <c r="K704"/>
      <c r="L704" s="233"/>
      <c r="M704" s="233"/>
      <c r="N704" s="233"/>
      <c r="O704" s="233"/>
      <c r="P704" s="233"/>
      <c r="Q704" s="233"/>
      <c r="R704" s="233"/>
      <c r="T704" s="233"/>
      <c r="U704" s="233"/>
      <c r="V704" s="233"/>
      <c r="W704" s="233"/>
      <c r="X704" s="233"/>
      <c r="Y704" s="233"/>
      <c r="Z704" s="233"/>
    </row>
    <row r="705" spans="1:26" ht="50.15" customHeight="1">
      <c r="A705" s="140">
        <v>5</v>
      </c>
      <c r="B705" s="140" t="str">
        <f>IF(A705&gt;Class6_CurrentDentalCount,"DELETE",Class6_CurrentDentalStart+A705)</f>
        <v>DELETE</v>
      </c>
      <c r="C705" s="164" t="s">
        <v>293</v>
      </c>
      <c r="D705" s="273" t="str">
        <f>IF(B705="Delete","",VLOOKUP(F705,BEGIN_CURRENT_DENTAL:END_CURRENT_DENTAL,3,FALSE))</f>
        <v/>
      </c>
      <c r="E705" s="165"/>
      <c r="F705" s="272" t="str" cm="1">
        <f t="array" ca="1" aca="1" ref="F705">IF(B705="Delete","",INDIRECT("CurrentPlans!A"&amp;B705,TRUE))</f>
        <v/>
      </c>
      <c r="G705" s="166"/>
      <c r="H705" s="167"/>
      <c r="I705" s="168"/>
      <c r="J705" s="169"/>
      <c r="K705"/>
      <c r="L705" s="274" t="str">
        <f ca="1">_xlfn.IFNA(VLOOKUP(F705,BEGIN_RENEWEDFROM_DENTAL:ROW_RenewDental_PlanID,3,FALSE),"SELECT PLAN")</f>
        <v>SELECT PLAN</v>
      </c>
      <c r="M705" s="170"/>
      <c r="N705" s="274" t="s">
        <v>237</v>
      </c>
      <c r="O705" s="171"/>
      <c r="P705" s="171"/>
      <c r="Q705" s="171"/>
      <c r="R705" s="169"/>
      <c r="T705" s="274" t="s">
        <v>38</v>
      </c>
      <c r="U705" s="170"/>
      <c r="V705" s="274" t="s">
        <v>237</v>
      </c>
      <c r="W705" s="171"/>
      <c r="X705" s="171"/>
      <c r="Y705" s="171"/>
      <c r="Z705" s="169"/>
    </row>
    <row r="706" spans="1:26" ht="18.75" customHeight="1">
      <c r="A706" s="140"/>
      <c r="B706" s="140"/>
      <c r="D706" s="172" t="s">
        <v>238</v>
      </c>
      <c r="E706" s="407" t="str">
        <f ca="1">_xlfn.IFNA(VLOOKUP(F705,BEGIN_CURRENT_DENTAL:END_CURRENT_DENTAL,CURRENT_COL_EO_count,FALSE),"")</f>
        <v/>
      </c>
      <c r="F706" s="408" t="str">
        <f ca="1">_xlfn.IFNA(VLOOKUP(F705,BEGIN_CURRENT_DENTAL:END_CURRENT_DENTAL,CURRENT_COL_EO,FALSE),"")</f>
        <v/>
      </c>
      <c r="G706" s="468" t="str">
        <f ca="1" t="shared" si="82" ref="G706:G709">IF(F706="","",H706/F706)</f>
        <v/>
      </c>
      <c r="H706" s="408" t="str">
        <f ca="1">_xlfn.IFNA(VLOOKUP(F705,BEGIN_CURRENT_DENTAL:END_CURRENT_DENTAL,CURRENT_COL_EOContrib,FALSE),"")</f>
        <v/>
      </c>
      <c r="I706" s="409" t="str">
        <f ca="1">IFERROR(F706-H706,"")</f>
        <v/>
      </c>
      <c r="J706" s="410" t="str">
        <f ca="1">IF(F706="","",H706*E706)</f>
        <v/>
      </c>
      <c r="K706" s="411"/>
      <c r="L706" s="408" t="str" cm="1">
        <f t="array" ca="1" aca="1" ref="L706">_xlfn.IFNA(VLOOKUP(INDIRECT("L"&amp;ROW()-1)&amp;"_"&amp;$D$12,BEGIN_Renew_Dental:END_RENEW_DENTAL,RENEW_COL_EO,FALSE),"")</f>
        <v/>
      </c>
      <c r="M706" s="412" t="str">
        <f ca="1">IF(E706="","",E706)</f>
        <v/>
      </c>
      <c r="N706" s="413"/>
      <c r="O706" s="414"/>
      <c r="P706" s="415" t="str">
        <f>IFERROR(IF($N705="Keep Contribution Same",H706,IF($N705="Enter Percentages",IF(N706="","",N706*L706),IF($N705="Keep Percentage Same",IF(G706="","",G706*L706),IF($N705="Enter Dollar Amount",IF(O706="","",O706),"")))),"")</f>
        <v/>
      </c>
      <c r="Q706" s="408" t="str">
        <f ca="1">IFERROR(L706-P706,"")</f>
        <v/>
      </c>
      <c r="R706" s="410" t="str">
        <f>IFERROR(IF(P706="","",M706*P706),"")</f>
        <v/>
      </c>
      <c r="S706" s="411"/>
      <c r="T706" s="408" t="str" cm="1">
        <f t="array" ca="1" aca="1" ref="T706">_xlfn.IFNA(VLOOKUP(INDIRECT("T"&amp;ROW()-1)&amp;"_"&amp;$D$12,BEGIN_Renew_Dental:END_RENEW_DENTAL,RENEW_COL_EO,FALSE),"")</f>
        <v/>
      </c>
      <c r="U706" s="412" t="str">
        <f ca="1">IF(E706="","",E706)</f>
        <v/>
      </c>
      <c r="V706" s="413"/>
      <c r="W706" s="414"/>
      <c r="X706" s="415" t="str">
        <f>IFERROR(IF($V705="Keep Contribution Same",H706,IF($V705="Enter Percentages",IF(V706="","",V706*T706),IF($V705="Keep Percentage Same",IF(G706="","",G706*T706),IF($V705="Enter Dollar Amount",IF(W706="","",W706),"")))),"")</f>
        <v/>
      </c>
      <c r="Y706" s="408" t="str">
        <f ca="1">IFERROR(T706-X706,"")</f>
        <v/>
      </c>
      <c r="Z706" s="410" t="str">
        <f>IFERROR(IF(X706="","",U706*X706),"")</f>
        <v/>
      </c>
    </row>
    <row r="707" spans="1:26" ht="18.75" customHeight="1">
      <c r="A707" s="140"/>
      <c r="B707" s="140"/>
      <c r="D707" s="172" t="s">
        <v>239</v>
      </c>
      <c r="E707" s="407" t="str">
        <f ca="1">_xlfn.IFNA(VLOOKUP(F705,BEGIN_CURRENT_DENTAL:END_CURRENT_DENTAL,CURRENT_COL_ES_count,FALSE),"")</f>
        <v/>
      </c>
      <c r="F707" s="408" t="str">
        <f ca="1">_xlfn.IFNA(VLOOKUP(F705,BEGIN_CURRENT_DENTAL:END_CURRENT_DENTAL,CURRENT_COL_ES,FALSE),"")</f>
        <v/>
      </c>
      <c r="G707" s="468" t="str">
        <f t="shared" ca="1" si="82"/>
        <v/>
      </c>
      <c r="H707" s="408" t="str">
        <f ca="1">_xlfn.IFNA(VLOOKUP(F705,BEGIN_CURRENT_DENTAL:END_CURRENT_DENTAL,CURRENT_COL_ESContrib,FALSE),"")</f>
        <v/>
      </c>
      <c r="I707" s="409" t="str">
        <f ca="1" t="shared" si="83" ref="I707:I709">IFERROR(F707-H707,"")</f>
        <v/>
      </c>
      <c r="J707" s="410" t="str">
        <f ca="1">IF(F707="","",H707*E707)</f>
        <v/>
      </c>
      <c r="K707" s="411"/>
      <c r="L707" s="408" t="str" cm="1">
        <f t="array" ca="1" aca="1" ref="L707">_xlfn.IFNA(VLOOKUP(INDIRECT("L"&amp;ROW()-2)&amp;"_"&amp;$D$12,BEGIN_Renew_Dental:END_RENEW_DENTAL,RENEW_COL_ES,FALSE),"")</f>
        <v/>
      </c>
      <c r="M707" s="412" t="str">
        <f ca="1">IF(E707="","",E707)</f>
        <v/>
      </c>
      <c r="N707" s="413"/>
      <c r="O707" s="414"/>
      <c r="P707" s="415" t="str">
        <f>IFERROR(IF($N705="Keep Contribution Same",H707,IF($N705="Enter Percentages",IF(N707="","",N707*L707),IF($N705="Keep Percentage Same",IF(G707="","",G707*L707),IF($N705="Enter Dollar Amount",IF(O707="","",O707),"")))),"")</f>
        <v/>
      </c>
      <c r="Q707" s="408" t="str">
        <f ca="1">IFERROR(L707-P707,"")</f>
        <v/>
      </c>
      <c r="R707" s="410" t="str">
        <f>IFERROR(IF(P707="","",M707*P707),"")</f>
        <v/>
      </c>
      <c r="S707" s="411"/>
      <c r="T707" s="408" t="str" cm="1">
        <f t="array" ca="1" aca="1" ref="T707">_xlfn.IFNA(VLOOKUP(INDIRECT("T"&amp;ROW()-2)&amp;"_"&amp;$D$12,BEGIN_Renew_Dental:END_RENEW_DENTAL,RENEW_COL_ES,FALSE),"")</f>
        <v/>
      </c>
      <c r="U707" s="412" t="str">
        <f ca="1" t="shared" si="84" ref="U707:U709">IF(E707="","",E707)</f>
        <v/>
      </c>
      <c r="V707" s="413"/>
      <c r="W707" s="414"/>
      <c r="X707" s="415" t="str">
        <f>IFERROR(IF($V705="Keep Contribution Same",H707,IF($V705="Enter Percentages",IF(V707="","",V707*T707),IF($V705="Keep Percentage Same",IF(G707="","",G707*T707),IF($V705="Enter Dollar Amount",IF(W707="","",W707),"")))),"")</f>
        <v/>
      </c>
      <c r="Y707" s="408" t="str">
        <f ca="1" t="shared" si="85" ref="Y707:Y709">IFERROR(T707-X707,"")</f>
        <v/>
      </c>
      <c r="Z707" s="410" t="str">
        <f t="shared" si="86" ref="Z707:Z709">IFERROR(IF(X707="","",U707*X707),"")</f>
        <v/>
      </c>
    </row>
    <row r="708" spans="1:26" ht="18.75" customHeight="1">
      <c r="A708" s="140"/>
      <c r="B708" s="140"/>
      <c r="D708" s="172" t="s">
        <v>240</v>
      </c>
      <c r="E708" s="407" t="str">
        <f ca="1">_xlfn.IFNA(VLOOKUP(F705,BEGIN_CURRENT_DENTAL:END_CURRENT_DENTAL,CURRENT_COL_EC_count,FALSE),"")</f>
        <v/>
      </c>
      <c r="F708" s="408" t="str">
        <f ca="1">_xlfn.IFNA(VLOOKUP(F705,BEGIN_CURRENT_DENTAL:END_CURRENT_DENTAL,CURRENT_COL_EC,FALSE),"")</f>
        <v/>
      </c>
      <c r="G708" s="468" t="str">
        <f t="shared" ca="1" si="82"/>
        <v/>
      </c>
      <c r="H708" s="408" t="str">
        <f ca="1">_xlfn.IFNA(VLOOKUP(F705,BEGIN_CURRENT_DENTAL:END_CURRENT_DENTAL,CURRENT_COL_ECContrib,FALSE),"")</f>
        <v/>
      </c>
      <c r="I708" s="409" t="str">
        <f t="shared" ca="1" si="83"/>
        <v/>
      </c>
      <c r="J708" s="410" t="str">
        <f ca="1">IF(F708="","",H708*E708)</f>
        <v/>
      </c>
      <c r="K708" s="411"/>
      <c r="L708" s="408" t="str" cm="1">
        <f t="array" ca="1" aca="1" ref="L708">_xlfn.IFNA(VLOOKUP(INDIRECT("L"&amp;ROW()-3)&amp;"_"&amp;$D$12,BEGIN_Renew_Dental:END_RENEW_DENTAL,RENEW_COL_EC,FALSE),"")</f>
        <v/>
      </c>
      <c r="M708" s="412" t="str">
        <f ca="1">IF(E708="","",E708)</f>
        <v/>
      </c>
      <c r="N708" s="413"/>
      <c r="O708" s="414"/>
      <c r="P708" s="415" t="str">
        <f>IFERROR(IF($N705="Keep Contribution Same",H708,IF($N705="Enter Percentages",IF(N708="","",N708*L708),IF($N705="Keep Percentage Same",IF(G708="","",G708*L708),IF($N705="Enter Dollar Amount",IF(O708="","",O708),"")))),"")</f>
        <v/>
      </c>
      <c r="Q708" s="408" t="str">
        <f ca="1">IFERROR(L708-P708,"")</f>
        <v/>
      </c>
      <c r="R708" s="410" t="str">
        <f>IFERROR(IF(P708="","",M708*P708),"")</f>
        <v/>
      </c>
      <c r="S708" s="411"/>
      <c r="T708" s="408" t="str" cm="1">
        <f t="array" ca="1" aca="1" ref="T708">_xlfn.IFNA(VLOOKUP(INDIRECT("T"&amp;ROW()-3)&amp;"_"&amp;$D$12,BEGIN_Renew_Dental:END_RENEW_DENTAL,RENEW_COL_EC,FALSE),"")</f>
        <v/>
      </c>
      <c r="U708" s="412" t="str">
        <f t="shared" ca="1" si="84"/>
        <v/>
      </c>
      <c r="V708" s="413"/>
      <c r="W708" s="414"/>
      <c r="X708" s="415" t="str">
        <f>IFERROR(IF($V705="Keep Contribution Same",H708,IF($V705="Enter Percentages",IF(V708="","",V708*T708),IF($V705="Keep Percentage Same",IF(G708="","",G708*T708),IF($V705="Enter Dollar Amount",IF(W708="","",W708),"")))),"")</f>
        <v/>
      </c>
      <c r="Y708" s="408" t="str">
        <f t="shared" ca="1" si="85"/>
        <v/>
      </c>
      <c r="Z708" s="410" t="str">
        <f t="shared" si="86"/>
        <v/>
      </c>
    </row>
    <row r="709" spans="1:26" ht="18.75" customHeight="1" thickBot="1">
      <c r="A709" s="140"/>
      <c r="B709" s="140"/>
      <c r="D709" s="174" t="s">
        <v>241</v>
      </c>
      <c r="E709" s="416" t="str">
        <f ca="1">_xlfn.IFNA(VLOOKUP(F705,BEGIN_CURRENT_DENTAL:END_CURRENT_DENTAL,CURRENT_COL_FAM_count,FALSE),"")</f>
        <v/>
      </c>
      <c r="F709" s="417" t="str">
        <f ca="1">_xlfn.IFNA(VLOOKUP(F705,BEGIN_CURRENT_DENTAL:END_CURRENT_DENTAL,CURRENT_COL_FAM,FALSE),"")</f>
        <v/>
      </c>
      <c r="G709" s="469" t="str">
        <f t="shared" ca="1" si="82"/>
        <v/>
      </c>
      <c r="H709" s="417" t="str">
        <f ca="1">_xlfn.IFNA(VLOOKUP(F705,BEGIN_CURRENT_DENTAL:END_CURRENT_DENTAL,CURRENT_COL_FAMContrib,FALSE),"")</f>
        <v/>
      </c>
      <c r="I709" s="418" t="str">
        <f t="shared" ca="1" si="83"/>
        <v/>
      </c>
      <c r="J709" s="419" t="str">
        <f ca="1">IF(F709="","",H709*E709)</f>
        <v/>
      </c>
      <c r="K709" s="411"/>
      <c r="L709" s="417" t="str" cm="1">
        <f t="array" ca="1" aca="1" ref="L709">_xlfn.IFNA(VLOOKUP(INDIRECT("L"&amp;ROW()-4)&amp;"_"&amp;$D$12,BEGIN_Renew_Dental:END_RENEW_DENTAL,RENEW_COL_FAM,FALSE),"")</f>
        <v/>
      </c>
      <c r="M709" s="423" t="str">
        <f ca="1">IF(E709="","",E709)</f>
        <v/>
      </c>
      <c r="N709" s="420"/>
      <c r="O709" s="421"/>
      <c r="P709" s="422" t="str">
        <f>IFERROR(IF($N705="Keep Contribution Same",H709,IF($N705="Enter Percentages",IF(N709="","",N709*L709),IF($N705="Keep Percentage Same",IF(G709="","",G709*L709),IF($N705="Enter Dollar Amount",IF(O709="","",O709),"")))),"")</f>
        <v/>
      </c>
      <c r="Q709" s="417" t="str">
        <f ca="1">IFERROR(L709-P709,"")</f>
        <v/>
      </c>
      <c r="R709" s="419" t="str">
        <f>IFERROR(IF(P709="","",M709*P709),"")</f>
        <v/>
      </c>
      <c r="S709" s="411"/>
      <c r="T709" s="417" t="str" cm="1">
        <f t="array" ca="1" aca="1" ref="T709">_xlfn.IFNA(VLOOKUP(INDIRECT("T"&amp;ROW()-4)&amp;"_"&amp;$D$12,BEGIN_Renew_Dental:END_RENEW_DENTAL,RENEW_COL_FAM,FALSE),"")</f>
        <v/>
      </c>
      <c r="U709" s="423" t="str">
        <f t="shared" ca="1" si="84"/>
        <v/>
      </c>
      <c r="V709" s="420"/>
      <c r="W709" s="421"/>
      <c r="X709" s="422" t="str">
        <f>IFERROR(IF($V705="Keep Contribution Same",H709,IF($V705="Enter Percentages",IF(V709="","",V709*T709),IF($V705="Keep Percentage Same",IF(G709="","",G709*T709),IF($V705="Enter Dollar Amount",IF(W709="","",W709),"")))),"")</f>
        <v/>
      </c>
      <c r="Y709" s="417" t="str">
        <f t="shared" ca="1" si="85"/>
        <v/>
      </c>
      <c r="Z709" s="419" t="str">
        <f t="shared" si="86"/>
        <v/>
      </c>
    </row>
    <row r="710" spans="1:26" ht="18.75" customHeight="1" thickTop="1">
      <c r="A710" s="140"/>
      <c r="B710" s="140"/>
      <c r="D710" s="175" t="s">
        <v>242</v>
      </c>
      <c r="E710" s="424"/>
      <c r="F710" s="427"/>
      <c r="G710" s="426"/>
      <c r="H710" s="427"/>
      <c r="I710" s="428"/>
      <c r="J710" s="429" t="str">
        <f ca="1">IFERROR(IF(J706="","",SUM(J706:J709)),0)</f>
        <v/>
      </c>
      <c r="K710" s="1"/>
      <c r="L710" s="424"/>
      <c r="M710" s="427"/>
      <c r="N710" s="426"/>
      <c r="O710" s="427"/>
      <c r="P710" s="431"/>
      <c r="Q710" s="432"/>
      <c r="R710" s="429" t="str">
        <f>IFERROR(IF(R706="","",SUM(R706:R709)),0)</f>
        <v/>
      </c>
      <c r="T710" s="424"/>
      <c r="U710" s="427"/>
      <c r="V710" s="426"/>
      <c r="W710" s="427"/>
      <c r="X710" s="431"/>
      <c r="Y710" s="432"/>
      <c r="Z710" s="429" t="str">
        <f>IFERROR(IF(Z706="","",SUM(Z706:Z709)),0)</f>
        <v/>
      </c>
    </row>
    <row r="711" spans="1:26" ht="18.75" customHeight="1">
      <c r="A711" s="140"/>
      <c r="B711" s="140"/>
      <c r="D711" s="177" t="s">
        <v>243</v>
      </c>
      <c r="E711" s="433"/>
      <c r="F711" s="436"/>
      <c r="G711" s="435"/>
      <c r="H711" s="436"/>
      <c r="I711" s="432"/>
      <c r="J711" s="437" t="str">
        <f ca="1">IF(J710="","",J710*12)</f>
        <v/>
      </c>
      <c r="K711" s="1"/>
      <c r="L711" s="433"/>
      <c r="M711" s="436"/>
      <c r="N711" s="435"/>
      <c r="O711" s="436"/>
      <c r="P711" s="432"/>
      <c r="Q711" s="432"/>
      <c r="R711" s="437" t="str">
        <f>IF(R710="","",R710*12)</f>
        <v/>
      </c>
      <c r="T711" s="433"/>
      <c r="U711" s="436"/>
      <c r="V711" s="435"/>
      <c r="W711" s="436"/>
      <c r="X711" s="432"/>
      <c r="Y711" s="432"/>
      <c r="Z711" s="437" t="str">
        <f>IF(Z710="","",Z710*12)</f>
        <v/>
      </c>
    </row>
    <row r="712" spans="1:26" ht="18" customHeight="1">
      <c r="A712" s="140"/>
      <c r="B712" s="140"/>
      <c r="D712" s="177" t="s">
        <v>244</v>
      </c>
      <c r="E712" s="433"/>
      <c r="F712" s="436"/>
      <c r="G712" s="435"/>
      <c r="H712" s="436"/>
      <c r="I712" s="432"/>
      <c r="J712" s="437"/>
      <c r="K712" s="1"/>
      <c r="L712" s="433"/>
      <c r="M712" s="436"/>
      <c r="N712" s="435"/>
      <c r="O712" s="436"/>
      <c r="P712" s="432"/>
      <c r="Q712" s="432"/>
      <c r="R712" s="437" t="str">
        <f ca="1">IFERROR(IF(J711="","",R711-J711),0)</f>
        <v/>
      </c>
      <c r="T712" s="433"/>
      <c r="U712" s="436"/>
      <c r="V712" s="435"/>
      <c r="W712" s="436"/>
      <c r="X712" s="432"/>
      <c r="Y712" s="432"/>
      <c r="Z712" s="437" t="str">
        <f>IFERROR(IF(R711="","",Z711-R711),0)</f>
        <v/>
      </c>
    </row>
    <row r="713" spans="1:26" ht="18" customHeight="1" thickBot="1">
      <c r="A713" s="140"/>
      <c r="B713" s="140"/>
      <c r="D713" s="180" t="s">
        <v>245</v>
      </c>
      <c r="E713" s="439"/>
      <c r="F713" s="440"/>
      <c r="G713" s="441"/>
      <c r="H713" s="440"/>
      <c r="I713" s="442"/>
      <c r="J713" s="437"/>
      <c r="K713" s="1"/>
      <c r="L713" s="439"/>
      <c r="M713" s="440"/>
      <c r="N713" s="441"/>
      <c r="O713" s="440"/>
      <c r="P713" s="445"/>
      <c r="Q713" s="445"/>
      <c r="R713" s="446" t="str">
        <f ca="1">IFERROR(IF(J711="","",(R711/J711)-1),0)</f>
        <v/>
      </c>
      <c r="T713" s="439"/>
      <c r="U713" s="440"/>
      <c r="V713" s="441"/>
      <c r="W713" s="440"/>
      <c r="X713" s="445"/>
      <c r="Y713" s="445"/>
      <c r="Z713" s="446" t="str">
        <f>IFERROR(IF(R711="","",(Z711/R711)-1),0)</f>
        <v/>
      </c>
    </row>
    <row r="714" spans="1:26" ht="5.25" customHeight="1" thickBot="1">
      <c r="A714" s="140"/>
      <c r="B714" s="140"/>
      <c r="D714" s="229"/>
      <c r="E714" s="229"/>
      <c r="F714" s="230"/>
      <c r="G714" s="231"/>
      <c r="H714" s="232"/>
      <c r="I714" s="233"/>
      <c r="J714" s="233"/>
      <c r="K714"/>
      <c r="L714" s="233"/>
      <c r="M714" s="233"/>
      <c r="N714" s="233"/>
      <c r="O714" s="233"/>
      <c r="P714" s="233"/>
      <c r="Q714" s="233"/>
      <c r="R714" s="233"/>
      <c r="T714" s="233"/>
      <c r="U714" s="233"/>
      <c r="V714" s="233"/>
      <c r="W714" s="233"/>
      <c r="X714" s="233"/>
      <c r="Y714" s="233"/>
      <c r="Z714" s="233"/>
    </row>
    <row r="715" spans="1:26" ht="50.15" customHeight="1">
      <c r="A715" s="140"/>
      <c r="B715" s="140"/>
      <c r="C715" s="164" t="s">
        <v>294</v>
      </c>
      <c r="D715" s="275" t="s">
        <v>285</v>
      </c>
      <c r="E715" s="165"/>
      <c r="F715" s="272"/>
      <c r="G715" s="166"/>
      <c r="H715" s="167"/>
      <c r="I715" s="168"/>
      <c r="J715" s="169"/>
      <c r="K715"/>
      <c r="L715" s="274" t="s">
        <v>38</v>
      </c>
      <c r="M715" s="170"/>
      <c r="N715" s="274" t="s">
        <v>237</v>
      </c>
      <c r="O715" s="171"/>
      <c r="P715" s="171"/>
      <c r="Q715" s="171"/>
      <c r="R715" s="169"/>
      <c r="T715" s="274" t="s">
        <v>38</v>
      </c>
      <c r="U715" s="170"/>
      <c r="V715" s="274" t="s">
        <v>237</v>
      </c>
      <c r="W715" s="171"/>
      <c r="X715" s="171"/>
      <c r="Y715" s="171"/>
      <c r="Z715" s="169"/>
    </row>
    <row r="716" spans="1:26" ht="18.75" customHeight="1">
      <c r="A716" s="140"/>
      <c r="B716" s="140"/>
      <c r="D716" s="172" t="s">
        <v>238</v>
      </c>
      <c r="E716" s="407"/>
      <c r="F716" s="449"/>
      <c r="G716" s="470"/>
      <c r="H716" s="449"/>
      <c r="I716" s="450"/>
      <c r="J716" s="410"/>
      <c r="K716" s="411"/>
      <c r="L716" s="408" t="str" cm="1">
        <f t="array" ca="1" aca="1" ref="L716">_xlfn.IFNA(VLOOKUP(INDIRECT("L"&amp;ROW()-1)&amp;"_"&amp;$D$12,BEGIN_Renew_Dental:END_RENEW_DENTAL,RENEW_COL_EO,FALSE),"")</f>
        <v/>
      </c>
      <c r="M716" s="412" t="str">
        <f>IF(E716="","",E716)</f>
        <v/>
      </c>
      <c r="N716" s="413"/>
      <c r="O716" s="414"/>
      <c r="P716" s="415" t="str">
        <f>IFERROR(IF($N715="Keep Contribution Same",H716,IF($N715="Enter Percentages",IF(N716="","",N716*L716),IF($N715="Keep Percentage Same",IF(G716="","",G716*L716),IF($N715="Enter Dollar Amount",IF(O716="","",O716),"")))),"")</f>
        <v/>
      </c>
      <c r="Q716" s="408" t="str">
        <f>IFERROR(R716-P716,"")</f>
        <v/>
      </c>
      <c r="R716" s="410" t="str">
        <f>IFERROR(IF(P716="","",M716*P716),"")</f>
        <v/>
      </c>
      <c r="S716" s="411"/>
      <c r="T716" s="408" t="str" cm="1">
        <f t="array" ca="1" aca="1" ref="T716">_xlfn.IFNA(VLOOKUP(INDIRECT("T"&amp;ROW()-1)&amp;"_"&amp;$D$12,BEGIN_Renew_Dental:END_RENEW_DENTAL,RENEW_COL_EO,FALSE),"")</f>
        <v/>
      </c>
      <c r="U716" s="412" t="str">
        <f>IF(E716="","",E716)</f>
        <v/>
      </c>
      <c r="V716" s="413"/>
      <c r="W716" s="414"/>
      <c r="X716" s="415" t="str">
        <f>IFERROR(IF($V715="Keep Contribution Same",H716,IF($V715="Enter Percentages",IF(V716="","",V716*T716),IF($V715="Keep Percentage Same",IF(G716="","",G716*T716),IF($V715="Enter Dollar Amount",IF(W716="","",W716),"")))),"")</f>
        <v/>
      </c>
      <c r="Y716" s="408" t="str">
        <f ca="1">IFERROR(T716-X716,"")</f>
        <v/>
      </c>
      <c r="Z716" s="410" t="str">
        <f>IFERROR(IF(X716="","",U716*X716),"")</f>
        <v/>
      </c>
    </row>
    <row r="717" spans="1:26" ht="18.75" customHeight="1">
      <c r="A717" s="140"/>
      <c r="B717" s="140"/>
      <c r="D717" s="172" t="s">
        <v>239</v>
      </c>
      <c r="E717" s="407"/>
      <c r="F717" s="449"/>
      <c r="G717" s="470"/>
      <c r="H717" s="449"/>
      <c r="I717" s="450"/>
      <c r="J717" s="410"/>
      <c r="K717" s="411"/>
      <c r="L717" s="408" t="str" cm="1">
        <f t="array" ca="1" aca="1" ref="L717">_xlfn.IFNA(VLOOKUP(INDIRECT("L"&amp;ROW()-2)&amp;"_"&amp;$D$12,BEGIN_Renew_Dental:END_RENEW_DENTAL,RENEW_COL_ES,FALSE),"")</f>
        <v/>
      </c>
      <c r="M717" s="412" t="str">
        <f>IF(E717="","",E717)</f>
        <v/>
      </c>
      <c r="N717" s="413"/>
      <c r="O717" s="414"/>
      <c r="P717" s="415" t="str">
        <f>IFERROR(IF($N715="Keep Contribution Same",H717,IF($N715="Enter Percentages",IF(N717="","",N717*L717),IF($N715="Keep Percentage Same",IF(G717="","",G717*L717),IF($N715="Enter Dollar Amount",IF(O717="","",O717),"")))),"")</f>
        <v/>
      </c>
      <c r="Q717" s="408" t="str">
        <f t="shared" si="87" ref="Q717">IFERROR(R717-P717,"")</f>
        <v/>
      </c>
      <c r="R717" s="410" t="str">
        <f>IFERROR(IF(P717="","",M717*P717),"")</f>
        <v/>
      </c>
      <c r="S717" s="411"/>
      <c r="T717" s="408" t="str" cm="1">
        <f t="array" ca="1" aca="1" ref="T717">_xlfn.IFNA(VLOOKUP(INDIRECT("T"&amp;ROW()-2)&amp;"_"&amp;$D$12,BEGIN_Renew_Dental:END_RENEW_DENTAL,RENEW_COL_ES,FALSE),"")</f>
        <v/>
      </c>
      <c r="U717" s="412" t="str">
        <f t="shared" si="88" ref="U717:U719">IF(E717="","",E717)</f>
        <v/>
      </c>
      <c r="V717" s="413"/>
      <c r="W717" s="414"/>
      <c r="X717" s="415" t="str">
        <f>IFERROR(IF($V715="Keep Contribution Same",H717,IF($V715="Enter Percentages",IF(V717="","",V717*T717),IF($V715="Keep Percentage Same",IF(G717="","",G717*T717),IF($V715="Enter Dollar Amount",IF(W717="","",W717),"")))),"")</f>
        <v/>
      </c>
      <c r="Y717" s="408" t="str">
        <f ca="1" t="shared" si="89" ref="Y717:Y719">IFERROR(T717-X717,"")</f>
        <v/>
      </c>
      <c r="Z717" s="410" t="str">
        <f t="shared" si="90" ref="Z717:Z719">IFERROR(IF(X717="","",U717*X717),"")</f>
        <v/>
      </c>
    </row>
    <row r="718" spans="1:26" ht="18.75" customHeight="1">
      <c r="A718" s="140"/>
      <c r="B718" s="140"/>
      <c r="D718" s="172" t="s">
        <v>240</v>
      </c>
      <c r="E718" s="407"/>
      <c r="F718" s="449"/>
      <c r="G718" s="470"/>
      <c r="H718" s="449"/>
      <c r="I718" s="450"/>
      <c r="J718" s="410"/>
      <c r="K718" s="411"/>
      <c r="L718" s="408" t="str" cm="1">
        <f t="array" ca="1" aca="1" ref="L718">_xlfn.IFNA(VLOOKUP(INDIRECT("L"&amp;ROW()-3)&amp;"_"&amp;$D$12,BEGIN_Renew_Dental:END_RENEW_DENTAL,RENEW_COL_EC,FALSE),"")</f>
        <v/>
      </c>
      <c r="M718" s="412" t="str">
        <f>IF(E718="","",E718)</f>
        <v/>
      </c>
      <c r="N718" s="413"/>
      <c r="O718" s="414"/>
      <c r="P718" s="415" t="str">
        <f>IFERROR(IF($N715="Keep Contribution Same",H718,IF($N715="Enter Percentages",IF(N718="","",N718*L718),IF($N715="Keep Percentage Same",IF(G718="","",G718*L718),IF($N715="Enter Dollar Amount",IF(O718="","",O718),"")))),"")</f>
        <v/>
      </c>
      <c r="Q718" s="408" t="str">
        <f>IFERROR(R718-P718,"")</f>
        <v/>
      </c>
      <c r="R718" s="410" t="str">
        <f>IFERROR(IF(P718="","",M718*P718),"")</f>
        <v/>
      </c>
      <c r="S718" s="411"/>
      <c r="T718" s="408" t="str" cm="1">
        <f t="array" ca="1" aca="1" ref="T718">_xlfn.IFNA(VLOOKUP(INDIRECT("T"&amp;ROW()-3)&amp;"_"&amp;$D$12,BEGIN_Renew_Dental:END_RENEW_DENTAL,RENEW_COL_EC,FALSE),"")</f>
        <v/>
      </c>
      <c r="U718" s="412" t="str">
        <f t="shared" si="88"/>
        <v/>
      </c>
      <c r="V718" s="413"/>
      <c r="W718" s="414"/>
      <c r="X718" s="415" t="str">
        <f>IFERROR(IF($V715="Keep Contribution Same",H718,IF($V715="Enter Percentages",IF(V718="","",V718*T718),IF($V715="Keep Percentage Same",IF(G718="","",G718*T718),IF($V715="Enter Dollar Amount",IF(W718="","",W718),"")))),"")</f>
        <v/>
      </c>
      <c r="Y718" s="408" t="str">
        <f t="shared" ca="1" si="89"/>
        <v/>
      </c>
      <c r="Z718" s="410" t="str">
        <f t="shared" si="90"/>
        <v/>
      </c>
    </row>
    <row r="719" spans="1:26" ht="18.75" customHeight="1" thickBot="1">
      <c r="A719" s="140"/>
      <c r="B719" s="140"/>
      <c r="D719" s="174" t="s">
        <v>241</v>
      </c>
      <c r="E719" s="416"/>
      <c r="F719" s="451"/>
      <c r="G719" s="471"/>
      <c r="H719" s="451"/>
      <c r="I719" s="452"/>
      <c r="J719" s="419"/>
      <c r="K719" s="411"/>
      <c r="L719" s="417" t="str" cm="1">
        <f t="array" ca="1" aca="1" ref="L719">_xlfn.IFNA(VLOOKUP(INDIRECT("L"&amp;ROW()-4)&amp;"_"&amp;$D$12,BEGIN_Renew_Dental:END_RENEW_DENTAL,RENEW_COL_FAM,FALSE),"")</f>
        <v/>
      </c>
      <c r="M719" s="423" t="str">
        <f>IF(E719="","",E719)</f>
        <v/>
      </c>
      <c r="N719" s="420"/>
      <c r="O719" s="421"/>
      <c r="P719" s="422" t="str">
        <f>IFERROR(IF($N715="Keep Contribution Same",H719,IF($N715="Enter Percentages",IF(N719="","",N719*L719),IF($N715="Keep Percentage Same",IF(G719="","",G719*L719),IF($N715="Enter Dollar Amount",IF(O719="","",O719),"")))),"")</f>
        <v/>
      </c>
      <c r="Q719" s="417" t="str">
        <f>IFERROR(R719-P719,"")</f>
        <v/>
      </c>
      <c r="R719" s="419" t="str">
        <f>IFERROR(IF(P719="","",M719*P719),"")</f>
        <v/>
      </c>
      <c r="S719" s="411"/>
      <c r="T719" s="417" t="str" cm="1">
        <f t="array" ca="1" aca="1" ref="T719">_xlfn.IFNA(VLOOKUP(INDIRECT("T"&amp;ROW()-4)&amp;"_"&amp;$D$12,BEGIN_Renew_Dental:END_RENEW_DENTAL,RENEW_COL_FAM,FALSE),"")</f>
        <v/>
      </c>
      <c r="U719" s="423" t="str">
        <f t="shared" si="88"/>
        <v/>
      </c>
      <c r="V719" s="420"/>
      <c r="W719" s="421"/>
      <c r="X719" s="422" t="str">
        <f>IFERROR(IF($V715="Keep Contribution Same",H719,IF($V715="Enter Percentages",IF(V719="","",V719*T719),IF($V715="Keep Percentage Same",IF(G719="","",G719*T719),IF($V715="Enter Dollar Amount",IF(W719="","",W719),"")))),"")</f>
        <v/>
      </c>
      <c r="Y719" s="417" t="str">
        <f t="shared" ca="1" si="89"/>
        <v/>
      </c>
      <c r="Z719" s="419" t="str">
        <f t="shared" si="90"/>
        <v/>
      </c>
    </row>
    <row r="720" spans="1:26" ht="18.75" customHeight="1" thickTop="1">
      <c r="A720" s="140"/>
      <c r="B720" s="140"/>
      <c r="D720" s="175" t="s">
        <v>329</v>
      </c>
      <c r="E720" s="424"/>
      <c r="F720" s="427"/>
      <c r="G720" s="426"/>
      <c r="H720" s="427"/>
      <c r="I720" s="428"/>
      <c r="J720" s="429" t="str">
        <f>IFERROR(IF(J716="","",SUM(J716:J719)),0)</f>
        <v/>
      </c>
      <c r="K720" s="1"/>
      <c r="L720" s="424"/>
      <c r="M720" s="427"/>
      <c r="N720" s="426"/>
      <c r="O720" s="427"/>
      <c r="P720" s="431"/>
      <c r="Q720" s="432"/>
      <c r="R720" s="429" t="str">
        <f>IFERROR(IF(R716="","",SUM(R716:R719)),0)</f>
        <v/>
      </c>
      <c r="T720" s="424"/>
      <c r="U720" s="427"/>
      <c r="V720" s="426"/>
      <c r="W720" s="427"/>
      <c r="X720" s="431"/>
      <c r="Y720" s="432"/>
      <c r="Z720" s="429" t="str">
        <f>IFERROR(IF(Z716="","",SUM(Z716:Z719)),0)</f>
        <v/>
      </c>
    </row>
    <row r="721" spans="1:26" ht="18.75" customHeight="1">
      <c r="A721" s="140"/>
      <c r="B721" s="140"/>
      <c r="D721" s="177" t="s">
        <v>243</v>
      </c>
      <c r="E721" s="433"/>
      <c r="F721" s="436"/>
      <c r="G721" s="435"/>
      <c r="H721" s="436"/>
      <c r="I721" s="432"/>
      <c r="J721" s="437" t="str">
        <f>IF(J720="","",J720*12)</f>
        <v/>
      </c>
      <c r="K721" s="1"/>
      <c r="L721" s="433"/>
      <c r="M721" s="436"/>
      <c r="N721" s="435"/>
      <c r="O721" s="436"/>
      <c r="P721" s="432"/>
      <c r="Q721" s="432"/>
      <c r="R721" s="437" t="str">
        <f>IF(R720="","",R720*12)</f>
        <v/>
      </c>
      <c r="T721" s="433"/>
      <c r="U721" s="436"/>
      <c r="V721" s="435"/>
      <c r="W721" s="436"/>
      <c r="X721" s="432"/>
      <c r="Y721" s="432"/>
      <c r="Z721" s="437" t="str">
        <f>IF(Z720="","",Z720*12)</f>
        <v/>
      </c>
    </row>
    <row r="722" spans="1:26" ht="18" customHeight="1">
      <c r="A722" s="140"/>
      <c r="B722" s="140"/>
      <c r="D722" s="177" t="s">
        <v>244</v>
      </c>
      <c r="E722" s="433"/>
      <c r="F722" s="436"/>
      <c r="G722" s="435"/>
      <c r="H722" s="436"/>
      <c r="I722" s="432"/>
      <c r="J722" s="437" t="str">
        <f>IFERROR(IF(J721="","",R721-J721),0)</f>
        <v/>
      </c>
      <c r="K722" s="1"/>
      <c r="L722" s="433"/>
      <c r="M722" s="436"/>
      <c r="N722" s="435"/>
      <c r="O722" s="436"/>
      <c r="P722" s="432"/>
      <c r="Q722" s="432"/>
      <c r="R722" s="437" t="str">
        <f>IFERROR(IF(J721="","",R721-J721),0)</f>
        <v/>
      </c>
      <c r="T722" s="433"/>
      <c r="U722" s="436"/>
      <c r="V722" s="435"/>
      <c r="W722" s="436"/>
      <c r="X722" s="432"/>
      <c r="Y722" s="432"/>
      <c r="Z722" s="437" t="str">
        <f>IFERROR(IF(R721="","",Z721-R721),0)</f>
        <v/>
      </c>
    </row>
    <row r="723" spans="1:26" ht="18" customHeight="1" thickBot="1">
      <c r="A723" s="140"/>
      <c r="B723" s="140"/>
      <c r="D723" s="180" t="s">
        <v>245</v>
      </c>
      <c r="E723" s="439"/>
      <c r="F723" s="440"/>
      <c r="G723" s="441"/>
      <c r="H723" s="440"/>
      <c r="I723" s="442"/>
      <c r="J723" s="437" t="str">
        <f>IFERROR(IF(J721="","",(R721/J721)-1),0)</f>
        <v/>
      </c>
      <c r="K723" s="1"/>
      <c r="L723" s="439"/>
      <c r="M723" s="440"/>
      <c r="N723" s="441"/>
      <c r="O723" s="440"/>
      <c r="P723" s="445"/>
      <c r="Q723" s="445"/>
      <c r="R723" s="446" t="str">
        <f>IFERROR(IF(J721="","",(R721/J721)-1),0)</f>
        <v/>
      </c>
      <c r="T723" s="439"/>
      <c r="U723" s="440"/>
      <c r="V723" s="441"/>
      <c r="W723" s="440"/>
      <c r="X723" s="445"/>
      <c r="Y723" s="445"/>
      <c r="Z723" s="446" t="str">
        <f>IFERROR(IF(R721="","",(Z721/R721)-1),0)</f>
        <v/>
      </c>
    </row>
    <row r="724" spans="1:26" ht="5.25" customHeight="1" thickBot="1">
      <c r="A724" s="140"/>
      <c r="B724" s="140"/>
      <c r="D724" s="229"/>
      <c r="E724" s="229"/>
      <c r="F724" s="230"/>
      <c r="G724" s="231"/>
      <c r="H724" s="232"/>
      <c r="I724" s="233"/>
      <c r="J724" s="233"/>
      <c r="K724"/>
      <c r="L724" s="233"/>
      <c r="M724" s="233"/>
      <c r="N724" s="233"/>
      <c r="O724" s="233"/>
      <c r="P724" s="233"/>
      <c r="Q724" s="233"/>
      <c r="R724" s="233"/>
      <c r="T724" s="233"/>
      <c r="U724" s="233"/>
      <c r="V724" s="233"/>
      <c r="W724" s="233"/>
      <c r="X724" s="233"/>
      <c r="Y724" s="233"/>
      <c r="Z724" s="233"/>
    </row>
    <row r="725" spans="1:26" ht="50.15" customHeight="1">
      <c r="A725" s="140"/>
      <c r="B725" s="140"/>
      <c r="C725" s="164" t="s">
        <v>295</v>
      </c>
      <c r="D725" s="275" t="s">
        <v>285</v>
      </c>
      <c r="E725" s="165"/>
      <c r="F725" s="272"/>
      <c r="G725" s="166"/>
      <c r="H725" s="167"/>
      <c r="I725" s="168"/>
      <c r="J725" s="169"/>
      <c r="K725"/>
      <c r="L725" s="274" t="s">
        <v>38</v>
      </c>
      <c r="M725" s="170"/>
      <c r="N725" s="274" t="s">
        <v>237</v>
      </c>
      <c r="O725" s="171"/>
      <c r="P725" s="171"/>
      <c r="Q725" s="171"/>
      <c r="R725" s="169"/>
      <c r="T725" s="274" t="s">
        <v>38</v>
      </c>
      <c r="U725" s="170"/>
      <c r="V725" s="274" t="s">
        <v>237</v>
      </c>
      <c r="W725" s="171"/>
      <c r="X725" s="171"/>
      <c r="Y725" s="171"/>
      <c r="Z725" s="169"/>
    </row>
    <row r="726" spans="1:26" ht="18.75" customHeight="1">
      <c r="A726" s="140"/>
      <c r="B726" s="140"/>
      <c r="D726" s="172" t="s">
        <v>238</v>
      </c>
      <c r="E726" s="407"/>
      <c r="F726" s="449"/>
      <c r="G726" s="470"/>
      <c r="H726" s="449"/>
      <c r="I726" s="450"/>
      <c r="J726" s="410"/>
      <c r="K726" s="411"/>
      <c r="L726" s="408" t="str" cm="1">
        <f t="array" ca="1" aca="1" ref="L726">_xlfn.IFNA(VLOOKUP(INDIRECT("L"&amp;ROW()-1)&amp;"_"&amp;$D$12,BEGIN_Renew_Dental:END_RENEW_DENTAL,RENEW_COL_EO,FALSE),"")</f>
        <v/>
      </c>
      <c r="M726" s="412" t="str">
        <f>IF(E726="","",E726)</f>
        <v/>
      </c>
      <c r="N726" s="413"/>
      <c r="O726" s="414"/>
      <c r="P726" s="415" t="str">
        <f>IFERROR(IF($N725="Keep Contribution Same",H726,IF($N725="Enter Percentages",IF(N726="","",N726*L726),IF($N725="Keep Percentage Same",IF(G726="","",G726*L726),IF($N725="Enter Dollar Amount",IF(O726="","",O726),"")))),"")</f>
        <v/>
      </c>
      <c r="Q726" s="408" t="str">
        <f>IFERROR(R726-P726,"")</f>
        <v/>
      </c>
      <c r="R726" s="410" t="str">
        <f>IFERROR(IF(P726="","",M726*P726),"")</f>
        <v/>
      </c>
      <c r="S726" s="411"/>
      <c r="T726" s="408" t="str" cm="1">
        <f t="array" ca="1" aca="1" ref="T726">_xlfn.IFNA(VLOOKUP(INDIRECT("T"&amp;ROW()-1)&amp;"_"&amp;$D$12,BEGIN_Renew_Dental:END_RENEW_DENTAL,RENEW_COL_EO,FALSE),"")</f>
        <v/>
      </c>
      <c r="U726" s="412" t="str">
        <f>IF(E726="","",E726)</f>
        <v/>
      </c>
      <c r="V726" s="413"/>
      <c r="W726" s="414"/>
      <c r="X726" s="415" t="str">
        <f>IFERROR(IF($V725="Keep Contribution Same",H726,IF($V725="Enter Percentages",IF(V726="","",V726*T726),IF($V725="Keep Percentage Same",IF(G726="","",G726*T726),IF($V725="Enter Dollar Amount",IF(W726="","",W726),"")))),"")</f>
        <v/>
      </c>
      <c r="Y726" s="408" t="str">
        <f ca="1">IFERROR(T726-X726,"")</f>
        <v/>
      </c>
      <c r="Z726" s="410" t="str">
        <f>IFERROR(IF(X726="","",U726*X726),"")</f>
        <v/>
      </c>
    </row>
    <row r="727" spans="1:26" ht="18.75" customHeight="1">
      <c r="A727" s="140"/>
      <c r="B727" s="140"/>
      <c r="D727" s="172" t="s">
        <v>239</v>
      </c>
      <c r="E727" s="407"/>
      <c r="F727" s="449"/>
      <c r="G727" s="470"/>
      <c r="H727" s="449"/>
      <c r="I727" s="450"/>
      <c r="J727" s="410"/>
      <c r="K727" s="411"/>
      <c r="L727" s="408" t="str" cm="1">
        <f t="array" ca="1" aca="1" ref="L727">_xlfn.IFNA(VLOOKUP(INDIRECT("L"&amp;ROW()-2)&amp;"_"&amp;$D$12,BEGIN_Renew_Dental:END_RENEW_DENTAL,RENEW_COL_ES,FALSE),"")</f>
        <v/>
      </c>
      <c r="M727" s="412" t="str">
        <f>IF(E727="","",E727)</f>
        <v/>
      </c>
      <c r="N727" s="413"/>
      <c r="O727" s="414"/>
      <c r="P727" s="415" t="str">
        <f>IFERROR(IF($N725="Keep Contribution Same",H727,IF($N725="Enter Percentages",IF(N727="","",N727*L727),IF($N725="Keep Percentage Same",IF(G727="","",G727*L727),IF($N725="Enter Dollar Amount",IF(O727="","",O727),"")))),"")</f>
        <v/>
      </c>
      <c r="Q727" s="408" t="str">
        <f t="shared" si="91" ref="Q727">IFERROR(R727-P727,"")</f>
        <v/>
      </c>
      <c r="R727" s="410" t="str">
        <f>IFERROR(IF(P727="","",M727*P727),"")</f>
        <v/>
      </c>
      <c r="S727" s="411"/>
      <c r="T727" s="408" t="str" cm="1">
        <f t="array" ca="1" aca="1" ref="T727">_xlfn.IFNA(VLOOKUP(INDIRECT("T"&amp;ROW()-2)&amp;"_"&amp;$D$12,BEGIN_Renew_Dental:END_RENEW_DENTAL,RENEW_COL_ES,FALSE),"")</f>
        <v/>
      </c>
      <c r="U727" s="412" t="str">
        <f t="shared" si="92" ref="U727:U729">IF(E727="","",E727)</f>
        <v/>
      </c>
      <c r="V727" s="413"/>
      <c r="W727" s="414"/>
      <c r="X727" s="415" t="str">
        <f>IFERROR(IF($V725="Keep Contribution Same",H727,IF($V725="Enter Percentages",IF(V727="","",V727*T727),IF($V725="Keep Percentage Same",IF(G727="","",G727*T727),IF($V725="Enter Dollar Amount",IF(W727="","",W727),"")))),"")</f>
        <v/>
      </c>
      <c r="Y727" s="408" t="str">
        <f ca="1" t="shared" si="93" ref="Y727:Y729">IFERROR(T727-X727,"")</f>
        <v/>
      </c>
      <c r="Z727" s="410" t="str">
        <f t="shared" si="94" ref="Z727:Z729">IFERROR(IF(X727="","",U727*X727),"")</f>
        <v/>
      </c>
    </row>
    <row r="728" spans="1:26" ht="18.75" customHeight="1">
      <c r="A728" s="140"/>
      <c r="B728" s="140"/>
      <c r="D728" s="172" t="s">
        <v>240</v>
      </c>
      <c r="E728" s="407"/>
      <c r="F728" s="449"/>
      <c r="G728" s="470"/>
      <c r="H728" s="449"/>
      <c r="I728" s="450"/>
      <c r="J728" s="410"/>
      <c r="K728" s="411"/>
      <c r="L728" s="408" t="str" cm="1">
        <f t="array" ca="1" aca="1" ref="L728">_xlfn.IFNA(VLOOKUP(INDIRECT("L"&amp;ROW()-3)&amp;"_"&amp;$D$12,BEGIN_Renew_Dental:END_RENEW_DENTAL,RENEW_COL_EC,FALSE),"")</f>
        <v/>
      </c>
      <c r="M728" s="412" t="str">
        <f>IF(E728="","",E728)</f>
        <v/>
      </c>
      <c r="N728" s="413"/>
      <c r="O728" s="414"/>
      <c r="P728" s="415" t="str">
        <f>IFERROR(IF($N725="Keep Contribution Same",H728,IF($N725="Enter Percentages",IF(N728="","",N728*L728),IF($N725="Keep Percentage Same",IF(G728="","",G728*L728),IF($N725="Enter Dollar Amount",IF(O728="","",O728),"")))),"")</f>
        <v/>
      </c>
      <c r="Q728" s="408" t="str">
        <f>IFERROR(R728-P728,"")</f>
        <v/>
      </c>
      <c r="R728" s="410" t="str">
        <f>IFERROR(IF(P728="","",M728*P728),"")</f>
        <v/>
      </c>
      <c r="S728" s="411"/>
      <c r="T728" s="408" t="str" cm="1">
        <f t="array" ca="1" aca="1" ref="T728">_xlfn.IFNA(VLOOKUP(INDIRECT("T"&amp;ROW()-3)&amp;"_"&amp;$D$12,BEGIN_Renew_Dental:END_RENEW_DENTAL,RENEW_COL_EC,FALSE),"")</f>
        <v/>
      </c>
      <c r="U728" s="412" t="str">
        <f t="shared" si="92"/>
        <v/>
      </c>
      <c r="V728" s="413"/>
      <c r="W728" s="414"/>
      <c r="X728" s="415" t="str">
        <f>IFERROR(IF($V725="Keep Contribution Same",H728,IF($V725="Enter Percentages",IF(V728="","",V728*T728),IF($V725="Keep Percentage Same",IF(G728="","",G728*T728),IF($V725="Enter Dollar Amount",IF(W728="","",W728),"")))),"")</f>
        <v/>
      </c>
      <c r="Y728" s="408" t="str">
        <f t="shared" ca="1" si="93"/>
        <v/>
      </c>
      <c r="Z728" s="410" t="str">
        <f t="shared" si="94"/>
        <v/>
      </c>
    </row>
    <row r="729" spans="1:26" ht="18.75" customHeight="1" thickBot="1">
      <c r="A729" s="140"/>
      <c r="B729" s="140"/>
      <c r="D729" s="174" t="s">
        <v>241</v>
      </c>
      <c r="E729" s="416"/>
      <c r="F729" s="451"/>
      <c r="G729" s="471"/>
      <c r="H729" s="451"/>
      <c r="I729" s="452"/>
      <c r="J729" s="419"/>
      <c r="K729" s="411"/>
      <c r="L729" s="417" t="str" cm="1">
        <f t="array" ca="1" aca="1" ref="L729">_xlfn.IFNA(VLOOKUP(INDIRECT("L"&amp;ROW()-4)&amp;"_"&amp;$D$12,BEGIN_Renew_Dental:END_RENEW_DENTAL,RENEW_COL_FAM,FALSE),"")</f>
        <v/>
      </c>
      <c r="M729" s="423" t="str">
        <f>IF(E729="","",E729)</f>
        <v/>
      </c>
      <c r="N729" s="420"/>
      <c r="O729" s="421"/>
      <c r="P729" s="422" t="str">
        <f>IFERROR(IF($N725="Keep Contribution Same",H729,IF($N725="Enter Percentages",IF(N729="","",N729*L729),IF($N725="Keep Percentage Same",IF(G729="","",G729*L729),IF($N725="Enter Dollar Amount",IF(O729="","",O729),"")))),"")</f>
        <v/>
      </c>
      <c r="Q729" s="417" t="str">
        <f>IFERROR(R729-P729,"")</f>
        <v/>
      </c>
      <c r="R729" s="419" t="str">
        <f>IFERROR(IF(P729="","",M729*P729),"")</f>
        <v/>
      </c>
      <c r="S729" s="411"/>
      <c r="T729" s="417" t="str" cm="1">
        <f t="array" ca="1" aca="1" ref="T729">_xlfn.IFNA(VLOOKUP(INDIRECT("T"&amp;ROW()-4)&amp;"_"&amp;$D$12,BEGIN_Renew_Dental:END_RENEW_DENTAL,RENEW_COL_FAM,FALSE),"")</f>
        <v/>
      </c>
      <c r="U729" s="423" t="str">
        <f t="shared" si="92"/>
        <v/>
      </c>
      <c r="V729" s="420"/>
      <c r="W729" s="421"/>
      <c r="X729" s="422" t="str">
        <f>IFERROR(IF($V725="Keep Contribution Same",H729,IF($V725="Enter Percentages",IF(V729="","",V729*T729),IF($V725="Keep Percentage Same",IF(G729="","",G729*T729),IF($V725="Enter Dollar Amount",IF(W729="","",W729),"")))),"")</f>
        <v/>
      </c>
      <c r="Y729" s="417" t="str">
        <f t="shared" ca="1" si="93"/>
        <v/>
      </c>
      <c r="Z729" s="419" t="str">
        <f t="shared" si="94"/>
        <v/>
      </c>
    </row>
    <row r="730" spans="1:26" ht="18.75" customHeight="1" thickTop="1">
      <c r="A730" s="140"/>
      <c r="B730" s="140"/>
      <c r="D730" s="175" t="s">
        <v>329</v>
      </c>
      <c r="E730" s="424"/>
      <c r="F730" s="427"/>
      <c r="G730" s="426"/>
      <c r="H730" s="427"/>
      <c r="I730" s="428"/>
      <c r="J730" s="429" t="str">
        <f>IFERROR(IF(J726="","",SUM(J726:J729)),0)</f>
        <v/>
      </c>
      <c r="K730" s="1"/>
      <c r="L730" s="424"/>
      <c r="M730" s="427"/>
      <c r="N730" s="426"/>
      <c r="O730" s="427"/>
      <c r="P730" s="431"/>
      <c r="Q730" s="432"/>
      <c r="R730" s="429" t="str">
        <f>IFERROR(IF(R726="","",SUM(R726:R729)),0)</f>
        <v/>
      </c>
      <c r="T730" s="424"/>
      <c r="U730" s="427"/>
      <c r="V730" s="426"/>
      <c r="W730" s="427"/>
      <c r="X730" s="431"/>
      <c r="Y730" s="432"/>
      <c r="Z730" s="429" t="str">
        <f>IFERROR(IF(Z726="","",SUM(Z726:Z729)),0)</f>
        <v/>
      </c>
    </row>
    <row r="731" spans="1:26" ht="18.75" customHeight="1">
      <c r="A731" s="140"/>
      <c r="B731" s="140"/>
      <c r="D731" s="177" t="s">
        <v>243</v>
      </c>
      <c r="E731" s="433"/>
      <c r="F731" s="436"/>
      <c r="G731" s="435"/>
      <c r="H731" s="436"/>
      <c r="I731" s="432"/>
      <c r="J731" s="437" t="str">
        <f>IF(J730="","",J730*12)</f>
        <v/>
      </c>
      <c r="K731" s="1"/>
      <c r="L731" s="433"/>
      <c r="M731" s="436"/>
      <c r="N731" s="435"/>
      <c r="O731" s="436"/>
      <c r="P731" s="432"/>
      <c r="Q731" s="432"/>
      <c r="R731" s="437" t="str">
        <f>IF(R730="","",R730*12)</f>
        <v/>
      </c>
      <c r="T731" s="433"/>
      <c r="U731" s="436"/>
      <c r="V731" s="435"/>
      <c r="W731" s="436"/>
      <c r="X731" s="432"/>
      <c r="Y731" s="432"/>
      <c r="Z731" s="437" t="str">
        <f>IF(Z730="","",Z730*12)</f>
        <v/>
      </c>
    </row>
    <row r="732" spans="1:26" ht="18" customHeight="1">
      <c r="A732" s="140"/>
      <c r="B732" s="140"/>
      <c r="D732" s="177" t="s">
        <v>244</v>
      </c>
      <c r="E732" s="433"/>
      <c r="F732" s="436"/>
      <c r="G732" s="435"/>
      <c r="H732" s="436"/>
      <c r="I732" s="432"/>
      <c r="J732" s="437" t="str">
        <f>IFERROR(IF(J731="","",R731-J731),0)</f>
        <v/>
      </c>
      <c r="K732" s="1"/>
      <c r="L732" s="433"/>
      <c r="M732" s="436"/>
      <c r="N732" s="435"/>
      <c r="O732" s="436"/>
      <c r="P732" s="432"/>
      <c r="Q732" s="432"/>
      <c r="R732" s="437" t="str">
        <f>IFERROR(IF(J731="","",R731-J731),0)</f>
        <v/>
      </c>
      <c r="T732" s="433"/>
      <c r="U732" s="436"/>
      <c r="V732" s="435"/>
      <c r="W732" s="436"/>
      <c r="X732" s="432"/>
      <c r="Y732" s="432"/>
      <c r="Z732" s="437" t="str">
        <f>IFERROR(IF(R731="","",Z731-R731),0)</f>
        <v/>
      </c>
    </row>
    <row r="733" spans="1:26" ht="18" customHeight="1" thickBot="1">
      <c r="A733" s="140"/>
      <c r="B733" s="140"/>
      <c r="D733" s="180" t="s">
        <v>245</v>
      </c>
      <c r="E733" s="439"/>
      <c r="F733" s="440"/>
      <c r="G733" s="441"/>
      <c r="H733" s="440"/>
      <c r="I733" s="442"/>
      <c r="J733" s="437" t="str">
        <f>IFERROR(IF(J731="","",(R731/J731)-1),0)</f>
        <v/>
      </c>
      <c r="K733" s="1"/>
      <c r="L733" s="439"/>
      <c r="M733" s="440"/>
      <c r="N733" s="441"/>
      <c r="O733" s="440"/>
      <c r="P733" s="445"/>
      <c r="Q733" s="445"/>
      <c r="R733" s="446" t="str">
        <f>IFERROR(IF(J731="","",(R731/J731)-1),0)</f>
        <v/>
      </c>
      <c r="T733" s="439"/>
      <c r="U733" s="440"/>
      <c r="V733" s="441"/>
      <c r="W733" s="440"/>
      <c r="X733" s="445"/>
      <c r="Y733" s="445"/>
      <c r="Z733" s="446" t="str">
        <f>IFERROR(IF(R731="","",(Z731/R731)-1),0)</f>
        <v/>
      </c>
    </row>
    <row r="734" spans="1:26" ht="5.25" customHeight="1" thickBot="1">
      <c r="A734" s="140"/>
      <c r="B734" s="140"/>
      <c r="D734" s="229"/>
      <c r="E734" s="229"/>
      <c r="F734" s="230"/>
      <c r="G734" s="231"/>
      <c r="H734" s="232"/>
      <c r="I734" s="233"/>
      <c r="J734" s="233"/>
      <c r="K734"/>
      <c r="L734" s="233"/>
      <c r="M734" s="233"/>
      <c r="N734" s="233"/>
      <c r="O734" s="233"/>
      <c r="P734" s="233"/>
      <c r="Q734" s="233"/>
      <c r="R734" s="233"/>
      <c r="T734" s="233"/>
      <c r="U734" s="233"/>
      <c r="V734" s="233"/>
      <c r="W734" s="233"/>
      <c r="X734" s="233"/>
      <c r="Y734" s="233"/>
      <c r="Z734" s="233"/>
    </row>
    <row r="735" spans="1:26" ht="50.15" customHeight="1">
      <c r="A735" s="140"/>
      <c r="B735" s="140"/>
      <c r="C735" s="164" t="s">
        <v>296</v>
      </c>
      <c r="D735" s="275" t="s">
        <v>285</v>
      </c>
      <c r="E735" s="165"/>
      <c r="F735" s="272"/>
      <c r="G735" s="166"/>
      <c r="H735" s="167"/>
      <c r="I735" s="168"/>
      <c r="J735" s="169"/>
      <c r="K735"/>
      <c r="L735" s="274" t="s">
        <v>38</v>
      </c>
      <c r="M735" s="170"/>
      <c r="N735" s="274" t="s">
        <v>237</v>
      </c>
      <c r="O735" s="171"/>
      <c r="P735" s="171"/>
      <c r="Q735" s="171"/>
      <c r="R735" s="169"/>
      <c r="T735" s="274" t="s">
        <v>38</v>
      </c>
      <c r="U735" s="170"/>
      <c r="V735" s="274" t="s">
        <v>237</v>
      </c>
      <c r="W735" s="171"/>
      <c r="X735" s="171"/>
      <c r="Y735" s="171"/>
      <c r="Z735" s="169"/>
    </row>
    <row r="736" spans="1:26" ht="18.75" customHeight="1">
      <c r="A736" s="140"/>
      <c r="B736" s="140"/>
      <c r="D736" s="172" t="s">
        <v>238</v>
      </c>
      <c r="E736" s="407"/>
      <c r="F736" s="449"/>
      <c r="G736" s="470"/>
      <c r="H736" s="449"/>
      <c r="I736" s="450"/>
      <c r="J736" s="410"/>
      <c r="K736" s="411"/>
      <c r="L736" s="408" t="str" cm="1">
        <f t="array" ca="1" aca="1" ref="L736">_xlfn.IFNA(VLOOKUP(INDIRECT("L"&amp;ROW()-1)&amp;"_"&amp;$D$12,BEGIN_Renew_Dental:END_RENEW_DENTAL,RENEW_COL_EO,FALSE),"")</f>
        <v/>
      </c>
      <c r="M736" s="412" t="str">
        <f>IF(E736="","",E736)</f>
        <v/>
      </c>
      <c r="N736" s="413"/>
      <c r="O736" s="414"/>
      <c r="P736" s="415" t="str">
        <f>IFERROR(IF($N735="Keep Contribution Same",H736,IF($N735="Enter Percentages",IF(N736="","",N736*L736),IF($N735="Keep Percentage Same",IF(G736="","",G736*L736),IF($N735="Enter Dollar Amount",IF(O736="","",O736),"")))),"")</f>
        <v/>
      </c>
      <c r="Q736" s="408" t="str">
        <f>IFERROR(R736-P736,"")</f>
        <v/>
      </c>
      <c r="R736" s="410" t="str">
        <f>IFERROR(IF(P736="","",M736*P736),"")</f>
        <v/>
      </c>
      <c r="S736" s="411"/>
      <c r="T736" s="408" t="str" cm="1">
        <f t="array" ca="1" aca="1" ref="T736">_xlfn.IFNA(VLOOKUP(INDIRECT("T"&amp;ROW()-1)&amp;"_"&amp;$D$12,BEGIN_Renew_Dental:END_RENEW_DENTAL,RENEW_COL_EO,FALSE),"")</f>
        <v/>
      </c>
      <c r="U736" s="412" t="str">
        <f>IF(E736="","",E736)</f>
        <v/>
      </c>
      <c r="V736" s="413"/>
      <c r="W736" s="414"/>
      <c r="X736" s="415" t="str">
        <f>IFERROR(IF($V735="Keep Contribution Same",H736,IF($V735="Enter Percentages",IF(V736="","",V736*T736),IF($V735="Keep Percentage Same",IF(G736="","",G736*T736),IF($V735="Enter Dollar Amount",IF(W736="","",W736),"")))),"")</f>
        <v/>
      </c>
      <c r="Y736" s="408" t="str">
        <f ca="1">IFERROR(T736-X736,"")</f>
        <v/>
      </c>
      <c r="Z736" s="410" t="str">
        <f>IFERROR(IF(X736="","",U736*X736),"")</f>
        <v/>
      </c>
    </row>
    <row r="737" spans="1:26" ht="18.75" customHeight="1">
      <c r="A737" s="140"/>
      <c r="B737" s="140"/>
      <c r="D737" s="172" t="s">
        <v>239</v>
      </c>
      <c r="E737" s="407"/>
      <c r="F737" s="449"/>
      <c r="G737" s="470"/>
      <c r="H737" s="449"/>
      <c r="I737" s="450"/>
      <c r="J737" s="410"/>
      <c r="K737" s="411"/>
      <c r="L737" s="408" t="str" cm="1">
        <f t="array" ca="1" aca="1" ref="L737">_xlfn.IFNA(VLOOKUP(INDIRECT("L"&amp;ROW()-2)&amp;"_"&amp;$D$12,BEGIN_Renew_Dental:END_RENEW_DENTAL,RENEW_COL_ES,FALSE),"")</f>
        <v/>
      </c>
      <c r="M737" s="412" t="str">
        <f>IF(E737="","",E737)</f>
        <v/>
      </c>
      <c r="N737" s="413"/>
      <c r="O737" s="414"/>
      <c r="P737" s="415" t="str">
        <f>IFERROR(IF($N735="Keep Contribution Same",H737,IF($N735="Enter Percentages",IF(N737="","",N737*L737),IF($N735="Keep Percentage Same",IF(G737="","",G737*L737),IF($N735="Enter Dollar Amount",IF(O737="","",O737),"")))),"")</f>
        <v/>
      </c>
      <c r="Q737" s="408" t="str">
        <f t="shared" si="95" ref="Q737">IFERROR(R737-P737,"")</f>
        <v/>
      </c>
      <c r="R737" s="410" t="str">
        <f>IFERROR(IF(P737="","",M737*P737),"")</f>
        <v/>
      </c>
      <c r="S737" s="411"/>
      <c r="T737" s="408" t="str" cm="1">
        <f t="array" ca="1" aca="1" ref="T737">_xlfn.IFNA(VLOOKUP(INDIRECT("T"&amp;ROW()-2)&amp;"_"&amp;$D$12,BEGIN_Renew_Dental:END_RENEW_DENTAL,RENEW_COL_ES,FALSE),"")</f>
        <v/>
      </c>
      <c r="U737" s="412" t="str">
        <f t="shared" si="96" ref="U737:U739">IF(E737="","",E737)</f>
        <v/>
      </c>
      <c r="V737" s="413"/>
      <c r="W737" s="414"/>
      <c r="X737" s="415" t="str">
        <f>IFERROR(IF($V735="Keep Contribution Same",H737,IF($V735="Enter Percentages",IF(V737="","",V737*T737),IF($V735="Keep Percentage Same",IF(G737="","",G737*T737),IF($V735="Enter Dollar Amount",IF(W737="","",W737),"")))),"")</f>
        <v/>
      </c>
      <c r="Y737" s="408" t="str">
        <f ca="1" t="shared" si="97" ref="Y737:Y739">IFERROR(T737-X737,"")</f>
        <v/>
      </c>
      <c r="Z737" s="410" t="str">
        <f t="shared" si="98" ref="Z737:Z739">IFERROR(IF(X737="","",U737*X737),"")</f>
        <v/>
      </c>
    </row>
    <row r="738" spans="1:26" ht="18.75" customHeight="1">
      <c r="A738" s="140"/>
      <c r="B738" s="140"/>
      <c r="D738" s="172" t="s">
        <v>240</v>
      </c>
      <c r="E738" s="407"/>
      <c r="F738" s="449"/>
      <c r="G738" s="470"/>
      <c r="H738" s="449"/>
      <c r="I738" s="450"/>
      <c r="J738" s="410"/>
      <c r="K738" s="411"/>
      <c r="L738" s="408" t="str" cm="1">
        <f t="array" ca="1" aca="1" ref="L738">_xlfn.IFNA(VLOOKUP(INDIRECT("L"&amp;ROW()-3)&amp;"_"&amp;$D$12,BEGIN_Renew_Dental:END_RENEW_DENTAL,RENEW_COL_EC,FALSE),"")</f>
        <v/>
      </c>
      <c r="M738" s="412" t="str">
        <f>IF(E738="","",E738)</f>
        <v/>
      </c>
      <c r="N738" s="413"/>
      <c r="O738" s="414"/>
      <c r="P738" s="415" t="str">
        <f>IFERROR(IF($N735="Keep Contribution Same",H738,IF($N735="Enter Percentages",IF(N738="","",N738*L738),IF($N735="Keep Percentage Same",IF(G738="","",G738*L738),IF($N735="Enter Dollar Amount",IF(O738="","",O738),"")))),"")</f>
        <v/>
      </c>
      <c r="Q738" s="408" t="str">
        <f>IFERROR(R738-P738,"")</f>
        <v/>
      </c>
      <c r="R738" s="410" t="str">
        <f>IFERROR(IF(P738="","",M738*P738),"")</f>
        <v/>
      </c>
      <c r="S738" s="411"/>
      <c r="T738" s="408" t="str" cm="1">
        <f t="array" ca="1" aca="1" ref="T738">_xlfn.IFNA(VLOOKUP(INDIRECT("T"&amp;ROW()-3)&amp;"_"&amp;$D$12,BEGIN_Renew_Dental:END_RENEW_DENTAL,RENEW_COL_EC,FALSE),"")</f>
        <v/>
      </c>
      <c r="U738" s="412" t="str">
        <f t="shared" si="96"/>
        <v/>
      </c>
      <c r="V738" s="413"/>
      <c r="W738" s="414"/>
      <c r="X738" s="415" t="str">
        <f>IFERROR(IF($V735="Keep Contribution Same",H738,IF($V735="Enter Percentages",IF(V738="","",V738*T738),IF($V735="Keep Percentage Same",IF(G738="","",G738*T738),IF($V735="Enter Dollar Amount",IF(W738="","",W738),"")))),"")</f>
        <v/>
      </c>
      <c r="Y738" s="408" t="str">
        <f t="shared" ca="1" si="97"/>
        <v/>
      </c>
      <c r="Z738" s="410" t="str">
        <f t="shared" si="98"/>
        <v/>
      </c>
    </row>
    <row r="739" spans="1:26" ht="18.75" customHeight="1" thickBot="1">
      <c r="A739" s="140"/>
      <c r="B739" s="140"/>
      <c r="D739" s="174" t="s">
        <v>241</v>
      </c>
      <c r="E739" s="416"/>
      <c r="F739" s="451"/>
      <c r="G739" s="471"/>
      <c r="H739" s="451"/>
      <c r="I739" s="452"/>
      <c r="J739" s="419"/>
      <c r="K739" s="411"/>
      <c r="L739" s="417" t="str" cm="1">
        <f t="array" ca="1" aca="1" ref="L739">_xlfn.IFNA(VLOOKUP(INDIRECT("L"&amp;ROW()-4)&amp;"_"&amp;$D$12,BEGIN_Renew_Dental:END_RENEW_DENTAL,RENEW_COL_FAM,FALSE),"")</f>
        <v/>
      </c>
      <c r="M739" s="423" t="str">
        <f>IF(E739="","",E739)</f>
        <v/>
      </c>
      <c r="N739" s="420"/>
      <c r="O739" s="421"/>
      <c r="P739" s="422" t="str">
        <f>IFERROR(IF($N735="Keep Contribution Same",H739,IF($N735="Enter Percentages",IF(N739="","",N739*L739),IF($N735="Keep Percentage Same",IF(G739="","",G739*L739),IF($N735="Enter Dollar Amount",IF(O739="","",O739),"")))),"")</f>
        <v/>
      </c>
      <c r="Q739" s="417" t="str">
        <f>IFERROR(R739-P739,"")</f>
        <v/>
      </c>
      <c r="R739" s="419" t="str">
        <f>IFERROR(IF(P739="","",M739*P739),"")</f>
        <v/>
      </c>
      <c r="S739" s="411"/>
      <c r="T739" s="417" t="str" cm="1">
        <f t="array" ca="1" aca="1" ref="T739">_xlfn.IFNA(VLOOKUP(INDIRECT("T"&amp;ROW()-4)&amp;"_"&amp;$D$12,BEGIN_Renew_Dental:END_RENEW_DENTAL,RENEW_COL_FAM,FALSE),"")</f>
        <v/>
      </c>
      <c r="U739" s="423" t="str">
        <f t="shared" si="96"/>
        <v/>
      </c>
      <c r="V739" s="420"/>
      <c r="W739" s="421"/>
      <c r="X739" s="422" t="str">
        <f>IFERROR(IF($V735="Keep Contribution Same",H739,IF($V735="Enter Percentages",IF(V739="","",V739*T739),IF($V735="Keep Percentage Same",IF(G739="","",G739*T739),IF($V735="Enter Dollar Amount",IF(W739="","",W739),"")))),"")</f>
        <v/>
      </c>
      <c r="Y739" s="417" t="str">
        <f t="shared" ca="1" si="97"/>
        <v/>
      </c>
      <c r="Z739" s="419" t="str">
        <f t="shared" si="98"/>
        <v/>
      </c>
    </row>
    <row r="740" spans="1:26" ht="18.75" customHeight="1" thickTop="1">
      <c r="A740" s="140"/>
      <c r="B740" s="140"/>
      <c r="D740" s="175" t="s">
        <v>329</v>
      </c>
      <c r="E740" s="424"/>
      <c r="F740" s="427"/>
      <c r="G740" s="426"/>
      <c r="H740" s="427"/>
      <c r="I740" s="428"/>
      <c r="J740" s="429" t="str">
        <f>IFERROR(IF(J736="","",SUM(J736:J739)),0)</f>
        <v/>
      </c>
      <c r="K740" s="1"/>
      <c r="L740" s="424"/>
      <c r="M740" s="427"/>
      <c r="N740" s="426"/>
      <c r="O740" s="427"/>
      <c r="P740" s="431"/>
      <c r="Q740" s="432"/>
      <c r="R740" s="429" t="str">
        <f>IFERROR(IF(R736="","",SUM(R736:R739)),0)</f>
        <v/>
      </c>
      <c r="T740" s="424"/>
      <c r="U740" s="427"/>
      <c r="V740" s="426"/>
      <c r="W740" s="427"/>
      <c r="X740" s="431"/>
      <c r="Y740" s="432"/>
      <c r="Z740" s="429" t="str">
        <f>IFERROR(IF(Z736="","",SUM(Z736:Z739)),0)</f>
        <v/>
      </c>
    </row>
    <row r="741" spans="1:26" ht="18.75" customHeight="1">
      <c r="A741" s="140"/>
      <c r="B741" s="140"/>
      <c r="D741" s="177" t="s">
        <v>243</v>
      </c>
      <c r="E741" s="433"/>
      <c r="F741" s="436"/>
      <c r="G741" s="435"/>
      <c r="H741" s="436"/>
      <c r="I741" s="432"/>
      <c r="J741" s="437" t="str">
        <f>IF(J740="","",J740*12)</f>
        <v/>
      </c>
      <c r="K741" s="1"/>
      <c r="L741" s="433"/>
      <c r="M741" s="436"/>
      <c r="N741" s="435"/>
      <c r="O741" s="436"/>
      <c r="P741" s="432"/>
      <c r="Q741" s="432"/>
      <c r="R741" s="437" t="str">
        <f>IF(R740="","",R740*12)</f>
        <v/>
      </c>
      <c r="T741" s="433"/>
      <c r="U741" s="436"/>
      <c r="V741" s="435"/>
      <c r="W741" s="436"/>
      <c r="X741" s="432"/>
      <c r="Y741" s="432"/>
      <c r="Z741" s="437" t="str">
        <f>IF(Z740="","",Z740*12)</f>
        <v/>
      </c>
    </row>
    <row r="742" spans="1:26" ht="18" customHeight="1">
      <c r="A742" s="140"/>
      <c r="B742" s="140"/>
      <c r="D742" s="177" t="s">
        <v>244</v>
      </c>
      <c r="E742" s="433"/>
      <c r="F742" s="436"/>
      <c r="G742" s="435"/>
      <c r="H742" s="436"/>
      <c r="I742" s="432"/>
      <c r="J742" s="437" t="str">
        <f>IFERROR(IF(J741="","",R741-J741),0)</f>
        <v/>
      </c>
      <c r="K742" s="1"/>
      <c r="L742" s="433"/>
      <c r="M742" s="436"/>
      <c r="N742" s="435"/>
      <c r="O742" s="436"/>
      <c r="P742" s="432"/>
      <c r="Q742" s="432"/>
      <c r="R742" s="437" t="str">
        <f>IFERROR(IF(J741="","",R741-J741),0)</f>
        <v/>
      </c>
      <c r="T742" s="433"/>
      <c r="U742" s="436"/>
      <c r="V742" s="435"/>
      <c r="W742" s="436"/>
      <c r="X742" s="432"/>
      <c r="Y742" s="432"/>
      <c r="Z742" s="437" t="str">
        <f>IFERROR(IF(R741="","",Z741-R741),0)</f>
        <v/>
      </c>
    </row>
    <row r="743" spans="1:26" ht="18" customHeight="1" thickBot="1">
      <c r="A743" s="140"/>
      <c r="B743" s="140"/>
      <c r="D743" s="180" t="s">
        <v>245</v>
      </c>
      <c r="E743" s="439"/>
      <c r="F743" s="440"/>
      <c r="G743" s="441"/>
      <c r="H743" s="440"/>
      <c r="I743" s="442"/>
      <c r="J743" s="437" t="str">
        <f>IFERROR(IF(J741="","",(R741/J741)-1),0)</f>
        <v/>
      </c>
      <c r="K743" s="1"/>
      <c r="L743" s="439"/>
      <c r="M743" s="440"/>
      <c r="N743" s="441"/>
      <c r="O743" s="440"/>
      <c r="P743" s="445"/>
      <c r="Q743" s="445"/>
      <c r="R743" s="446" t="str">
        <f>IFERROR(IF(J741="","",(R741/J741)-1),0)</f>
        <v/>
      </c>
      <c r="T743" s="439"/>
      <c r="U743" s="440"/>
      <c r="V743" s="441"/>
      <c r="W743" s="440"/>
      <c r="X743" s="445"/>
      <c r="Y743" s="445"/>
      <c r="Z743" s="446" t="str">
        <f>IFERROR(IF(R741="","",(Z741/R741)-1),0)</f>
        <v/>
      </c>
    </row>
    <row r="744" spans="1:26" ht="5.25" customHeight="1" thickBot="1">
      <c r="A744" s="140"/>
      <c r="B744" s="140"/>
      <c r="D744" s="229"/>
      <c r="E744" s="229"/>
      <c r="F744" s="230"/>
      <c r="G744" s="231"/>
      <c r="H744" s="232"/>
      <c r="I744" s="233"/>
      <c r="J744" s="233"/>
      <c r="K744"/>
      <c r="L744" s="233"/>
      <c r="M744" s="233"/>
      <c r="N744" s="233"/>
      <c r="O744" s="233"/>
      <c r="P744" s="233"/>
      <c r="Q744" s="233"/>
      <c r="R744" s="233"/>
      <c r="T744" s="233"/>
      <c r="U744" s="233"/>
      <c r="V744" s="233"/>
      <c r="W744" s="233"/>
      <c r="X744" s="233"/>
      <c r="Y744" s="233"/>
      <c r="Z744" s="233"/>
    </row>
    <row r="745" spans="1:26" ht="50.15" customHeight="1">
      <c r="A745" s="140"/>
      <c r="B745" s="140"/>
      <c r="C745" s="164" t="s">
        <v>297</v>
      </c>
      <c r="D745" s="275" t="s">
        <v>285</v>
      </c>
      <c r="E745" s="165"/>
      <c r="F745" s="272"/>
      <c r="G745" s="166"/>
      <c r="H745" s="167"/>
      <c r="I745" s="168"/>
      <c r="J745" s="169"/>
      <c r="K745"/>
      <c r="L745" s="274" t="s">
        <v>38</v>
      </c>
      <c r="M745" s="170"/>
      <c r="N745" s="274" t="s">
        <v>237</v>
      </c>
      <c r="O745" s="171"/>
      <c r="P745" s="171"/>
      <c r="Q745" s="171"/>
      <c r="R745" s="169"/>
      <c r="T745" s="274" t="s">
        <v>38</v>
      </c>
      <c r="U745" s="170"/>
      <c r="V745" s="274" t="s">
        <v>237</v>
      </c>
      <c r="W745" s="171"/>
      <c r="X745" s="171"/>
      <c r="Y745" s="171"/>
      <c r="Z745" s="169"/>
    </row>
    <row r="746" spans="1:26" ht="18.75" customHeight="1">
      <c r="A746" s="140"/>
      <c r="B746" s="140"/>
      <c r="D746" s="172" t="s">
        <v>238</v>
      </c>
      <c r="E746" s="407"/>
      <c r="F746" s="449"/>
      <c r="G746" s="470"/>
      <c r="H746" s="449"/>
      <c r="I746" s="450"/>
      <c r="J746" s="410"/>
      <c r="K746" s="411"/>
      <c r="L746" s="408" t="str" cm="1">
        <f t="array" ca="1" aca="1" ref="L746">_xlfn.IFNA(VLOOKUP(INDIRECT("L"&amp;ROW()-1)&amp;"_"&amp;$D$12,BEGIN_Renew_Dental:END_RENEW_DENTAL,RENEW_COL_EO,FALSE),"")</f>
        <v/>
      </c>
      <c r="M746" s="412" t="str">
        <f>IF(E746="","",E746)</f>
        <v/>
      </c>
      <c r="N746" s="413"/>
      <c r="O746" s="414"/>
      <c r="P746" s="415" t="str">
        <f>IFERROR(IF($N745="Keep Contribution Same",H746,IF($N745="Enter Percentages",IF(N746="","",N746*L746),IF($N745="Keep Percentage Same",IF(G746="","",G746*L746),IF($N745="Enter Dollar Amount",IF(O746="","",O746),"")))),"")</f>
        <v/>
      </c>
      <c r="Q746" s="408" t="str">
        <f>IFERROR(R746-P746,"")</f>
        <v/>
      </c>
      <c r="R746" s="410" t="str">
        <f>IFERROR(IF(P746="","",M746*P746),"")</f>
        <v/>
      </c>
      <c r="S746" s="411"/>
      <c r="T746" s="408" t="str" cm="1">
        <f t="array" ca="1" aca="1" ref="T746">_xlfn.IFNA(VLOOKUP(INDIRECT("T"&amp;ROW()-1)&amp;"_"&amp;$D$12,BEGIN_Renew_Dental:END_RENEW_DENTAL,RENEW_COL_EO,FALSE),"")</f>
        <v/>
      </c>
      <c r="U746" s="412" t="str">
        <f>IF(E746="","",E746)</f>
        <v/>
      </c>
      <c r="V746" s="413"/>
      <c r="W746" s="414"/>
      <c r="X746" s="415" t="str">
        <f>IFERROR(IF($V745="Keep Contribution Same",H746,IF($V745="Enter Percentages",IF(V746="","",V746*T746),IF($V745="Keep Percentage Same",IF(G746="","",G746*T746),IF($V745="Enter Dollar Amount",IF(W746="","",W746),"")))),"")</f>
        <v/>
      </c>
      <c r="Y746" s="408" t="str">
        <f ca="1">IFERROR(T746-X746,"")</f>
        <v/>
      </c>
      <c r="Z746" s="410" t="str">
        <f>IFERROR(IF(X746="","",U746*X746),"")</f>
        <v/>
      </c>
    </row>
    <row r="747" spans="1:26" ht="18.75" customHeight="1">
      <c r="A747" s="140"/>
      <c r="B747" s="140"/>
      <c r="D747" s="172" t="s">
        <v>239</v>
      </c>
      <c r="E747" s="407"/>
      <c r="F747" s="449"/>
      <c r="G747" s="470"/>
      <c r="H747" s="449"/>
      <c r="I747" s="450"/>
      <c r="J747" s="410"/>
      <c r="K747" s="411"/>
      <c r="L747" s="408" t="str" cm="1">
        <f t="array" ca="1" aca="1" ref="L747">_xlfn.IFNA(VLOOKUP(INDIRECT("L"&amp;ROW()-2)&amp;"_"&amp;$D$12,BEGIN_Renew_Dental:END_RENEW_DENTAL,RENEW_COL_ES,FALSE),"")</f>
        <v/>
      </c>
      <c r="M747" s="412" t="str">
        <f>IF(E747="","",E747)</f>
        <v/>
      </c>
      <c r="N747" s="413"/>
      <c r="O747" s="414"/>
      <c r="P747" s="415" t="str">
        <f>IFERROR(IF($N745="Keep Contribution Same",H747,IF($N745="Enter Percentages",IF(N747="","",N747*L747),IF($N745="Keep Percentage Same",IF(G747="","",G747*L747),IF($N745="Enter Dollar Amount",IF(O747="","",O747),"")))),"")</f>
        <v/>
      </c>
      <c r="Q747" s="408" t="str">
        <f t="shared" si="99" ref="Q747">IFERROR(R747-P747,"")</f>
        <v/>
      </c>
      <c r="R747" s="410" t="str">
        <f>IFERROR(IF(P747="","",M747*P747),"")</f>
        <v/>
      </c>
      <c r="S747" s="411"/>
      <c r="T747" s="408" t="str" cm="1">
        <f t="array" ca="1" aca="1" ref="T747">_xlfn.IFNA(VLOOKUP(INDIRECT("T"&amp;ROW()-2)&amp;"_"&amp;$D$12,BEGIN_Renew_Dental:END_RENEW_DENTAL,RENEW_COL_ES,FALSE),"")</f>
        <v/>
      </c>
      <c r="U747" s="412" t="str">
        <f t="shared" si="100" ref="U747:U749">IF(E747="","",E747)</f>
        <v/>
      </c>
      <c r="V747" s="413"/>
      <c r="W747" s="414"/>
      <c r="X747" s="415" t="str">
        <f>IFERROR(IF($V745="Keep Contribution Same",H747,IF($V745="Enter Percentages",IF(V747="","",V747*T747),IF($V745="Keep Percentage Same",IF(G747="","",G747*T747),IF($V745="Enter Dollar Amount",IF(W747="","",W747),"")))),"")</f>
        <v/>
      </c>
      <c r="Y747" s="408" t="str">
        <f ca="1" t="shared" si="101" ref="Y747:Y749">IFERROR(T747-X747,"")</f>
        <v/>
      </c>
      <c r="Z747" s="410" t="str">
        <f t="shared" si="102" ref="Z747:Z749">IFERROR(IF(X747="","",U747*X747),"")</f>
        <v/>
      </c>
    </row>
    <row r="748" spans="1:26" ht="18.75" customHeight="1">
      <c r="A748" s="140"/>
      <c r="B748" s="140"/>
      <c r="D748" s="172" t="s">
        <v>240</v>
      </c>
      <c r="E748" s="407"/>
      <c r="F748" s="449"/>
      <c r="G748" s="470"/>
      <c r="H748" s="449"/>
      <c r="I748" s="450"/>
      <c r="J748" s="410"/>
      <c r="K748" s="411"/>
      <c r="L748" s="408" t="str" cm="1">
        <f t="array" ca="1" aca="1" ref="L748">_xlfn.IFNA(VLOOKUP(INDIRECT("L"&amp;ROW()-3)&amp;"_"&amp;$D$12,BEGIN_Renew_Dental:END_RENEW_DENTAL,RENEW_COL_EC,FALSE),"")</f>
        <v/>
      </c>
      <c r="M748" s="412" t="str">
        <f>IF(E748="","",E748)</f>
        <v/>
      </c>
      <c r="N748" s="413"/>
      <c r="O748" s="414"/>
      <c r="P748" s="415" t="str">
        <f>IFERROR(IF($N745="Keep Contribution Same",H748,IF($N745="Enter Percentages",IF(N748="","",N748*L748),IF($N745="Keep Percentage Same",IF(G748="","",G748*L748),IF($N745="Enter Dollar Amount",IF(O748="","",O748),"")))),"")</f>
        <v/>
      </c>
      <c r="Q748" s="408" t="str">
        <f>IFERROR(R748-P748,"")</f>
        <v/>
      </c>
      <c r="R748" s="410" t="str">
        <f>IFERROR(IF(P748="","",M748*P748),"")</f>
        <v/>
      </c>
      <c r="S748" s="411"/>
      <c r="T748" s="408" t="str" cm="1">
        <f t="array" ca="1" aca="1" ref="T748">_xlfn.IFNA(VLOOKUP(INDIRECT("T"&amp;ROW()-3)&amp;"_"&amp;$D$12,BEGIN_Renew_Dental:END_RENEW_DENTAL,RENEW_COL_EC,FALSE),"")</f>
        <v/>
      </c>
      <c r="U748" s="412" t="str">
        <f t="shared" si="100"/>
        <v/>
      </c>
      <c r="V748" s="413"/>
      <c r="W748" s="414"/>
      <c r="X748" s="415" t="str">
        <f>IFERROR(IF($V745="Keep Contribution Same",H748,IF($V745="Enter Percentages",IF(V748="","",V748*T748),IF($V745="Keep Percentage Same",IF(G748="","",G748*T748),IF($V745="Enter Dollar Amount",IF(W748="","",W748),"")))),"")</f>
        <v/>
      </c>
      <c r="Y748" s="408" t="str">
        <f t="shared" ca="1" si="101"/>
        <v/>
      </c>
      <c r="Z748" s="410" t="str">
        <f t="shared" si="102"/>
        <v/>
      </c>
    </row>
    <row r="749" spans="1:26" ht="18.75" customHeight="1" thickBot="1">
      <c r="A749" s="140"/>
      <c r="B749" s="140"/>
      <c r="D749" s="174" t="s">
        <v>241</v>
      </c>
      <c r="E749" s="416"/>
      <c r="F749" s="451"/>
      <c r="G749" s="471"/>
      <c r="H749" s="451"/>
      <c r="I749" s="452"/>
      <c r="J749" s="419"/>
      <c r="K749" s="411"/>
      <c r="L749" s="417" t="str" cm="1">
        <f t="array" ca="1" aca="1" ref="L749">_xlfn.IFNA(VLOOKUP(INDIRECT("L"&amp;ROW()-4)&amp;"_"&amp;$D$12,BEGIN_Renew_Dental:END_RENEW_DENTAL,RENEW_COL_FAM,FALSE),"")</f>
        <v/>
      </c>
      <c r="M749" s="423" t="str">
        <f>IF(E749="","",E749)</f>
        <v/>
      </c>
      <c r="N749" s="420"/>
      <c r="O749" s="421"/>
      <c r="P749" s="422" t="str">
        <f>IFERROR(IF($N745="Keep Contribution Same",H749,IF($N745="Enter Percentages",IF(N749="","",N749*L749),IF($N745="Keep Percentage Same",IF(G749="","",G749*L749),IF($N745="Enter Dollar Amount",IF(O749="","",O749),"")))),"")</f>
        <v/>
      </c>
      <c r="Q749" s="417" t="str">
        <f>IFERROR(R749-P749,"")</f>
        <v/>
      </c>
      <c r="R749" s="419" t="str">
        <f>IFERROR(IF(P749="","",M749*P749),"")</f>
        <v/>
      </c>
      <c r="S749" s="411"/>
      <c r="T749" s="417" t="str" cm="1">
        <f t="array" ca="1" aca="1" ref="T749">_xlfn.IFNA(VLOOKUP(INDIRECT("T"&amp;ROW()-4)&amp;"_"&amp;$D$12,BEGIN_Renew_Dental:END_RENEW_DENTAL,RENEW_COL_FAM,FALSE),"")</f>
        <v/>
      </c>
      <c r="U749" s="423" t="str">
        <f t="shared" si="100"/>
        <v/>
      </c>
      <c r="V749" s="420"/>
      <c r="W749" s="421"/>
      <c r="X749" s="422" t="str">
        <f>IFERROR(IF($V745="Keep Contribution Same",H749,IF($V745="Enter Percentages",IF(V749="","",V749*T749),IF($V745="Keep Percentage Same",IF(G749="","",G749*T749),IF($V745="Enter Dollar Amount",IF(W749="","",W749),"")))),"")</f>
        <v/>
      </c>
      <c r="Y749" s="417" t="str">
        <f t="shared" ca="1" si="101"/>
        <v/>
      </c>
      <c r="Z749" s="419" t="str">
        <f t="shared" si="102"/>
        <v/>
      </c>
    </row>
    <row r="750" spans="1:26" ht="18.75" customHeight="1" thickTop="1">
      <c r="A750" s="140"/>
      <c r="B750" s="140"/>
      <c r="D750" s="175" t="s">
        <v>329</v>
      </c>
      <c r="E750" s="424"/>
      <c r="F750" s="427"/>
      <c r="G750" s="426"/>
      <c r="H750" s="427"/>
      <c r="I750" s="428"/>
      <c r="J750" s="429" t="str">
        <f>IFERROR(IF(J746="","",SUM(J746:J749)),0)</f>
        <v/>
      </c>
      <c r="K750" s="1"/>
      <c r="L750" s="424"/>
      <c r="M750" s="427"/>
      <c r="N750" s="426"/>
      <c r="O750" s="427"/>
      <c r="P750" s="431"/>
      <c r="Q750" s="432"/>
      <c r="R750" s="429" t="str">
        <f>IFERROR(IF(R746="","",SUM(R746:R749)),0)</f>
        <v/>
      </c>
      <c r="T750" s="424"/>
      <c r="U750" s="427"/>
      <c r="V750" s="426"/>
      <c r="W750" s="427"/>
      <c r="X750" s="431"/>
      <c r="Y750" s="432"/>
      <c r="Z750" s="429" t="str">
        <f>IFERROR(IF(Z746="","",SUM(Z746:Z749)),0)</f>
        <v/>
      </c>
    </row>
    <row r="751" spans="1:26" ht="18.75" customHeight="1">
      <c r="A751" s="140"/>
      <c r="B751" s="140"/>
      <c r="D751" s="177" t="s">
        <v>243</v>
      </c>
      <c r="E751" s="433"/>
      <c r="F751" s="436"/>
      <c r="G751" s="435"/>
      <c r="H751" s="436"/>
      <c r="I751" s="432"/>
      <c r="J751" s="437" t="str">
        <f>IF(J750="","",J750*12)</f>
        <v/>
      </c>
      <c r="K751" s="1"/>
      <c r="L751" s="433"/>
      <c r="M751" s="436"/>
      <c r="N751" s="435"/>
      <c r="O751" s="436"/>
      <c r="P751" s="432"/>
      <c r="Q751" s="432"/>
      <c r="R751" s="437" t="str">
        <f>IF(R750="","",R750*12)</f>
        <v/>
      </c>
      <c r="T751" s="433"/>
      <c r="U751" s="436"/>
      <c r="V751" s="435"/>
      <c r="W751" s="436"/>
      <c r="X751" s="432"/>
      <c r="Y751" s="432"/>
      <c r="Z751" s="437" t="str">
        <f>IF(Z750="","",Z750*12)</f>
        <v/>
      </c>
    </row>
    <row r="752" spans="1:26" ht="18" customHeight="1">
      <c r="A752" s="140"/>
      <c r="B752" s="140"/>
      <c r="D752" s="177" t="s">
        <v>244</v>
      </c>
      <c r="E752" s="433"/>
      <c r="F752" s="436"/>
      <c r="G752" s="435"/>
      <c r="H752" s="436"/>
      <c r="I752" s="432"/>
      <c r="J752" s="437" t="str">
        <f>IFERROR(IF(J751="","",R751-J751),0)</f>
        <v/>
      </c>
      <c r="K752" s="1"/>
      <c r="L752" s="433"/>
      <c r="M752" s="436"/>
      <c r="N752" s="435"/>
      <c r="O752" s="436"/>
      <c r="P752" s="432"/>
      <c r="Q752" s="432"/>
      <c r="R752" s="437" t="str">
        <f>IFERROR(IF(J751="","",R751-J751),0)</f>
        <v/>
      </c>
      <c r="T752" s="433"/>
      <c r="U752" s="436"/>
      <c r="V752" s="435"/>
      <c r="W752" s="436"/>
      <c r="X752" s="432"/>
      <c r="Y752" s="432"/>
      <c r="Z752" s="437" t="str">
        <f>IFERROR(IF(R751="","",Z751-R751),0)</f>
        <v/>
      </c>
    </row>
    <row r="753" spans="1:26" ht="18" customHeight="1" thickBot="1">
      <c r="A753" s="140"/>
      <c r="B753" s="140"/>
      <c r="D753" s="180" t="s">
        <v>245</v>
      </c>
      <c r="E753" s="439"/>
      <c r="F753" s="440"/>
      <c r="G753" s="441"/>
      <c r="H753" s="440"/>
      <c r="I753" s="442"/>
      <c r="J753" s="437" t="str">
        <f>IFERROR(IF(J751="","",(R751/J751)-1),0)</f>
        <v/>
      </c>
      <c r="K753" s="1"/>
      <c r="L753" s="439"/>
      <c r="M753" s="440"/>
      <c r="N753" s="441"/>
      <c r="O753" s="440"/>
      <c r="P753" s="445"/>
      <c r="Q753" s="445"/>
      <c r="R753" s="446" t="str">
        <f>IFERROR(IF(J751="","",(R751/J751)-1),0)</f>
        <v/>
      </c>
      <c r="T753" s="439"/>
      <c r="U753" s="440"/>
      <c r="V753" s="441"/>
      <c r="W753" s="440"/>
      <c r="X753" s="445"/>
      <c r="Y753" s="445"/>
      <c r="Z753" s="446" t="str">
        <f>IFERROR(IF(R751="","",(Z751/R751)-1),0)</f>
        <v/>
      </c>
    </row>
    <row r="754" spans="1:26" ht="5.25" customHeight="1" thickBot="1">
      <c r="A754" s="140"/>
      <c r="B754" s="140"/>
      <c r="D754" s="229"/>
      <c r="E754" s="229"/>
      <c r="F754" s="230"/>
      <c r="G754" s="231"/>
      <c r="H754" s="232"/>
      <c r="I754" s="233"/>
      <c r="J754" s="233"/>
      <c r="K754"/>
      <c r="L754" s="233"/>
      <c r="M754" s="233"/>
      <c r="N754" s="233"/>
      <c r="O754" s="233"/>
      <c r="P754" s="233"/>
      <c r="Q754" s="233"/>
      <c r="R754" s="233"/>
      <c r="T754" s="233"/>
      <c r="U754" s="233"/>
      <c r="V754" s="233"/>
      <c r="W754" s="233"/>
      <c r="X754" s="233"/>
      <c r="Y754" s="233"/>
      <c r="Z754" s="233"/>
    </row>
    <row r="755" spans="1:26" ht="50.15" customHeight="1">
      <c r="A755" s="140"/>
      <c r="B755" s="140"/>
      <c r="C755" s="164" t="s">
        <v>298</v>
      </c>
      <c r="D755" s="275" t="s">
        <v>285</v>
      </c>
      <c r="E755" s="165"/>
      <c r="F755" s="272"/>
      <c r="G755" s="166"/>
      <c r="H755" s="167"/>
      <c r="I755" s="168"/>
      <c r="J755" s="169"/>
      <c r="K755"/>
      <c r="L755" s="274" t="s">
        <v>38</v>
      </c>
      <c r="M755" s="170"/>
      <c r="N755" s="274" t="s">
        <v>237</v>
      </c>
      <c r="O755" s="171"/>
      <c r="P755" s="171"/>
      <c r="Q755" s="171"/>
      <c r="R755" s="169"/>
      <c r="T755" s="274" t="s">
        <v>38</v>
      </c>
      <c r="U755" s="170"/>
      <c r="V755" s="274" t="s">
        <v>237</v>
      </c>
      <c r="W755" s="171"/>
      <c r="X755" s="171"/>
      <c r="Y755" s="171"/>
      <c r="Z755" s="169"/>
    </row>
    <row r="756" spans="1:26" ht="18.75" customHeight="1">
      <c r="A756" s="140"/>
      <c r="B756" s="140"/>
      <c r="D756" s="172" t="s">
        <v>238</v>
      </c>
      <c r="E756" s="407"/>
      <c r="F756" s="449"/>
      <c r="G756" s="470"/>
      <c r="H756" s="449"/>
      <c r="I756" s="450"/>
      <c r="J756" s="410"/>
      <c r="K756" s="411"/>
      <c r="L756" s="408" t="str" cm="1">
        <f t="array" ca="1" aca="1" ref="L756">_xlfn.IFNA(VLOOKUP(INDIRECT("L"&amp;ROW()-1)&amp;"_"&amp;$D$12,BEGIN_Renew_Dental:END_RENEW_DENTAL,RENEW_COL_EO,FALSE),"")</f>
        <v/>
      </c>
      <c r="M756" s="412" t="str">
        <f>IF(E756="","",E756)</f>
        <v/>
      </c>
      <c r="N756" s="413"/>
      <c r="O756" s="414"/>
      <c r="P756" s="415" t="str">
        <f>IFERROR(IF($N755="Keep Contribution Same",H756,IF($N755="Enter Percentages",IF(N756="","",N756*L756),IF($N755="Keep Percentage Same",IF(G756="","",G756*L756),IF($N755="Enter Dollar Amount",IF(O756="","",O756),"")))),"")</f>
        <v/>
      </c>
      <c r="Q756" s="408" t="str">
        <f>IFERROR(R756-P756,"")</f>
        <v/>
      </c>
      <c r="R756" s="410" t="str">
        <f>IFERROR(IF(P756="","",M756*P756),"")</f>
        <v/>
      </c>
      <c r="S756" s="411"/>
      <c r="T756" s="408" t="str" cm="1">
        <f t="array" ca="1" aca="1" ref="T756">_xlfn.IFNA(VLOOKUP(INDIRECT("T"&amp;ROW()-1)&amp;"_"&amp;$D$12,BEGIN_Renew_Dental:END_RENEW_DENTAL,RENEW_COL_EO,FALSE),"")</f>
        <v/>
      </c>
      <c r="U756" s="412" t="str">
        <f>IF(E756="","",E756)</f>
        <v/>
      </c>
      <c r="V756" s="413"/>
      <c r="W756" s="414"/>
      <c r="X756" s="415" t="str">
        <f>IFERROR(IF($V755="Keep Contribution Same",H756,IF($V755="Enter Percentages",IF(V756="","",V756*T756),IF($V755="Keep Percentage Same",IF(G756="","",G756*T756),IF($V755="Enter Dollar Amount",IF(W756="","",W756),"")))),"")</f>
        <v/>
      </c>
      <c r="Y756" s="408" t="str">
        <f ca="1">IFERROR(T756-X756,"")</f>
        <v/>
      </c>
      <c r="Z756" s="410" t="str">
        <f>IFERROR(IF(X756="","",U756*X756),"")</f>
        <v/>
      </c>
    </row>
    <row r="757" spans="1:26" ht="18.75" customHeight="1">
      <c r="A757" s="140"/>
      <c r="B757" s="140"/>
      <c r="D757" s="172" t="s">
        <v>239</v>
      </c>
      <c r="E757" s="407"/>
      <c r="F757" s="449"/>
      <c r="G757" s="470"/>
      <c r="H757" s="449"/>
      <c r="I757" s="450"/>
      <c r="J757" s="410"/>
      <c r="K757" s="411"/>
      <c r="L757" s="408" t="str" cm="1">
        <f t="array" ca="1" aca="1" ref="L757">_xlfn.IFNA(VLOOKUP(INDIRECT("L"&amp;ROW()-2)&amp;"_"&amp;$D$12,BEGIN_Renew_Dental:END_RENEW_DENTAL,RENEW_COL_ES,FALSE),"")</f>
        <v/>
      </c>
      <c r="M757" s="412" t="str">
        <f>IF(E757="","",E757)</f>
        <v/>
      </c>
      <c r="N757" s="413"/>
      <c r="O757" s="414"/>
      <c r="P757" s="415" t="str">
        <f>IFERROR(IF($N755="Keep Contribution Same",H757,IF($N755="Enter Percentages",IF(N757="","",N757*L757),IF($N755="Keep Percentage Same",IF(G757="","",G757*L757),IF($N755="Enter Dollar Amount",IF(O757="","",O757),"")))),"")</f>
        <v/>
      </c>
      <c r="Q757" s="408" t="str">
        <f t="shared" si="103" ref="Q757">IFERROR(R757-P757,"")</f>
        <v/>
      </c>
      <c r="R757" s="410" t="str">
        <f>IFERROR(IF(P757="","",M757*P757),"")</f>
        <v/>
      </c>
      <c r="S757" s="411"/>
      <c r="T757" s="408" t="str" cm="1">
        <f t="array" ca="1" aca="1" ref="T757">_xlfn.IFNA(VLOOKUP(INDIRECT("T"&amp;ROW()-2)&amp;"_"&amp;$D$12,BEGIN_Renew_Dental:END_RENEW_DENTAL,RENEW_COL_ES,FALSE),"")</f>
        <v/>
      </c>
      <c r="U757" s="412" t="str">
        <f t="shared" si="104" ref="U757:U759">IF(E757="","",E757)</f>
        <v/>
      </c>
      <c r="V757" s="413"/>
      <c r="W757" s="414"/>
      <c r="X757" s="415" t="str">
        <f>IFERROR(IF($V755="Keep Contribution Same",H757,IF($V755="Enter Percentages",IF(V757="","",V757*T757),IF($V755="Keep Percentage Same",IF(G757="","",G757*T757),IF($V755="Enter Dollar Amount",IF(W757="","",W757),"")))),"")</f>
        <v/>
      </c>
      <c r="Y757" s="408" t="str">
        <f ca="1" t="shared" si="105" ref="Y757:Y759">IFERROR(T757-X757,"")</f>
        <v/>
      </c>
      <c r="Z757" s="410" t="str">
        <f t="shared" si="106" ref="Z757:Z759">IFERROR(IF(X757="","",U757*X757),"")</f>
        <v/>
      </c>
    </row>
    <row r="758" spans="1:26" ht="18.75" customHeight="1">
      <c r="A758" s="140"/>
      <c r="B758" s="140"/>
      <c r="D758" s="172" t="s">
        <v>240</v>
      </c>
      <c r="E758" s="407"/>
      <c r="F758" s="449"/>
      <c r="G758" s="470"/>
      <c r="H758" s="449"/>
      <c r="I758" s="450"/>
      <c r="J758" s="410"/>
      <c r="K758" s="411"/>
      <c r="L758" s="408" t="str" cm="1">
        <f t="array" ca="1" aca="1" ref="L758">_xlfn.IFNA(VLOOKUP(INDIRECT("L"&amp;ROW()-3)&amp;"_"&amp;$D$12,BEGIN_Renew_Dental:END_RENEW_DENTAL,RENEW_COL_EC,FALSE),"")</f>
        <v/>
      </c>
      <c r="M758" s="412" t="str">
        <f>IF(E758="","",E758)</f>
        <v/>
      </c>
      <c r="N758" s="413"/>
      <c r="O758" s="414"/>
      <c r="P758" s="415" t="str">
        <f>IFERROR(IF($N755="Keep Contribution Same",H758,IF($N755="Enter Percentages",IF(N758="","",N758*L758),IF($N755="Keep Percentage Same",IF(G758="","",G758*L758),IF($N755="Enter Dollar Amount",IF(O758="","",O758),"")))),"")</f>
        <v/>
      </c>
      <c r="Q758" s="408" t="str">
        <f>IFERROR(R758-P758,"")</f>
        <v/>
      </c>
      <c r="R758" s="410" t="str">
        <f>IFERROR(IF(P758="","",M758*P758),"")</f>
        <v/>
      </c>
      <c r="S758" s="411"/>
      <c r="T758" s="408" t="str" cm="1">
        <f t="array" ca="1" aca="1" ref="T758">_xlfn.IFNA(VLOOKUP(INDIRECT("T"&amp;ROW()-3)&amp;"_"&amp;$D$12,BEGIN_Renew_Dental:END_RENEW_DENTAL,RENEW_COL_EC,FALSE),"")</f>
        <v/>
      </c>
      <c r="U758" s="412" t="str">
        <f t="shared" si="104"/>
        <v/>
      </c>
      <c r="V758" s="413"/>
      <c r="W758" s="414"/>
      <c r="X758" s="415" t="str">
        <f>IFERROR(IF($V755="Keep Contribution Same",H758,IF($V755="Enter Percentages",IF(V758="","",V758*T758),IF($V755="Keep Percentage Same",IF(G758="","",G758*T758),IF($V755="Enter Dollar Amount",IF(W758="","",W758),"")))),"")</f>
        <v/>
      </c>
      <c r="Y758" s="408" t="str">
        <f t="shared" ca="1" si="105"/>
        <v/>
      </c>
      <c r="Z758" s="410" t="str">
        <f t="shared" si="106"/>
        <v/>
      </c>
    </row>
    <row r="759" spans="1:26" ht="18.75" customHeight="1" thickBot="1">
      <c r="A759" s="140"/>
      <c r="B759" s="140"/>
      <c r="D759" s="174" t="s">
        <v>241</v>
      </c>
      <c r="E759" s="416"/>
      <c r="F759" s="451"/>
      <c r="G759" s="471"/>
      <c r="H759" s="451"/>
      <c r="I759" s="452"/>
      <c r="J759" s="419"/>
      <c r="K759" s="411"/>
      <c r="L759" s="417" t="str" cm="1">
        <f t="array" ca="1" aca="1" ref="L759">_xlfn.IFNA(VLOOKUP(INDIRECT("L"&amp;ROW()-4)&amp;"_"&amp;$D$12,BEGIN_Renew_Dental:END_RENEW_DENTAL,RENEW_COL_FAM,FALSE),"")</f>
        <v/>
      </c>
      <c r="M759" s="423" t="str">
        <f>IF(E759="","",E759)</f>
        <v/>
      </c>
      <c r="N759" s="420"/>
      <c r="O759" s="421"/>
      <c r="P759" s="422" t="str">
        <f>IFERROR(IF($N755="Keep Contribution Same",H759,IF($N755="Enter Percentages",IF(N759="","",N759*L759),IF($N755="Keep Percentage Same",IF(G759="","",G759*L759),IF($N755="Enter Dollar Amount",IF(O759="","",O759),"")))),"")</f>
        <v/>
      </c>
      <c r="Q759" s="417" t="str">
        <f>IFERROR(R759-P759,"")</f>
        <v/>
      </c>
      <c r="R759" s="419" t="str">
        <f>IFERROR(IF(P759="","",M759*P759),"")</f>
        <v/>
      </c>
      <c r="S759" s="411"/>
      <c r="T759" s="417" t="str" cm="1">
        <f t="array" ca="1" aca="1" ref="T759">_xlfn.IFNA(VLOOKUP(INDIRECT("T"&amp;ROW()-4)&amp;"_"&amp;$D$12,BEGIN_Renew_Dental:END_RENEW_DENTAL,RENEW_COL_FAM,FALSE),"")</f>
        <v/>
      </c>
      <c r="U759" s="423" t="str">
        <f t="shared" si="104"/>
        <v/>
      </c>
      <c r="V759" s="420"/>
      <c r="W759" s="421"/>
      <c r="X759" s="422" t="str">
        <f>IFERROR(IF($V755="Keep Contribution Same",H759,IF($V755="Enter Percentages",IF(V759="","",V759*T759),IF($V755="Keep Percentage Same",IF(G759="","",G759*T759),IF($V755="Enter Dollar Amount",IF(W759="","",W759),"")))),"")</f>
        <v/>
      </c>
      <c r="Y759" s="417" t="str">
        <f t="shared" ca="1" si="105"/>
        <v/>
      </c>
      <c r="Z759" s="419" t="str">
        <f t="shared" si="106"/>
        <v/>
      </c>
    </row>
    <row r="760" spans="1:26" ht="18.75" customHeight="1" thickTop="1">
      <c r="A760" s="140"/>
      <c r="B760" s="140"/>
      <c r="D760" s="175" t="s">
        <v>329</v>
      </c>
      <c r="E760" s="424"/>
      <c r="F760" s="427"/>
      <c r="G760" s="426"/>
      <c r="H760" s="427"/>
      <c r="I760" s="428"/>
      <c r="J760" s="429" t="str">
        <f>IFERROR(IF(J756="","",SUM(J756:J759)),0)</f>
        <v/>
      </c>
      <c r="K760" s="1"/>
      <c r="L760" s="424"/>
      <c r="M760" s="427"/>
      <c r="N760" s="426"/>
      <c r="O760" s="427"/>
      <c r="P760" s="431"/>
      <c r="Q760" s="432"/>
      <c r="R760" s="429" t="str">
        <f>IFERROR(IF(R756="","",SUM(R756:R759)),0)</f>
        <v/>
      </c>
      <c r="T760" s="424"/>
      <c r="U760" s="427"/>
      <c r="V760" s="426"/>
      <c r="W760" s="427"/>
      <c r="X760" s="431"/>
      <c r="Y760" s="432"/>
      <c r="Z760" s="429" t="str">
        <f>IFERROR(IF(Z756="","",SUM(Z756:Z759)),0)</f>
        <v/>
      </c>
    </row>
    <row r="761" spans="1:26" ht="18.75" customHeight="1">
      <c r="A761" s="140"/>
      <c r="B761" s="140"/>
      <c r="D761" s="177" t="s">
        <v>243</v>
      </c>
      <c r="E761" s="433"/>
      <c r="F761" s="436"/>
      <c r="G761" s="435"/>
      <c r="H761" s="436"/>
      <c r="I761" s="432"/>
      <c r="J761" s="437" t="str">
        <f>IF(J760="","",J760*12)</f>
        <v/>
      </c>
      <c r="K761" s="1"/>
      <c r="L761" s="433"/>
      <c r="M761" s="436"/>
      <c r="N761" s="435"/>
      <c r="O761" s="436"/>
      <c r="P761" s="432"/>
      <c r="Q761" s="432"/>
      <c r="R761" s="437" t="str">
        <f>IF(R760="","",R760*12)</f>
        <v/>
      </c>
      <c r="T761" s="433"/>
      <c r="U761" s="436"/>
      <c r="V761" s="435"/>
      <c r="W761" s="436"/>
      <c r="X761" s="432"/>
      <c r="Y761" s="432"/>
      <c r="Z761" s="437" t="str">
        <f>IF(Z760="","",Z760*12)</f>
        <v/>
      </c>
    </row>
    <row r="762" spans="1:26" ht="18" customHeight="1">
      <c r="A762" s="140"/>
      <c r="B762" s="140"/>
      <c r="D762" s="177" t="s">
        <v>244</v>
      </c>
      <c r="E762" s="433"/>
      <c r="F762" s="436"/>
      <c r="G762" s="435"/>
      <c r="H762" s="436"/>
      <c r="I762" s="432"/>
      <c r="J762" s="437" t="str">
        <f>IFERROR(IF(J761="","",R761-J761),0)</f>
        <v/>
      </c>
      <c r="K762" s="1"/>
      <c r="L762" s="433"/>
      <c r="M762" s="436"/>
      <c r="N762" s="435"/>
      <c r="O762" s="436"/>
      <c r="P762" s="432"/>
      <c r="Q762" s="432"/>
      <c r="R762" s="437" t="str">
        <f>IFERROR(IF(J761="","",R761-J761),0)</f>
        <v/>
      </c>
      <c r="T762" s="433"/>
      <c r="U762" s="436"/>
      <c r="V762" s="435"/>
      <c r="W762" s="436"/>
      <c r="X762" s="432"/>
      <c r="Y762" s="432"/>
      <c r="Z762" s="437" t="str">
        <f>IFERROR(IF(R761="","",Z761-R761),0)</f>
        <v/>
      </c>
    </row>
    <row r="763" spans="1:26" ht="18" customHeight="1" thickBot="1">
      <c r="A763" s="140"/>
      <c r="B763" s="140"/>
      <c r="D763" s="180" t="s">
        <v>245</v>
      </c>
      <c r="E763" s="439"/>
      <c r="F763" s="440"/>
      <c r="G763" s="441"/>
      <c r="H763" s="440"/>
      <c r="I763" s="442"/>
      <c r="J763" s="437" t="str">
        <f>IFERROR(IF(J761="","",(R761/J761)-1),0)</f>
        <v/>
      </c>
      <c r="K763" s="1"/>
      <c r="L763" s="439"/>
      <c r="M763" s="440"/>
      <c r="N763" s="441"/>
      <c r="O763" s="440"/>
      <c r="P763" s="445"/>
      <c r="Q763" s="445"/>
      <c r="R763" s="446" t="str">
        <f>IFERROR(IF(J761="","",(R761/J761)-1),0)</f>
        <v/>
      </c>
      <c r="T763" s="439"/>
      <c r="U763" s="440"/>
      <c r="V763" s="441"/>
      <c r="W763" s="440"/>
      <c r="X763" s="445"/>
      <c r="Y763" s="445"/>
      <c r="Z763" s="446" t="str">
        <f>IFERROR(IF(R761="","",(Z761/R761)-1),0)</f>
        <v/>
      </c>
    </row>
    <row r="764" spans="1:140" s="162" customFormat="1" ht="5.25" customHeight="1" thickBot="1">
      <c r="A764" s="140"/>
      <c r="B764" s="140"/>
      <c r="C764" s="141"/>
      <c r="D764" s="229"/>
      <c r="E764" s="229"/>
      <c r="F764" s="230"/>
      <c r="G764" s="231"/>
      <c r="H764" s="232"/>
      <c r="I764" s="233"/>
      <c r="J764" s="233"/>
      <c r="K764"/>
      <c r="L764" s="233"/>
      <c r="M764" s="233"/>
      <c r="N764" s="233"/>
      <c r="O764" s="233"/>
      <c r="P764" s="233"/>
      <c r="Q764" s="233"/>
      <c r="R764" s="233"/>
      <c r="S764" s="1"/>
      <c r="T764" s="233"/>
      <c r="U764" s="233"/>
      <c r="V764" s="233"/>
      <c r="W764" s="233"/>
      <c r="X764" s="233"/>
      <c r="Y764" s="233"/>
      <c r="Z764" s="233"/>
      <c r="AA764" s="1"/>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row>
    <row r="765" spans="1:27" ht="38.25" customHeight="1" thickTop="1" thickBot="1">
      <c r="A765" s="153"/>
      <c r="B765" s="153"/>
      <c r="C765" s="234"/>
      <c r="D765" s="484" t="s">
        <v>299</v>
      </c>
      <c r="E765" s="485"/>
      <c r="F765" s="485"/>
      <c r="G765" s="485"/>
      <c r="H765" s="485"/>
      <c r="I765" s="485"/>
      <c r="J765" s="485"/>
      <c r="K765" s="485"/>
      <c r="L765" s="485"/>
      <c r="M765" s="485"/>
      <c r="N765" s="485"/>
      <c r="O765" s="485"/>
      <c r="P765" s="485"/>
      <c r="Q765" s="485"/>
      <c r="R765" s="486"/>
      <c r="S765" s="162"/>
      <c r="T765" s="163"/>
      <c r="U765" s="163"/>
      <c r="V765" s="163"/>
      <c r="W765" s="163"/>
      <c r="X765" s="163"/>
      <c r="Y765" s="163"/>
      <c r="Z765" s="163"/>
      <c r="AA765" s="162"/>
    </row>
    <row r="766" spans="1:26" ht="50.15" customHeight="1">
      <c r="A766" s="140">
        <v>1</v>
      </c>
      <c r="B766" s="140" t="str">
        <f>IF(A766&gt;Class6_CurrentVisionCount,"DELETE",Class6_CurrentVisionStart+A766)</f>
        <v>DELETE</v>
      </c>
      <c r="C766" s="164" t="s">
        <v>300</v>
      </c>
      <c r="D766" s="273" t="str">
        <f>IF(B766="Delete","",VLOOKUP(F766,BEGIN_CURRENT_VISION:END_CURRENT_VISION,3,FALSE))</f>
        <v/>
      </c>
      <c r="E766" s="165"/>
      <c r="F766" s="272" t="str" cm="1">
        <f t="array" ca="1" aca="1" ref="F766">IF(B766="Delete","",INDIRECT("CurrentPlans!A"&amp;B766,TRUE))</f>
        <v/>
      </c>
      <c r="G766" s="166"/>
      <c r="H766" s="167"/>
      <c r="I766" s="168"/>
      <c r="J766" s="169"/>
      <c r="K766"/>
      <c r="L766" s="274" t="str">
        <f ca="1">_xlfn.IFNA(VLOOKUP(F766,BEGIN_RENEWEDFROM_DENTAL:ROW_RenewDental_PlanID,3,FALSE),"SELECT PLAN")</f>
        <v>SELECT PLAN</v>
      </c>
      <c r="M766" s="170"/>
      <c r="N766" s="274" t="s">
        <v>237</v>
      </c>
      <c r="O766" s="171"/>
      <c r="P766" s="171"/>
      <c r="Q766" s="171"/>
      <c r="R766" s="169"/>
      <c r="T766" s="274" t="s">
        <v>38</v>
      </c>
      <c r="U766" s="170"/>
      <c r="V766" s="274" t="s">
        <v>237</v>
      </c>
      <c r="W766" s="171"/>
      <c r="X766" s="171"/>
      <c r="Y766" s="171"/>
      <c r="Z766" s="169"/>
    </row>
    <row r="767" spans="1:26" ht="18.75" customHeight="1">
      <c r="A767" s="140"/>
      <c r="B767" s="140"/>
      <c r="D767" s="172" t="s">
        <v>238</v>
      </c>
      <c r="E767" s="407" t="str">
        <f ca="1">_xlfn.IFNA(VLOOKUP(F766,BEGIN_CURRENT_VISION:END_CURRENT_VISION,CURRENT_COL_EO_count,FALSE),"")</f>
        <v/>
      </c>
      <c r="F767" s="408" t="str">
        <f ca="1">_xlfn.IFNA(VLOOKUP(F766,BEGIN_CURRENT_VISION:END_CURRENT_VISION,CURRENT_COL_EO,FALSE),"")</f>
        <v/>
      </c>
      <c r="G767" s="468" t="str">
        <f ca="1" t="shared" si="107" ref="G767:G770">IF(F767="","",H767/F767)</f>
        <v/>
      </c>
      <c r="H767" s="408" t="str">
        <f ca="1">_xlfn.IFNA(VLOOKUP(F766,BEGIN_CURRENT_VISION:END_CURRENT_VISION,CURRENT_COL_EOContrib,FALSE),"")</f>
        <v/>
      </c>
      <c r="I767" s="409" t="str">
        <f ca="1">IFERROR(F767-H767,"")</f>
        <v/>
      </c>
      <c r="J767" s="410" t="str">
        <f ca="1">IF(F767="","",H767*E767)</f>
        <v/>
      </c>
      <c r="K767" s="411"/>
      <c r="L767" s="408" t="str" cm="1">
        <f t="array" ca="1" aca="1" ref="L767">_xlfn.IFNA(VLOOKUP(INDIRECT("L"&amp;ROW()-1)&amp;"_"&amp;$D$12,BEGIN_Renew_Vision:END_RENEW_VISION,RENEW_COL_EO,FALSE),"")</f>
        <v/>
      </c>
      <c r="M767" s="412" t="str">
        <f ca="1">IF(E767="","",E767)</f>
        <v/>
      </c>
      <c r="N767" s="413"/>
      <c r="O767" s="414"/>
      <c r="P767" s="415" t="str">
        <f>IFERROR(IF($N766="Keep Contribution Same",H767,IF($N766="Enter Percentages",IF(N767="","",N767*L767),IF($N766="Keep Percentage Same",IF(G767="","",G767*L767),IF($N766="Enter Dollar Amount",IF(O767="","",O767),"")))),"")</f>
        <v/>
      </c>
      <c r="Q767" s="408" t="str">
        <f ca="1">IFERROR(L767-P767,"")</f>
        <v/>
      </c>
      <c r="R767" s="410" t="str">
        <f>IFERROR(IF(P767="","",M767*P767),"")</f>
        <v/>
      </c>
      <c r="S767" s="411"/>
      <c r="T767" s="408" t="str" cm="1">
        <f t="array" ca="1" aca="1" ref="T767">_xlfn.IFNA(VLOOKUP(INDIRECT("T"&amp;ROW()-1)&amp;"_"&amp;$D$12,BEGIN_Renew_Vision:END_RENEW_VISION,RENEW_COL_EO,FALSE),"")</f>
        <v/>
      </c>
      <c r="U767" s="412" t="str">
        <f ca="1">IF(E767="","",E767)</f>
        <v/>
      </c>
      <c r="V767" s="413"/>
      <c r="W767" s="414"/>
      <c r="X767" s="415" t="str">
        <f>IFERROR(IF($V766="Keep Contribution Same",H767,IF($V766="Enter Percentages",IF(V767="","",V767*T767),IF($V766="Keep Percentage Same",IF(G767="","",G767*T767),IF($V766="Enter Dollar Amount",IF(W767="","",W767),"")))),"")</f>
        <v/>
      </c>
      <c r="Y767" s="408" t="str">
        <f ca="1">IFERROR(T767-X767,"")</f>
        <v/>
      </c>
      <c r="Z767" s="410" t="str">
        <f>IFERROR(IF(X767="","",U767*X767),"")</f>
        <v/>
      </c>
    </row>
    <row r="768" spans="1:26" ht="18.75" customHeight="1">
      <c r="A768" s="140"/>
      <c r="B768" s="140"/>
      <c r="D768" s="172" t="s">
        <v>239</v>
      </c>
      <c r="E768" s="407" t="str">
        <f ca="1">_xlfn.IFNA(VLOOKUP(F766,BEGIN_CURRENT_VISION:END_CURRENT_VISION,CURRENT_COL_ES_count,FALSE),"")</f>
        <v/>
      </c>
      <c r="F768" s="408" t="str">
        <f ca="1">_xlfn.IFNA(VLOOKUP(F766,BEGIN_CURRENT_VISION:END_CURRENT_VISION,CURRENT_COL_ES,FALSE),"")</f>
        <v/>
      </c>
      <c r="G768" s="468" t="str">
        <f t="shared" ca="1" si="107"/>
        <v/>
      </c>
      <c r="H768" s="408" t="str">
        <f ca="1">_xlfn.IFNA(VLOOKUP(F766,BEGIN_CURRENT_VISION:END_CURRENT_VISION,CURRENT_COL_ESContrib,FALSE),"")</f>
        <v/>
      </c>
      <c r="I768" s="409" t="str">
        <f ca="1" t="shared" si="108" ref="I768:I770">IFERROR(F768-H768,"")</f>
        <v/>
      </c>
      <c r="J768" s="410" t="str">
        <f ca="1" t="shared" si="109" ref="J768:J770">IF(F768="","",H768*E768)</f>
        <v/>
      </c>
      <c r="K768" s="411"/>
      <c r="L768" s="408" t="str" cm="1">
        <f t="array" ca="1" aca="1" ref="L768">_xlfn.IFNA(VLOOKUP(INDIRECT("L"&amp;ROW()-2)&amp;"_"&amp;$D$12,BEGIN_Renew_Vision:END_RENEW_VISION,RENEW_COL_ES,FALSE),"")</f>
        <v/>
      </c>
      <c r="M768" s="412" t="str">
        <f ca="1">IF(E768="","",E768)</f>
        <v/>
      </c>
      <c r="N768" s="413"/>
      <c r="O768" s="414"/>
      <c r="P768" s="415" t="str">
        <f>IFERROR(IF($N766="Keep Contribution Same",H768,IF($N766="Enter Percentages",IF(N768="","",N768*L768),IF($N766="Keep Percentage Same",IF(G768="","",G768*L768),IF($N766="Enter Dollar Amount",IF(O768="","",O768),"")))),"")</f>
        <v/>
      </c>
      <c r="Q768" s="408" t="str">
        <f ca="1" t="shared" si="110" ref="Q768:Q770">IFERROR(L768-P768,"")</f>
        <v/>
      </c>
      <c r="R768" s="410" t="str">
        <f>IFERROR(IF(P768="","",M768*P768),"")</f>
        <v/>
      </c>
      <c r="S768" s="411"/>
      <c r="T768" s="408" t="str" cm="1">
        <f t="array" ca="1" aca="1" ref="T768">_xlfn.IFNA(VLOOKUP(INDIRECT("T"&amp;ROW()-2)&amp;"_"&amp;$D$12,BEGIN_Renew_Vision:END_RENEW_VISION,RENEW_COL_ES,FALSE),"")</f>
        <v/>
      </c>
      <c r="U768" s="412" t="str">
        <f ca="1" t="shared" si="111" ref="U768:U770">IF(E768="","",E768)</f>
        <v/>
      </c>
      <c r="V768" s="413"/>
      <c r="W768" s="414"/>
      <c r="X768" s="415" t="str">
        <f>IFERROR(IF($V766="Keep Contribution Same",H768,IF($V766="Enter Percentages",IF(V768="","",V768*T768),IF($V766="Keep Percentage Same",IF(G768="","",G768*T768),IF($V766="Enter Dollar Amount",IF(W768="","",W768),"")))),"")</f>
        <v/>
      </c>
      <c r="Y768" s="408" t="str">
        <f ca="1" t="shared" si="112" ref="Y768:Y770">IFERROR(T768-X768,"")</f>
        <v/>
      </c>
      <c r="Z768" s="410" t="str">
        <f t="shared" si="113" ref="Z768:Z770">IFERROR(IF(X768="","",U768*X768),"")</f>
        <v/>
      </c>
    </row>
    <row r="769" spans="1:26" ht="18.75" customHeight="1">
      <c r="A769" s="140"/>
      <c r="B769" s="140"/>
      <c r="D769" s="172" t="s">
        <v>240</v>
      </c>
      <c r="E769" s="407" t="str">
        <f ca="1">_xlfn.IFNA(VLOOKUP(F766,BEGIN_CURRENT_VISION:END_CURRENT_VISION,CURRENT_COL_EC_count,FALSE),"")</f>
        <v/>
      </c>
      <c r="F769" s="408" t="str">
        <f ca="1">_xlfn.IFNA(VLOOKUP(F766,BEGIN_CURRENT_VISION:END_CURRENT_VISION,CURRENT_COL_EC,FALSE),"")</f>
        <v/>
      </c>
      <c r="G769" s="468" t="str">
        <f t="shared" ca="1" si="107"/>
        <v/>
      </c>
      <c r="H769" s="408" t="str">
        <f ca="1">_xlfn.IFNA(VLOOKUP(F766,BEGIN_CURRENT_VISION:END_CURRENT_VISION,CURRENT_COL_ECContrib,FALSE),"")</f>
        <v/>
      </c>
      <c r="I769" s="409" t="str">
        <f t="shared" ca="1" si="108"/>
        <v/>
      </c>
      <c r="J769" s="410" t="str">
        <f t="shared" ca="1" si="109"/>
        <v/>
      </c>
      <c r="K769" s="411"/>
      <c r="L769" s="408" t="str" cm="1">
        <f t="array" ca="1" aca="1" ref="L769">_xlfn.IFNA(VLOOKUP(INDIRECT("L"&amp;ROW()-3)&amp;"_"&amp;$D$12,BEGIN_Renew_Vision:END_RENEW_VISION,RENEW_COL_EC,FALSE),"")</f>
        <v/>
      </c>
      <c r="M769" s="412" t="str">
        <f ca="1">IF(E769="","",E769)</f>
        <v/>
      </c>
      <c r="N769" s="413"/>
      <c r="O769" s="414"/>
      <c r="P769" s="415" t="str">
        <f>IFERROR(IF($N766="Keep Contribution Same",H769,IF($N766="Enter Percentages",IF(N769="","",N769*L769),IF($N766="Keep Percentage Same",IF(G769="","",G769*L769),IF($N766="Enter Dollar Amount",IF(O769="","",O769),"")))),"")</f>
        <v/>
      </c>
      <c r="Q769" s="408" t="str">
        <f t="shared" ca="1" si="110"/>
        <v/>
      </c>
      <c r="R769" s="410" t="str">
        <f>IFERROR(IF(P769="","",M769*P769),"")</f>
        <v/>
      </c>
      <c r="S769" s="411"/>
      <c r="T769" s="408" t="str" cm="1">
        <f t="array" ca="1" aca="1" ref="T769">_xlfn.IFNA(VLOOKUP(INDIRECT("T"&amp;ROW()-3)&amp;"_"&amp;$D$12,BEGIN_Renew_Vision:END_RENEW_VISION,RENEW_COL_EC,FALSE),"")</f>
        <v/>
      </c>
      <c r="U769" s="412" t="str">
        <f t="shared" ca="1" si="111"/>
        <v/>
      </c>
      <c r="V769" s="413"/>
      <c r="W769" s="414"/>
      <c r="X769" s="415" t="str">
        <f>IFERROR(IF($V766="Keep Contribution Same",H769,IF($V766="Enter Percentages",IF(V769="","",V769*T769),IF($V766="Keep Percentage Same",IF(G769="","",G769*T769),IF($V766="Enter Dollar Amount",IF(W769="","",W769),"")))),"")</f>
        <v/>
      </c>
      <c r="Y769" s="408" t="str">
        <f t="shared" ca="1" si="112"/>
        <v/>
      </c>
      <c r="Z769" s="410" t="str">
        <f t="shared" si="113"/>
        <v/>
      </c>
    </row>
    <row r="770" spans="1:26" ht="18.75" customHeight="1" thickBot="1">
      <c r="A770" s="140"/>
      <c r="B770" s="140"/>
      <c r="D770" s="174" t="s">
        <v>241</v>
      </c>
      <c r="E770" s="416" t="str">
        <f ca="1">_xlfn.IFNA(VLOOKUP(F766,BEGIN_CURRENT_VISION:END_CURRENT_VISION,CURRENT_COL_FAM_count,FALSE),"")</f>
        <v/>
      </c>
      <c r="F770" s="417" t="str">
        <f ca="1">_xlfn.IFNA(VLOOKUP(F766,BEGIN_CURRENT_VISION:END_CURRENT_VISION,CURRENT_COL_FAM,FALSE),"")</f>
        <v/>
      </c>
      <c r="G770" s="469" t="str">
        <f t="shared" ca="1" si="107"/>
        <v/>
      </c>
      <c r="H770" s="417" t="str">
        <f ca="1">_xlfn.IFNA(VLOOKUP(F766,BEGIN_CURRENT_VISION:END_CURRENT_VISION,CURRENT_COL_FAMContrib,FALSE),"")</f>
        <v/>
      </c>
      <c r="I770" s="409" t="str">
        <f t="shared" ca="1" si="108"/>
        <v/>
      </c>
      <c r="J770" s="410" t="str">
        <f t="shared" ca="1" si="109"/>
        <v/>
      </c>
      <c r="K770" s="411"/>
      <c r="L770" s="417" t="str" cm="1">
        <f t="array" ca="1" aca="1" ref="L770">_xlfn.IFNA(VLOOKUP(INDIRECT("L"&amp;ROW()-4)&amp;"_"&amp;$D$12,BEGIN_Renew_Vision:END_RENEW_VISION,RENEW_COL_FAM,FALSE),"")</f>
        <v/>
      </c>
      <c r="M770" s="423" t="str">
        <f ca="1">IF(E770="","",E770)</f>
        <v/>
      </c>
      <c r="N770" s="420"/>
      <c r="O770" s="421"/>
      <c r="P770" s="422" t="str">
        <f>IFERROR(IF($N766="Keep Contribution Same",H770,IF($N766="Enter Percentages",IF(N770="","",N770*L770),IF($N766="Keep Percentage Same",IF(G770="","",G770*L770),IF($N766="Enter Dollar Amount",IF(O770="","",O770),"")))),"")</f>
        <v/>
      </c>
      <c r="Q770" s="417" t="str">
        <f t="shared" ca="1" si="110"/>
        <v/>
      </c>
      <c r="R770" s="419" t="str">
        <f>IFERROR(IF(P770="","",M770*P770),"")</f>
        <v/>
      </c>
      <c r="S770" s="411"/>
      <c r="T770" s="417" t="str" cm="1">
        <f t="array" ca="1" aca="1" ref="T770">_xlfn.IFNA(VLOOKUP(INDIRECT("T"&amp;ROW()-4)&amp;"_"&amp;$D$12,BEGIN_Renew_Vision:END_RENEW_VISION,RENEW_COL_FAM,FALSE),"")</f>
        <v/>
      </c>
      <c r="U770" s="423" t="str">
        <f t="shared" ca="1" si="111"/>
        <v/>
      </c>
      <c r="V770" s="420"/>
      <c r="W770" s="421"/>
      <c r="X770" s="422" t="str">
        <f>IFERROR(IF($V766="Keep Contribution Same",H770,IF($V766="Enter Percentages",IF(V770="","",V770*T770),IF($V766="Keep Percentage Same",IF(G770="","",G770*T770),IF($V766="Enter Dollar Amount",IF(W770="","",W770),"")))),"")</f>
        <v/>
      </c>
      <c r="Y770" s="417" t="str">
        <f t="shared" ca="1" si="112"/>
        <v/>
      </c>
      <c r="Z770" s="419" t="str">
        <f t="shared" si="113"/>
        <v/>
      </c>
    </row>
    <row r="771" spans="1:26" ht="18.75" customHeight="1" thickTop="1">
      <c r="A771" s="140"/>
      <c r="B771" s="140"/>
      <c r="D771" s="175" t="s">
        <v>329</v>
      </c>
      <c r="E771" s="424"/>
      <c r="F771" s="427"/>
      <c r="G771" s="426"/>
      <c r="H771" s="427"/>
      <c r="I771" s="428"/>
      <c r="J771" s="429" t="str">
        <f ca="1">IFERROR(IF(J767="","",SUM(J767:J770)),0)</f>
        <v/>
      </c>
      <c r="K771" s="1"/>
      <c r="L771" s="424"/>
      <c r="M771" s="427"/>
      <c r="N771" s="426"/>
      <c r="O771" s="427"/>
      <c r="P771" s="431"/>
      <c r="Q771" s="432"/>
      <c r="R771" s="429" t="str">
        <f>IFERROR(IF(R767="","",SUM(R767:R770)),0)</f>
        <v/>
      </c>
      <c r="T771" s="424"/>
      <c r="U771" s="427"/>
      <c r="V771" s="426"/>
      <c r="W771" s="427"/>
      <c r="X771" s="431"/>
      <c r="Y771" s="432"/>
      <c r="Z771" s="429" t="str">
        <f>IFERROR(IF(Z767="","",SUM(Z767:Z770)),0)</f>
        <v/>
      </c>
    </row>
    <row r="772" spans="1:26" ht="18.75" customHeight="1">
      <c r="A772" s="140"/>
      <c r="B772" s="140"/>
      <c r="D772" s="177" t="s">
        <v>243</v>
      </c>
      <c r="E772" s="433"/>
      <c r="F772" s="436"/>
      <c r="G772" s="435"/>
      <c r="H772" s="436"/>
      <c r="I772" s="432"/>
      <c r="J772" s="437" t="str">
        <f ca="1">IF(J771="","",J771*12)</f>
        <v/>
      </c>
      <c r="K772" s="1"/>
      <c r="L772" s="433"/>
      <c r="M772" s="436"/>
      <c r="N772" s="435"/>
      <c r="O772" s="436"/>
      <c r="P772" s="432"/>
      <c r="Q772" s="432"/>
      <c r="R772" s="437" t="str">
        <f>IF(R771="","",R771*12)</f>
        <v/>
      </c>
      <c r="T772" s="433"/>
      <c r="U772" s="436"/>
      <c r="V772" s="435"/>
      <c r="W772" s="436"/>
      <c r="X772" s="432"/>
      <c r="Y772" s="432"/>
      <c r="Z772" s="437" t="str">
        <f>IF(Z771="","",Z771*12)</f>
        <v/>
      </c>
    </row>
    <row r="773" spans="1:26" ht="18" customHeight="1">
      <c r="A773" s="140"/>
      <c r="B773" s="140"/>
      <c r="D773" s="177" t="s">
        <v>244</v>
      </c>
      <c r="E773" s="433"/>
      <c r="F773" s="436"/>
      <c r="G773" s="435"/>
      <c r="H773" s="436"/>
      <c r="I773" s="432"/>
      <c r="J773" s="437" t="str">
        <f ca="1">IFERROR(IF(J772="","",R772-J772),0)</f>
        <v/>
      </c>
      <c r="K773" s="1"/>
      <c r="L773" s="433"/>
      <c r="M773" s="436"/>
      <c r="N773" s="435"/>
      <c r="O773" s="436"/>
      <c r="P773" s="432"/>
      <c r="Q773" s="432"/>
      <c r="R773" s="437" t="str">
        <f ca="1">IFERROR(IF(J772="","",R772-J772),0)</f>
        <v/>
      </c>
      <c r="T773" s="433"/>
      <c r="U773" s="436"/>
      <c r="V773" s="435"/>
      <c r="W773" s="436"/>
      <c r="X773" s="432"/>
      <c r="Y773" s="432"/>
      <c r="Z773" s="437" t="str">
        <f>IFERROR(IF(R772="","",Z772-R772),0)</f>
        <v/>
      </c>
    </row>
    <row r="774" spans="1:26" ht="18" customHeight="1" thickBot="1">
      <c r="A774" s="140"/>
      <c r="B774" s="140"/>
      <c r="D774" s="180" t="s">
        <v>245</v>
      </c>
      <c r="E774" s="439"/>
      <c r="F774" s="440"/>
      <c r="G774" s="441"/>
      <c r="H774" s="440"/>
      <c r="I774" s="442"/>
      <c r="J774" s="437" t="str">
        <f ca="1">IFERROR(IF(J772="","",(R772/J772)-1),0)</f>
        <v/>
      </c>
      <c r="K774" s="1"/>
      <c r="L774" s="439"/>
      <c r="M774" s="440"/>
      <c r="N774" s="441"/>
      <c r="O774" s="440"/>
      <c r="P774" s="445"/>
      <c r="Q774" s="445"/>
      <c r="R774" s="446" t="str">
        <f ca="1">IFERROR(IF(J772="","",(R772/J772)-1),0)</f>
        <v/>
      </c>
      <c r="T774" s="439"/>
      <c r="U774" s="440"/>
      <c r="V774" s="441"/>
      <c r="W774" s="440"/>
      <c r="X774" s="445"/>
      <c r="Y774" s="445"/>
      <c r="Z774" s="446" t="str">
        <f>IFERROR(IF(R772="","",(Z772/R772)-1),0)</f>
        <v/>
      </c>
    </row>
    <row r="775" spans="1:26" ht="5.25" customHeight="1" thickBot="1">
      <c r="A775" s="140"/>
      <c r="B775" s="140"/>
      <c r="D775" s="229"/>
      <c r="E775" s="229"/>
      <c r="F775" s="230"/>
      <c r="G775" s="231"/>
      <c r="H775" s="232"/>
      <c r="I775" s="233"/>
      <c r="J775" s="233"/>
      <c r="K775"/>
      <c r="L775" s="233"/>
      <c r="M775" s="233"/>
      <c r="N775" s="233"/>
      <c r="O775" s="233"/>
      <c r="P775" s="233"/>
      <c r="Q775" s="233"/>
      <c r="R775" s="233"/>
      <c r="T775" s="233"/>
      <c r="U775" s="233"/>
      <c r="V775" s="233"/>
      <c r="W775" s="233"/>
      <c r="X775" s="233"/>
      <c r="Y775" s="233"/>
      <c r="Z775" s="233"/>
    </row>
    <row r="776" spans="1:26" ht="50.15" customHeight="1">
      <c r="A776" s="140">
        <v>2</v>
      </c>
      <c r="B776" s="140" t="str">
        <f>IF(A776&gt;Class6_CurrentVisionCount,"DELETE",Class6_CurrentVisionStart+A776)</f>
        <v>DELETE</v>
      </c>
      <c r="C776" s="164" t="s">
        <v>301</v>
      </c>
      <c r="D776" s="273" t="str">
        <f>IF(B776="Delete","",VLOOKUP(F776,BEGIN_CURRENT_VISION:END_CURRENT_VISION,3,FALSE))</f>
        <v/>
      </c>
      <c r="E776" s="165"/>
      <c r="F776" s="272" t="str" cm="1">
        <f t="array" ca="1" aca="1" ref="F776">IF(B776="Delete","",INDIRECT("CurrentPlans!A"&amp;B776,TRUE))</f>
        <v/>
      </c>
      <c r="G776" s="166"/>
      <c r="H776" s="167"/>
      <c r="I776" s="168"/>
      <c r="J776" s="169"/>
      <c r="K776"/>
      <c r="L776" s="274" t="str">
        <f ca="1">_xlfn.IFNA(VLOOKUP(F776,BEGIN_RENEWEDFROM_DENTAL:ROW_RenewDental_PlanID,3,FALSE),"SELECT PLAN")</f>
        <v>SELECT PLAN</v>
      </c>
      <c r="M776" s="170"/>
      <c r="N776" s="274" t="s">
        <v>237</v>
      </c>
      <c r="O776" s="171"/>
      <c r="P776" s="171"/>
      <c r="Q776" s="171"/>
      <c r="R776" s="169"/>
      <c r="T776" s="274" t="s">
        <v>38</v>
      </c>
      <c r="U776" s="170"/>
      <c r="V776" s="274" t="s">
        <v>237</v>
      </c>
      <c r="W776" s="171"/>
      <c r="X776" s="171"/>
      <c r="Y776" s="171"/>
      <c r="Z776" s="169"/>
    </row>
    <row r="777" spans="1:26" ht="18.75" customHeight="1">
      <c r="A777" s="140"/>
      <c r="B777" s="140"/>
      <c r="D777" s="172" t="s">
        <v>238</v>
      </c>
      <c r="E777" s="407" t="str">
        <f ca="1">_xlfn.IFNA(VLOOKUP(F776,BEGIN_CURRENT_VISION:END_CURRENT_VISION,CURRENT_COL_EO_count,FALSE),"")</f>
        <v/>
      </c>
      <c r="F777" s="408" t="str">
        <f ca="1">_xlfn.IFNA(VLOOKUP(F776,BEGIN_CURRENT_VISION:END_CURRENT_VISION,CURRENT_COL_EO,FALSE),"")</f>
        <v/>
      </c>
      <c r="G777" s="468" t="str">
        <f ca="1" t="shared" si="114" ref="G777:G780">IF(F777="","",H777/F777)</f>
        <v/>
      </c>
      <c r="H777" s="408" t="str">
        <f ca="1">_xlfn.IFNA(VLOOKUP(F776,BEGIN_CURRENT_VISION:END_CURRENT_VISION,CURRENT_COL_EOContrib,FALSE),"")</f>
        <v/>
      </c>
      <c r="I777" s="409" t="str">
        <f ca="1">IFERROR(F777-H777,"")</f>
        <v/>
      </c>
      <c r="J777" s="410" t="str">
        <f ca="1">IF(F777="","",H777*E777)</f>
        <v/>
      </c>
      <c r="K777" s="411"/>
      <c r="L777" s="408" t="str" cm="1">
        <f t="array" ca="1" aca="1" ref="L777">_xlfn.IFNA(VLOOKUP(INDIRECT("L"&amp;ROW()-1)&amp;"_"&amp;$D$12,BEGIN_Renew_Vision:END_RENEW_VISION,RENEW_COL_EO,FALSE),"")</f>
        <v/>
      </c>
      <c r="M777" s="412" t="str">
        <f ca="1">IF(E777="","",E777)</f>
        <v/>
      </c>
      <c r="N777" s="413"/>
      <c r="O777" s="414"/>
      <c r="P777" s="415" t="str">
        <f>IFERROR(IF($N776="Keep Contribution Same",H777,IF($N776="Enter Percentages",IF(N777="","",N777*L777),IF($N776="Keep Percentage Same",IF(G777="","",G777*L777),IF($N776="Enter Dollar Amount",IF(O777="","",O777),"")))),"")</f>
        <v/>
      </c>
      <c r="Q777" s="408" t="str">
        <f ca="1">IFERROR(L777-P777,"")</f>
        <v/>
      </c>
      <c r="R777" s="410" t="str">
        <f>IFERROR(IF(P777="","",M777*P777),"")</f>
        <v/>
      </c>
      <c r="S777" s="411"/>
      <c r="T777" s="408" t="str" cm="1">
        <f t="array" ca="1" aca="1" ref="T777">_xlfn.IFNA(VLOOKUP(INDIRECT("T"&amp;ROW()-1)&amp;"_"&amp;$D$12,BEGIN_Renew_Vision:END_RENEW_VISION,RENEW_COL_EO,FALSE),"")</f>
        <v/>
      </c>
      <c r="U777" s="412" t="str">
        <f ca="1">IF(E777="","",E777)</f>
        <v/>
      </c>
      <c r="V777" s="413"/>
      <c r="W777" s="414"/>
      <c r="X777" s="415" t="str">
        <f>IFERROR(IF($V776="Keep Contribution Same",H777,IF($V776="Enter Percentages",IF(V777="","",V777*T777),IF($V776="Keep Percentage Same",IF(G777="","",G777*T777),IF($V776="Enter Dollar Amount",IF(W777="","",W777),"")))),"")</f>
        <v/>
      </c>
      <c r="Y777" s="408" t="str">
        <f ca="1">IFERROR(T777-X777,"")</f>
        <v/>
      </c>
      <c r="Z777" s="410" t="str">
        <f>IFERROR(IF(X777="","",U777*X777),"")</f>
        <v/>
      </c>
    </row>
    <row r="778" spans="1:26" ht="18.75" customHeight="1">
      <c r="A778" s="140"/>
      <c r="B778" s="140"/>
      <c r="D778" s="172" t="s">
        <v>239</v>
      </c>
      <c r="E778" s="407" t="str">
        <f ca="1">_xlfn.IFNA(VLOOKUP(F776,BEGIN_CURRENT_VISION:END_CURRENT_VISION,CURRENT_COL_ES_count,FALSE),"")</f>
        <v/>
      </c>
      <c r="F778" s="408" t="str">
        <f ca="1">_xlfn.IFNA(VLOOKUP(F776,BEGIN_CURRENT_VISION:END_CURRENT_VISION,CURRENT_COL_ES,FALSE),"")</f>
        <v/>
      </c>
      <c r="G778" s="468" t="str">
        <f t="shared" ca="1" si="114"/>
        <v/>
      </c>
      <c r="H778" s="408" t="str">
        <f ca="1">_xlfn.IFNA(VLOOKUP(F776,BEGIN_CURRENT_VISION:END_CURRENT_VISION,CURRENT_COL_ESContrib,FALSE),"")</f>
        <v/>
      </c>
      <c r="I778" s="409" t="str">
        <f ca="1" t="shared" si="115" ref="I778:I780">IFERROR(F778-H778,"")</f>
        <v/>
      </c>
      <c r="J778" s="410" t="str">
        <f ca="1" t="shared" si="116" ref="J778:J780">IF(F778="","",H778*E778)</f>
        <v/>
      </c>
      <c r="K778" s="411"/>
      <c r="L778" s="408" t="str" cm="1">
        <f t="array" ca="1" aca="1" ref="L778">_xlfn.IFNA(VLOOKUP(INDIRECT("L"&amp;ROW()-2)&amp;"_"&amp;$D$12,BEGIN_Renew_Vision:END_RENEW_VISION,RENEW_COL_ES,FALSE),"")</f>
        <v/>
      </c>
      <c r="M778" s="412" t="str">
        <f ca="1">IF(E778="","",E778)</f>
        <v/>
      </c>
      <c r="N778" s="413"/>
      <c r="O778" s="414"/>
      <c r="P778" s="415" t="str">
        <f>IFERROR(IF($N776="Keep Contribution Same",H778,IF($N776="Enter Percentages",IF(N778="","",N778*L778),IF($N776="Keep Percentage Same",IF(G778="","",G778*L778),IF($N776="Enter Dollar Amount",IF(O778="","",O778),"")))),"")</f>
        <v/>
      </c>
      <c r="Q778" s="408" t="str">
        <f ca="1" t="shared" si="117" ref="Q778:Q780">IFERROR(L778-P778,"")</f>
        <v/>
      </c>
      <c r="R778" s="410" t="str">
        <f>IFERROR(IF(P778="","",M778*P778),"")</f>
        <v/>
      </c>
      <c r="S778" s="411"/>
      <c r="T778" s="408" t="str" cm="1">
        <f t="array" ca="1" aca="1" ref="T778">_xlfn.IFNA(VLOOKUP(INDIRECT("T"&amp;ROW()-2)&amp;"_"&amp;$D$12,BEGIN_Renew_Vision:END_RENEW_VISION,RENEW_COL_ES,FALSE),"")</f>
        <v/>
      </c>
      <c r="U778" s="412" t="str">
        <f ca="1" t="shared" si="118" ref="U778:U780">IF(E778="","",E778)</f>
        <v/>
      </c>
      <c r="V778" s="413"/>
      <c r="W778" s="414"/>
      <c r="X778" s="415" t="str">
        <f>IFERROR(IF($V776="Keep Contribution Same",H778,IF($V776="Enter Percentages",IF(V778="","",V778*T778),IF($V776="Keep Percentage Same",IF(G778="","",G778*T778),IF($V776="Enter Dollar Amount",IF(W778="","",W778),"")))),"")</f>
        <v/>
      </c>
      <c r="Y778" s="408" t="str">
        <f ca="1" t="shared" si="119" ref="Y778:Y780">IFERROR(T778-X778,"")</f>
        <v/>
      </c>
      <c r="Z778" s="410" t="str">
        <f t="shared" si="120" ref="Z778:Z780">IFERROR(IF(X778="","",U778*X778),"")</f>
        <v/>
      </c>
    </row>
    <row r="779" spans="1:26" ht="18.75" customHeight="1">
      <c r="A779" s="140"/>
      <c r="B779" s="140"/>
      <c r="D779" s="172" t="s">
        <v>240</v>
      </c>
      <c r="E779" s="407" t="str">
        <f ca="1">_xlfn.IFNA(VLOOKUP(F776,BEGIN_CURRENT_VISION:END_CURRENT_VISION,CURRENT_COL_EC_count,FALSE),"")</f>
        <v/>
      </c>
      <c r="F779" s="408" t="str">
        <f ca="1">_xlfn.IFNA(VLOOKUP(F776,BEGIN_CURRENT_VISION:END_CURRENT_VISION,CURRENT_COL_EC,FALSE),"")</f>
        <v/>
      </c>
      <c r="G779" s="468" t="str">
        <f t="shared" ca="1" si="114"/>
        <v/>
      </c>
      <c r="H779" s="408" t="str">
        <f ca="1">_xlfn.IFNA(VLOOKUP(F776,BEGIN_CURRENT_VISION:END_CURRENT_VISION,CURRENT_COL_ECContrib,FALSE),"")</f>
        <v/>
      </c>
      <c r="I779" s="409" t="str">
        <f t="shared" ca="1" si="115"/>
        <v/>
      </c>
      <c r="J779" s="410" t="str">
        <f t="shared" ca="1" si="116"/>
        <v/>
      </c>
      <c r="K779" s="411"/>
      <c r="L779" s="408" t="str" cm="1">
        <f t="array" ca="1" aca="1" ref="L779">_xlfn.IFNA(VLOOKUP(INDIRECT("L"&amp;ROW()-3)&amp;"_"&amp;$D$12,BEGIN_Renew_Vision:END_RENEW_VISION,RENEW_COL_EC,FALSE),"")</f>
        <v/>
      </c>
      <c r="M779" s="412" t="str">
        <f ca="1">IF(E779="","",E779)</f>
        <v/>
      </c>
      <c r="N779" s="413"/>
      <c r="O779" s="414"/>
      <c r="P779" s="415" t="str">
        <f>IFERROR(IF($N776="Keep Contribution Same",H779,IF($N776="Enter Percentages",IF(N779="","",N779*L779),IF($N776="Keep Percentage Same",IF(G779="","",G779*L779),IF($N776="Enter Dollar Amount",IF(O779="","",O779),"")))),"")</f>
        <v/>
      </c>
      <c r="Q779" s="408" t="str">
        <f t="shared" ca="1" si="117"/>
        <v/>
      </c>
      <c r="R779" s="410" t="str">
        <f>IFERROR(IF(P779="","",M779*P779),"")</f>
        <v/>
      </c>
      <c r="S779" s="411"/>
      <c r="T779" s="408" t="str" cm="1">
        <f t="array" ca="1" aca="1" ref="T779">_xlfn.IFNA(VLOOKUP(INDIRECT("T"&amp;ROW()-3)&amp;"_"&amp;$D$12,BEGIN_Renew_Vision:END_RENEW_VISION,RENEW_COL_EC,FALSE),"")</f>
        <v/>
      </c>
      <c r="U779" s="412" t="str">
        <f t="shared" ca="1" si="118"/>
        <v/>
      </c>
      <c r="V779" s="413"/>
      <c r="W779" s="414"/>
      <c r="X779" s="415" t="str">
        <f>IFERROR(IF($V776="Keep Contribution Same",H779,IF($V776="Enter Percentages",IF(V779="","",V779*T779),IF($V776="Keep Percentage Same",IF(G779="","",G779*T779),IF($V776="Enter Dollar Amount",IF(W779="","",W779),"")))),"")</f>
        <v/>
      </c>
      <c r="Y779" s="408" t="str">
        <f t="shared" ca="1" si="119"/>
        <v/>
      </c>
      <c r="Z779" s="410" t="str">
        <f t="shared" si="120"/>
        <v/>
      </c>
    </row>
    <row r="780" spans="1:26" ht="18.75" customHeight="1" thickBot="1">
      <c r="A780" s="140"/>
      <c r="B780" s="140"/>
      <c r="D780" s="174" t="s">
        <v>241</v>
      </c>
      <c r="E780" s="416" t="str">
        <f ca="1">_xlfn.IFNA(VLOOKUP(F776,BEGIN_CURRENT_VISION:END_CURRENT_VISION,CURRENT_COL_FAM_count,FALSE),"")</f>
        <v/>
      </c>
      <c r="F780" s="417" t="str">
        <f ca="1">_xlfn.IFNA(VLOOKUP(F776,BEGIN_CURRENT_VISION:END_CURRENT_VISION,CURRENT_COL_FAM,FALSE),"")</f>
        <v/>
      </c>
      <c r="G780" s="469" t="str">
        <f t="shared" ca="1" si="114"/>
        <v/>
      </c>
      <c r="H780" s="417" t="str">
        <f ca="1">_xlfn.IFNA(VLOOKUP(F776,BEGIN_CURRENT_VISION:END_CURRENT_VISION,CURRENT_COL_FAMContrib,FALSE),"")</f>
        <v/>
      </c>
      <c r="I780" s="409" t="str">
        <f t="shared" ca="1" si="115"/>
        <v/>
      </c>
      <c r="J780" s="410" t="str">
        <f t="shared" ca="1" si="116"/>
        <v/>
      </c>
      <c r="K780" s="411"/>
      <c r="L780" s="417" t="str" cm="1">
        <f t="array" ca="1" aca="1" ref="L780">_xlfn.IFNA(VLOOKUP(INDIRECT("L"&amp;ROW()-4)&amp;"_"&amp;$D$12,BEGIN_Renew_Vision:END_RENEW_VISION,RENEW_COL_FAM,FALSE),"")</f>
        <v/>
      </c>
      <c r="M780" s="423" t="str">
        <f ca="1">IF(E780="","",E780)</f>
        <v/>
      </c>
      <c r="N780" s="420"/>
      <c r="O780" s="421"/>
      <c r="P780" s="422" t="str">
        <f>IFERROR(IF($N776="Keep Contribution Same",H780,IF($N776="Enter Percentages",IF(N780="","",N780*L780),IF($N776="Keep Percentage Same",IF(G780="","",G780*L780),IF($N776="Enter Dollar Amount",IF(O780="","",O780),"")))),"")</f>
        <v/>
      </c>
      <c r="Q780" s="417" t="str">
        <f t="shared" ca="1" si="117"/>
        <v/>
      </c>
      <c r="R780" s="419" t="str">
        <f>IFERROR(IF(P780="","",M780*P780),"")</f>
        <v/>
      </c>
      <c r="S780" s="411"/>
      <c r="T780" s="417" t="str" cm="1">
        <f t="array" ca="1" aca="1" ref="T780">_xlfn.IFNA(VLOOKUP(INDIRECT("T"&amp;ROW()-4)&amp;"_"&amp;$D$12,BEGIN_Renew_Vision:END_RENEW_VISION,RENEW_COL_FAM,FALSE),"")</f>
        <v/>
      </c>
      <c r="U780" s="423" t="str">
        <f t="shared" ca="1" si="118"/>
        <v/>
      </c>
      <c r="V780" s="420"/>
      <c r="W780" s="421"/>
      <c r="X780" s="422" t="str">
        <f>IFERROR(IF($V776="Keep Contribution Same",H780,IF($V776="Enter Percentages",IF(V780="","",V780*T780),IF($V776="Keep Percentage Same",IF(G780="","",G780*T780),IF($V776="Enter Dollar Amount",IF(W780="","",W780),"")))),"")</f>
        <v/>
      </c>
      <c r="Y780" s="417" t="str">
        <f t="shared" ca="1" si="119"/>
        <v/>
      </c>
      <c r="Z780" s="419" t="str">
        <f t="shared" si="120"/>
        <v/>
      </c>
    </row>
    <row r="781" spans="1:26" ht="18.75" customHeight="1" thickTop="1">
      <c r="A781" s="140"/>
      <c r="B781" s="140"/>
      <c r="D781" s="175" t="s">
        <v>329</v>
      </c>
      <c r="E781" s="424"/>
      <c r="F781" s="427"/>
      <c r="G781" s="426"/>
      <c r="H781" s="427"/>
      <c r="I781" s="428"/>
      <c r="J781" s="429" t="str">
        <f ca="1">IFERROR(IF(J777="","",SUM(J777:J780)),0)</f>
        <v/>
      </c>
      <c r="K781" s="1"/>
      <c r="L781" s="424"/>
      <c r="M781" s="427"/>
      <c r="N781" s="426"/>
      <c r="O781" s="427"/>
      <c r="P781" s="431"/>
      <c r="Q781" s="432"/>
      <c r="R781" s="429" t="str">
        <f>IFERROR(IF(R777="","",SUM(R777:R780)),0)</f>
        <v/>
      </c>
      <c r="T781" s="424"/>
      <c r="U781" s="427"/>
      <c r="V781" s="426"/>
      <c r="W781" s="427"/>
      <c r="X781" s="431"/>
      <c r="Y781" s="432"/>
      <c r="Z781" s="429" t="str">
        <f>IFERROR(IF(Z777="","",SUM(Z777:Z780)),0)</f>
        <v/>
      </c>
    </row>
    <row r="782" spans="1:26" ht="18.75" customHeight="1">
      <c r="A782" s="140"/>
      <c r="B782" s="140"/>
      <c r="D782" s="177" t="s">
        <v>243</v>
      </c>
      <c r="E782" s="433"/>
      <c r="F782" s="436"/>
      <c r="G782" s="435"/>
      <c r="H782" s="436"/>
      <c r="I782" s="432"/>
      <c r="J782" s="437" t="str">
        <f ca="1">IF(J781="","",J781*12)</f>
        <v/>
      </c>
      <c r="K782" s="1"/>
      <c r="L782" s="433"/>
      <c r="M782" s="436"/>
      <c r="N782" s="435"/>
      <c r="O782" s="436"/>
      <c r="P782" s="432"/>
      <c r="Q782" s="432"/>
      <c r="R782" s="437" t="str">
        <f>IF(R781="","",R781*12)</f>
        <v/>
      </c>
      <c r="T782" s="433"/>
      <c r="U782" s="436"/>
      <c r="V782" s="435"/>
      <c r="W782" s="436"/>
      <c r="X782" s="432"/>
      <c r="Y782" s="432"/>
      <c r="Z782" s="437" t="str">
        <f>IF(Z781="","",Z781*12)</f>
        <v/>
      </c>
    </row>
    <row r="783" spans="1:26" ht="18" customHeight="1">
      <c r="A783" s="140"/>
      <c r="B783" s="140"/>
      <c r="D783" s="177" t="s">
        <v>244</v>
      </c>
      <c r="E783" s="433"/>
      <c r="F783" s="436"/>
      <c r="G783" s="435"/>
      <c r="H783" s="436"/>
      <c r="I783" s="432"/>
      <c r="J783" s="437" t="str">
        <f ca="1">IFERROR(IF(J782="","",R782-J782),0)</f>
        <v/>
      </c>
      <c r="K783" s="1"/>
      <c r="L783" s="433"/>
      <c r="M783" s="436"/>
      <c r="N783" s="435"/>
      <c r="O783" s="436"/>
      <c r="P783" s="432"/>
      <c r="Q783" s="432"/>
      <c r="R783" s="437" t="str">
        <f ca="1">IFERROR(IF(J782="","",R782-J782),0)</f>
        <v/>
      </c>
      <c r="T783" s="433"/>
      <c r="U783" s="436"/>
      <c r="V783" s="435"/>
      <c r="W783" s="436"/>
      <c r="X783" s="432"/>
      <c r="Y783" s="432"/>
      <c r="Z783" s="437" t="str">
        <f>IFERROR(IF(R782="","",Z782-R782),0)</f>
        <v/>
      </c>
    </row>
    <row r="784" spans="1:26" ht="18" customHeight="1" thickBot="1">
      <c r="A784" s="140"/>
      <c r="B784" s="140"/>
      <c r="D784" s="180" t="s">
        <v>245</v>
      </c>
      <c r="E784" s="439"/>
      <c r="F784" s="440"/>
      <c r="G784" s="441"/>
      <c r="H784" s="440"/>
      <c r="I784" s="442"/>
      <c r="J784" s="437" t="str">
        <f ca="1">IFERROR(IF(J782="","",(R782/J782)-1),0)</f>
        <v/>
      </c>
      <c r="K784" s="1"/>
      <c r="L784" s="439"/>
      <c r="M784" s="440"/>
      <c r="N784" s="441"/>
      <c r="O784" s="440"/>
      <c r="P784" s="445"/>
      <c r="Q784" s="445"/>
      <c r="R784" s="446" t="str">
        <f ca="1">IFERROR(IF(J782="","",(R782/J782)-1),0)</f>
        <v/>
      </c>
      <c r="T784" s="439"/>
      <c r="U784" s="440"/>
      <c r="V784" s="441"/>
      <c r="W784" s="440"/>
      <c r="X784" s="445"/>
      <c r="Y784" s="445"/>
      <c r="Z784" s="446" t="str">
        <f>IFERROR(IF(R782="","",(Z782/R782)-1),0)</f>
        <v/>
      </c>
    </row>
    <row r="785" spans="1:26" ht="5.25" customHeight="1" thickBot="1">
      <c r="A785" s="140"/>
      <c r="B785" s="140"/>
      <c r="D785" s="229"/>
      <c r="E785" s="229"/>
      <c r="F785" s="230"/>
      <c r="G785" s="231"/>
      <c r="H785" s="232"/>
      <c r="I785" s="233"/>
      <c r="J785" s="233"/>
      <c r="K785"/>
      <c r="L785" s="233"/>
      <c r="M785" s="233"/>
      <c r="N785" s="233"/>
      <c r="O785" s="233"/>
      <c r="P785" s="233"/>
      <c r="Q785" s="233"/>
      <c r="R785" s="233"/>
      <c r="T785" s="233"/>
      <c r="U785" s="233"/>
      <c r="V785" s="233"/>
      <c r="W785" s="233"/>
      <c r="X785" s="233"/>
      <c r="Y785" s="233"/>
      <c r="Z785" s="233"/>
    </row>
    <row r="786" spans="1:26" ht="50.15" customHeight="1">
      <c r="A786" s="140">
        <v>3</v>
      </c>
      <c r="B786" s="140" t="str">
        <f>IF(A786&gt;Class6_CurrentVisionCount,"DELETE",Class6_CurrentVisionStart+A786)</f>
        <v>DELETE</v>
      </c>
      <c r="C786" s="164" t="s">
        <v>302</v>
      </c>
      <c r="D786" s="273" t="str">
        <f>IF(B786="Delete","",VLOOKUP(F786,BEGIN_CURRENT_VISION:END_CURRENT_VISION,3,FALSE))</f>
        <v/>
      </c>
      <c r="E786" s="165"/>
      <c r="F786" s="272" t="str" cm="1">
        <f t="array" ca="1" aca="1" ref="F786">IF(B786="Delete","",INDIRECT("CurrentPlans!A"&amp;B786,TRUE))</f>
        <v/>
      </c>
      <c r="G786" s="166"/>
      <c r="H786" s="167"/>
      <c r="I786" s="168"/>
      <c r="J786" s="169"/>
      <c r="K786"/>
      <c r="L786" s="274" t="str">
        <f ca="1">_xlfn.IFNA(VLOOKUP(F786,BEGIN_RENEWEDFROM_DENTAL:ROW_RenewDental_PlanID,3,FALSE),"SELECT PLAN")</f>
        <v>SELECT PLAN</v>
      </c>
      <c r="M786" s="170"/>
      <c r="N786" s="274" t="s">
        <v>237</v>
      </c>
      <c r="O786" s="171"/>
      <c r="P786" s="171"/>
      <c r="Q786" s="171"/>
      <c r="R786" s="169"/>
      <c r="T786" s="274" t="s">
        <v>38</v>
      </c>
      <c r="U786" s="170"/>
      <c r="V786" s="274" t="s">
        <v>237</v>
      </c>
      <c r="W786" s="171"/>
      <c r="X786" s="171"/>
      <c r="Y786" s="171"/>
      <c r="Z786" s="169"/>
    </row>
    <row r="787" spans="1:26" ht="18.75" customHeight="1">
      <c r="A787" s="140"/>
      <c r="B787" s="140"/>
      <c r="D787" s="172" t="s">
        <v>238</v>
      </c>
      <c r="E787" s="407" t="str">
        <f ca="1">_xlfn.IFNA(VLOOKUP(F786,BEGIN_CURRENT_VISION:END_CURRENT_VISION,CURRENT_COL_EO_count,FALSE),"")</f>
        <v/>
      </c>
      <c r="F787" s="408" t="str">
        <f ca="1">_xlfn.IFNA(VLOOKUP(F786,BEGIN_CURRENT_VISION:END_CURRENT_VISION,CURRENT_COL_EO,FALSE),"")</f>
        <v/>
      </c>
      <c r="G787" s="468" t="str">
        <f ca="1" t="shared" si="121" ref="G787:G790">IF(F787="","",H787/F787)</f>
        <v/>
      </c>
      <c r="H787" s="408" t="str">
        <f ca="1">_xlfn.IFNA(VLOOKUP(F786,BEGIN_CURRENT_VISION:END_CURRENT_VISION,CURRENT_COL_EOContrib,FALSE),"")</f>
        <v/>
      </c>
      <c r="I787" s="409" t="str">
        <f ca="1">IFERROR(F787-H787,"")</f>
        <v/>
      </c>
      <c r="J787" s="410" t="str">
        <f ca="1">IF(F787="","",H787*E787)</f>
        <v/>
      </c>
      <c r="K787" s="411"/>
      <c r="L787" s="408" t="str" cm="1">
        <f t="array" ca="1" aca="1" ref="L787">_xlfn.IFNA(VLOOKUP(INDIRECT("L"&amp;ROW()-1)&amp;"_"&amp;$D$12,BEGIN_Renew_Vision:END_RENEW_VISION,RENEW_COL_EO,FALSE),"")</f>
        <v/>
      </c>
      <c r="M787" s="412" t="str">
        <f ca="1">IF(E787="","",E787)</f>
        <v/>
      </c>
      <c r="N787" s="413"/>
      <c r="O787" s="414"/>
      <c r="P787" s="415" t="str">
        <f>IFERROR(IF($N786="Keep Contribution Same",H787,IF($N786="Enter Percentages",IF(N787="","",N787*L787),IF($N786="Keep Percentage Same",IF(G787="","",G787*L787),IF($N786="Enter Dollar Amount",IF(O787="","",O787),"")))),"")</f>
        <v/>
      </c>
      <c r="Q787" s="408" t="str">
        <f ca="1">IFERROR(L787-P787,"")</f>
        <v/>
      </c>
      <c r="R787" s="410" t="str">
        <f>IFERROR(IF(P787="","",M787*P787),"")</f>
        <v/>
      </c>
      <c r="S787" s="411"/>
      <c r="T787" s="408" t="str" cm="1">
        <f t="array" ca="1" aca="1" ref="T787">_xlfn.IFNA(VLOOKUP(INDIRECT("T"&amp;ROW()-1)&amp;"_"&amp;$D$12,BEGIN_Renew_Vision:END_RENEW_VISION,RENEW_COL_EO,FALSE),"")</f>
        <v/>
      </c>
      <c r="U787" s="412" t="str">
        <f ca="1">IF(E787="","",E787)</f>
        <v/>
      </c>
      <c r="V787" s="413"/>
      <c r="W787" s="414"/>
      <c r="X787" s="415" t="str">
        <f>IFERROR(IF($V786="Keep Contribution Same",H787,IF($V786="Enter Percentages",IF(V787="","",V787*T787),IF($V786="Keep Percentage Same",IF(G787="","",G787*T787),IF($V786="Enter Dollar Amount",IF(W787="","",W787),"")))),"")</f>
        <v/>
      </c>
      <c r="Y787" s="408" t="str">
        <f ca="1">IFERROR(T787-X787,"")</f>
        <v/>
      </c>
      <c r="Z787" s="410" t="str">
        <f>IFERROR(IF(X787="","",U787*X787),"")</f>
        <v/>
      </c>
    </row>
    <row r="788" spans="1:26" ht="18.75" customHeight="1">
      <c r="A788" s="140"/>
      <c r="B788" s="140"/>
      <c r="D788" s="172" t="s">
        <v>239</v>
      </c>
      <c r="E788" s="407" t="str">
        <f ca="1">_xlfn.IFNA(VLOOKUP(F786,BEGIN_CURRENT_VISION:END_CURRENT_VISION,CURRENT_COL_ES_count,FALSE),"")</f>
        <v/>
      </c>
      <c r="F788" s="408" t="str">
        <f ca="1">_xlfn.IFNA(VLOOKUP(F786,BEGIN_CURRENT_VISION:END_CURRENT_VISION,CURRENT_COL_ES,FALSE),"")</f>
        <v/>
      </c>
      <c r="G788" s="468" t="str">
        <f t="shared" ca="1" si="121"/>
        <v/>
      </c>
      <c r="H788" s="408" t="str">
        <f ca="1">_xlfn.IFNA(VLOOKUP(F786,BEGIN_CURRENT_VISION:END_CURRENT_VISION,CURRENT_COL_ESContrib,FALSE),"")</f>
        <v/>
      </c>
      <c r="I788" s="409" t="str">
        <f ca="1" t="shared" si="122" ref="I788:I790">IFERROR(F788-H788,"")</f>
        <v/>
      </c>
      <c r="J788" s="410" t="str">
        <f ca="1" t="shared" si="123" ref="J788:J790">IF(F788="","",H788*E788)</f>
        <v/>
      </c>
      <c r="K788" s="411"/>
      <c r="L788" s="408" t="str" cm="1">
        <f t="array" ca="1" aca="1" ref="L788">_xlfn.IFNA(VLOOKUP(INDIRECT("L"&amp;ROW()-2)&amp;"_"&amp;$D$12,BEGIN_Renew_Vision:END_RENEW_VISION,RENEW_COL_ES,FALSE),"")</f>
        <v/>
      </c>
      <c r="M788" s="412" t="str">
        <f ca="1">IF(E788="","",E788)</f>
        <v/>
      </c>
      <c r="N788" s="413"/>
      <c r="O788" s="414"/>
      <c r="P788" s="415" t="str">
        <f>IFERROR(IF($N786="Keep Contribution Same",H788,IF($N786="Enter Percentages",IF(N788="","",N788*L788),IF($N786="Keep Percentage Same",IF(G788="","",G788*L788),IF($N786="Enter Dollar Amount",IF(O788="","",O788),"")))),"")</f>
        <v/>
      </c>
      <c r="Q788" s="408" t="str">
        <f ca="1" t="shared" si="124" ref="Q788:Q790">IFERROR(L788-P788,"")</f>
        <v/>
      </c>
      <c r="R788" s="410" t="str">
        <f>IFERROR(IF(P788="","",M788*P788),"")</f>
        <v/>
      </c>
      <c r="S788" s="411"/>
      <c r="T788" s="408" t="str" cm="1">
        <f t="array" ca="1" aca="1" ref="T788">_xlfn.IFNA(VLOOKUP(INDIRECT("T"&amp;ROW()-2)&amp;"_"&amp;$D$12,BEGIN_Renew_Vision:END_RENEW_VISION,RENEW_COL_ES,FALSE),"")</f>
        <v/>
      </c>
      <c r="U788" s="412" t="str">
        <f ca="1" t="shared" si="125" ref="U788:U790">IF(E788="","",E788)</f>
        <v/>
      </c>
      <c r="V788" s="413"/>
      <c r="W788" s="414"/>
      <c r="X788" s="415" t="str">
        <f>IFERROR(IF($V786="Keep Contribution Same",H788,IF($V786="Enter Percentages",IF(V788="","",V788*T788),IF($V786="Keep Percentage Same",IF(G788="","",G788*T788),IF($V786="Enter Dollar Amount",IF(W788="","",W788),"")))),"")</f>
        <v/>
      </c>
      <c r="Y788" s="408" t="str">
        <f ca="1" t="shared" si="126" ref="Y788:Y790">IFERROR(T788-X788,"")</f>
        <v/>
      </c>
      <c r="Z788" s="410" t="str">
        <f t="shared" si="127" ref="Z788:Z790">IFERROR(IF(X788="","",U788*X788),"")</f>
        <v/>
      </c>
    </row>
    <row r="789" spans="1:26" ht="18.75" customHeight="1">
      <c r="A789" s="140"/>
      <c r="B789" s="140"/>
      <c r="D789" s="172" t="s">
        <v>240</v>
      </c>
      <c r="E789" s="407" t="str">
        <f ca="1">_xlfn.IFNA(VLOOKUP(F786,BEGIN_CURRENT_VISION:END_CURRENT_VISION,CURRENT_COL_EC_count,FALSE),"")</f>
        <v/>
      </c>
      <c r="F789" s="408" t="str">
        <f ca="1">_xlfn.IFNA(VLOOKUP(F786,BEGIN_CURRENT_VISION:END_CURRENT_VISION,CURRENT_COL_EC,FALSE),"")</f>
        <v/>
      </c>
      <c r="G789" s="468" t="str">
        <f t="shared" ca="1" si="121"/>
        <v/>
      </c>
      <c r="H789" s="408" t="str">
        <f ca="1">_xlfn.IFNA(VLOOKUP(F786,BEGIN_CURRENT_VISION:END_CURRENT_VISION,CURRENT_COL_ECContrib,FALSE),"")</f>
        <v/>
      </c>
      <c r="I789" s="409" t="str">
        <f t="shared" ca="1" si="122"/>
        <v/>
      </c>
      <c r="J789" s="410" t="str">
        <f t="shared" ca="1" si="123"/>
        <v/>
      </c>
      <c r="K789" s="411"/>
      <c r="L789" s="408" t="str" cm="1">
        <f t="array" ca="1" aca="1" ref="L789">_xlfn.IFNA(VLOOKUP(INDIRECT("L"&amp;ROW()-3)&amp;"_"&amp;$D$12,BEGIN_Renew_Vision:END_RENEW_VISION,RENEW_COL_EC,FALSE),"")</f>
        <v/>
      </c>
      <c r="M789" s="412" t="str">
        <f ca="1">IF(E789="","",E789)</f>
        <v/>
      </c>
      <c r="N789" s="413"/>
      <c r="O789" s="414"/>
      <c r="P789" s="415" t="str">
        <f>IFERROR(IF($N786="Keep Contribution Same",H789,IF($N786="Enter Percentages",IF(N789="","",N789*L789),IF($N786="Keep Percentage Same",IF(G789="","",G789*L789),IF($N786="Enter Dollar Amount",IF(O789="","",O789),"")))),"")</f>
        <v/>
      </c>
      <c r="Q789" s="408" t="str">
        <f t="shared" ca="1" si="124"/>
        <v/>
      </c>
      <c r="R789" s="410" t="str">
        <f>IFERROR(IF(P789="","",M789*P789),"")</f>
        <v/>
      </c>
      <c r="S789" s="411"/>
      <c r="T789" s="408" t="str" cm="1">
        <f t="array" ca="1" aca="1" ref="T789">_xlfn.IFNA(VLOOKUP(INDIRECT("T"&amp;ROW()-3)&amp;"_"&amp;$D$12,BEGIN_Renew_Vision:END_RENEW_VISION,RENEW_COL_EC,FALSE),"")</f>
        <v/>
      </c>
      <c r="U789" s="412" t="str">
        <f t="shared" ca="1" si="125"/>
        <v/>
      </c>
      <c r="V789" s="413"/>
      <c r="W789" s="414"/>
      <c r="X789" s="415" t="str">
        <f>IFERROR(IF($V786="Keep Contribution Same",H789,IF($V786="Enter Percentages",IF(V789="","",V789*T789),IF($V786="Keep Percentage Same",IF(G789="","",G789*T789),IF($V786="Enter Dollar Amount",IF(W789="","",W789),"")))),"")</f>
        <v/>
      </c>
      <c r="Y789" s="408" t="str">
        <f t="shared" ca="1" si="126"/>
        <v/>
      </c>
      <c r="Z789" s="410" t="str">
        <f t="shared" si="127"/>
        <v/>
      </c>
    </row>
    <row r="790" spans="1:26" ht="18.75" customHeight="1" thickBot="1">
      <c r="A790" s="140"/>
      <c r="B790" s="140"/>
      <c r="D790" s="174" t="s">
        <v>241</v>
      </c>
      <c r="E790" s="416" t="str">
        <f ca="1">_xlfn.IFNA(VLOOKUP(F786,BEGIN_CURRENT_VISION:END_CURRENT_VISION,CURRENT_COL_FAM_count,FALSE),"")</f>
        <v/>
      </c>
      <c r="F790" s="417" t="str">
        <f ca="1">_xlfn.IFNA(VLOOKUP(F786,BEGIN_CURRENT_VISION:END_CURRENT_VISION,CURRENT_COL_FAM,FALSE),"")</f>
        <v/>
      </c>
      <c r="G790" s="469" t="str">
        <f t="shared" ca="1" si="121"/>
        <v/>
      </c>
      <c r="H790" s="417" t="str">
        <f ca="1">_xlfn.IFNA(VLOOKUP(F786,BEGIN_CURRENT_VISION:END_CURRENT_VISION,CURRENT_COL_FAMContrib,FALSE),"")</f>
        <v/>
      </c>
      <c r="I790" s="409" t="str">
        <f t="shared" ca="1" si="122"/>
        <v/>
      </c>
      <c r="J790" s="410" t="str">
        <f t="shared" ca="1" si="123"/>
        <v/>
      </c>
      <c r="K790" s="411"/>
      <c r="L790" s="417" t="str" cm="1">
        <f t="array" ca="1" aca="1" ref="L790">_xlfn.IFNA(VLOOKUP(INDIRECT("L"&amp;ROW()-4)&amp;"_"&amp;$D$12,BEGIN_Renew_Vision:END_RENEW_VISION,RENEW_COL_FAM,FALSE),"")</f>
        <v/>
      </c>
      <c r="M790" s="423" t="str">
        <f ca="1">IF(E790="","",E790)</f>
        <v/>
      </c>
      <c r="N790" s="420"/>
      <c r="O790" s="421"/>
      <c r="P790" s="422" t="str">
        <f>IFERROR(IF($N786="Keep Contribution Same",H790,IF($N786="Enter Percentages",IF(N790="","",N790*L790),IF($N786="Keep Percentage Same",IF(G790="","",G790*L790),IF($N786="Enter Dollar Amount",IF(O790="","",O790),"")))),"")</f>
        <v/>
      </c>
      <c r="Q790" s="417" t="str">
        <f t="shared" ca="1" si="124"/>
        <v/>
      </c>
      <c r="R790" s="419" t="str">
        <f>IFERROR(IF(P790="","",M790*P790),"")</f>
        <v/>
      </c>
      <c r="S790" s="411"/>
      <c r="T790" s="417" t="str" cm="1">
        <f t="array" ca="1" aca="1" ref="T790">_xlfn.IFNA(VLOOKUP(INDIRECT("T"&amp;ROW()-4)&amp;"_"&amp;$D$12,BEGIN_Renew_Vision:END_RENEW_VISION,RENEW_COL_FAM,FALSE),"")</f>
        <v/>
      </c>
      <c r="U790" s="423" t="str">
        <f t="shared" ca="1" si="125"/>
        <v/>
      </c>
      <c r="V790" s="420"/>
      <c r="W790" s="421"/>
      <c r="X790" s="422" t="str">
        <f>IFERROR(IF($V786="Keep Contribution Same",H790,IF($V786="Enter Percentages",IF(V790="","",V790*T790),IF($V786="Keep Percentage Same",IF(G790="","",G790*T790),IF($V786="Enter Dollar Amount",IF(W790="","",W790),"")))),"")</f>
        <v/>
      </c>
      <c r="Y790" s="417" t="str">
        <f t="shared" ca="1" si="126"/>
        <v/>
      </c>
      <c r="Z790" s="419" t="str">
        <f t="shared" si="127"/>
        <v/>
      </c>
    </row>
    <row r="791" spans="1:26" ht="18.75" customHeight="1" thickTop="1">
      <c r="A791" s="140"/>
      <c r="B791" s="140"/>
      <c r="D791" s="175" t="s">
        <v>329</v>
      </c>
      <c r="E791" s="424"/>
      <c r="F791" s="427"/>
      <c r="G791" s="426"/>
      <c r="H791" s="427"/>
      <c r="I791" s="428"/>
      <c r="J791" s="429" t="str">
        <f ca="1">IFERROR(IF(J787="","",SUM(J787:J790)),0)</f>
        <v/>
      </c>
      <c r="K791" s="1"/>
      <c r="L791" s="424"/>
      <c r="M791" s="427"/>
      <c r="N791" s="426"/>
      <c r="O791" s="427"/>
      <c r="P791" s="431"/>
      <c r="Q791" s="432"/>
      <c r="R791" s="429" t="str">
        <f>IFERROR(IF(R787="","",SUM(R787:R790)),0)</f>
        <v/>
      </c>
      <c r="T791" s="424"/>
      <c r="U791" s="427"/>
      <c r="V791" s="426"/>
      <c r="W791" s="427"/>
      <c r="X791" s="431"/>
      <c r="Y791" s="432"/>
      <c r="Z791" s="429" t="str">
        <f>IFERROR(IF(Z787="","",SUM(Z787:Z790)),0)</f>
        <v/>
      </c>
    </row>
    <row r="792" spans="1:26" ht="18.75" customHeight="1">
      <c r="A792" s="140"/>
      <c r="B792" s="140"/>
      <c r="D792" s="177" t="s">
        <v>243</v>
      </c>
      <c r="E792" s="433"/>
      <c r="F792" s="436"/>
      <c r="G792" s="435"/>
      <c r="H792" s="436"/>
      <c r="I792" s="432"/>
      <c r="J792" s="437" t="str">
        <f ca="1">IF(J791="","",J791*12)</f>
        <v/>
      </c>
      <c r="K792" s="1"/>
      <c r="L792" s="433"/>
      <c r="M792" s="436"/>
      <c r="N792" s="435"/>
      <c r="O792" s="436"/>
      <c r="P792" s="432"/>
      <c r="Q792" s="432"/>
      <c r="R792" s="437" t="str">
        <f>IF(R791="","",R791*12)</f>
        <v/>
      </c>
      <c r="T792" s="433"/>
      <c r="U792" s="436"/>
      <c r="V792" s="435"/>
      <c r="W792" s="436"/>
      <c r="X792" s="432"/>
      <c r="Y792" s="432"/>
      <c r="Z792" s="437" t="str">
        <f>IF(Z791="","",Z791*12)</f>
        <v/>
      </c>
    </row>
    <row r="793" spans="1:26" ht="18" customHeight="1">
      <c r="A793" s="140"/>
      <c r="B793" s="140"/>
      <c r="D793" s="177" t="s">
        <v>244</v>
      </c>
      <c r="E793" s="433"/>
      <c r="F793" s="436"/>
      <c r="G793" s="435"/>
      <c r="H793" s="436"/>
      <c r="I793" s="432"/>
      <c r="J793" s="437" t="str">
        <f ca="1">IFERROR(IF(J792="","",R792-J792),0)</f>
        <v/>
      </c>
      <c r="K793" s="1"/>
      <c r="L793" s="433"/>
      <c r="M793" s="436"/>
      <c r="N793" s="435"/>
      <c r="O793" s="436"/>
      <c r="P793" s="432"/>
      <c r="Q793" s="432"/>
      <c r="R793" s="437" t="str">
        <f ca="1">IFERROR(IF(J792="","",R792-J792),0)</f>
        <v/>
      </c>
      <c r="T793" s="433"/>
      <c r="U793" s="436"/>
      <c r="V793" s="435"/>
      <c r="W793" s="436"/>
      <c r="X793" s="432"/>
      <c r="Y793" s="432"/>
      <c r="Z793" s="437" t="str">
        <f>IFERROR(IF(R792="","",Z792-R792),0)</f>
        <v/>
      </c>
    </row>
    <row r="794" spans="1:26" ht="18" customHeight="1" thickBot="1">
      <c r="A794" s="140"/>
      <c r="B794" s="140"/>
      <c r="D794" s="180" t="s">
        <v>245</v>
      </c>
      <c r="E794" s="439"/>
      <c r="F794" s="440"/>
      <c r="G794" s="441"/>
      <c r="H794" s="440"/>
      <c r="I794" s="442"/>
      <c r="J794" s="437" t="str">
        <f ca="1">IFERROR(IF(J792="","",(R792/J792)-1),0)</f>
        <v/>
      </c>
      <c r="K794" s="1"/>
      <c r="L794" s="439"/>
      <c r="M794" s="440"/>
      <c r="N794" s="441"/>
      <c r="O794" s="440"/>
      <c r="P794" s="445"/>
      <c r="Q794" s="445"/>
      <c r="R794" s="446" t="str">
        <f ca="1">IFERROR(IF(J792="","",(R792/J792)-1),0)</f>
        <v/>
      </c>
      <c r="T794" s="439"/>
      <c r="U794" s="440"/>
      <c r="V794" s="441"/>
      <c r="W794" s="440"/>
      <c r="X794" s="445"/>
      <c r="Y794" s="445"/>
      <c r="Z794" s="446" t="str">
        <f>IFERROR(IF(R792="","",(Z792/R792)-1),0)</f>
        <v/>
      </c>
    </row>
    <row r="795" spans="1:26" ht="5.25" customHeight="1" thickBot="1">
      <c r="A795" s="140"/>
      <c r="B795" s="140"/>
      <c r="D795" s="229"/>
      <c r="E795" s="229"/>
      <c r="F795" s="230"/>
      <c r="G795" s="231"/>
      <c r="H795" s="232"/>
      <c r="I795" s="233"/>
      <c r="J795" s="233"/>
      <c r="K795"/>
      <c r="L795" s="233"/>
      <c r="M795" s="233"/>
      <c r="N795" s="233"/>
      <c r="O795" s="233"/>
      <c r="P795" s="233"/>
      <c r="Q795" s="233"/>
      <c r="R795" s="233"/>
      <c r="T795" s="233"/>
      <c r="U795" s="233"/>
      <c r="V795" s="233"/>
      <c r="W795" s="233"/>
      <c r="X795" s="233"/>
      <c r="Y795" s="233"/>
      <c r="Z795" s="233"/>
    </row>
    <row r="796" spans="1:26" ht="50.15" customHeight="1">
      <c r="A796" s="140">
        <v>4</v>
      </c>
      <c r="B796" s="140" t="str">
        <f>IF(A796&gt;Class6_CurrentVisionCount,"DELETE",Class6_CurrentVisionStart+A796)</f>
        <v>DELETE</v>
      </c>
      <c r="C796" s="164" t="s">
        <v>303</v>
      </c>
      <c r="D796" s="273" t="str">
        <f>IF(B796="Delete","",VLOOKUP(F796,BEGIN_CURRENT_VISION:END_CURRENT_VISION,3,FALSE))</f>
        <v/>
      </c>
      <c r="E796" s="165"/>
      <c r="F796" s="272" t="str" cm="1">
        <f t="array" ca="1" aca="1" ref="F796">IF(B796="Delete","",INDIRECT("CurrentPlans!A"&amp;B796,TRUE))</f>
        <v/>
      </c>
      <c r="G796" s="166"/>
      <c r="H796" s="167"/>
      <c r="I796" s="168"/>
      <c r="J796" s="169"/>
      <c r="K796"/>
      <c r="L796" s="274" t="str">
        <f ca="1">_xlfn.IFNA(VLOOKUP(F796,BEGIN_RENEWEDFROM_DENTAL:ROW_RenewDental_PlanID,3,FALSE),"SELECT PLAN")</f>
        <v>SELECT PLAN</v>
      </c>
      <c r="M796" s="170"/>
      <c r="N796" s="274" t="s">
        <v>237</v>
      </c>
      <c r="O796" s="171"/>
      <c r="P796" s="171"/>
      <c r="Q796" s="171"/>
      <c r="R796" s="169"/>
      <c r="T796" s="274" t="s">
        <v>38</v>
      </c>
      <c r="U796" s="170"/>
      <c r="V796" s="274" t="s">
        <v>237</v>
      </c>
      <c r="W796" s="171"/>
      <c r="X796" s="171"/>
      <c r="Y796" s="171"/>
      <c r="Z796" s="169"/>
    </row>
    <row r="797" spans="1:26" ht="18.75" customHeight="1">
      <c r="A797" s="140"/>
      <c r="B797" s="140"/>
      <c r="D797" s="172" t="s">
        <v>238</v>
      </c>
      <c r="E797" s="407" t="str">
        <f ca="1">_xlfn.IFNA(VLOOKUP(F796,BEGIN_CURRENT_VISION:END_CURRENT_VISION,CURRENT_COL_EO_count,FALSE),"")</f>
        <v/>
      </c>
      <c r="F797" s="408" t="str">
        <f ca="1">_xlfn.IFNA(VLOOKUP(F796,BEGIN_CURRENT_VISION:END_CURRENT_VISION,CURRENT_COL_EO,FALSE),"")</f>
        <v/>
      </c>
      <c r="G797" s="468" t="str">
        <f ca="1" t="shared" si="128" ref="G797:G800">IF(F797="","",H797/F797)</f>
        <v/>
      </c>
      <c r="H797" s="408" t="str">
        <f ca="1">_xlfn.IFNA(VLOOKUP(F796,BEGIN_CURRENT_VISION:END_CURRENT_VISION,CURRENT_COL_EOContrib,FALSE),"")</f>
        <v/>
      </c>
      <c r="I797" s="409" t="str">
        <f ca="1">IFERROR(F797-H797,"")</f>
        <v/>
      </c>
      <c r="J797" s="410" t="str">
        <f ca="1">IF(F797="","",H797*E797)</f>
        <v/>
      </c>
      <c r="K797" s="411"/>
      <c r="L797" s="408" t="str" cm="1">
        <f t="array" ca="1" aca="1" ref="L797">_xlfn.IFNA(VLOOKUP(INDIRECT("L"&amp;ROW()-1)&amp;"_"&amp;$D$12,BEGIN_Renew_Vision:END_RENEW_VISION,RENEW_COL_EO,FALSE),"")</f>
        <v/>
      </c>
      <c r="M797" s="412" t="str">
        <f ca="1">IF(E797="","",E797)</f>
        <v/>
      </c>
      <c r="N797" s="413"/>
      <c r="O797" s="414"/>
      <c r="P797" s="415" t="str">
        <f>IFERROR(IF($N796="Keep Contribution Same",H797,IF($N796="Enter Percentages",IF(N797="","",N797*L797),IF($N796="Keep Percentage Same",IF(G797="","",G797*L797),IF($N796="Enter Dollar Amount",IF(O797="","",O797),"")))),"")</f>
        <v/>
      </c>
      <c r="Q797" s="408" t="str">
        <f ca="1">IFERROR(L797-P797,"")</f>
        <v/>
      </c>
      <c r="R797" s="410" t="str">
        <f>IFERROR(IF(P797="","",M797*P797),"")</f>
        <v/>
      </c>
      <c r="S797" s="411"/>
      <c r="T797" s="408" t="str" cm="1">
        <f t="array" ca="1" aca="1" ref="T797">_xlfn.IFNA(VLOOKUP(INDIRECT("T"&amp;ROW()-1)&amp;"_"&amp;$D$12,BEGIN_Renew_Vision:END_RENEW_VISION,RENEW_COL_EO,FALSE),"")</f>
        <v/>
      </c>
      <c r="U797" s="412" t="str">
        <f ca="1">IF(E797="","",E797)</f>
        <v/>
      </c>
      <c r="V797" s="413"/>
      <c r="W797" s="414"/>
      <c r="X797" s="415" t="str">
        <f>IFERROR(IF($V796="Keep Contribution Same",H797,IF($V796="Enter Percentages",IF(V797="","",V797*T797),IF($V796="Keep Percentage Same",IF(G797="","",G797*T797),IF($V796="Enter Dollar Amount",IF(W797="","",W797),"")))),"")</f>
        <v/>
      </c>
      <c r="Y797" s="408" t="str">
        <f ca="1">IFERROR(T797-X797,"")</f>
        <v/>
      </c>
      <c r="Z797" s="410" t="str">
        <f>IFERROR(IF(X797="","",U797*X797),"")</f>
        <v/>
      </c>
    </row>
    <row r="798" spans="1:26" ht="18.75" customHeight="1">
      <c r="A798" s="140"/>
      <c r="B798" s="140"/>
      <c r="D798" s="172" t="s">
        <v>239</v>
      </c>
      <c r="E798" s="407" t="str">
        <f ca="1">_xlfn.IFNA(VLOOKUP(F796,BEGIN_CURRENT_VISION:END_CURRENT_VISION,CURRENT_COL_ES_count,FALSE),"")</f>
        <v/>
      </c>
      <c r="F798" s="408" t="str">
        <f ca="1">_xlfn.IFNA(VLOOKUP(F796,BEGIN_CURRENT_VISION:END_CURRENT_VISION,CURRENT_COL_ES,FALSE),"")</f>
        <v/>
      </c>
      <c r="G798" s="468" t="str">
        <f t="shared" ca="1" si="128"/>
        <v/>
      </c>
      <c r="H798" s="408" t="str">
        <f ca="1">_xlfn.IFNA(VLOOKUP(F796,BEGIN_CURRENT_VISION:END_CURRENT_VISION,CURRENT_COL_ESContrib,FALSE),"")</f>
        <v/>
      </c>
      <c r="I798" s="409" t="str">
        <f ca="1" t="shared" si="129" ref="I798:I800">IFERROR(F798-H798,"")</f>
        <v/>
      </c>
      <c r="J798" s="410" t="str">
        <f ca="1" t="shared" si="130" ref="J798:J800">IF(F798="","",H798*E798)</f>
        <v/>
      </c>
      <c r="K798" s="411"/>
      <c r="L798" s="408" t="str" cm="1">
        <f t="array" ca="1" aca="1" ref="L798">_xlfn.IFNA(VLOOKUP(INDIRECT("L"&amp;ROW()-2)&amp;"_"&amp;$D$12,BEGIN_Renew_Vision:END_RENEW_VISION,RENEW_COL_ES,FALSE),"")</f>
        <v/>
      </c>
      <c r="M798" s="412" t="str">
        <f ca="1">IF(E798="","",E798)</f>
        <v/>
      </c>
      <c r="N798" s="413"/>
      <c r="O798" s="414"/>
      <c r="P798" s="415" t="str">
        <f>IFERROR(IF($N796="Keep Contribution Same",H798,IF($N796="Enter Percentages",IF(N798="","",N798*L798),IF($N796="Keep Percentage Same",IF(G798="","",G798*L798),IF($N796="Enter Dollar Amount",IF(O798="","",O798),"")))),"")</f>
        <v/>
      </c>
      <c r="Q798" s="408" t="str">
        <f ca="1" t="shared" si="131" ref="Q798:Q800">IFERROR(L798-P798,"")</f>
        <v/>
      </c>
      <c r="R798" s="410" t="str">
        <f>IFERROR(IF(P798="","",M798*P798),"")</f>
        <v/>
      </c>
      <c r="S798" s="411"/>
      <c r="T798" s="408" t="str" cm="1">
        <f t="array" ca="1" aca="1" ref="T798">_xlfn.IFNA(VLOOKUP(INDIRECT("T"&amp;ROW()-2)&amp;"_"&amp;$D$12,BEGIN_Renew_Vision:END_RENEW_VISION,RENEW_COL_ES,FALSE),"")</f>
        <v/>
      </c>
      <c r="U798" s="412" t="str">
        <f ca="1" t="shared" si="132" ref="U798:U800">IF(E798="","",E798)</f>
        <v/>
      </c>
      <c r="V798" s="413"/>
      <c r="W798" s="414"/>
      <c r="X798" s="415" t="str">
        <f>IFERROR(IF($V796="Keep Contribution Same",H798,IF($V796="Enter Percentages",IF(V798="","",V798*T798),IF($V796="Keep Percentage Same",IF(G798="","",G798*T798),IF($V796="Enter Dollar Amount",IF(W798="","",W798),"")))),"")</f>
        <v/>
      </c>
      <c r="Y798" s="408" t="str">
        <f ca="1" t="shared" si="133" ref="Y798:Y800">IFERROR(T798-X798,"")</f>
        <v/>
      </c>
      <c r="Z798" s="410" t="str">
        <f t="shared" si="134" ref="Z798:Z800">IFERROR(IF(X798="","",U798*X798),"")</f>
        <v/>
      </c>
    </row>
    <row r="799" spans="1:26" ht="18.75" customHeight="1">
      <c r="A799" s="140"/>
      <c r="B799" s="140"/>
      <c r="D799" s="172" t="s">
        <v>240</v>
      </c>
      <c r="E799" s="407" t="str">
        <f ca="1">_xlfn.IFNA(VLOOKUP(F796,BEGIN_CURRENT_VISION:END_CURRENT_VISION,CURRENT_COL_EC_count,FALSE),"")</f>
        <v/>
      </c>
      <c r="F799" s="408" t="str">
        <f ca="1">_xlfn.IFNA(VLOOKUP(F796,BEGIN_CURRENT_VISION:END_CURRENT_VISION,CURRENT_COL_EC,FALSE),"")</f>
        <v/>
      </c>
      <c r="G799" s="468" t="str">
        <f t="shared" ca="1" si="128"/>
        <v/>
      </c>
      <c r="H799" s="408" t="str">
        <f ca="1">_xlfn.IFNA(VLOOKUP(F796,BEGIN_CURRENT_VISION:END_CURRENT_VISION,CURRENT_COL_ECContrib,FALSE),"")</f>
        <v/>
      </c>
      <c r="I799" s="409" t="str">
        <f t="shared" ca="1" si="129"/>
        <v/>
      </c>
      <c r="J799" s="410" t="str">
        <f t="shared" ca="1" si="130"/>
        <v/>
      </c>
      <c r="K799" s="411"/>
      <c r="L799" s="408" t="str" cm="1">
        <f t="array" ca="1" aca="1" ref="L799">_xlfn.IFNA(VLOOKUP(INDIRECT("L"&amp;ROW()-3)&amp;"_"&amp;$D$12,BEGIN_Renew_Vision:END_RENEW_VISION,RENEW_COL_EC,FALSE),"")</f>
        <v/>
      </c>
      <c r="M799" s="412" t="str">
        <f ca="1">IF(E799="","",E799)</f>
        <v/>
      </c>
      <c r="N799" s="413"/>
      <c r="O799" s="414"/>
      <c r="P799" s="415" t="str">
        <f>IFERROR(IF($N796="Keep Contribution Same",H799,IF($N796="Enter Percentages",IF(N799="","",N799*L799),IF($N796="Keep Percentage Same",IF(G799="","",G799*L799),IF($N796="Enter Dollar Amount",IF(O799="","",O799),"")))),"")</f>
        <v/>
      </c>
      <c r="Q799" s="408" t="str">
        <f t="shared" ca="1" si="131"/>
        <v/>
      </c>
      <c r="R799" s="410" t="str">
        <f>IFERROR(IF(P799="","",M799*P799),"")</f>
        <v/>
      </c>
      <c r="S799" s="411"/>
      <c r="T799" s="408" t="str" cm="1">
        <f t="array" ca="1" aca="1" ref="T799">_xlfn.IFNA(VLOOKUP(INDIRECT("T"&amp;ROW()-3)&amp;"_"&amp;$D$12,BEGIN_Renew_Vision:END_RENEW_VISION,RENEW_COL_EC,FALSE),"")</f>
        <v/>
      </c>
      <c r="U799" s="412" t="str">
        <f t="shared" ca="1" si="132"/>
        <v/>
      </c>
      <c r="V799" s="413"/>
      <c r="W799" s="414"/>
      <c r="X799" s="415" t="str">
        <f>IFERROR(IF($V796="Keep Contribution Same",H799,IF($V796="Enter Percentages",IF(V799="","",V799*T799),IF($V796="Keep Percentage Same",IF(G799="","",G799*T799),IF($V796="Enter Dollar Amount",IF(W799="","",W799),"")))),"")</f>
        <v/>
      </c>
      <c r="Y799" s="408" t="str">
        <f t="shared" ca="1" si="133"/>
        <v/>
      </c>
      <c r="Z799" s="410" t="str">
        <f t="shared" si="134"/>
        <v/>
      </c>
    </row>
    <row r="800" spans="1:26" ht="18.75" customHeight="1" thickBot="1">
      <c r="A800" s="140"/>
      <c r="B800" s="140"/>
      <c r="D800" s="174" t="s">
        <v>241</v>
      </c>
      <c r="E800" s="416" t="str">
        <f ca="1">_xlfn.IFNA(VLOOKUP(F796,BEGIN_CURRENT_VISION:END_CURRENT_VISION,CURRENT_COL_FAM_count,FALSE),"")</f>
        <v/>
      </c>
      <c r="F800" s="417" t="str">
        <f ca="1">_xlfn.IFNA(VLOOKUP(F796,BEGIN_CURRENT_VISION:END_CURRENT_VISION,CURRENT_COL_FAM,FALSE),"")</f>
        <v/>
      </c>
      <c r="G800" s="469" t="str">
        <f t="shared" ca="1" si="128"/>
        <v/>
      </c>
      <c r="H800" s="417" t="str">
        <f ca="1">_xlfn.IFNA(VLOOKUP(F796,BEGIN_CURRENT_VISION:END_CURRENT_VISION,CURRENT_COL_FAMContrib,FALSE),"")</f>
        <v/>
      </c>
      <c r="I800" s="409" t="str">
        <f t="shared" ca="1" si="129"/>
        <v/>
      </c>
      <c r="J800" s="410" t="str">
        <f t="shared" ca="1" si="130"/>
        <v/>
      </c>
      <c r="K800" s="411"/>
      <c r="L800" s="417" t="str" cm="1">
        <f t="array" ca="1" aca="1" ref="L800">_xlfn.IFNA(VLOOKUP(INDIRECT("L"&amp;ROW()-4)&amp;"_"&amp;$D$12,BEGIN_Renew_Vision:END_RENEW_VISION,RENEW_COL_FAM,FALSE),"")</f>
        <v/>
      </c>
      <c r="M800" s="423" t="str">
        <f ca="1">IF(E800="","",E800)</f>
        <v/>
      </c>
      <c r="N800" s="420"/>
      <c r="O800" s="421"/>
      <c r="P800" s="422" t="str">
        <f>IFERROR(IF($N796="Keep Contribution Same",H800,IF($N796="Enter Percentages",IF(N800="","",N800*L800),IF($N796="Keep Percentage Same",IF(G800="","",G800*L800),IF($N796="Enter Dollar Amount",IF(O800="","",O800),"")))),"")</f>
        <v/>
      </c>
      <c r="Q800" s="417" t="str">
        <f t="shared" ca="1" si="131"/>
        <v/>
      </c>
      <c r="R800" s="419" t="str">
        <f>IFERROR(IF(P800="","",M800*P800),"")</f>
        <v/>
      </c>
      <c r="S800" s="411"/>
      <c r="T800" s="417" t="str" cm="1">
        <f t="array" ca="1" aca="1" ref="T800">_xlfn.IFNA(VLOOKUP(INDIRECT("T"&amp;ROW()-4)&amp;"_"&amp;$D$12,BEGIN_Renew_Vision:END_RENEW_VISION,RENEW_COL_FAM,FALSE),"")</f>
        <v/>
      </c>
      <c r="U800" s="423" t="str">
        <f t="shared" ca="1" si="132"/>
        <v/>
      </c>
      <c r="V800" s="420"/>
      <c r="W800" s="421"/>
      <c r="X800" s="422" t="str">
        <f>IFERROR(IF($V796="Keep Contribution Same",H800,IF($V796="Enter Percentages",IF(V800="","",V800*T800),IF($V796="Keep Percentage Same",IF(G800="","",G800*T800),IF($V796="Enter Dollar Amount",IF(W800="","",W800),"")))),"")</f>
        <v/>
      </c>
      <c r="Y800" s="417" t="str">
        <f t="shared" ca="1" si="133"/>
        <v/>
      </c>
      <c r="Z800" s="419" t="str">
        <f t="shared" si="134"/>
        <v/>
      </c>
    </row>
    <row r="801" spans="1:26" ht="18.75" customHeight="1" thickTop="1">
      <c r="A801" s="140"/>
      <c r="B801" s="140"/>
      <c r="D801" s="175" t="s">
        <v>329</v>
      </c>
      <c r="E801" s="424"/>
      <c r="F801" s="427"/>
      <c r="G801" s="426"/>
      <c r="H801" s="427"/>
      <c r="I801" s="428"/>
      <c r="J801" s="429" t="str">
        <f ca="1">IFERROR(IF(J797="","",SUM(J797:J800)),0)</f>
        <v/>
      </c>
      <c r="K801" s="1"/>
      <c r="L801" s="424"/>
      <c r="M801" s="427"/>
      <c r="N801" s="426"/>
      <c r="O801" s="427"/>
      <c r="P801" s="431"/>
      <c r="Q801" s="432"/>
      <c r="R801" s="429" t="str">
        <f>IFERROR(IF(R797="","",SUM(R797:R800)),0)</f>
        <v/>
      </c>
      <c r="T801" s="424"/>
      <c r="U801" s="427"/>
      <c r="V801" s="426"/>
      <c r="W801" s="427"/>
      <c r="X801" s="431"/>
      <c r="Y801" s="432"/>
      <c r="Z801" s="429" t="str">
        <f>IFERROR(IF(Z797="","",SUM(Z797:Z800)),0)</f>
        <v/>
      </c>
    </row>
    <row r="802" spans="1:26" ht="18.75" customHeight="1">
      <c r="A802" s="140"/>
      <c r="B802" s="140"/>
      <c r="D802" s="177" t="s">
        <v>243</v>
      </c>
      <c r="E802" s="433"/>
      <c r="F802" s="436"/>
      <c r="G802" s="435"/>
      <c r="H802" s="436"/>
      <c r="I802" s="432"/>
      <c r="J802" s="437" t="str">
        <f ca="1">IF(J801="","",J801*12)</f>
        <v/>
      </c>
      <c r="K802" s="1"/>
      <c r="L802" s="433"/>
      <c r="M802" s="436"/>
      <c r="N802" s="435"/>
      <c r="O802" s="436"/>
      <c r="P802" s="432"/>
      <c r="Q802" s="432"/>
      <c r="R802" s="437" t="str">
        <f>IF(R801="","",R801*12)</f>
        <v/>
      </c>
      <c r="T802" s="433"/>
      <c r="U802" s="436"/>
      <c r="V802" s="435"/>
      <c r="W802" s="436"/>
      <c r="X802" s="432"/>
      <c r="Y802" s="432"/>
      <c r="Z802" s="437" t="str">
        <f>IF(Z801="","",Z801*12)</f>
        <v/>
      </c>
    </row>
    <row r="803" spans="1:26" ht="18" customHeight="1">
      <c r="A803" s="140"/>
      <c r="B803" s="140"/>
      <c r="D803" s="177" t="s">
        <v>244</v>
      </c>
      <c r="E803" s="433"/>
      <c r="F803" s="436"/>
      <c r="G803" s="435"/>
      <c r="H803" s="436"/>
      <c r="I803" s="432"/>
      <c r="J803" s="437" t="str">
        <f ca="1">IFERROR(IF(J802="","",R802-J802),0)</f>
        <v/>
      </c>
      <c r="K803" s="1"/>
      <c r="L803" s="433"/>
      <c r="M803" s="436"/>
      <c r="N803" s="435"/>
      <c r="O803" s="436"/>
      <c r="P803" s="432"/>
      <c r="Q803" s="432"/>
      <c r="R803" s="437" t="str">
        <f ca="1">IFERROR(IF(J802="","",R802-J802),0)</f>
        <v/>
      </c>
      <c r="T803" s="433"/>
      <c r="U803" s="436"/>
      <c r="V803" s="435"/>
      <c r="W803" s="436"/>
      <c r="X803" s="432"/>
      <c r="Y803" s="432"/>
      <c r="Z803" s="437" t="str">
        <f>IFERROR(IF(R802="","",Z802-R802),0)</f>
        <v/>
      </c>
    </row>
    <row r="804" spans="1:26" ht="18" customHeight="1" thickBot="1">
      <c r="A804" s="140"/>
      <c r="B804" s="140"/>
      <c r="D804" s="180" t="s">
        <v>245</v>
      </c>
      <c r="E804" s="439"/>
      <c r="F804" s="440"/>
      <c r="G804" s="441"/>
      <c r="H804" s="440"/>
      <c r="I804" s="442"/>
      <c r="J804" s="437" t="str">
        <f ca="1">IFERROR(IF(J802="","",(R802/J802)-1),0)</f>
        <v/>
      </c>
      <c r="K804" s="1"/>
      <c r="L804" s="439"/>
      <c r="M804" s="440"/>
      <c r="N804" s="441"/>
      <c r="O804" s="440"/>
      <c r="P804" s="445"/>
      <c r="Q804" s="445"/>
      <c r="R804" s="446" t="str">
        <f ca="1">IFERROR(IF(J802="","",(R802/J802)-1),0)</f>
        <v/>
      </c>
      <c r="T804" s="439"/>
      <c r="U804" s="440"/>
      <c r="V804" s="441"/>
      <c r="W804" s="440"/>
      <c r="X804" s="445"/>
      <c r="Y804" s="445"/>
      <c r="Z804" s="446" t="str">
        <f>IFERROR(IF(R802="","",(Z802/R802)-1),0)</f>
        <v/>
      </c>
    </row>
    <row r="805" spans="1:26" ht="5.25" customHeight="1" thickBot="1">
      <c r="A805" s="140"/>
      <c r="B805" s="140"/>
      <c r="D805" s="229"/>
      <c r="E805" s="229"/>
      <c r="F805" s="230"/>
      <c r="G805" s="231"/>
      <c r="H805" s="232"/>
      <c r="I805" s="233"/>
      <c r="J805" s="233"/>
      <c r="K805"/>
      <c r="L805" s="233"/>
      <c r="M805" s="233"/>
      <c r="N805" s="233"/>
      <c r="O805" s="233"/>
      <c r="P805" s="233"/>
      <c r="Q805" s="233"/>
      <c r="R805" s="233"/>
      <c r="T805" s="233"/>
      <c r="U805" s="233"/>
      <c r="V805" s="233"/>
      <c r="W805" s="233"/>
      <c r="X805" s="233"/>
      <c r="Y805" s="233"/>
      <c r="Z805" s="233"/>
    </row>
    <row r="806" spans="1:26" ht="50.15" customHeight="1">
      <c r="A806" s="140">
        <v>5</v>
      </c>
      <c r="B806" s="140" t="str">
        <f>IF(A806&gt;Class6_CurrentVisionCount,"DELETE",Class6_CurrentVisionStart+A806)</f>
        <v>DELETE</v>
      </c>
      <c r="C806" s="164" t="s">
        <v>304</v>
      </c>
      <c r="D806" s="273" t="str">
        <f>IF(B806="Delete","",VLOOKUP(F806,BEGIN_CURRENT_VISION:END_CURRENT_VISION,3,FALSE))</f>
        <v/>
      </c>
      <c r="E806" s="165"/>
      <c r="F806" s="272" t="str" cm="1">
        <f t="array" ca="1" aca="1" ref="F806">IF(B806="Delete","",INDIRECT("CurrentPlans!A"&amp;B806,TRUE))</f>
        <v/>
      </c>
      <c r="G806" s="166"/>
      <c r="H806" s="167"/>
      <c r="I806" s="168"/>
      <c r="J806" s="169"/>
      <c r="K806"/>
      <c r="L806" s="274" t="str">
        <f ca="1">_xlfn.IFNA(VLOOKUP(F806,BEGIN_RENEWEDFROM_DENTAL:ROW_RenewDental_PlanID,3,FALSE),"SELECT PLAN")</f>
        <v>SELECT PLAN</v>
      </c>
      <c r="M806" s="170"/>
      <c r="N806" s="274" t="s">
        <v>237</v>
      </c>
      <c r="O806" s="171"/>
      <c r="P806" s="171"/>
      <c r="Q806" s="171"/>
      <c r="R806" s="169"/>
      <c r="T806" s="274" t="s">
        <v>38</v>
      </c>
      <c r="U806" s="170"/>
      <c r="V806" s="274" t="s">
        <v>237</v>
      </c>
      <c r="W806" s="171"/>
      <c r="X806" s="171"/>
      <c r="Y806" s="171"/>
      <c r="Z806" s="169"/>
    </row>
    <row r="807" spans="1:26" ht="18.75" customHeight="1">
      <c r="A807" s="140"/>
      <c r="B807" s="140"/>
      <c r="D807" s="172" t="s">
        <v>238</v>
      </c>
      <c r="E807" s="407" t="str">
        <f ca="1">_xlfn.IFNA(VLOOKUP(F806,BEGIN_CURRENT_VISION:END_CURRENT_VISION,CURRENT_COL_EO_count,FALSE),"")</f>
        <v/>
      </c>
      <c r="F807" s="408" t="str">
        <f ca="1">_xlfn.IFNA(VLOOKUP(F806,BEGIN_CURRENT_VISION:END_CURRENT_VISION,CURRENT_COL_EO,FALSE),"")</f>
        <v/>
      </c>
      <c r="G807" s="468" t="str">
        <f ca="1" t="shared" si="135" ref="G807:G810">IF(F807="","",H807/F807)</f>
        <v/>
      </c>
      <c r="H807" s="408" t="str">
        <f ca="1">_xlfn.IFNA(VLOOKUP(F806,BEGIN_CURRENT_VISION:END_CURRENT_VISION,CURRENT_COL_EOContrib,FALSE),"")</f>
        <v/>
      </c>
      <c r="I807" s="409" t="str">
        <f ca="1">IFERROR(F807-H807,"")</f>
        <v/>
      </c>
      <c r="J807" s="410" t="str">
        <f ca="1">IF(F807="","",H807*E807)</f>
        <v/>
      </c>
      <c r="K807" s="411"/>
      <c r="L807" s="408" t="str" cm="1">
        <f t="array" ca="1" aca="1" ref="L807">_xlfn.IFNA(VLOOKUP(INDIRECT("L"&amp;ROW()-1)&amp;"_"&amp;$D$12,BEGIN_Renew_Vision:END_RENEW_VISION,RENEW_COL_EO,FALSE),"")</f>
        <v/>
      </c>
      <c r="M807" s="412" t="str">
        <f ca="1">IF(E807="","",E807)</f>
        <v/>
      </c>
      <c r="N807" s="413"/>
      <c r="O807" s="414"/>
      <c r="P807" s="415" t="str">
        <f>IFERROR(IF($N806="Keep Contribution Same",H807,IF($N806="Enter Percentages",IF(N807="","",N807*L807),IF($N806="Keep Percentage Same",IF(G807="","",G807*L807),IF($N806="Enter Dollar Amount",IF(O807="","",O807),"")))),"")</f>
        <v/>
      </c>
      <c r="Q807" s="408" t="str">
        <f ca="1">IFERROR(L807-P807,"")</f>
        <v/>
      </c>
      <c r="R807" s="410" t="str">
        <f>IFERROR(IF(P807="","",M807*P807),"")</f>
        <v/>
      </c>
      <c r="S807" s="411"/>
      <c r="T807" s="408" t="str" cm="1">
        <f t="array" ca="1" aca="1" ref="T807">_xlfn.IFNA(VLOOKUP(INDIRECT("T"&amp;ROW()-1)&amp;"_"&amp;$D$12,BEGIN_Renew_Vision:END_RENEW_VISION,RENEW_COL_EO,FALSE),"")</f>
        <v/>
      </c>
      <c r="U807" s="412" t="str">
        <f ca="1">IF(E807="","",E807)</f>
        <v/>
      </c>
      <c r="V807" s="413"/>
      <c r="W807" s="414"/>
      <c r="X807" s="415" t="str">
        <f>IFERROR(IF($V806="Keep Contribution Same",H807,IF($V806="Enter Percentages",IF(V807="","",V807*T807),IF($V806="Keep Percentage Same",IF(G807="","",G807*T807),IF($V806="Enter Dollar Amount",IF(W807="","",W807),"")))),"")</f>
        <v/>
      </c>
      <c r="Y807" s="408" t="str">
        <f ca="1">IFERROR(T807-X807,"")</f>
        <v/>
      </c>
      <c r="Z807" s="410" t="str">
        <f>IFERROR(IF(X807="","",U807*X807),"")</f>
        <v/>
      </c>
    </row>
    <row r="808" spans="1:26" ht="18.75" customHeight="1">
      <c r="A808" s="140"/>
      <c r="B808" s="140"/>
      <c r="D808" s="172" t="s">
        <v>239</v>
      </c>
      <c r="E808" s="407" t="str">
        <f ca="1">_xlfn.IFNA(VLOOKUP(F806,BEGIN_CURRENT_VISION:END_CURRENT_VISION,CURRENT_COL_ES_count,FALSE),"")</f>
        <v/>
      </c>
      <c r="F808" s="408" t="str">
        <f ca="1">_xlfn.IFNA(VLOOKUP(F806,BEGIN_CURRENT_VISION:END_CURRENT_VISION,CURRENT_COL_ES,FALSE),"")</f>
        <v/>
      </c>
      <c r="G808" s="468" t="str">
        <f t="shared" ca="1" si="135"/>
        <v/>
      </c>
      <c r="H808" s="408" t="str">
        <f ca="1">_xlfn.IFNA(VLOOKUP(F806,BEGIN_CURRENT_VISION:END_CURRENT_VISION,CURRENT_COL_ESContrib,FALSE),"")</f>
        <v/>
      </c>
      <c r="I808" s="409" t="str">
        <f ca="1" t="shared" si="136" ref="I808:I810">IFERROR(F808-H808,"")</f>
        <v/>
      </c>
      <c r="J808" s="410" t="str">
        <f ca="1" t="shared" si="137" ref="J808:J810">IF(F808="","",H808*E808)</f>
        <v/>
      </c>
      <c r="K808" s="411"/>
      <c r="L808" s="408" t="str" cm="1">
        <f t="array" ca="1" aca="1" ref="L808">_xlfn.IFNA(VLOOKUP(INDIRECT("L"&amp;ROW()-2)&amp;"_"&amp;$D$12,BEGIN_Renew_Vision:END_RENEW_VISION,RENEW_COL_ES,FALSE),"")</f>
        <v/>
      </c>
      <c r="M808" s="412" t="str">
        <f ca="1">IF(E808="","",E808)</f>
        <v/>
      </c>
      <c r="N808" s="413"/>
      <c r="O808" s="414"/>
      <c r="P808" s="415" t="str">
        <f>IFERROR(IF($N806="Keep Contribution Same",H808,IF($N806="Enter Percentages",IF(N808="","",N808*L808),IF($N806="Keep Percentage Same",IF(G808="","",G808*L808),IF($N806="Enter Dollar Amount",IF(O808="","",O808),"")))),"")</f>
        <v/>
      </c>
      <c r="Q808" s="408" t="str">
        <f ca="1" t="shared" si="138" ref="Q808:Q810">IFERROR(L808-P808,"")</f>
        <v/>
      </c>
      <c r="R808" s="410" t="str">
        <f>IFERROR(IF(P808="","",M808*P808),"")</f>
        <v/>
      </c>
      <c r="S808" s="411"/>
      <c r="T808" s="408" t="str" cm="1">
        <f t="array" ca="1" aca="1" ref="T808">_xlfn.IFNA(VLOOKUP(INDIRECT("T"&amp;ROW()-2)&amp;"_"&amp;$D$12,BEGIN_Renew_Vision:END_RENEW_VISION,RENEW_COL_ES,FALSE),"")</f>
        <v/>
      </c>
      <c r="U808" s="412" t="str">
        <f ca="1" t="shared" si="139" ref="U808:U810">IF(E808="","",E808)</f>
        <v/>
      </c>
      <c r="V808" s="413"/>
      <c r="W808" s="414"/>
      <c r="X808" s="415" t="str">
        <f>IFERROR(IF($V806="Keep Contribution Same",H808,IF($V806="Enter Percentages",IF(V808="","",V808*T808),IF($V806="Keep Percentage Same",IF(G808="","",G808*T808),IF($V806="Enter Dollar Amount",IF(W808="","",W808),"")))),"")</f>
        <v/>
      </c>
      <c r="Y808" s="408" t="str">
        <f ca="1" t="shared" si="140" ref="Y808:Y810">IFERROR(T808-X808,"")</f>
        <v/>
      </c>
      <c r="Z808" s="410" t="str">
        <f t="shared" si="141" ref="Z808:Z810">IFERROR(IF(X808="","",U808*X808),"")</f>
        <v/>
      </c>
    </row>
    <row r="809" spans="1:26" ht="18.75" customHeight="1">
      <c r="A809" s="140"/>
      <c r="B809" s="140"/>
      <c r="D809" s="172" t="s">
        <v>240</v>
      </c>
      <c r="E809" s="407" t="str">
        <f ca="1">_xlfn.IFNA(VLOOKUP(F806,BEGIN_CURRENT_VISION:END_CURRENT_VISION,CURRENT_COL_EC_count,FALSE),"")</f>
        <v/>
      </c>
      <c r="F809" s="408" t="str">
        <f ca="1">_xlfn.IFNA(VLOOKUP(F806,BEGIN_CURRENT_VISION:END_CURRENT_VISION,CURRENT_COL_EC,FALSE),"")</f>
        <v/>
      </c>
      <c r="G809" s="468" t="str">
        <f t="shared" ca="1" si="135"/>
        <v/>
      </c>
      <c r="H809" s="408" t="str">
        <f ca="1">_xlfn.IFNA(VLOOKUP(F806,BEGIN_CURRENT_VISION:END_CURRENT_VISION,CURRENT_COL_ECContrib,FALSE),"")</f>
        <v/>
      </c>
      <c r="I809" s="409" t="str">
        <f t="shared" ca="1" si="136"/>
        <v/>
      </c>
      <c r="J809" s="410" t="str">
        <f t="shared" ca="1" si="137"/>
        <v/>
      </c>
      <c r="K809" s="411"/>
      <c r="L809" s="408" t="str" cm="1">
        <f t="array" ca="1" aca="1" ref="L809">_xlfn.IFNA(VLOOKUP(INDIRECT("L"&amp;ROW()-3)&amp;"_"&amp;$D$12,BEGIN_Renew_Vision:END_RENEW_VISION,RENEW_COL_EC,FALSE),"")</f>
        <v/>
      </c>
      <c r="M809" s="412" t="str">
        <f ca="1">IF(E809="","",E809)</f>
        <v/>
      </c>
      <c r="N809" s="413"/>
      <c r="O809" s="414"/>
      <c r="P809" s="415" t="str">
        <f>IFERROR(IF($N806="Keep Contribution Same",H809,IF($N806="Enter Percentages",IF(N809="","",N809*L809),IF($N806="Keep Percentage Same",IF(G809="","",G809*L809),IF($N806="Enter Dollar Amount",IF(O809="","",O809),"")))),"")</f>
        <v/>
      </c>
      <c r="Q809" s="408" t="str">
        <f t="shared" ca="1" si="138"/>
        <v/>
      </c>
      <c r="R809" s="410" t="str">
        <f>IFERROR(IF(P809="","",M809*P809),"")</f>
        <v/>
      </c>
      <c r="S809" s="411"/>
      <c r="T809" s="408" t="str" cm="1">
        <f t="array" ca="1" aca="1" ref="T809">_xlfn.IFNA(VLOOKUP(INDIRECT("T"&amp;ROW()-3)&amp;"_"&amp;$D$12,BEGIN_Renew_Vision:END_RENEW_VISION,RENEW_COL_EC,FALSE),"")</f>
        <v/>
      </c>
      <c r="U809" s="412" t="str">
        <f t="shared" ca="1" si="139"/>
        <v/>
      </c>
      <c r="V809" s="413"/>
      <c r="W809" s="414"/>
      <c r="X809" s="415" t="str">
        <f>IFERROR(IF($V806="Keep Contribution Same",H809,IF($V806="Enter Percentages",IF(V809="","",V809*T809),IF($V806="Keep Percentage Same",IF(G809="","",G809*T809),IF($V806="Enter Dollar Amount",IF(W809="","",W809),"")))),"")</f>
        <v/>
      </c>
      <c r="Y809" s="408" t="str">
        <f t="shared" ca="1" si="140"/>
        <v/>
      </c>
      <c r="Z809" s="410" t="str">
        <f t="shared" si="141"/>
        <v/>
      </c>
    </row>
    <row r="810" spans="1:26" ht="18.75" customHeight="1" thickBot="1">
      <c r="A810" s="140"/>
      <c r="B810" s="140"/>
      <c r="D810" s="174" t="s">
        <v>241</v>
      </c>
      <c r="E810" s="416" t="str">
        <f ca="1">_xlfn.IFNA(VLOOKUP(F806,BEGIN_CURRENT_VISION:END_CURRENT_VISION,CURRENT_COL_FAM_count,FALSE),"")</f>
        <v/>
      </c>
      <c r="F810" s="417" t="str">
        <f ca="1">_xlfn.IFNA(VLOOKUP(F806,BEGIN_CURRENT_VISION:END_CURRENT_VISION,CURRENT_COL_FAM,FALSE),"")</f>
        <v/>
      </c>
      <c r="G810" s="469" t="str">
        <f t="shared" ca="1" si="135"/>
        <v/>
      </c>
      <c r="H810" s="417" t="str">
        <f ca="1">_xlfn.IFNA(VLOOKUP(F806,BEGIN_CURRENT_VISION:END_CURRENT_VISION,CURRENT_COL_FAMContrib,FALSE),"")</f>
        <v/>
      </c>
      <c r="I810" s="409" t="str">
        <f t="shared" ca="1" si="136"/>
        <v/>
      </c>
      <c r="J810" s="410" t="str">
        <f t="shared" ca="1" si="137"/>
        <v/>
      </c>
      <c r="K810" s="411"/>
      <c r="L810" s="417" t="str" cm="1">
        <f t="array" ca="1" aca="1" ref="L810">_xlfn.IFNA(VLOOKUP(INDIRECT("L"&amp;ROW()-4)&amp;"_"&amp;$D$12,BEGIN_Renew_Vision:END_RENEW_VISION,RENEW_COL_FAM,FALSE),"")</f>
        <v/>
      </c>
      <c r="M810" s="423" t="str">
        <f ca="1">IF(E810="","",E810)</f>
        <v/>
      </c>
      <c r="N810" s="420"/>
      <c r="O810" s="421"/>
      <c r="P810" s="422" t="str">
        <f>IFERROR(IF($N806="Keep Contribution Same",H810,IF($N806="Enter Percentages",IF(N810="","",N810*L810),IF($N806="Keep Percentage Same",IF(G810="","",G810*L810),IF($N806="Enter Dollar Amount",IF(O810="","",O810),"")))),"")</f>
        <v/>
      </c>
      <c r="Q810" s="417" t="str">
        <f t="shared" ca="1" si="138"/>
        <v/>
      </c>
      <c r="R810" s="419" t="str">
        <f>IFERROR(IF(P810="","",M810*P810),"")</f>
        <v/>
      </c>
      <c r="S810" s="411"/>
      <c r="T810" s="417" t="str" cm="1">
        <f t="array" ca="1" aca="1" ref="T810">_xlfn.IFNA(VLOOKUP(INDIRECT("T"&amp;ROW()-4)&amp;"_"&amp;$D$12,BEGIN_Renew_Vision:END_RENEW_VISION,RENEW_COL_FAM,FALSE),"")</f>
        <v/>
      </c>
      <c r="U810" s="423" t="str">
        <f t="shared" ca="1" si="139"/>
        <v/>
      </c>
      <c r="V810" s="420"/>
      <c r="W810" s="421"/>
      <c r="X810" s="422" t="str">
        <f>IFERROR(IF($V806="Keep Contribution Same",H810,IF($V806="Enter Percentages",IF(V810="","",V810*T810),IF($V806="Keep Percentage Same",IF(G810="","",G810*T810),IF($V806="Enter Dollar Amount",IF(W810="","",W810),"")))),"")</f>
        <v/>
      </c>
      <c r="Y810" s="417" t="str">
        <f t="shared" ca="1" si="140"/>
        <v/>
      </c>
      <c r="Z810" s="419" t="str">
        <f t="shared" si="141"/>
        <v/>
      </c>
    </row>
    <row r="811" spans="1:26" ht="18.75" customHeight="1" thickTop="1">
      <c r="A811" s="140"/>
      <c r="B811" s="140"/>
      <c r="D811" s="175" t="s">
        <v>329</v>
      </c>
      <c r="E811" s="424"/>
      <c r="F811" s="427"/>
      <c r="G811" s="426"/>
      <c r="H811" s="427"/>
      <c r="I811" s="428"/>
      <c r="J811" s="429" t="str">
        <f ca="1">IFERROR(IF(J807="","",SUM(J807:J810)),0)</f>
        <v/>
      </c>
      <c r="K811" s="1"/>
      <c r="L811" s="424"/>
      <c r="M811" s="427"/>
      <c r="N811" s="426"/>
      <c r="O811" s="427"/>
      <c r="P811" s="431"/>
      <c r="Q811" s="432"/>
      <c r="R811" s="429" t="str">
        <f>IFERROR(IF(R807="","",SUM(R807:R810)),0)</f>
        <v/>
      </c>
      <c r="T811" s="424"/>
      <c r="U811" s="427"/>
      <c r="V811" s="426"/>
      <c r="W811" s="427"/>
      <c r="X811" s="431"/>
      <c r="Y811" s="432"/>
      <c r="Z811" s="429" t="str">
        <f>IFERROR(IF(Z807="","",SUM(Z807:Z810)),0)</f>
        <v/>
      </c>
    </row>
    <row r="812" spans="1:26" ht="18.75" customHeight="1">
      <c r="A812" s="140"/>
      <c r="B812" s="140"/>
      <c r="D812" s="177" t="s">
        <v>243</v>
      </c>
      <c r="E812" s="433"/>
      <c r="F812" s="436"/>
      <c r="G812" s="435"/>
      <c r="H812" s="436"/>
      <c r="I812" s="432"/>
      <c r="J812" s="437" t="str">
        <f ca="1">IF(J811="","",J811*12)</f>
        <v/>
      </c>
      <c r="K812" s="1"/>
      <c r="L812" s="433"/>
      <c r="M812" s="436"/>
      <c r="N812" s="435"/>
      <c r="O812" s="436"/>
      <c r="P812" s="432"/>
      <c r="Q812" s="432"/>
      <c r="R812" s="437" t="str">
        <f>IF(R811="","",R811*12)</f>
        <v/>
      </c>
      <c r="T812" s="433"/>
      <c r="U812" s="436"/>
      <c r="V812" s="435"/>
      <c r="W812" s="436"/>
      <c r="X812" s="432"/>
      <c r="Y812" s="432"/>
      <c r="Z812" s="437" t="str">
        <f>IF(Z811="","",Z811*12)</f>
        <v/>
      </c>
    </row>
    <row r="813" spans="1:26" ht="18" customHeight="1">
      <c r="A813" s="140"/>
      <c r="B813" s="140"/>
      <c r="D813" s="177" t="s">
        <v>244</v>
      </c>
      <c r="E813" s="433"/>
      <c r="F813" s="436"/>
      <c r="G813" s="435"/>
      <c r="H813" s="436"/>
      <c r="I813" s="432"/>
      <c r="J813" s="437" t="str">
        <f ca="1">IFERROR(IF(J812="","",R812-J812),0)</f>
        <v/>
      </c>
      <c r="K813" s="1"/>
      <c r="L813" s="433"/>
      <c r="M813" s="436"/>
      <c r="N813" s="435"/>
      <c r="O813" s="436"/>
      <c r="P813" s="432"/>
      <c r="Q813" s="432"/>
      <c r="R813" s="437" t="str">
        <f ca="1">IFERROR(IF(J812="","",R812-J812),0)</f>
        <v/>
      </c>
      <c r="T813" s="433"/>
      <c r="U813" s="436"/>
      <c r="V813" s="435"/>
      <c r="W813" s="436"/>
      <c r="X813" s="432"/>
      <c r="Y813" s="432"/>
      <c r="Z813" s="437" t="str">
        <f>IFERROR(IF(R812="","",Z812-R812),0)</f>
        <v/>
      </c>
    </row>
    <row r="814" spans="1:26" ht="18" customHeight="1" thickBot="1">
      <c r="A814" s="140"/>
      <c r="B814" s="140"/>
      <c r="D814" s="180" t="s">
        <v>245</v>
      </c>
      <c r="E814" s="439"/>
      <c r="F814" s="440"/>
      <c r="G814" s="441"/>
      <c r="H814" s="440"/>
      <c r="I814" s="442"/>
      <c r="J814" s="437" t="str">
        <f ca="1">IFERROR(IF(J812="","",(R812/J812)-1),0)</f>
        <v/>
      </c>
      <c r="K814" s="1"/>
      <c r="L814" s="439"/>
      <c r="M814" s="440"/>
      <c r="N814" s="441"/>
      <c r="O814" s="440"/>
      <c r="P814" s="445"/>
      <c r="Q814" s="445"/>
      <c r="R814" s="446" t="str">
        <f ca="1">IFERROR(IF(J812="","",(R812/J812)-1),0)</f>
        <v/>
      </c>
      <c r="T814" s="439"/>
      <c r="U814" s="440"/>
      <c r="V814" s="441"/>
      <c r="W814" s="440"/>
      <c r="X814" s="445"/>
      <c r="Y814" s="445"/>
      <c r="Z814" s="446" t="str">
        <f>IFERROR(IF(R812="","",(Z812/R812)-1),0)</f>
        <v/>
      </c>
    </row>
    <row r="815" spans="1:26" ht="5.25" customHeight="1" thickBot="1">
      <c r="A815" s="140"/>
      <c r="B815" s="140"/>
      <c r="D815" s="229"/>
      <c r="E815" s="229"/>
      <c r="F815" s="230"/>
      <c r="G815" s="231"/>
      <c r="H815" s="232"/>
      <c r="I815" s="233"/>
      <c r="J815" s="233"/>
      <c r="K815"/>
      <c r="L815" s="233"/>
      <c r="M815" s="233"/>
      <c r="N815" s="233"/>
      <c r="O815" s="233"/>
      <c r="P815" s="233"/>
      <c r="Q815" s="233"/>
      <c r="R815" s="233"/>
      <c r="T815" s="233"/>
      <c r="U815" s="233"/>
      <c r="V815" s="233"/>
      <c r="W815" s="233"/>
      <c r="X815" s="233"/>
      <c r="Y815" s="233"/>
      <c r="Z815" s="233"/>
    </row>
    <row r="816" spans="1:26" ht="50.15" customHeight="1">
      <c r="A816" s="140"/>
      <c r="B816" s="140"/>
      <c r="C816" s="164" t="s">
        <v>305</v>
      </c>
      <c r="D816" s="275" t="s">
        <v>285</v>
      </c>
      <c r="E816" s="165"/>
      <c r="F816" s="272"/>
      <c r="G816" s="166"/>
      <c r="H816" s="167"/>
      <c r="I816" s="168"/>
      <c r="J816" s="169"/>
      <c r="K816"/>
      <c r="L816" s="274" t="s">
        <v>38</v>
      </c>
      <c r="M816" s="170"/>
      <c r="N816" s="274" t="s">
        <v>237</v>
      </c>
      <c r="O816" s="171"/>
      <c r="P816" s="171"/>
      <c r="Q816" s="171"/>
      <c r="R816" s="169"/>
      <c r="T816" s="274" t="s">
        <v>38</v>
      </c>
      <c r="U816" s="170"/>
      <c r="V816" s="274" t="s">
        <v>237</v>
      </c>
      <c r="W816" s="171"/>
      <c r="X816" s="171"/>
      <c r="Y816" s="171"/>
      <c r="Z816" s="169"/>
    </row>
    <row r="817" spans="1:26" ht="18.75" customHeight="1">
      <c r="A817" s="140"/>
      <c r="B817" s="140"/>
      <c r="D817" s="172" t="s">
        <v>238</v>
      </c>
      <c r="E817" s="407"/>
      <c r="F817" s="449"/>
      <c r="G817" s="470" t="str">
        <f t="shared" si="142" ref="G817:G820">IF(F817="","",H817/F817)</f>
        <v/>
      </c>
      <c r="H817" s="449" t="str">
        <f>_xlfn.IFNA(VLOOKUP(F816,BEGIN_CURRENT_VISION:END_CURRENT_VISION,CURRENT_COL_EOContrib,FALSE),"")</f>
        <v/>
      </c>
      <c r="I817" s="409" t="str">
        <f>IFERROR(F817-H817,"")</f>
        <v/>
      </c>
      <c r="J817" s="410" t="str">
        <f>IF(F817="","",H817*E817)</f>
        <v/>
      </c>
      <c r="K817" s="411"/>
      <c r="L817" s="408" t="str" cm="1">
        <f t="array" ca="1" aca="1" ref="L817">_xlfn.IFNA(VLOOKUP(INDIRECT("L"&amp;ROW()-1)&amp;"_"&amp;$D$12,BEGIN_Renew_Vision:END_RENEW_VISION,RENEW_COL_EO,FALSE),"")</f>
        <v/>
      </c>
      <c r="M817" s="412" t="str">
        <f>IF(E817="","",E817)</f>
        <v/>
      </c>
      <c r="N817" s="413"/>
      <c r="O817" s="414"/>
      <c r="P817" s="415" t="str">
        <f>IFERROR(IF($N816="Keep Contribution Same",H817,IF($N816="Enter Percentages",IF(N817="","",N817*L817),IF($N816="Keep Percentage Same",IF(G817="","",G817*L817),IF($N816="Enter Dollar Amount",IF(O817="","",O817),"")))),"")</f>
        <v/>
      </c>
      <c r="Q817" s="408" t="str">
        <f ca="1">IFERROR(L817-P817,"")</f>
        <v/>
      </c>
      <c r="R817" s="410" t="str">
        <f>IFERROR(IF(P817="","",M817*P817),"")</f>
        <v/>
      </c>
      <c r="S817" s="411"/>
      <c r="T817" s="408" t="str" cm="1">
        <f t="array" ca="1" aca="1" ref="T817">_xlfn.IFNA(VLOOKUP(INDIRECT("T"&amp;ROW()-1)&amp;"_"&amp;$D$12,BEGIN_Renew_Vision:END_RENEW_VISION,RENEW_COL_EO,FALSE),"")</f>
        <v/>
      </c>
      <c r="U817" s="412" t="str">
        <f>IF(E817="","",E817)</f>
        <v/>
      </c>
      <c r="V817" s="413"/>
      <c r="W817" s="414"/>
      <c r="X817" s="415" t="str">
        <f>IFERROR(IF($V816="Keep Contribution Same",H817,IF($V816="Enter Percentages",IF(V817="","",V817*T817),IF($V816="Keep Percentage Same",IF(G817="","",G817*T817),IF($V816="Enter Dollar Amount",IF(W817="","",W817),"")))),"")</f>
        <v/>
      </c>
      <c r="Y817" s="408" t="str">
        <f ca="1">IFERROR(T817-X817,"")</f>
        <v/>
      </c>
      <c r="Z817" s="410" t="str">
        <f>IFERROR(IF(X817="","",U817*X817),"")</f>
        <v/>
      </c>
    </row>
    <row r="818" spans="1:26" ht="18.75" customHeight="1">
      <c r="A818" s="140"/>
      <c r="B818" s="140"/>
      <c r="D818" s="172" t="s">
        <v>239</v>
      </c>
      <c r="E818" s="407"/>
      <c r="F818" s="449" t="str">
        <f>_xlfn.IFNA(VLOOKUP(F816,BEGIN_CURRENT_VISION:END_CURRENT_VISION,CURRENT_COL_ES,FALSE),"")</f>
        <v/>
      </c>
      <c r="G818" s="470" t="str">
        <f t="shared" si="142"/>
        <v/>
      </c>
      <c r="H818" s="449" t="str">
        <f>_xlfn.IFNA(VLOOKUP(F816,BEGIN_CURRENT_VISION:END_CURRENT_VISION,CURRENT_COL_ESContrib,FALSE),"")</f>
        <v/>
      </c>
      <c r="I818" s="409" t="str">
        <f t="shared" si="143" ref="I818:I820">IFERROR(F818-H818,"")</f>
        <v/>
      </c>
      <c r="J818" s="410" t="str">
        <f t="shared" si="144" ref="J818:J820">IF(F818="","",H818*E818)</f>
        <v/>
      </c>
      <c r="K818" s="411"/>
      <c r="L818" s="408" t="str" cm="1">
        <f t="array" ca="1" aca="1" ref="L818">_xlfn.IFNA(VLOOKUP(INDIRECT("L"&amp;ROW()-2)&amp;"_"&amp;$D$12,BEGIN_Renew_Vision:END_RENEW_VISION,RENEW_COL_ES,FALSE),"")</f>
        <v/>
      </c>
      <c r="M818" s="412" t="str">
        <f>IF(E818="","",E818)</f>
        <v/>
      </c>
      <c r="N818" s="413"/>
      <c r="O818" s="414"/>
      <c r="P818" s="415" t="str">
        <f>IFERROR(IF($N816="Keep Contribution Same",H818,IF($N816="Enter Percentages",IF(N818="","",N818*L818),IF($N816="Keep Percentage Same",IF(G818="","",G818*L818),IF($N816="Enter Dollar Amount",IF(O818="","",O818),"")))),"")</f>
        <v/>
      </c>
      <c r="Q818" s="408" t="str">
        <f ca="1" t="shared" si="145" ref="Q818:Q820">IFERROR(L818-P818,"")</f>
        <v/>
      </c>
      <c r="R818" s="410" t="str">
        <f>IFERROR(IF(P818="","",M818*P818),"")</f>
        <v/>
      </c>
      <c r="S818" s="411"/>
      <c r="T818" s="408" t="str" cm="1">
        <f t="array" ca="1" aca="1" ref="T818">_xlfn.IFNA(VLOOKUP(INDIRECT("T"&amp;ROW()-2)&amp;"_"&amp;$D$12,BEGIN_Renew_Vision:END_RENEW_VISION,RENEW_COL_ES,FALSE),"")</f>
        <v/>
      </c>
      <c r="U818" s="412" t="str">
        <f t="shared" si="146" ref="U818:U820">IF(E818="","",E818)</f>
        <v/>
      </c>
      <c r="V818" s="413"/>
      <c r="W818" s="414"/>
      <c r="X818" s="415" t="str">
        <f>IFERROR(IF($V816="Keep Contribution Same",H818,IF($V816="Enter Percentages",IF(V818="","",V818*T818),IF($V816="Keep Percentage Same",IF(G818="","",G818*T818),IF($V816="Enter Dollar Amount",IF(W818="","",W818),"")))),"")</f>
        <v/>
      </c>
      <c r="Y818" s="408" t="str">
        <f ca="1" t="shared" si="147" ref="Y818:Y820">IFERROR(T818-X818,"")</f>
        <v/>
      </c>
      <c r="Z818" s="410" t="str">
        <f t="shared" si="148" ref="Z818:Z820">IFERROR(IF(X818="","",U818*X818),"")</f>
        <v/>
      </c>
    </row>
    <row r="819" spans="1:26" ht="18.75" customHeight="1">
      <c r="A819" s="140"/>
      <c r="B819" s="140"/>
      <c r="D819" s="172" t="s">
        <v>240</v>
      </c>
      <c r="E819" s="407"/>
      <c r="F819" s="449" t="str">
        <f>_xlfn.IFNA(VLOOKUP(F816,BEGIN_CURRENT_VISION:END_CURRENT_VISION,CURRENT_COL_EC,FALSE),"")</f>
        <v/>
      </c>
      <c r="G819" s="470" t="str">
        <f t="shared" si="142"/>
        <v/>
      </c>
      <c r="H819" s="449" t="str">
        <f>_xlfn.IFNA(VLOOKUP(F816,BEGIN_CURRENT_VISION:END_CURRENT_VISION,CURRENT_COL_ECContrib,FALSE),"")</f>
        <v/>
      </c>
      <c r="I819" s="409" t="str">
        <f t="shared" si="143"/>
        <v/>
      </c>
      <c r="J819" s="410" t="str">
        <f t="shared" si="144"/>
        <v/>
      </c>
      <c r="K819" s="411"/>
      <c r="L819" s="408" t="str" cm="1">
        <f t="array" ca="1" aca="1" ref="L819">_xlfn.IFNA(VLOOKUP(INDIRECT("L"&amp;ROW()-3)&amp;"_"&amp;$D$12,BEGIN_Renew_Vision:END_RENEW_VISION,RENEW_COL_EC,FALSE),"")</f>
        <v/>
      </c>
      <c r="M819" s="412" t="str">
        <f>IF(E819="","",E819)</f>
        <v/>
      </c>
      <c r="N819" s="413"/>
      <c r="O819" s="414"/>
      <c r="P819" s="415" t="str">
        <f>IFERROR(IF($N816="Keep Contribution Same",H819,IF($N816="Enter Percentages",IF(N819="","",N819*L819),IF($N816="Keep Percentage Same",IF(G819="","",G819*L819),IF($N816="Enter Dollar Amount",IF(O819="","",O819),"")))),"")</f>
        <v/>
      </c>
      <c r="Q819" s="408" t="str">
        <f t="shared" ca="1" si="145"/>
        <v/>
      </c>
      <c r="R819" s="410" t="str">
        <f>IFERROR(IF(P819="","",M819*P819),"")</f>
        <v/>
      </c>
      <c r="S819" s="411"/>
      <c r="T819" s="408" t="str" cm="1">
        <f t="array" ca="1" aca="1" ref="T819">_xlfn.IFNA(VLOOKUP(INDIRECT("T"&amp;ROW()-3)&amp;"_"&amp;$D$12,BEGIN_Renew_Vision:END_RENEW_VISION,RENEW_COL_EC,FALSE),"")</f>
        <v/>
      </c>
      <c r="U819" s="412" t="str">
        <f t="shared" si="146"/>
        <v/>
      </c>
      <c r="V819" s="413"/>
      <c r="W819" s="414"/>
      <c r="X819" s="415" t="str">
        <f>IFERROR(IF($V816="Keep Contribution Same",H819,IF($V816="Enter Percentages",IF(V819="","",V819*T819),IF($V816="Keep Percentage Same",IF(G819="","",G819*T819),IF($V816="Enter Dollar Amount",IF(W819="","",W819),"")))),"")</f>
        <v/>
      </c>
      <c r="Y819" s="408" t="str">
        <f t="shared" ca="1" si="147"/>
        <v/>
      </c>
      <c r="Z819" s="410" t="str">
        <f t="shared" si="148"/>
        <v/>
      </c>
    </row>
    <row r="820" spans="1:26" ht="18.75" customHeight="1" thickBot="1">
      <c r="A820" s="140"/>
      <c r="B820" s="140"/>
      <c r="D820" s="174" t="s">
        <v>241</v>
      </c>
      <c r="E820" s="416"/>
      <c r="F820" s="451" t="str">
        <f>_xlfn.IFNA(VLOOKUP(F816,BEGIN_CURRENT_VISION:END_CURRENT_VISION,CURRENT_COL_FAM,FALSE),"")</f>
        <v/>
      </c>
      <c r="G820" s="471" t="str">
        <f t="shared" si="142"/>
        <v/>
      </c>
      <c r="H820" s="451" t="str">
        <f>_xlfn.IFNA(VLOOKUP(F816,BEGIN_CURRENT_VISION:END_CURRENT_VISION,CURRENT_COL_FAMContrib,FALSE),"")</f>
        <v/>
      </c>
      <c r="I820" s="409" t="str">
        <f t="shared" si="143"/>
        <v/>
      </c>
      <c r="J820" s="410" t="str">
        <f t="shared" si="144"/>
        <v/>
      </c>
      <c r="K820" s="411"/>
      <c r="L820" s="417" t="str" cm="1">
        <f t="array" ca="1" aca="1" ref="L820">_xlfn.IFNA(VLOOKUP(INDIRECT("L"&amp;ROW()-4)&amp;"_"&amp;$D$12,BEGIN_Renew_Vision:END_RENEW_VISION,RENEW_COL_FAM,FALSE),"")</f>
        <v/>
      </c>
      <c r="M820" s="423" t="str">
        <f>IF(E820="","",E820)</f>
        <v/>
      </c>
      <c r="N820" s="420"/>
      <c r="O820" s="421"/>
      <c r="P820" s="422" t="str">
        <f>IFERROR(IF($N816="Keep Contribution Same",H820,IF($N816="Enter Percentages",IF(N820="","",N820*L820),IF($N816="Keep Percentage Same",IF(G820="","",G820*L820),IF($N816="Enter Dollar Amount",IF(O820="","",O820),"")))),"")</f>
        <v/>
      </c>
      <c r="Q820" s="417" t="str">
        <f t="shared" ca="1" si="145"/>
        <v/>
      </c>
      <c r="R820" s="419" t="str">
        <f>IFERROR(IF(P820="","",M820*P820),"")</f>
        <v/>
      </c>
      <c r="S820" s="411"/>
      <c r="T820" s="417" t="str" cm="1">
        <f t="array" ca="1" aca="1" ref="T820">_xlfn.IFNA(VLOOKUP(INDIRECT("T"&amp;ROW()-4)&amp;"_"&amp;$D$12,BEGIN_Renew_Vision:END_RENEW_VISION,RENEW_COL_FAM,FALSE),"")</f>
        <v/>
      </c>
      <c r="U820" s="423" t="str">
        <f t="shared" si="146"/>
        <v/>
      </c>
      <c r="V820" s="420"/>
      <c r="W820" s="421"/>
      <c r="X820" s="422" t="str">
        <f>IFERROR(IF($V816="Keep Contribution Same",H820,IF($V816="Enter Percentages",IF(V820="","",V820*T820),IF($V816="Keep Percentage Same",IF(G820="","",G820*T820),IF($V816="Enter Dollar Amount",IF(W820="","",W820),"")))),"")</f>
        <v/>
      </c>
      <c r="Y820" s="417" t="str">
        <f t="shared" ca="1" si="147"/>
        <v/>
      </c>
      <c r="Z820" s="419" t="str">
        <f t="shared" si="148"/>
        <v/>
      </c>
    </row>
    <row r="821" spans="1:26" ht="18.75" customHeight="1" thickTop="1">
      <c r="A821" s="140"/>
      <c r="B821" s="140"/>
      <c r="D821" s="175" t="s">
        <v>329</v>
      </c>
      <c r="E821" s="424"/>
      <c r="F821" s="427"/>
      <c r="G821" s="426"/>
      <c r="H821" s="427"/>
      <c r="I821" s="428"/>
      <c r="J821" s="429" t="str">
        <f>IFERROR(IF(J817="","",SUM(J817:J820)),0)</f>
        <v/>
      </c>
      <c r="K821" s="1"/>
      <c r="L821" s="424"/>
      <c r="M821" s="427"/>
      <c r="N821" s="426"/>
      <c r="O821" s="427"/>
      <c r="P821" s="431"/>
      <c r="Q821" s="432"/>
      <c r="R821" s="429" t="str">
        <f>IFERROR(IF(R817="","",SUM(R817:R820)),0)</f>
        <v/>
      </c>
      <c r="T821" s="424"/>
      <c r="U821" s="427"/>
      <c r="V821" s="426"/>
      <c r="W821" s="427"/>
      <c r="X821" s="431"/>
      <c r="Y821" s="432"/>
      <c r="Z821" s="429" t="str">
        <f>IFERROR(IF(Z817="","",SUM(Z817:Z820)),0)</f>
        <v/>
      </c>
    </row>
    <row r="822" spans="1:26" ht="18.75" customHeight="1">
      <c r="A822" s="140"/>
      <c r="B822" s="140"/>
      <c r="D822" s="177" t="s">
        <v>243</v>
      </c>
      <c r="E822" s="433"/>
      <c r="F822" s="436"/>
      <c r="G822" s="435"/>
      <c r="H822" s="436"/>
      <c r="I822" s="432"/>
      <c r="J822" s="437" t="str">
        <f>IF(J821="","",J821*12)</f>
        <v/>
      </c>
      <c r="K822" s="1"/>
      <c r="L822" s="433"/>
      <c r="M822" s="436"/>
      <c r="N822" s="435"/>
      <c r="O822" s="436"/>
      <c r="P822" s="432"/>
      <c r="Q822" s="432"/>
      <c r="R822" s="437" t="str">
        <f>IF(R821="","",R821*12)</f>
        <v/>
      </c>
      <c r="T822" s="433"/>
      <c r="U822" s="436"/>
      <c r="V822" s="435"/>
      <c r="W822" s="436"/>
      <c r="X822" s="432"/>
      <c r="Y822" s="432"/>
      <c r="Z822" s="437" t="str">
        <f>IF(Z821="","",Z821*12)</f>
        <v/>
      </c>
    </row>
    <row r="823" spans="1:26" ht="18" customHeight="1">
      <c r="A823" s="140"/>
      <c r="B823" s="140"/>
      <c r="D823" s="177" t="s">
        <v>244</v>
      </c>
      <c r="E823" s="433"/>
      <c r="F823" s="436"/>
      <c r="G823" s="435"/>
      <c r="H823" s="436"/>
      <c r="I823" s="432"/>
      <c r="J823" s="437" t="str">
        <f>IFERROR(IF(J822="","",R822-J822),0)</f>
        <v/>
      </c>
      <c r="K823" s="1"/>
      <c r="L823" s="433"/>
      <c r="M823" s="436"/>
      <c r="N823" s="435"/>
      <c r="O823" s="436"/>
      <c r="P823" s="432"/>
      <c r="Q823" s="432"/>
      <c r="R823" s="437" t="str">
        <f>IFERROR(IF(J822="","",R822-J822),0)</f>
        <v/>
      </c>
      <c r="T823" s="433"/>
      <c r="U823" s="436"/>
      <c r="V823" s="435"/>
      <c r="W823" s="436"/>
      <c r="X823" s="432"/>
      <c r="Y823" s="432"/>
      <c r="Z823" s="437" t="str">
        <f>IFERROR(IF(R822="","",Z822-R822),0)</f>
        <v/>
      </c>
    </row>
    <row r="824" spans="1:26" ht="18" customHeight="1" thickBot="1">
      <c r="A824" s="140"/>
      <c r="B824" s="140"/>
      <c r="D824" s="180" t="s">
        <v>245</v>
      </c>
      <c r="E824" s="439"/>
      <c r="F824" s="440"/>
      <c r="G824" s="441"/>
      <c r="H824" s="440"/>
      <c r="I824" s="442"/>
      <c r="J824" s="437" t="str">
        <f>IFERROR(IF(J822="","",(R822/J822)-1),0)</f>
        <v/>
      </c>
      <c r="K824" s="1"/>
      <c r="L824" s="439"/>
      <c r="M824" s="440"/>
      <c r="N824" s="441"/>
      <c r="O824" s="440"/>
      <c r="P824" s="445"/>
      <c r="Q824" s="445"/>
      <c r="R824" s="446" t="str">
        <f>IFERROR(IF(J822="","",(R822/J822)-1),0)</f>
        <v/>
      </c>
      <c r="T824" s="439"/>
      <c r="U824" s="440"/>
      <c r="V824" s="441"/>
      <c r="W824" s="440"/>
      <c r="X824" s="445"/>
      <c r="Y824" s="445"/>
      <c r="Z824" s="446" t="str">
        <f>IFERROR(IF(R822="","",(Z822/R822)-1),0)</f>
        <v/>
      </c>
    </row>
    <row r="825" spans="1:26" ht="5.25" customHeight="1" thickBot="1">
      <c r="A825" s="140"/>
      <c r="B825" s="140"/>
      <c r="D825" s="229"/>
      <c r="E825" s="229"/>
      <c r="F825" s="230"/>
      <c r="G825" s="231"/>
      <c r="H825" s="232"/>
      <c r="I825" s="233"/>
      <c r="J825" s="233"/>
      <c r="K825"/>
      <c r="L825" s="233"/>
      <c r="M825" s="233"/>
      <c r="N825" s="233"/>
      <c r="O825" s="233"/>
      <c r="P825" s="233"/>
      <c r="Q825" s="233"/>
      <c r="R825" s="233"/>
      <c r="T825" s="233"/>
      <c r="U825" s="233"/>
      <c r="V825" s="233"/>
      <c r="W825" s="233"/>
      <c r="X825" s="233"/>
      <c r="Y825" s="233"/>
      <c r="Z825" s="233"/>
    </row>
    <row r="826" spans="1:26" ht="50.15" customHeight="1">
      <c r="A826" s="140"/>
      <c r="B826" s="140"/>
      <c r="C826" s="164" t="s">
        <v>306</v>
      </c>
      <c r="D826" s="275" t="s">
        <v>285</v>
      </c>
      <c r="E826" s="165"/>
      <c r="F826" s="272"/>
      <c r="G826" s="166"/>
      <c r="H826" s="167"/>
      <c r="I826" s="168"/>
      <c r="J826" s="169"/>
      <c r="K826"/>
      <c r="L826" s="274" t="s">
        <v>38</v>
      </c>
      <c r="M826" s="170"/>
      <c r="N826" s="274" t="s">
        <v>237</v>
      </c>
      <c r="O826" s="171"/>
      <c r="P826" s="171"/>
      <c r="Q826" s="171"/>
      <c r="R826" s="169"/>
      <c r="T826" s="274" t="s">
        <v>38</v>
      </c>
      <c r="U826" s="170"/>
      <c r="V826" s="274" t="s">
        <v>237</v>
      </c>
      <c r="W826" s="171"/>
      <c r="X826" s="171"/>
      <c r="Y826" s="171"/>
      <c r="Z826" s="169"/>
    </row>
    <row r="827" spans="1:26" ht="18.75" customHeight="1">
      <c r="A827" s="140"/>
      <c r="B827" s="140"/>
      <c r="D827" s="172" t="s">
        <v>238</v>
      </c>
      <c r="E827" s="407"/>
      <c r="F827" s="449"/>
      <c r="G827" s="470" t="str">
        <f t="shared" si="149" ref="G827:G830">IF(F827="","",H827/F827)</f>
        <v/>
      </c>
      <c r="H827" s="449" t="str">
        <f>_xlfn.IFNA(VLOOKUP(F826,BEGIN_CURRENT_VISION:END_CURRENT_VISION,CURRENT_COL_EOContrib,FALSE),"")</f>
        <v/>
      </c>
      <c r="I827" s="409" t="str">
        <f>IFERROR(F827-H827,"")</f>
        <v/>
      </c>
      <c r="J827" s="410" t="str">
        <f>IF(F827="","",H827*E827)</f>
        <v/>
      </c>
      <c r="K827" s="411"/>
      <c r="L827" s="408" t="str" cm="1">
        <f t="array" ca="1" aca="1" ref="L827">_xlfn.IFNA(VLOOKUP(INDIRECT("L"&amp;ROW()-1)&amp;"_"&amp;$D$12,BEGIN_Renew_Vision:END_RENEW_VISION,RENEW_COL_EO,FALSE),"")</f>
        <v/>
      </c>
      <c r="M827" s="412" t="str">
        <f>IF(E827="","",E827)</f>
        <v/>
      </c>
      <c r="N827" s="413"/>
      <c r="O827" s="414"/>
      <c r="P827" s="415" t="str">
        <f>IFERROR(IF($N826="Keep Contribution Same",H827,IF($N826="Enter Percentages",IF(N827="","",N827*L827),IF($N826="Keep Percentage Same",IF(G827="","",G827*L827),IF($N826="Enter Dollar Amount",IF(O827="","",O827),"")))),"")</f>
        <v/>
      </c>
      <c r="Q827" s="408" t="str">
        <f ca="1">IFERROR(L827-P827,"")</f>
        <v/>
      </c>
      <c r="R827" s="410" t="str">
        <f>IFERROR(IF(P827="","",M827*P827),"")</f>
        <v/>
      </c>
      <c r="S827" s="411"/>
      <c r="T827" s="408" t="str" cm="1">
        <f t="array" ca="1" aca="1" ref="T827">_xlfn.IFNA(VLOOKUP(INDIRECT("T"&amp;ROW()-1)&amp;"_"&amp;$D$12,BEGIN_Renew_Vision:END_RENEW_VISION,RENEW_COL_EO,FALSE),"")</f>
        <v/>
      </c>
      <c r="U827" s="412" t="str">
        <f>IF(E827="","",E827)</f>
        <v/>
      </c>
      <c r="V827" s="413"/>
      <c r="W827" s="414"/>
      <c r="X827" s="415" t="str">
        <f>IFERROR(IF($V826="Keep Contribution Same",H827,IF($V826="Enter Percentages",IF(V827="","",V827*T827),IF($V826="Keep Percentage Same",IF(G827="","",G827*T827),IF($V826="Enter Dollar Amount",IF(W827="","",W827),"")))),"")</f>
        <v/>
      </c>
      <c r="Y827" s="408" t="str">
        <f ca="1">IFERROR(T827-X827,"")</f>
        <v/>
      </c>
      <c r="Z827" s="410" t="str">
        <f>IFERROR(IF(X827="","",U827*X827),"")</f>
        <v/>
      </c>
    </row>
    <row r="828" spans="1:26" ht="18.75" customHeight="1">
      <c r="A828" s="140"/>
      <c r="B828" s="140"/>
      <c r="D828" s="172" t="s">
        <v>239</v>
      </c>
      <c r="E828" s="407"/>
      <c r="F828" s="449" t="str">
        <f>_xlfn.IFNA(VLOOKUP(F826,BEGIN_CURRENT_VISION:END_CURRENT_VISION,CURRENT_COL_ES,FALSE),"")</f>
        <v/>
      </c>
      <c r="G828" s="470" t="str">
        <f t="shared" si="149"/>
        <v/>
      </c>
      <c r="H828" s="449" t="str">
        <f>_xlfn.IFNA(VLOOKUP(F826,BEGIN_CURRENT_VISION:END_CURRENT_VISION,CURRENT_COL_ESContrib,FALSE),"")</f>
        <v/>
      </c>
      <c r="I828" s="409" t="str">
        <f t="shared" si="150" ref="I828:I830">IFERROR(F828-H828,"")</f>
        <v/>
      </c>
      <c r="J828" s="410" t="str">
        <f t="shared" si="151" ref="J828:J830">IF(F828="","",H828*E828)</f>
        <v/>
      </c>
      <c r="K828" s="411"/>
      <c r="L828" s="408" t="str" cm="1">
        <f t="array" ca="1" aca="1" ref="L828">_xlfn.IFNA(VLOOKUP(INDIRECT("L"&amp;ROW()-2)&amp;"_"&amp;$D$12,BEGIN_Renew_Vision:END_RENEW_VISION,RENEW_COL_ES,FALSE),"")</f>
        <v/>
      </c>
      <c r="M828" s="412" t="str">
        <f>IF(E828="","",E828)</f>
        <v/>
      </c>
      <c r="N828" s="413"/>
      <c r="O828" s="414"/>
      <c r="P828" s="415" t="str">
        <f>IFERROR(IF($N826="Keep Contribution Same",H828,IF($N826="Enter Percentages",IF(N828="","",N828*L828),IF($N826="Keep Percentage Same",IF(G828="","",G828*L828),IF($N826="Enter Dollar Amount",IF(O828="","",O828),"")))),"")</f>
        <v/>
      </c>
      <c r="Q828" s="408" t="str">
        <f ca="1" t="shared" si="152" ref="Q828:Q830">IFERROR(L828-P828,"")</f>
        <v/>
      </c>
      <c r="R828" s="410" t="str">
        <f>IFERROR(IF(P828="","",M828*P828),"")</f>
        <v/>
      </c>
      <c r="S828" s="411"/>
      <c r="T828" s="408" t="str" cm="1">
        <f t="array" ca="1" aca="1" ref="T828">_xlfn.IFNA(VLOOKUP(INDIRECT("T"&amp;ROW()-2)&amp;"_"&amp;$D$12,BEGIN_Renew_Vision:END_RENEW_VISION,RENEW_COL_ES,FALSE),"")</f>
        <v/>
      </c>
      <c r="U828" s="412" t="str">
        <f t="shared" si="153" ref="U828:U830">IF(E828="","",E828)</f>
        <v/>
      </c>
      <c r="V828" s="413"/>
      <c r="W828" s="414"/>
      <c r="X828" s="415" t="str">
        <f>IFERROR(IF($V826="Keep Contribution Same",H828,IF($V826="Enter Percentages",IF(V828="","",V828*T828),IF($V826="Keep Percentage Same",IF(G828="","",G828*T828),IF($V826="Enter Dollar Amount",IF(W828="","",W828),"")))),"")</f>
        <v/>
      </c>
      <c r="Y828" s="408" t="str">
        <f ca="1" t="shared" si="154" ref="Y828:Y830">IFERROR(T828-X828,"")</f>
        <v/>
      </c>
      <c r="Z828" s="410" t="str">
        <f t="shared" si="155" ref="Z828:Z830">IFERROR(IF(X828="","",U828*X828),"")</f>
        <v/>
      </c>
    </row>
    <row r="829" spans="1:26" ht="18.75" customHeight="1">
      <c r="A829" s="140"/>
      <c r="B829" s="140"/>
      <c r="D829" s="172" t="s">
        <v>240</v>
      </c>
      <c r="E829" s="407"/>
      <c r="F829" s="449" t="str">
        <f>_xlfn.IFNA(VLOOKUP(F826,BEGIN_CURRENT_VISION:END_CURRENT_VISION,CURRENT_COL_EC,FALSE),"")</f>
        <v/>
      </c>
      <c r="G829" s="470" t="str">
        <f t="shared" si="149"/>
        <v/>
      </c>
      <c r="H829" s="449" t="str">
        <f>_xlfn.IFNA(VLOOKUP(F826,BEGIN_CURRENT_VISION:END_CURRENT_VISION,CURRENT_COL_ECContrib,FALSE),"")</f>
        <v/>
      </c>
      <c r="I829" s="409" t="str">
        <f t="shared" si="150"/>
        <v/>
      </c>
      <c r="J829" s="410" t="str">
        <f t="shared" si="151"/>
        <v/>
      </c>
      <c r="K829" s="411"/>
      <c r="L829" s="408" t="str" cm="1">
        <f t="array" ca="1" aca="1" ref="L829">_xlfn.IFNA(VLOOKUP(INDIRECT("L"&amp;ROW()-3)&amp;"_"&amp;$D$12,BEGIN_Renew_Vision:END_RENEW_VISION,RENEW_COL_EC,FALSE),"")</f>
        <v/>
      </c>
      <c r="M829" s="412" t="str">
        <f>IF(E829="","",E829)</f>
        <v/>
      </c>
      <c r="N829" s="413"/>
      <c r="O829" s="414"/>
      <c r="P829" s="415" t="str">
        <f>IFERROR(IF($N826="Keep Contribution Same",H829,IF($N826="Enter Percentages",IF(N829="","",N829*L829),IF($N826="Keep Percentage Same",IF(G829="","",G829*L829),IF($N826="Enter Dollar Amount",IF(O829="","",O829),"")))),"")</f>
        <v/>
      </c>
      <c r="Q829" s="408" t="str">
        <f t="shared" ca="1" si="152"/>
        <v/>
      </c>
      <c r="R829" s="410" t="str">
        <f>IFERROR(IF(P829="","",M829*P829),"")</f>
        <v/>
      </c>
      <c r="S829" s="411"/>
      <c r="T829" s="408" t="str" cm="1">
        <f t="array" ca="1" aca="1" ref="T829">_xlfn.IFNA(VLOOKUP(INDIRECT("T"&amp;ROW()-3)&amp;"_"&amp;$D$12,BEGIN_Renew_Vision:END_RENEW_VISION,RENEW_COL_EC,FALSE),"")</f>
        <v/>
      </c>
      <c r="U829" s="412" t="str">
        <f t="shared" si="153"/>
        <v/>
      </c>
      <c r="V829" s="413"/>
      <c r="W829" s="414"/>
      <c r="X829" s="415" t="str">
        <f>IFERROR(IF($V826="Keep Contribution Same",H829,IF($V826="Enter Percentages",IF(V829="","",V829*T829),IF($V826="Keep Percentage Same",IF(G829="","",G829*T829),IF($V826="Enter Dollar Amount",IF(W829="","",W829),"")))),"")</f>
        <v/>
      </c>
      <c r="Y829" s="408" t="str">
        <f t="shared" ca="1" si="154"/>
        <v/>
      </c>
      <c r="Z829" s="410" t="str">
        <f t="shared" si="155"/>
        <v/>
      </c>
    </row>
    <row r="830" spans="1:26" ht="18.75" customHeight="1" thickBot="1">
      <c r="A830" s="140"/>
      <c r="B830" s="140"/>
      <c r="D830" s="174" t="s">
        <v>241</v>
      </c>
      <c r="E830" s="416"/>
      <c r="F830" s="451" t="str">
        <f>_xlfn.IFNA(VLOOKUP(F826,BEGIN_CURRENT_VISION:END_CURRENT_VISION,CURRENT_COL_FAM,FALSE),"")</f>
        <v/>
      </c>
      <c r="G830" s="471" t="str">
        <f t="shared" si="149"/>
        <v/>
      </c>
      <c r="H830" s="451" t="str">
        <f>_xlfn.IFNA(VLOOKUP(F826,BEGIN_CURRENT_VISION:END_CURRENT_VISION,CURRENT_COL_FAMContrib,FALSE),"")</f>
        <v/>
      </c>
      <c r="I830" s="409" t="str">
        <f t="shared" si="150"/>
        <v/>
      </c>
      <c r="J830" s="410" t="str">
        <f t="shared" si="151"/>
        <v/>
      </c>
      <c r="K830" s="411"/>
      <c r="L830" s="417" t="str" cm="1">
        <f t="array" ca="1" aca="1" ref="L830">_xlfn.IFNA(VLOOKUP(INDIRECT("L"&amp;ROW()-4)&amp;"_"&amp;$D$12,BEGIN_Renew_Vision:END_RENEW_VISION,RENEW_COL_FAM,FALSE),"")</f>
        <v/>
      </c>
      <c r="M830" s="423" t="str">
        <f>IF(E830="","",E830)</f>
        <v/>
      </c>
      <c r="N830" s="420"/>
      <c r="O830" s="421"/>
      <c r="P830" s="422" t="str">
        <f>IFERROR(IF($N826="Keep Contribution Same",H830,IF($N826="Enter Percentages",IF(N830="","",N830*L830),IF($N826="Keep Percentage Same",IF(G830="","",G830*L830),IF($N826="Enter Dollar Amount",IF(O830="","",O830),"")))),"")</f>
        <v/>
      </c>
      <c r="Q830" s="417" t="str">
        <f t="shared" ca="1" si="152"/>
        <v/>
      </c>
      <c r="R830" s="419" t="str">
        <f>IFERROR(IF(P830="","",M830*P830),"")</f>
        <v/>
      </c>
      <c r="S830" s="411"/>
      <c r="T830" s="417" t="str" cm="1">
        <f t="array" ca="1" aca="1" ref="T830">_xlfn.IFNA(VLOOKUP(INDIRECT("T"&amp;ROW()-4)&amp;"_"&amp;$D$12,BEGIN_Renew_Vision:END_RENEW_VISION,RENEW_COL_FAM,FALSE),"")</f>
        <v/>
      </c>
      <c r="U830" s="423" t="str">
        <f t="shared" si="153"/>
        <v/>
      </c>
      <c r="V830" s="420"/>
      <c r="W830" s="421"/>
      <c r="X830" s="422" t="str">
        <f>IFERROR(IF($V826="Keep Contribution Same",H830,IF($V826="Enter Percentages",IF(V830="","",V830*T830),IF($V826="Keep Percentage Same",IF(G830="","",G830*T830),IF($V826="Enter Dollar Amount",IF(W830="","",W830),"")))),"")</f>
        <v/>
      </c>
      <c r="Y830" s="417" t="str">
        <f t="shared" ca="1" si="154"/>
        <v/>
      </c>
      <c r="Z830" s="419" t="str">
        <f t="shared" si="155"/>
        <v/>
      </c>
    </row>
    <row r="831" spans="1:26" ht="18.75" customHeight="1" thickTop="1">
      <c r="A831" s="140"/>
      <c r="B831" s="140"/>
      <c r="D831" s="175" t="s">
        <v>329</v>
      </c>
      <c r="E831" s="424"/>
      <c r="F831" s="427"/>
      <c r="G831" s="426"/>
      <c r="H831" s="427"/>
      <c r="I831" s="428"/>
      <c r="J831" s="429" t="str">
        <f>IFERROR(IF(J827="","",SUM(J827:J830)),0)</f>
        <v/>
      </c>
      <c r="K831" s="1"/>
      <c r="L831" s="424"/>
      <c r="M831" s="427"/>
      <c r="N831" s="426"/>
      <c r="O831" s="427"/>
      <c r="P831" s="431"/>
      <c r="Q831" s="432"/>
      <c r="R831" s="429" t="str">
        <f>IFERROR(IF(R827="","",SUM(R827:R830)),0)</f>
        <v/>
      </c>
      <c r="T831" s="424"/>
      <c r="U831" s="427"/>
      <c r="V831" s="426"/>
      <c r="W831" s="427"/>
      <c r="X831" s="431"/>
      <c r="Y831" s="432"/>
      <c r="Z831" s="429" t="str">
        <f>IFERROR(IF(Z827="","",SUM(Z827:Z830)),0)</f>
        <v/>
      </c>
    </row>
    <row r="832" spans="1:26" ht="18.75" customHeight="1">
      <c r="A832" s="140"/>
      <c r="B832" s="140"/>
      <c r="D832" s="177" t="s">
        <v>243</v>
      </c>
      <c r="E832" s="433"/>
      <c r="F832" s="436"/>
      <c r="G832" s="435"/>
      <c r="H832" s="436"/>
      <c r="I832" s="432"/>
      <c r="J832" s="437" t="str">
        <f>IF(J831="","",J831*12)</f>
        <v/>
      </c>
      <c r="K832" s="1"/>
      <c r="L832" s="433"/>
      <c r="M832" s="436"/>
      <c r="N832" s="435"/>
      <c r="O832" s="436"/>
      <c r="P832" s="432"/>
      <c r="Q832" s="432"/>
      <c r="R832" s="437" t="str">
        <f>IF(R831="","",R831*12)</f>
        <v/>
      </c>
      <c r="T832" s="433"/>
      <c r="U832" s="436"/>
      <c r="V832" s="435"/>
      <c r="W832" s="436"/>
      <c r="X832" s="432"/>
      <c r="Y832" s="432"/>
      <c r="Z832" s="437" t="str">
        <f>IF(Z831="","",Z831*12)</f>
        <v/>
      </c>
    </row>
    <row r="833" spans="1:26" ht="18" customHeight="1">
      <c r="A833" s="140"/>
      <c r="B833" s="140"/>
      <c r="D833" s="177" t="s">
        <v>244</v>
      </c>
      <c r="E833" s="433"/>
      <c r="F833" s="436"/>
      <c r="G833" s="435"/>
      <c r="H833" s="436"/>
      <c r="I833" s="432"/>
      <c r="J833" s="437" t="str">
        <f>IFERROR(IF(J832="","",R832-J832),0)</f>
        <v/>
      </c>
      <c r="K833" s="1"/>
      <c r="L833" s="433"/>
      <c r="M833" s="436"/>
      <c r="N833" s="435"/>
      <c r="O833" s="436"/>
      <c r="P833" s="432"/>
      <c r="Q833" s="432"/>
      <c r="R833" s="437" t="str">
        <f>IFERROR(IF(J832="","",R832-J832),0)</f>
        <v/>
      </c>
      <c r="T833" s="433"/>
      <c r="U833" s="436"/>
      <c r="V833" s="435"/>
      <c r="W833" s="436"/>
      <c r="X833" s="432"/>
      <c r="Y833" s="432"/>
      <c r="Z833" s="437" t="str">
        <f>IFERROR(IF(R832="","",Z832-R832),0)</f>
        <v/>
      </c>
    </row>
    <row r="834" spans="1:26" ht="18" customHeight="1" thickBot="1">
      <c r="A834" s="140"/>
      <c r="B834" s="140"/>
      <c r="D834" s="180" t="s">
        <v>245</v>
      </c>
      <c r="E834" s="439"/>
      <c r="F834" s="440"/>
      <c r="G834" s="441"/>
      <c r="H834" s="440"/>
      <c r="I834" s="442"/>
      <c r="J834" s="437" t="str">
        <f>IFERROR(IF(J832="","",(R832/J832)-1),0)</f>
        <v/>
      </c>
      <c r="K834" s="1"/>
      <c r="L834" s="439"/>
      <c r="M834" s="440"/>
      <c r="N834" s="441"/>
      <c r="O834" s="440"/>
      <c r="P834" s="445"/>
      <c r="Q834" s="445"/>
      <c r="R834" s="446" t="str">
        <f>IFERROR(IF(J832="","",(R832/J832)-1),0)</f>
        <v/>
      </c>
      <c r="T834" s="439"/>
      <c r="U834" s="440"/>
      <c r="V834" s="441"/>
      <c r="W834" s="440"/>
      <c r="X834" s="445"/>
      <c r="Y834" s="445"/>
      <c r="Z834" s="446" t="str">
        <f>IFERROR(IF(R832="","",(Z832/R832)-1),0)</f>
        <v/>
      </c>
    </row>
    <row r="835" spans="1:26" ht="5.25" customHeight="1" thickBot="1">
      <c r="A835" s="140"/>
      <c r="B835" s="140"/>
      <c r="D835" s="229"/>
      <c r="E835" s="229"/>
      <c r="F835" s="230"/>
      <c r="G835" s="231"/>
      <c r="H835" s="232"/>
      <c r="I835" s="233"/>
      <c r="J835" s="233"/>
      <c r="K835"/>
      <c r="L835" s="233"/>
      <c r="M835" s="233"/>
      <c r="N835" s="233"/>
      <c r="O835" s="233"/>
      <c r="P835" s="233"/>
      <c r="Q835" s="233"/>
      <c r="R835" s="233"/>
      <c r="T835" s="233"/>
      <c r="U835" s="233"/>
      <c r="V835" s="233"/>
      <c r="W835" s="233"/>
      <c r="X835" s="233"/>
      <c r="Y835" s="233"/>
      <c r="Z835" s="233"/>
    </row>
    <row r="836" spans="1:26" ht="50.15" customHeight="1">
      <c r="A836" s="140"/>
      <c r="B836" s="140"/>
      <c r="C836" s="164" t="s">
        <v>307</v>
      </c>
      <c r="D836" s="275" t="s">
        <v>285</v>
      </c>
      <c r="E836" s="165"/>
      <c r="F836" s="272"/>
      <c r="G836" s="166"/>
      <c r="H836" s="167"/>
      <c r="I836" s="168"/>
      <c r="J836" s="169"/>
      <c r="K836"/>
      <c r="L836" s="274" t="s">
        <v>38</v>
      </c>
      <c r="M836" s="170"/>
      <c r="N836" s="274" t="s">
        <v>237</v>
      </c>
      <c r="O836" s="171"/>
      <c r="P836" s="171"/>
      <c r="Q836" s="171"/>
      <c r="R836" s="169"/>
      <c r="T836" s="274" t="s">
        <v>38</v>
      </c>
      <c r="U836" s="170"/>
      <c r="V836" s="274" t="s">
        <v>237</v>
      </c>
      <c r="W836" s="171"/>
      <c r="X836" s="171"/>
      <c r="Y836" s="171"/>
      <c r="Z836" s="169"/>
    </row>
    <row r="837" spans="1:26" ht="18.75" customHeight="1">
      <c r="A837" s="140"/>
      <c r="B837" s="140"/>
      <c r="D837" s="172" t="s">
        <v>238</v>
      </c>
      <c r="E837" s="407"/>
      <c r="F837" s="449"/>
      <c r="G837" s="470" t="str">
        <f t="shared" si="156" ref="G837:G840">IF(F837="","",H837/F837)</f>
        <v/>
      </c>
      <c r="H837" s="449" t="str">
        <f>_xlfn.IFNA(VLOOKUP(F836,BEGIN_CURRENT_VISION:END_CURRENT_VISION,CURRENT_COL_EOContrib,FALSE),"")</f>
        <v/>
      </c>
      <c r="I837" s="409" t="str">
        <f>IFERROR(F837-H837,"")</f>
        <v/>
      </c>
      <c r="J837" s="410" t="str">
        <f>IF(F837="","",H837*E837)</f>
        <v/>
      </c>
      <c r="K837" s="411"/>
      <c r="L837" s="408" t="str" cm="1">
        <f t="array" ca="1" aca="1" ref="L837">_xlfn.IFNA(VLOOKUP(INDIRECT("L"&amp;ROW()-1)&amp;"_"&amp;$D$12,BEGIN_Renew_Vision:END_RENEW_VISION,RENEW_COL_EO,FALSE),"")</f>
        <v/>
      </c>
      <c r="M837" s="412" t="str">
        <f>IF(E837="","",E837)</f>
        <v/>
      </c>
      <c r="N837" s="413"/>
      <c r="O837" s="414"/>
      <c r="P837" s="415" t="str">
        <f>IFERROR(IF($N836="Keep Contribution Same",H837,IF($N836="Enter Percentages",IF(N837="","",N837*L837),IF($N836="Keep Percentage Same",IF(G837="","",G837*L837),IF($N836="Enter Dollar Amount",IF(O837="","",O837),"")))),"")</f>
        <v/>
      </c>
      <c r="Q837" s="408" t="str">
        <f ca="1">IFERROR(L837-P837,"")</f>
        <v/>
      </c>
      <c r="R837" s="410" t="str">
        <f>IFERROR(IF(P837="","",M837*P837),"")</f>
        <v/>
      </c>
      <c r="S837" s="411"/>
      <c r="T837" s="408" t="str" cm="1">
        <f t="array" ca="1" aca="1" ref="T837">_xlfn.IFNA(VLOOKUP(INDIRECT("T"&amp;ROW()-1)&amp;"_"&amp;$D$12,BEGIN_Renew_Vision:END_RENEW_VISION,RENEW_COL_EO,FALSE),"")</f>
        <v/>
      </c>
      <c r="U837" s="412" t="str">
        <f>IF(E837="","",E837)</f>
        <v/>
      </c>
      <c r="V837" s="413"/>
      <c r="W837" s="414"/>
      <c r="X837" s="415" t="str">
        <f>IFERROR(IF($V836="Keep Contribution Same",H837,IF($V836="Enter Percentages",IF(V837="","",V837*T837),IF($V836="Keep Percentage Same",IF(G837="","",G837*T837),IF($V836="Enter Dollar Amount",IF(W837="","",W837),"")))),"")</f>
        <v/>
      </c>
      <c r="Y837" s="408" t="str">
        <f ca="1">IFERROR(T837-X837,"")</f>
        <v/>
      </c>
      <c r="Z837" s="410" t="str">
        <f>IFERROR(IF(X837="","",U837*X837),"")</f>
        <v/>
      </c>
    </row>
    <row r="838" spans="1:26" ht="18.75" customHeight="1">
      <c r="A838" s="140"/>
      <c r="B838" s="140"/>
      <c r="D838" s="172" t="s">
        <v>239</v>
      </c>
      <c r="E838" s="407"/>
      <c r="F838" s="449" t="str">
        <f>_xlfn.IFNA(VLOOKUP(F836,BEGIN_CURRENT_VISION:END_CURRENT_VISION,CURRENT_COL_ES,FALSE),"")</f>
        <v/>
      </c>
      <c r="G838" s="470" t="str">
        <f t="shared" si="156"/>
        <v/>
      </c>
      <c r="H838" s="449" t="str">
        <f>_xlfn.IFNA(VLOOKUP(F836,BEGIN_CURRENT_VISION:END_CURRENT_VISION,CURRENT_COL_ESContrib,FALSE),"")</f>
        <v/>
      </c>
      <c r="I838" s="409" t="str">
        <f t="shared" si="157" ref="I838:I840">IFERROR(F838-H838,"")</f>
        <v/>
      </c>
      <c r="J838" s="410" t="str">
        <f t="shared" si="158" ref="J838:J840">IF(F838="","",H838*E838)</f>
        <v/>
      </c>
      <c r="K838" s="411"/>
      <c r="L838" s="408" t="str" cm="1">
        <f t="array" ca="1" aca="1" ref="L838">_xlfn.IFNA(VLOOKUP(INDIRECT("L"&amp;ROW()-2)&amp;"_"&amp;$D$12,BEGIN_Renew_Vision:END_RENEW_VISION,RENEW_COL_ES,FALSE),"")</f>
        <v/>
      </c>
      <c r="M838" s="412" t="str">
        <f>IF(E838="","",E838)</f>
        <v/>
      </c>
      <c r="N838" s="413"/>
      <c r="O838" s="414"/>
      <c r="P838" s="415" t="str">
        <f>IFERROR(IF($N836="Keep Contribution Same",H838,IF($N836="Enter Percentages",IF(N838="","",N838*L838),IF($N836="Keep Percentage Same",IF(G838="","",G838*L838),IF($N836="Enter Dollar Amount",IF(O838="","",O838),"")))),"")</f>
        <v/>
      </c>
      <c r="Q838" s="408" t="str">
        <f ca="1" t="shared" si="159" ref="Q838:Q840">IFERROR(L838-P838,"")</f>
        <v/>
      </c>
      <c r="R838" s="410" t="str">
        <f>IFERROR(IF(P838="","",M838*P838),"")</f>
        <v/>
      </c>
      <c r="S838" s="411"/>
      <c r="T838" s="408" t="str" cm="1">
        <f t="array" ca="1" aca="1" ref="T838">_xlfn.IFNA(VLOOKUP(INDIRECT("T"&amp;ROW()-2)&amp;"_"&amp;$D$12,BEGIN_Renew_Vision:END_RENEW_VISION,RENEW_COL_ES,FALSE),"")</f>
        <v/>
      </c>
      <c r="U838" s="412" t="str">
        <f t="shared" si="160" ref="U838:U840">IF(E838="","",E838)</f>
        <v/>
      </c>
      <c r="V838" s="413"/>
      <c r="W838" s="414"/>
      <c r="X838" s="415" t="str">
        <f>IFERROR(IF($V836="Keep Contribution Same",H838,IF($V836="Enter Percentages",IF(V838="","",V838*T838),IF($V836="Keep Percentage Same",IF(G838="","",G838*T838),IF($V836="Enter Dollar Amount",IF(W838="","",W838),"")))),"")</f>
        <v/>
      </c>
      <c r="Y838" s="408" t="str">
        <f ca="1" t="shared" si="161" ref="Y838:Y840">IFERROR(T838-X838,"")</f>
        <v/>
      </c>
      <c r="Z838" s="410" t="str">
        <f t="shared" si="162" ref="Z838:Z840">IFERROR(IF(X838="","",U838*X838),"")</f>
        <v/>
      </c>
    </row>
    <row r="839" spans="1:26" ht="18.75" customHeight="1">
      <c r="A839" s="140"/>
      <c r="B839" s="140"/>
      <c r="D839" s="172" t="s">
        <v>240</v>
      </c>
      <c r="E839" s="407"/>
      <c r="F839" s="449" t="str">
        <f>_xlfn.IFNA(VLOOKUP(F836,BEGIN_CURRENT_VISION:END_CURRENT_VISION,CURRENT_COL_EC,FALSE),"")</f>
        <v/>
      </c>
      <c r="G839" s="470" t="str">
        <f t="shared" si="156"/>
        <v/>
      </c>
      <c r="H839" s="449" t="str">
        <f>_xlfn.IFNA(VLOOKUP(F836,BEGIN_CURRENT_VISION:END_CURRENT_VISION,CURRENT_COL_ECContrib,FALSE),"")</f>
        <v/>
      </c>
      <c r="I839" s="409" t="str">
        <f t="shared" si="157"/>
        <v/>
      </c>
      <c r="J839" s="410" t="str">
        <f t="shared" si="158"/>
        <v/>
      </c>
      <c r="K839" s="411"/>
      <c r="L839" s="408" t="str" cm="1">
        <f t="array" ca="1" aca="1" ref="L839">_xlfn.IFNA(VLOOKUP(INDIRECT("L"&amp;ROW()-3)&amp;"_"&amp;$D$12,BEGIN_Renew_Vision:END_RENEW_VISION,RENEW_COL_EC,FALSE),"")</f>
        <v/>
      </c>
      <c r="M839" s="412" t="str">
        <f>IF(E839="","",E839)</f>
        <v/>
      </c>
      <c r="N839" s="413"/>
      <c r="O839" s="414"/>
      <c r="P839" s="415" t="str">
        <f>IFERROR(IF($N836="Keep Contribution Same",H839,IF($N836="Enter Percentages",IF(N839="","",N839*L839),IF($N836="Keep Percentage Same",IF(G839="","",G839*L839),IF($N836="Enter Dollar Amount",IF(O839="","",O839),"")))),"")</f>
        <v/>
      </c>
      <c r="Q839" s="408" t="str">
        <f t="shared" ca="1" si="159"/>
        <v/>
      </c>
      <c r="R839" s="410" t="str">
        <f>IFERROR(IF(P839="","",M839*P839),"")</f>
        <v/>
      </c>
      <c r="S839" s="411"/>
      <c r="T839" s="408" t="str" cm="1">
        <f t="array" ca="1" aca="1" ref="T839">_xlfn.IFNA(VLOOKUP(INDIRECT("T"&amp;ROW()-3)&amp;"_"&amp;$D$12,BEGIN_Renew_Vision:END_RENEW_VISION,RENEW_COL_EC,FALSE),"")</f>
        <v/>
      </c>
      <c r="U839" s="412" t="str">
        <f t="shared" si="160"/>
        <v/>
      </c>
      <c r="V839" s="413"/>
      <c r="W839" s="414"/>
      <c r="X839" s="415" t="str">
        <f>IFERROR(IF($V836="Keep Contribution Same",H839,IF($V836="Enter Percentages",IF(V839="","",V839*T839),IF($V836="Keep Percentage Same",IF(G839="","",G839*T839),IF($V836="Enter Dollar Amount",IF(W839="","",W839),"")))),"")</f>
        <v/>
      </c>
      <c r="Y839" s="408" t="str">
        <f t="shared" ca="1" si="161"/>
        <v/>
      </c>
      <c r="Z839" s="410" t="str">
        <f t="shared" si="162"/>
        <v/>
      </c>
    </row>
    <row r="840" spans="1:26" ht="18.75" customHeight="1" thickBot="1">
      <c r="A840" s="140"/>
      <c r="B840" s="140"/>
      <c r="D840" s="174" t="s">
        <v>241</v>
      </c>
      <c r="E840" s="416"/>
      <c r="F840" s="451" t="str">
        <f>_xlfn.IFNA(VLOOKUP(F836,BEGIN_CURRENT_VISION:END_CURRENT_VISION,CURRENT_COL_FAM,FALSE),"")</f>
        <v/>
      </c>
      <c r="G840" s="471" t="str">
        <f t="shared" si="156"/>
        <v/>
      </c>
      <c r="H840" s="451" t="str">
        <f>_xlfn.IFNA(VLOOKUP(F836,BEGIN_CURRENT_VISION:END_CURRENT_VISION,CURRENT_COL_FAMContrib,FALSE),"")</f>
        <v/>
      </c>
      <c r="I840" s="409" t="str">
        <f t="shared" si="157"/>
        <v/>
      </c>
      <c r="J840" s="410" t="str">
        <f t="shared" si="158"/>
        <v/>
      </c>
      <c r="K840" s="411"/>
      <c r="L840" s="417" t="str" cm="1">
        <f t="array" ca="1" aca="1" ref="L840">_xlfn.IFNA(VLOOKUP(INDIRECT("L"&amp;ROW()-4)&amp;"_"&amp;$D$12,BEGIN_Renew_Vision:END_RENEW_VISION,RENEW_COL_FAM,FALSE),"")</f>
        <v/>
      </c>
      <c r="M840" s="423" t="str">
        <f>IF(E840="","",E840)</f>
        <v/>
      </c>
      <c r="N840" s="420"/>
      <c r="O840" s="421"/>
      <c r="P840" s="422" t="str">
        <f>IFERROR(IF($N836="Keep Contribution Same",H840,IF($N836="Enter Percentages",IF(N840="","",N840*L840),IF($N836="Keep Percentage Same",IF(G840="","",G840*L840),IF($N836="Enter Dollar Amount",IF(O840="","",O840),"")))),"")</f>
        <v/>
      </c>
      <c r="Q840" s="417" t="str">
        <f t="shared" ca="1" si="159"/>
        <v/>
      </c>
      <c r="R840" s="419" t="str">
        <f>IFERROR(IF(P840="","",M840*P840),"")</f>
        <v/>
      </c>
      <c r="S840" s="411"/>
      <c r="T840" s="417" t="str" cm="1">
        <f t="array" ca="1" aca="1" ref="T840">_xlfn.IFNA(VLOOKUP(INDIRECT("T"&amp;ROW()-4)&amp;"_"&amp;$D$12,BEGIN_Renew_Vision:END_RENEW_VISION,RENEW_COL_FAM,FALSE),"")</f>
        <v/>
      </c>
      <c r="U840" s="423" t="str">
        <f t="shared" si="160"/>
        <v/>
      </c>
      <c r="V840" s="420"/>
      <c r="W840" s="421"/>
      <c r="X840" s="422" t="str">
        <f>IFERROR(IF($V836="Keep Contribution Same",H840,IF($V836="Enter Percentages",IF(V840="","",V840*T840),IF($V836="Keep Percentage Same",IF(G840="","",G840*T840),IF($V836="Enter Dollar Amount",IF(W840="","",W840),"")))),"")</f>
        <v/>
      </c>
      <c r="Y840" s="417" t="str">
        <f t="shared" ca="1" si="161"/>
        <v/>
      </c>
      <c r="Z840" s="419" t="str">
        <f t="shared" si="162"/>
        <v/>
      </c>
    </row>
    <row r="841" spans="1:26" ht="18.75" customHeight="1" thickTop="1">
      <c r="A841" s="140"/>
      <c r="B841" s="140"/>
      <c r="D841" s="175" t="s">
        <v>329</v>
      </c>
      <c r="E841" s="424"/>
      <c r="F841" s="427"/>
      <c r="G841" s="426"/>
      <c r="H841" s="427"/>
      <c r="I841" s="428"/>
      <c r="J841" s="429" t="str">
        <f>IFERROR(IF(J837="","",SUM(J837:J840)),0)</f>
        <v/>
      </c>
      <c r="K841" s="1"/>
      <c r="L841" s="424"/>
      <c r="M841" s="427"/>
      <c r="N841" s="426"/>
      <c r="O841" s="427"/>
      <c r="P841" s="431"/>
      <c r="Q841" s="432"/>
      <c r="R841" s="429" t="str">
        <f>IFERROR(IF(R837="","",SUM(R837:R840)),0)</f>
        <v/>
      </c>
      <c r="T841" s="424"/>
      <c r="U841" s="427"/>
      <c r="V841" s="426"/>
      <c r="W841" s="427"/>
      <c r="X841" s="431"/>
      <c r="Y841" s="432"/>
      <c r="Z841" s="429" t="str">
        <f>IFERROR(IF(Z837="","",SUM(Z837:Z840)),0)</f>
        <v/>
      </c>
    </row>
    <row r="842" spans="1:26" ht="18.75" customHeight="1">
      <c r="A842" s="140"/>
      <c r="B842" s="140"/>
      <c r="D842" s="177" t="s">
        <v>243</v>
      </c>
      <c r="E842" s="433"/>
      <c r="F842" s="436"/>
      <c r="G842" s="435"/>
      <c r="H842" s="436"/>
      <c r="I842" s="432"/>
      <c r="J842" s="437" t="str">
        <f>IF(J841="","",J841*12)</f>
        <v/>
      </c>
      <c r="K842" s="1"/>
      <c r="L842" s="433"/>
      <c r="M842" s="436"/>
      <c r="N842" s="435"/>
      <c r="O842" s="436"/>
      <c r="P842" s="432"/>
      <c r="Q842" s="432"/>
      <c r="R842" s="437" t="str">
        <f>IF(R841="","",R841*12)</f>
        <v/>
      </c>
      <c r="T842" s="433"/>
      <c r="U842" s="436"/>
      <c r="V842" s="435"/>
      <c r="W842" s="436"/>
      <c r="X842" s="432"/>
      <c r="Y842" s="432"/>
      <c r="Z842" s="437" t="str">
        <f>IF(Z841="","",Z841*12)</f>
        <v/>
      </c>
    </row>
    <row r="843" spans="1:26" ht="18" customHeight="1">
      <c r="A843" s="140"/>
      <c r="B843" s="140"/>
      <c r="D843" s="177" t="s">
        <v>244</v>
      </c>
      <c r="E843" s="433"/>
      <c r="F843" s="436"/>
      <c r="G843" s="435"/>
      <c r="H843" s="436"/>
      <c r="I843" s="432"/>
      <c r="J843" s="437" t="str">
        <f>IFERROR(IF(J842="","",R842-J842),0)</f>
        <v/>
      </c>
      <c r="K843" s="1"/>
      <c r="L843" s="433"/>
      <c r="M843" s="436"/>
      <c r="N843" s="435"/>
      <c r="O843" s="436"/>
      <c r="P843" s="432"/>
      <c r="Q843" s="432"/>
      <c r="R843" s="437" t="str">
        <f>IFERROR(IF(J842="","",R842-J842),0)</f>
        <v/>
      </c>
      <c r="T843" s="433"/>
      <c r="U843" s="436"/>
      <c r="V843" s="435"/>
      <c r="W843" s="436"/>
      <c r="X843" s="432"/>
      <c r="Y843" s="432"/>
      <c r="Z843" s="437" t="str">
        <f>IFERROR(IF(R842="","",Z842-R842),0)</f>
        <v/>
      </c>
    </row>
    <row r="844" spans="1:26" ht="18" customHeight="1" thickBot="1">
      <c r="A844" s="140"/>
      <c r="B844" s="140"/>
      <c r="D844" s="180" t="s">
        <v>245</v>
      </c>
      <c r="E844" s="439"/>
      <c r="F844" s="440"/>
      <c r="G844" s="441"/>
      <c r="H844" s="440"/>
      <c r="I844" s="442"/>
      <c r="J844" s="437" t="str">
        <f>IFERROR(IF(J842="","",(R842/J842)-1),0)</f>
        <v/>
      </c>
      <c r="K844" s="1"/>
      <c r="L844" s="439"/>
      <c r="M844" s="440"/>
      <c r="N844" s="441"/>
      <c r="O844" s="440"/>
      <c r="P844" s="445"/>
      <c r="Q844" s="445"/>
      <c r="R844" s="446" t="str">
        <f>IFERROR(IF(J842="","",(R842/J842)-1),0)</f>
        <v/>
      </c>
      <c r="T844" s="439"/>
      <c r="U844" s="440"/>
      <c r="V844" s="441"/>
      <c r="W844" s="440"/>
      <c r="X844" s="445"/>
      <c r="Y844" s="445"/>
      <c r="Z844" s="446" t="str">
        <f>IFERROR(IF(R842="","",(Z842/R842)-1),0)</f>
        <v/>
      </c>
    </row>
    <row r="845" spans="1:26" ht="5.25" customHeight="1" thickBot="1">
      <c r="A845" s="140"/>
      <c r="B845" s="140"/>
      <c r="D845" s="229"/>
      <c r="E845" s="229"/>
      <c r="F845" s="230"/>
      <c r="G845" s="231"/>
      <c r="H845" s="232"/>
      <c r="I845" s="233"/>
      <c r="J845" s="233"/>
      <c r="K845"/>
      <c r="L845" s="233"/>
      <c r="M845" s="233"/>
      <c r="N845" s="233"/>
      <c r="O845" s="233"/>
      <c r="P845" s="233"/>
      <c r="Q845" s="233"/>
      <c r="R845" s="233"/>
      <c r="T845" s="233"/>
      <c r="U845" s="233"/>
      <c r="V845" s="233"/>
      <c r="W845" s="233"/>
      <c r="X845" s="233"/>
      <c r="Y845" s="233"/>
      <c r="Z845" s="233"/>
    </row>
    <row r="846" spans="1:26" ht="50.15" customHeight="1">
      <c r="A846" s="140"/>
      <c r="B846" s="140"/>
      <c r="C846" s="164" t="s">
        <v>308</v>
      </c>
      <c r="D846" s="275" t="s">
        <v>285</v>
      </c>
      <c r="E846" s="165"/>
      <c r="F846" s="272"/>
      <c r="G846" s="166"/>
      <c r="H846" s="167"/>
      <c r="I846" s="168"/>
      <c r="J846" s="169"/>
      <c r="K846"/>
      <c r="L846" s="274" t="s">
        <v>38</v>
      </c>
      <c r="M846" s="170"/>
      <c r="N846" s="274" t="s">
        <v>237</v>
      </c>
      <c r="O846" s="171"/>
      <c r="P846" s="171"/>
      <c r="Q846" s="171"/>
      <c r="R846" s="169"/>
      <c r="T846" s="274" t="s">
        <v>38</v>
      </c>
      <c r="U846" s="170"/>
      <c r="V846" s="274" t="s">
        <v>237</v>
      </c>
      <c r="W846" s="171"/>
      <c r="X846" s="171"/>
      <c r="Y846" s="171"/>
      <c r="Z846" s="169"/>
    </row>
    <row r="847" spans="1:26" ht="18.75" customHeight="1">
      <c r="A847" s="140"/>
      <c r="B847" s="140"/>
      <c r="D847" s="172" t="s">
        <v>238</v>
      </c>
      <c r="E847" s="407"/>
      <c r="F847" s="449"/>
      <c r="G847" s="470" t="str">
        <f t="shared" si="163" ref="G847:G850">IF(F847="","",H847/F847)</f>
        <v/>
      </c>
      <c r="H847" s="449" t="str">
        <f>_xlfn.IFNA(VLOOKUP(F846,BEGIN_CURRENT_VISION:END_CURRENT_VISION,CURRENT_COL_EOContrib,FALSE),"")</f>
        <v/>
      </c>
      <c r="I847" s="409" t="str">
        <f>IFERROR(F847-H847,"")</f>
        <v/>
      </c>
      <c r="J847" s="410" t="str">
        <f>IF(F847="","",H847*E847)</f>
        <v/>
      </c>
      <c r="K847" s="411"/>
      <c r="L847" s="408" t="str" cm="1">
        <f t="array" ca="1" aca="1" ref="L847">_xlfn.IFNA(VLOOKUP(INDIRECT("L"&amp;ROW()-1)&amp;"_"&amp;$D$12,BEGIN_Renew_Vision:END_RENEW_VISION,RENEW_COL_EO,FALSE),"")</f>
        <v/>
      </c>
      <c r="M847" s="412" t="str">
        <f>IF(E847="","",E847)</f>
        <v/>
      </c>
      <c r="N847" s="413"/>
      <c r="O847" s="414"/>
      <c r="P847" s="415" t="str">
        <f>IFERROR(IF($N846="Keep Contribution Same",H847,IF($N846="Enter Percentages",IF(N847="","",N847*L847),IF($N846="Keep Percentage Same",IF(G847="","",G847*L847),IF($N846="Enter Dollar Amount",IF(O847="","",O847),"")))),"")</f>
        <v/>
      </c>
      <c r="Q847" s="408" t="str">
        <f ca="1">IFERROR(L847-P847,"")</f>
        <v/>
      </c>
      <c r="R847" s="410" t="str">
        <f>IFERROR(IF(P847="","",M847*P847),"")</f>
        <v/>
      </c>
      <c r="S847" s="411"/>
      <c r="T847" s="408" t="str" cm="1">
        <f t="array" ca="1" aca="1" ref="T847">_xlfn.IFNA(VLOOKUP(INDIRECT("T"&amp;ROW()-1)&amp;"_"&amp;$D$12,BEGIN_Renew_Vision:END_RENEW_VISION,RENEW_COL_EO,FALSE),"")</f>
        <v/>
      </c>
      <c r="U847" s="412" t="str">
        <f>IF(E847="","",E847)</f>
        <v/>
      </c>
      <c r="V847" s="413"/>
      <c r="W847" s="414"/>
      <c r="X847" s="415" t="str">
        <f>IFERROR(IF($V846="Keep Contribution Same",H847,IF($V846="Enter Percentages",IF(V847="","",V847*T847),IF($V846="Keep Percentage Same",IF(G847="","",G847*T847),IF($V846="Enter Dollar Amount",IF(W847="","",W847),"")))),"")</f>
        <v/>
      </c>
      <c r="Y847" s="408" t="str">
        <f ca="1">IFERROR(T847-X847,"")</f>
        <v/>
      </c>
      <c r="Z847" s="410" t="str">
        <f>IFERROR(IF(X847="","",U847*X847),"")</f>
        <v/>
      </c>
    </row>
    <row r="848" spans="1:26" ht="18.75" customHeight="1">
      <c r="A848" s="140"/>
      <c r="B848" s="140"/>
      <c r="D848" s="172" t="s">
        <v>239</v>
      </c>
      <c r="E848" s="407"/>
      <c r="F848" s="449" t="str">
        <f>_xlfn.IFNA(VLOOKUP(F846,BEGIN_CURRENT_VISION:END_CURRENT_VISION,CURRENT_COL_ES,FALSE),"")</f>
        <v/>
      </c>
      <c r="G848" s="470" t="str">
        <f t="shared" si="163"/>
        <v/>
      </c>
      <c r="H848" s="449" t="str">
        <f>_xlfn.IFNA(VLOOKUP(F846,BEGIN_CURRENT_VISION:END_CURRENT_VISION,CURRENT_COL_ESContrib,FALSE),"")</f>
        <v/>
      </c>
      <c r="I848" s="409" t="str">
        <f t="shared" si="164" ref="I848:I850">IFERROR(F848-H848,"")</f>
        <v/>
      </c>
      <c r="J848" s="410" t="str">
        <f t="shared" si="165" ref="J848:J850">IF(F848="","",H848*E848)</f>
        <v/>
      </c>
      <c r="K848" s="411"/>
      <c r="L848" s="408" t="str" cm="1">
        <f t="array" ca="1" aca="1" ref="L848">_xlfn.IFNA(VLOOKUP(INDIRECT("L"&amp;ROW()-2)&amp;"_"&amp;$D$12,BEGIN_Renew_Vision:END_RENEW_VISION,RENEW_COL_ES,FALSE),"")</f>
        <v/>
      </c>
      <c r="M848" s="412" t="str">
        <f>IF(E848="","",E848)</f>
        <v/>
      </c>
      <c r="N848" s="413"/>
      <c r="O848" s="414"/>
      <c r="P848" s="415" t="str">
        <f>IFERROR(IF($N846="Keep Contribution Same",H848,IF($N846="Enter Percentages",IF(N848="","",N848*L848),IF($N846="Keep Percentage Same",IF(G848="","",G848*L848),IF($N846="Enter Dollar Amount",IF(O848="","",O848),"")))),"")</f>
        <v/>
      </c>
      <c r="Q848" s="408" t="str">
        <f ca="1" t="shared" si="166" ref="Q848:Q850">IFERROR(L848-P848,"")</f>
        <v/>
      </c>
      <c r="R848" s="410" t="str">
        <f>IFERROR(IF(P848="","",M848*P848),"")</f>
        <v/>
      </c>
      <c r="S848" s="411"/>
      <c r="T848" s="408" t="str" cm="1">
        <f t="array" ca="1" aca="1" ref="T848">_xlfn.IFNA(VLOOKUP(INDIRECT("T"&amp;ROW()-2)&amp;"_"&amp;$D$12,BEGIN_Renew_Vision:END_RENEW_VISION,RENEW_COL_ES,FALSE),"")</f>
        <v/>
      </c>
      <c r="U848" s="412" t="str">
        <f t="shared" si="167" ref="U848:U850">IF(E848="","",E848)</f>
        <v/>
      </c>
      <c r="V848" s="413"/>
      <c r="W848" s="414"/>
      <c r="X848" s="415" t="str">
        <f>IFERROR(IF($V846="Keep Contribution Same",H848,IF($V846="Enter Percentages",IF(V848="","",V848*T848),IF($V846="Keep Percentage Same",IF(G848="","",G848*T848),IF($V846="Enter Dollar Amount",IF(W848="","",W848),"")))),"")</f>
        <v/>
      </c>
      <c r="Y848" s="408" t="str">
        <f ca="1" t="shared" si="168" ref="Y848:Y850">IFERROR(T848-X848,"")</f>
        <v/>
      </c>
      <c r="Z848" s="410" t="str">
        <f t="shared" si="169" ref="Z848:Z850">IFERROR(IF(X848="","",U848*X848),"")</f>
        <v/>
      </c>
    </row>
    <row r="849" spans="1:26" ht="18.75" customHeight="1">
      <c r="A849" s="140"/>
      <c r="B849" s="140"/>
      <c r="D849" s="172" t="s">
        <v>240</v>
      </c>
      <c r="E849" s="407"/>
      <c r="F849" s="449" t="str">
        <f>_xlfn.IFNA(VLOOKUP(F846,BEGIN_CURRENT_VISION:END_CURRENT_VISION,CURRENT_COL_EC,FALSE),"")</f>
        <v/>
      </c>
      <c r="G849" s="470" t="str">
        <f t="shared" si="163"/>
        <v/>
      </c>
      <c r="H849" s="449" t="str">
        <f>_xlfn.IFNA(VLOOKUP(F846,BEGIN_CURRENT_VISION:END_CURRENT_VISION,CURRENT_COL_ECContrib,FALSE),"")</f>
        <v/>
      </c>
      <c r="I849" s="409" t="str">
        <f t="shared" si="164"/>
        <v/>
      </c>
      <c r="J849" s="410" t="str">
        <f t="shared" si="165"/>
        <v/>
      </c>
      <c r="K849" s="411"/>
      <c r="L849" s="408" t="str" cm="1">
        <f t="array" ca="1" aca="1" ref="L849">_xlfn.IFNA(VLOOKUP(INDIRECT("L"&amp;ROW()-3)&amp;"_"&amp;$D$12,BEGIN_Renew_Vision:END_RENEW_VISION,RENEW_COL_EC,FALSE),"")</f>
        <v/>
      </c>
      <c r="M849" s="412" t="str">
        <f>IF(E849="","",E849)</f>
        <v/>
      </c>
      <c r="N849" s="413"/>
      <c r="O849" s="414"/>
      <c r="P849" s="415" t="str">
        <f>IFERROR(IF($N846="Keep Contribution Same",H849,IF($N846="Enter Percentages",IF(N849="","",N849*L849),IF($N846="Keep Percentage Same",IF(G849="","",G849*L849),IF($N846="Enter Dollar Amount",IF(O849="","",O849),"")))),"")</f>
        <v/>
      </c>
      <c r="Q849" s="408" t="str">
        <f t="shared" ca="1" si="166"/>
        <v/>
      </c>
      <c r="R849" s="410" t="str">
        <f>IFERROR(IF(P849="","",M849*P849),"")</f>
        <v/>
      </c>
      <c r="S849" s="411"/>
      <c r="T849" s="408" t="str" cm="1">
        <f t="array" ca="1" aca="1" ref="T849">_xlfn.IFNA(VLOOKUP(INDIRECT("T"&amp;ROW()-3)&amp;"_"&amp;$D$12,BEGIN_Renew_Vision:END_RENEW_VISION,RENEW_COL_EC,FALSE),"")</f>
        <v/>
      </c>
      <c r="U849" s="412" t="str">
        <f t="shared" si="167"/>
        <v/>
      </c>
      <c r="V849" s="413"/>
      <c r="W849" s="414"/>
      <c r="X849" s="415" t="str">
        <f>IFERROR(IF($V846="Keep Contribution Same",H849,IF($V846="Enter Percentages",IF(V849="","",V849*T849),IF($V846="Keep Percentage Same",IF(G849="","",G849*T849),IF($V846="Enter Dollar Amount",IF(W849="","",W849),"")))),"")</f>
        <v/>
      </c>
      <c r="Y849" s="408" t="str">
        <f t="shared" ca="1" si="168"/>
        <v/>
      </c>
      <c r="Z849" s="410" t="str">
        <f t="shared" si="169"/>
        <v/>
      </c>
    </row>
    <row r="850" spans="1:26" ht="18.75" customHeight="1" thickBot="1">
      <c r="A850" s="140"/>
      <c r="B850" s="140"/>
      <c r="D850" s="174" t="s">
        <v>241</v>
      </c>
      <c r="E850" s="416"/>
      <c r="F850" s="451" t="str">
        <f>_xlfn.IFNA(VLOOKUP(F846,BEGIN_CURRENT_VISION:END_CURRENT_VISION,CURRENT_COL_FAM,FALSE),"")</f>
        <v/>
      </c>
      <c r="G850" s="471" t="str">
        <f t="shared" si="163"/>
        <v/>
      </c>
      <c r="H850" s="451" t="str">
        <f>_xlfn.IFNA(VLOOKUP(F846,BEGIN_CURRENT_VISION:END_CURRENT_VISION,CURRENT_COL_FAMContrib,FALSE),"")</f>
        <v/>
      </c>
      <c r="I850" s="409" t="str">
        <f t="shared" si="164"/>
        <v/>
      </c>
      <c r="J850" s="410" t="str">
        <f t="shared" si="165"/>
        <v/>
      </c>
      <c r="K850" s="411"/>
      <c r="L850" s="417" t="str" cm="1">
        <f t="array" ca="1" aca="1" ref="L850">_xlfn.IFNA(VLOOKUP(INDIRECT("L"&amp;ROW()-4)&amp;"_"&amp;$D$12,BEGIN_Renew_Vision:END_RENEW_VISION,RENEW_COL_FAM,FALSE),"")</f>
        <v/>
      </c>
      <c r="M850" s="423" t="str">
        <f>IF(E850="","",E850)</f>
        <v/>
      </c>
      <c r="N850" s="420"/>
      <c r="O850" s="421"/>
      <c r="P850" s="422" t="str">
        <f>IFERROR(IF($N846="Keep Contribution Same",H850,IF($N846="Enter Percentages",IF(N850="","",N850*L850),IF($N846="Keep Percentage Same",IF(G850="","",G850*L850),IF($N846="Enter Dollar Amount",IF(O850="","",O850),"")))),"")</f>
        <v/>
      </c>
      <c r="Q850" s="417" t="str">
        <f t="shared" ca="1" si="166"/>
        <v/>
      </c>
      <c r="R850" s="419" t="str">
        <f>IFERROR(IF(P850="","",M850*P850),"")</f>
        <v/>
      </c>
      <c r="S850" s="411"/>
      <c r="T850" s="417" t="str" cm="1">
        <f t="array" ca="1" aca="1" ref="T850">_xlfn.IFNA(VLOOKUP(INDIRECT("T"&amp;ROW()-4)&amp;"_"&amp;$D$12,BEGIN_Renew_Vision:END_RENEW_VISION,RENEW_COL_FAM,FALSE),"")</f>
        <v/>
      </c>
      <c r="U850" s="423" t="str">
        <f t="shared" si="167"/>
        <v/>
      </c>
      <c r="V850" s="420"/>
      <c r="W850" s="421"/>
      <c r="X850" s="422" t="str">
        <f>IFERROR(IF($V846="Keep Contribution Same",H850,IF($V846="Enter Percentages",IF(V850="","",V850*T850),IF($V846="Keep Percentage Same",IF(G850="","",G850*T850),IF($V846="Enter Dollar Amount",IF(W850="","",W850),"")))),"")</f>
        <v/>
      </c>
      <c r="Y850" s="417" t="str">
        <f t="shared" ca="1" si="168"/>
        <v/>
      </c>
      <c r="Z850" s="419" t="str">
        <f t="shared" si="169"/>
        <v/>
      </c>
    </row>
    <row r="851" spans="1:26" ht="18.75" customHeight="1" thickTop="1">
      <c r="A851" s="140"/>
      <c r="B851" s="140"/>
      <c r="D851" s="175" t="s">
        <v>329</v>
      </c>
      <c r="E851" s="424"/>
      <c r="F851" s="427"/>
      <c r="G851" s="426"/>
      <c r="H851" s="427"/>
      <c r="I851" s="428"/>
      <c r="J851" s="429" t="str">
        <f>IFERROR(IF(J847="","",SUM(J847:J850)),0)</f>
        <v/>
      </c>
      <c r="K851" s="1"/>
      <c r="L851" s="424"/>
      <c r="M851" s="427"/>
      <c r="N851" s="426"/>
      <c r="O851" s="427"/>
      <c r="P851" s="431"/>
      <c r="Q851" s="432"/>
      <c r="R851" s="429" t="str">
        <f>IFERROR(IF(R847="","",SUM(R847:R850)),0)</f>
        <v/>
      </c>
      <c r="T851" s="424"/>
      <c r="U851" s="427"/>
      <c r="V851" s="426"/>
      <c r="W851" s="427"/>
      <c r="X851" s="431"/>
      <c r="Y851" s="432"/>
      <c r="Z851" s="429" t="str">
        <f>IFERROR(IF(Z847="","",SUM(Z847:Z850)),0)</f>
        <v/>
      </c>
    </row>
    <row r="852" spans="1:26" ht="18" customHeight="1">
      <c r="A852" s="140"/>
      <c r="B852" s="140"/>
      <c r="D852" s="177" t="s">
        <v>243</v>
      </c>
      <c r="E852" s="433"/>
      <c r="F852" s="436"/>
      <c r="G852" s="435"/>
      <c r="H852" s="436"/>
      <c r="I852" s="432"/>
      <c r="J852" s="437" t="str">
        <f>IF(J851="","",J851*12)</f>
        <v/>
      </c>
      <c r="K852" s="1"/>
      <c r="L852" s="433"/>
      <c r="M852" s="436"/>
      <c r="N852" s="435"/>
      <c r="O852" s="436"/>
      <c r="P852" s="432"/>
      <c r="Q852" s="432"/>
      <c r="R852" s="437" t="str">
        <f>IF(R851="","",R851*12)</f>
        <v/>
      </c>
      <c r="T852" s="433"/>
      <c r="U852" s="436"/>
      <c r="V852" s="435"/>
      <c r="W852" s="436"/>
      <c r="X852" s="432"/>
      <c r="Y852" s="432"/>
      <c r="Z852" s="437" t="str">
        <f>IF(Z851="","",Z851*12)</f>
        <v/>
      </c>
    </row>
    <row r="853" spans="1:26" ht="18" customHeight="1">
      <c r="A853" s="140"/>
      <c r="B853" s="140"/>
      <c r="D853" s="177" t="s">
        <v>244</v>
      </c>
      <c r="E853" s="433"/>
      <c r="F853" s="436"/>
      <c r="G853" s="435"/>
      <c r="H853" s="436"/>
      <c r="I853" s="432"/>
      <c r="J853" s="437" t="str">
        <f>IFERROR(IF(J852="","",R852-J852),0)</f>
        <v/>
      </c>
      <c r="K853" s="1"/>
      <c r="L853" s="433"/>
      <c r="M853" s="436"/>
      <c r="N853" s="435"/>
      <c r="O853" s="436"/>
      <c r="P853" s="432"/>
      <c r="Q853" s="432"/>
      <c r="R853" s="437" t="str">
        <f>IFERROR(IF(J852="","",R852-J852),0)</f>
        <v/>
      </c>
      <c r="T853" s="433"/>
      <c r="U853" s="436"/>
      <c r="V853" s="435"/>
      <c r="W853" s="436"/>
      <c r="X853" s="432"/>
      <c r="Y853" s="432"/>
      <c r="Z853" s="437" t="str">
        <f>IFERROR(IF(R852="","",Z852-R852),0)</f>
        <v/>
      </c>
    </row>
    <row r="854" spans="1:26" ht="18" customHeight="1" thickBot="1">
      <c r="A854" s="140"/>
      <c r="B854" s="140"/>
      <c r="D854" s="180" t="s">
        <v>245</v>
      </c>
      <c r="E854" s="439"/>
      <c r="F854" s="440"/>
      <c r="G854" s="441"/>
      <c r="H854" s="440"/>
      <c r="I854" s="442"/>
      <c r="J854" s="437" t="str">
        <f>IFERROR(IF(J852="","",(R852/J852)-1),0)</f>
        <v/>
      </c>
      <c r="K854" s="1"/>
      <c r="L854" s="439"/>
      <c r="M854" s="440"/>
      <c r="N854" s="441"/>
      <c r="O854" s="440"/>
      <c r="P854" s="445"/>
      <c r="Q854" s="445"/>
      <c r="R854" s="446" t="str">
        <f>IFERROR(IF(J852="","",(R852/J852)-1),0)</f>
        <v/>
      </c>
      <c r="T854" s="439"/>
      <c r="U854" s="440"/>
      <c r="V854" s="441"/>
      <c r="W854" s="440"/>
      <c r="X854" s="445"/>
      <c r="Y854" s="445"/>
      <c r="Z854" s="446" t="str">
        <f>IFERROR(IF(R852="","",(Z852/R852)-1),0)</f>
        <v/>
      </c>
    </row>
    <row r="855" spans="1:26" ht="5.25" customHeight="1" thickBot="1">
      <c r="A855" s="140"/>
      <c r="B855" s="140"/>
      <c r="D855" s="229"/>
      <c r="E855" s="229"/>
      <c r="F855" s="230"/>
      <c r="G855" s="231"/>
      <c r="H855" s="232"/>
      <c r="I855" s="233"/>
      <c r="J855" s="233"/>
      <c r="K855"/>
      <c r="L855" s="233"/>
      <c r="M855" s="233"/>
      <c r="N855" s="233"/>
      <c r="O855" s="233"/>
      <c r="P855" s="233"/>
      <c r="Q855" s="233"/>
      <c r="R855" s="233"/>
      <c r="T855" s="233"/>
      <c r="U855" s="233"/>
      <c r="V855" s="233"/>
      <c r="W855" s="233"/>
      <c r="X855" s="233"/>
      <c r="Y855" s="233"/>
      <c r="Z855" s="233"/>
    </row>
    <row r="856" spans="1:26" ht="50.15" customHeight="1">
      <c r="A856" s="140"/>
      <c r="B856" s="140"/>
      <c r="C856" s="164" t="s">
        <v>309</v>
      </c>
      <c r="D856" s="275" t="s">
        <v>285</v>
      </c>
      <c r="E856" s="165"/>
      <c r="F856" s="272"/>
      <c r="G856" s="166"/>
      <c r="H856" s="167"/>
      <c r="I856" s="168"/>
      <c r="J856" s="169"/>
      <c r="K856"/>
      <c r="L856" s="274" t="s">
        <v>38</v>
      </c>
      <c r="M856" s="170"/>
      <c r="N856" s="274" t="s">
        <v>237</v>
      </c>
      <c r="O856" s="171"/>
      <c r="P856" s="171"/>
      <c r="Q856" s="171"/>
      <c r="R856" s="169"/>
      <c r="T856" s="274" t="s">
        <v>38</v>
      </c>
      <c r="U856" s="170"/>
      <c r="V856" s="274" t="s">
        <v>237</v>
      </c>
      <c r="W856" s="171"/>
      <c r="X856" s="171"/>
      <c r="Y856" s="171"/>
      <c r="Z856" s="169"/>
    </row>
    <row r="857" spans="1:26" ht="18.75" customHeight="1">
      <c r="A857" s="140"/>
      <c r="B857" s="140"/>
      <c r="D857" s="172" t="s">
        <v>238</v>
      </c>
      <c r="E857" s="407"/>
      <c r="F857" s="449"/>
      <c r="G857" s="470" t="str">
        <f t="shared" si="170" ref="G857:G860">IF(F857="","",H857/F857)</f>
        <v/>
      </c>
      <c r="H857" s="449" t="str">
        <f>_xlfn.IFNA(VLOOKUP(F856,BEGIN_CURRENT_VISION:END_CURRENT_VISION,CURRENT_COL_EOContrib,FALSE),"")</f>
        <v/>
      </c>
      <c r="I857" s="409" t="str">
        <f>IFERROR(F857-H857,"")</f>
        <v/>
      </c>
      <c r="J857" s="410" t="str">
        <f>IF(F857="","",H857*E857)</f>
        <v/>
      </c>
      <c r="K857" s="411"/>
      <c r="L857" s="408" t="str" cm="1">
        <f t="array" ca="1" aca="1" ref="L857">_xlfn.IFNA(VLOOKUP(INDIRECT("L"&amp;ROW()-1)&amp;"_"&amp;$D$12,BEGIN_Renew_Vision:END_RENEW_VISION,RENEW_COL_EO,FALSE),"")</f>
        <v/>
      </c>
      <c r="M857" s="412" t="str">
        <f>IF(E857="","",E857)</f>
        <v/>
      </c>
      <c r="N857" s="413"/>
      <c r="O857" s="414"/>
      <c r="P857" s="415" t="str">
        <f>IFERROR(IF($N856="Keep Contribution Same",H857,IF($N856="Enter Percentages",IF(N857="","",N857*L857),IF($N856="Keep Percentage Same",IF(G857="","",G857*L857),IF($N856="Enter Dollar Amount",IF(O857="","",O857),"")))),"")</f>
        <v/>
      </c>
      <c r="Q857" s="408" t="str">
        <f ca="1">IFERROR(L857-P857,"")</f>
        <v/>
      </c>
      <c r="R857" s="410" t="str">
        <f>IFERROR(IF(P857="","",M857*P857),"")</f>
        <v/>
      </c>
      <c r="S857" s="411"/>
      <c r="T857" s="408" t="str" cm="1">
        <f t="array" ca="1" aca="1" ref="T857">_xlfn.IFNA(VLOOKUP(INDIRECT("T"&amp;ROW()-1)&amp;"_"&amp;$D$12,BEGIN_Renew_Vision:END_RENEW_VISION,RENEW_COL_EO,FALSE),"")</f>
        <v/>
      </c>
      <c r="U857" s="412" t="str">
        <f>IF(E857="","",E857)</f>
        <v/>
      </c>
      <c r="V857" s="413"/>
      <c r="W857" s="414"/>
      <c r="X857" s="415" t="str">
        <f>IFERROR(IF($V856="Keep Contribution Same",H857,IF($V856="Enter Percentages",IF(V857="","",V857*T857),IF($V856="Keep Percentage Same",IF(G857="","",G857*T857),IF($V856="Enter Dollar Amount",IF(W857="","",W857),"")))),"")</f>
        <v/>
      </c>
      <c r="Y857" s="408" t="str">
        <f ca="1">IFERROR(T857-X857,"")</f>
        <v/>
      </c>
      <c r="Z857" s="410" t="str">
        <f>IFERROR(IF(X857="","",U857*X857),"")</f>
        <v/>
      </c>
    </row>
    <row r="858" spans="1:26" ht="18.75" customHeight="1">
      <c r="A858" s="140"/>
      <c r="B858" s="140"/>
      <c r="D858" s="172" t="s">
        <v>239</v>
      </c>
      <c r="E858" s="407"/>
      <c r="F858" s="449" t="str">
        <f>_xlfn.IFNA(VLOOKUP(F856,BEGIN_CURRENT_VISION:END_CURRENT_VISION,CURRENT_COL_ES,FALSE),"")</f>
        <v/>
      </c>
      <c r="G858" s="470" t="str">
        <f t="shared" si="170"/>
        <v/>
      </c>
      <c r="H858" s="449" t="str">
        <f>_xlfn.IFNA(VLOOKUP(F856,BEGIN_CURRENT_VISION:END_CURRENT_VISION,CURRENT_COL_ESContrib,FALSE),"")</f>
        <v/>
      </c>
      <c r="I858" s="409" t="str">
        <f t="shared" si="171" ref="I858:I860">IFERROR(F858-H858,"")</f>
        <v/>
      </c>
      <c r="J858" s="410" t="str">
        <f t="shared" si="172" ref="J858:J860">IF(F858="","",H858*E858)</f>
        <v/>
      </c>
      <c r="K858" s="411"/>
      <c r="L858" s="408" t="str" cm="1">
        <f t="array" ca="1" aca="1" ref="L858">_xlfn.IFNA(VLOOKUP(INDIRECT("L"&amp;ROW()-2)&amp;"_"&amp;$D$12,BEGIN_Renew_Vision:END_RENEW_VISION,RENEW_COL_ES,FALSE),"")</f>
        <v/>
      </c>
      <c r="M858" s="412" t="str">
        <f>IF(E858="","",E858)</f>
        <v/>
      </c>
      <c r="N858" s="413"/>
      <c r="O858" s="414"/>
      <c r="P858" s="415" t="str">
        <f>IFERROR(IF($N856="Keep Contribution Same",H858,IF($N856="Enter Percentages",IF(N858="","",N858*L858),IF($N856="Keep Percentage Same",IF(G858="","",G858*L858),IF($N856="Enter Dollar Amount",IF(O858="","",O858),"")))),"")</f>
        <v/>
      </c>
      <c r="Q858" s="408" t="str">
        <f ca="1" t="shared" si="173" ref="Q858:Q860">IFERROR(L858-P858,"")</f>
        <v/>
      </c>
      <c r="R858" s="410" t="str">
        <f>IFERROR(IF(P858="","",M858*P858),"")</f>
        <v/>
      </c>
      <c r="S858" s="411"/>
      <c r="T858" s="408" t="str" cm="1">
        <f t="array" ca="1" aca="1" ref="T858">_xlfn.IFNA(VLOOKUP(INDIRECT("T"&amp;ROW()-2)&amp;"_"&amp;$D$12,BEGIN_Renew_Vision:END_RENEW_VISION,RENEW_COL_ES,FALSE),"")</f>
        <v/>
      </c>
      <c r="U858" s="412" t="str">
        <f t="shared" si="174" ref="U858:U860">IF(E858="","",E858)</f>
        <v/>
      </c>
      <c r="V858" s="413"/>
      <c r="W858" s="414"/>
      <c r="X858" s="415" t="str">
        <f>IFERROR(IF($V856="Keep Contribution Same",H858,IF($V856="Enter Percentages",IF(V858="","",V858*T858),IF($V856="Keep Percentage Same",IF(G858="","",G858*T858),IF($V856="Enter Dollar Amount",IF(W858="","",W858),"")))),"")</f>
        <v/>
      </c>
      <c r="Y858" s="408" t="str">
        <f ca="1" t="shared" si="175" ref="Y858:Y860">IFERROR(T858-X858,"")</f>
        <v/>
      </c>
      <c r="Z858" s="410" t="str">
        <f t="shared" si="176" ref="Z858:Z860">IFERROR(IF(X858="","",U858*X858),"")</f>
        <v/>
      </c>
    </row>
    <row r="859" spans="1:26" ht="18.75" customHeight="1">
      <c r="A859" s="140"/>
      <c r="B859" s="140"/>
      <c r="D859" s="172" t="s">
        <v>240</v>
      </c>
      <c r="E859" s="407"/>
      <c r="F859" s="449" t="str">
        <f>_xlfn.IFNA(VLOOKUP(F856,BEGIN_CURRENT_VISION:END_CURRENT_VISION,CURRENT_COL_EC,FALSE),"")</f>
        <v/>
      </c>
      <c r="G859" s="470" t="str">
        <f t="shared" si="170"/>
        <v/>
      </c>
      <c r="H859" s="449" t="str">
        <f>_xlfn.IFNA(VLOOKUP(F856,BEGIN_CURRENT_VISION:END_CURRENT_VISION,CURRENT_COL_ECContrib,FALSE),"")</f>
        <v/>
      </c>
      <c r="I859" s="409" t="str">
        <f t="shared" si="171"/>
        <v/>
      </c>
      <c r="J859" s="410" t="str">
        <f t="shared" si="172"/>
        <v/>
      </c>
      <c r="K859" s="411"/>
      <c r="L859" s="408" t="str" cm="1">
        <f t="array" ca="1" aca="1" ref="L859">_xlfn.IFNA(VLOOKUP(INDIRECT("L"&amp;ROW()-3)&amp;"_"&amp;$D$12,BEGIN_Renew_Vision:END_RENEW_VISION,RENEW_COL_EC,FALSE),"")</f>
        <v/>
      </c>
      <c r="M859" s="412" t="str">
        <f>IF(E859="","",E859)</f>
        <v/>
      </c>
      <c r="N859" s="413"/>
      <c r="O859" s="414"/>
      <c r="P859" s="415" t="str">
        <f>IFERROR(IF($N856="Keep Contribution Same",H859,IF($N856="Enter Percentages",IF(N859="","",N859*L859),IF($N856="Keep Percentage Same",IF(G859="","",G859*L859),IF($N856="Enter Dollar Amount",IF(O859="","",O859),"")))),"")</f>
        <v/>
      </c>
      <c r="Q859" s="408" t="str">
        <f t="shared" ca="1" si="173"/>
        <v/>
      </c>
      <c r="R859" s="410" t="str">
        <f>IFERROR(IF(P859="","",M859*P859),"")</f>
        <v/>
      </c>
      <c r="S859" s="411"/>
      <c r="T859" s="408" t="str" cm="1">
        <f t="array" ca="1" aca="1" ref="T859">_xlfn.IFNA(VLOOKUP(INDIRECT("T"&amp;ROW()-3)&amp;"_"&amp;$D$12,BEGIN_Renew_Vision:END_RENEW_VISION,RENEW_COL_EC,FALSE),"")</f>
        <v/>
      </c>
      <c r="U859" s="412" t="str">
        <f t="shared" si="174"/>
        <v/>
      </c>
      <c r="V859" s="413"/>
      <c r="W859" s="414"/>
      <c r="X859" s="415" t="str">
        <f>IFERROR(IF($V856="Keep Contribution Same",H859,IF($V856="Enter Percentages",IF(V859="","",V859*T859),IF($V856="Keep Percentage Same",IF(G859="","",G859*T859),IF($V856="Enter Dollar Amount",IF(W859="","",W859),"")))),"")</f>
        <v/>
      </c>
      <c r="Y859" s="408" t="str">
        <f t="shared" ca="1" si="175"/>
        <v/>
      </c>
      <c r="Z859" s="410" t="str">
        <f t="shared" si="176"/>
        <v/>
      </c>
    </row>
    <row r="860" spans="1:26" ht="18.75" customHeight="1" thickBot="1">
      <c r="A860" s="140"/>
      <c r="B860" s="140"/>
      <c r="D860" s="174" t="s">
        <v>241</v>
      </c>
      <c r="E860" s="416"/>
      <c r="F860" s="451" t="str">
        <f>_xlfn.IFNA(VLOOKUP(F856,BEGIN_CURRENT_VISION:END_CURRENT_VISION,CURRENT_COL_FAM,FALSE),"")</f>
        <v/>
      </c>
      <c r="G860" s="471" t="str">
        <f t="shared" si="170"/>
        <v/>
      </c>
      <c r="H860" s="451" t="str">
        <f>_xlfn.IFNA(VLOOKUP(F856,BEGIN_CURRENT_VISION:END_CURRENT_VISION,CURRENT_COL_FAMContrib,FALSE),"")</f>
        <v/>
      </c>
      <c r="I860" s="409" t="str">
        <f t="shared" si="171"/>
        <v/>
      </c>
      <c r="J860" s="410" t="str">
        <f t="shared" si="172"/>
        <v/>
      </c>
      <c r="K860" s="411"/>
      <c r="L860" s="417" t="str" cm="1">
        <f t="array" ca="1" aca="1" ref="L860">_xlfn.IFNA(VLOOKUP(INDIRECT("L"&amp;ROW()-4)&amp;"_"&amp;$D$12,BEGIN_Renew_Vision:END_RENEW_VISION,RENEW_COL_FAM,FALSE),"")</f>
        <v/>
      </c>
      <c r="M860" s="423" t="str">
        <f>IF(E860="","",E860)</f>
        <v/>
      </c>
      <c r="N860" s="420"/>
      <c r="O860" s="421"/>
      <c r="P860" s="422" t="str">
        <f>IFERROR(IF($N856="Keep Contribution Same",H860,IF($N856="Enter Percentages",IF(N860="","",N860*L860),IF($N856="Keep Percentage Same",IF(G860="","",G860*L860),IF($N856="Enter Dollar Amount",IF(O860="","",O860),"")))),"")</f>
        <v/>
      </c>
      <c r="Q860" s="417" t="str">
        <f t="shared" ca="1" si="173"/>
        <v/>
      </c>
      <c r="R860" s="419" t="str">
        <f>IFERROR(IF(P860="","",M860*P860),"")</f>
        <v/>
      </c>
      <c r="S860" s="411"/>
      <c r="T860" s="417" t="str" cm="1">
        <f t="array" ca="1" aca="1" ref="T860">_xlfn.IFNA(VLOOKUP(INDIRECT("T"&amp;ROW()-4)&amp;"_"&amp;$D$12,BEGIN_Renew_Vision:END_RENEW_VISION,RENEW_COL_FAM,FALSE),"")</f>
        <v/>
      </c>
      <c r="U860" s="423" t="str">
        <f t="shared" si="174"/>
        <v/>
      </c>
      <c r="V860" s="420"/>
      <c r="W860" s="421"/>
      <c r="X860" s="422" t="str">
        <f>IFERROR(IF($V856="Keep Contribution Same",H860,IF($V856="Enter Percentages",IF(V860="","",V860*T860),IF($V856="Keep Percentage Same",IF(G860="","",G860*T860),IF($V856="Enter Dollar Amount",IF(W860="","",W860),"")))),"")</f>
        <v/>
      </c>
      <c r="Y860" s="417" t="str">
        <f t="shared" ca="1" si="175"/>
        <v/>
      </c>
      <c r="Z860" s="419" t="str">
        <f t="shared" si="176"/>
        <v/>
      </c>
    </row>
    <row r="861" spans="1:26" ht="18.75" customHeight="1" thickTop="1">
      <c r="A861" s="140"/>
      <c r="B861" s="140"/>
      <c r="D861" s="175" t="s">
        <v>329</v>
      </c>
      <c r="E861" s="424"/>
      <c r="F861" s="427"/>
      <c r="G861" s="426"/>
      <c r="H861" s="427"/>
      <c r="I861" s="428"/>
      <c r="J861" s="429" t="str">
        <f>IFERROR(IF(J857="","",SUM(J857:J860)),0)</f>
        <v/>
      </c>
      <c r="K861" s="1"/>
      <c r="L861" s="424"/>
      <c r="M861" s="427"/>
      <c r="N861" s="426"/>
      <c r="O861" s="427"/>
      <c r="P861" s="431"/>
      <c r="Q861" s="432"/>
      <c r="R861" s="429" t="str">
        <f>IFERROR(IF(R857="","",SUM(R857:R860)),0)</f>
        <v/>
      </c>
      <c r="T861" s="424"/>
      <c r="U861" s="427"/>
      <c r="V861" s="426"/>
      <c r="W861" s="427"/>
      <c r="X861" s="431"/>
      <c r="Y861" s="432"/>
      <c r="Z861" s="429" t="str">
        <f>IFERROR(IF(Z857="","",SUM(Z857:Z860)),0)</f>
        <v/>
      </c>
    </row>
    <row r="862" spans="1:26" ht="18.75" customHeight="1">
      <c r="A862" s="140"/>
      <c r="B862" s="140"/>
      <c r="D862" s="177" t="s">
        <v>243</v>
      </c>
      <c r="E862" s="433"/>
      <c r="F862" s="436"/>
      <c r="G862" s="435"/>
      <c r="H862" s="436"/>
      <c r="I862" s="432"/>
      <c r="J862" s="437" t="str">
        <f>IF(J861="","",J861*12)</f>
        <v/>
      </c>
      <c r="K862" s="1"/>
      <c r="L862" s="433"/>
      <c r="M862" s="436"/>
      <c r="N862" s="435"/>
      <c r="O862" s="436"/>
      <c r="P862" s="432"/>
      <c r="Q862" s="432"/>
      <c r="R862" s="437" t="str">
        <f>IF(R861="","",R861*12)</f>
        <v/>
      </c>
      <c r="T862" s="433"/>
      <c r="U862" s="436"/>
      <c r="V862" s="435"/>
      <c r="W862" s="436"/>
      <c r="X862" s="432"/>
      <c r="Y862" s="432"/>
      <c r="Z862" s="437" t="str">
        <f>IF(Z861="","",Z861*12)</f>
        <v/>
      </c>
    </row>
    <row r="863" spans="1:26" ht="18" customHeight="1">
      <c r="A863" s="140"/>
      <c r="B863" s="140"/>
      <c r="D863" s="177" t="s">
        <v>244</v>
      </c>
      <c r="E863" s="433"/>
      <c r="F863" s="436"/>
      <c r="G863" s="435"/>
      <c r="H863" s="436"/>
      <c r="I863" s="432"/>
      <c r="J863" s="437" t="str">
        <f>IFERROR(IF(J862="","",R862-J862),0)</f>
        <v/>
      </c>
      <c r="K863" s="1"/>
      <c r="L863" s="433"/>
      <c r="M863" s="436"/>
      <c r="N863" s="435"/>
      <c r="O863" s="436"/>
      <c r="P863" s="432"/>
      <c r="Q863" s="432"/>
      <c r="R863" s="437" t="str">
        <f>IFERROR(IF(J862="","",R862-J862),0)</f>
        <v/>
      </c>
      <c r="T863" s="433"/>
      <c r="U863" s="436"/>
      <c r="V863" s="435"/>
      <c r="W863" s="436"/>
      <c r="X863" s="432"/>
      <c r="Y863" s="432"/>
      <c r="Z863" s="437" t="str">
        <f>IFERROR(IF(R862="","",Z862-R862),0)</f>
        <v/>
      </c>
    </row>
    <row r="864" spans="1:26" ht="18" customHeight="1" thickBot="1">
      <c r="A864" s="140"/>
      <c r="B864" s="140"/>
      <c r="D864" s="180" t="s">
        <v>245</v>
      </c>
      <c r="E864" s="439"/>
      <c r="F864" s="440"/>
      <c r="G864" s="441"/>
      <c r="H864" s="440"/>
      <c r="I864" s="442"/>
      <c r="J864" s="437" t="str">
        <f>IFERROR(IF(J862="","",(R862/J862)-1),0)</f>
        <v/>
      </c>
      <c r="K864" s="1"/>
      <c r="L864" s="439"/>
      <c r="M864" s="440"/>
      <c r="N864" s="441"/>
      <c r="O864" s="440"/>
      <c r="P864" s="445"/>
      <c r="Q864" s="445"/>
      <c r="R864" s="446" t="str">
        <f>IFERROR(IF(J862="","",(R862/J862)-1),0)</f>
        <v/>
      </c>
      <c r="T864" s="439"/>
      <c r="U864" s="440"/>
      <c r="V864" s="441"/>
      <c r="W864" s="440"/>
      <c r="X864" s="445"/>
      <c r="Y864" s="445"/>
      <c r="Z864" s="446" t="str">
        <f>IFERROR(IF(R862="","",(Z862/R862)-1),0)</f>
        <v/>
      </c>
    </row>
    <row r="865" spans="1:26" ht="5.25" customHeight="1" thickBot="1">
      <c r="A865" s="140"/>
      <c r="B865" s="140"/>
      <c r="D865" s="229"/>
      <c r="E865" s="229"/>
      <c r="F865" s="230"/>
      <c r="G865" s="231"/>
      <c r="H865" s="232"/>
      <c r="I865" s="233"/>
      <c r="J865" s="233"/>
      <c r="K865"/>
      <c r="L865" s="233"/>
      <c r="M865" s="233"/>
      <c r="N865" s="233"/>
      <c r="O865" s="233"/>
      <c r="P865" s="233"/>
      <c r="Q865" s="233"/>
      <c r="R865" s="233"/>
      <c r="T865" s="233"/>
      <c r="U865" s="233"/>
      <c r="V865" s="233"/>
      <c r="W865" s="233"/>
      <c r="X865" s="233"/>
      <c r="Y865" s="233"/>
      <c r="Z865" s="233"/>
    </row>
    <row r="866" spans="1:26" ht="13.5" thickTop="1">
      <c r="A866" s="140"/>
      <c r="B866" s="140"/>
      <c r="D866" s="238" t="s">
        <v>310</v>
      </c>
      <c r="E866" s="239"/>
      <c r="F866" s="239"/>
      <c r="G866" s="239"/>
      <c r="H866" s="239"/>
      <c r="I866" s="239"/>
      <c r="J866" s="239"/>
      <c r="K866" s="239"/>
      <c r="L866" s="239"/>
      <c r="M866" s="239"/>
      <c r="N866" s="239"/>
      <c r="O866" s="239"/>
      <c r="P866" s="239"/>
      <c r="Q866" s="239"/>
      <c r="R866" s="240"/>
      <c r="T866" s="240"/>
      <c r="U866" s="240"/>
      <c r="V866" s="240"/>
      <c r="W866" s="240"/>
      <c r="X866" s="240"/>
      <c r="Y866" s="240"/>
      <c r="Z866" s="240"/>
    </row>
    <row r="867" spans="1:26" ht="18" customHeight="1">
      <c r="A867" s="140"/>
      <c r="B867" s="140"/>
      <c r="D867"/>
      <c r="E867"/>
      <c r="F867"/>
      <c r="G867"/>
      <c r="H867"/>
      <c r="I867" s="241" t="s">
        <v>311</v>
      </c>
      <c r="J867" s="462">
        <f ca="1">IFERROR(IF(J19="",0,J19)+IF(J69="",0,J69)+IF(J119="",0,J119)+IF(J169="",0,J169)+IF(J219="",0,J219)+IF(J269="",0,J269)+IF(J319="",0,J319)+IF(J369="",0,J369)+IF(J419="",0,J419)+IF(J469="",0,J469)+IF(J519="",0,J519)+IF(J569="",0,J569)+IF(J619="",0,J619),0)</f>
        <v>0</v>
      </c>
      <c r="K867" s="242"/>
      <c r="L867" s="176"/>
      <c r="M867" s="178"/>
      <c r="N867" s="139"/>
      <c r="O867" s="178"/>
      <c r="P867"/>
      <c r="Q867" s="173" t="s">
        <v>311</v>
      </c>
      <c r="R867" s="462">
        <f>IFERROR(IF(R19="",0,R19)+IF(R69="",0,R69)+IF(R119="",0,R119)+IF(R169="",0,R169)+IF(R219="",0,R219)+IF(R269="",0,R269)+IF(R319="",0,R319)+IF(R369="",0,R369)+IF(R419="",0,R419)+IF(R469="",0,R469)+IF(R519="",0,R519)+IF(R569="",0,R569)+IF(R619="",0,R619),0)</f>
        <v>0</v>
      </c>
      <c r="Y867" s="173" t="s">
        <v>311</v>
      </c>
      <c r="Z867" s="462">
        <f>IFERROR(IF(Z19="",0,Z19)+IF(Z69="",0,Z69)+IF(Z119="",0,Z119)+IF(Z169="",0,Z169)+IF(Z219="",0,Z219)+IF(Z269="",0,Z269)+IF(Z319="",0,Z319)+IF(Z369="",0,Z369)+IF(Z419="",0,Z419)+IF(Z469="",0,Z469)+IF(Z519="",0,Z519)+IF(Z569="",0,Z569)+IF(Z619="",0,Z619),0)</f>
        <v>0</v>
      </c>
    </row>
    <row r="868" spans="1:26" ht="18" customHeight="1">
      <c r="A868" s="140"/>
      <c r="B868" s="140"/>
      <c r="D868"/>
      <c r="E868"/>
      <c r="F868"/>
      <c r="G868"/>
      <c r="H868"/>
      <c r="I868" s="241" t="s">
        <v>312</v>
      </c>
      <c r="J868" s="462">
        <f ca="1">IFERROR(IF(J670="",0,J670)+IF(J680="",0,J680)+IF(J690="",0,J690)+IF(J700="",0,J700)+IF(J710="",0,J710)+IF(J720="",0,J720)+IF(J730="",0,J730)+IF(J740="",0,P740)+IF(J750="",0,P750)+IF(J760="",0,J760),0)</f>
        <v>0</v>
      </c>
      <c r="K868" s="242"/>
      <c r="L868" s="176"/>
      <c r="M868" s="178"/>
      <c r="N868" s="139"/>
      <c r="O868" s="178"/>
      <c r="P868"/>
      <c r="Q868" s="173" t="s">
        <v>312</v>
      </c>
      <c r="R868" s="462">
        <f>IFERROR(IF(R670="",0,R670)+IF(R680="",0,R680)+IF(R690="",0,R690)+IF(R700="",0,R700)+IF(R710="",0,R710)+IF(R720="",0,R720)+IF(R730="",0,R730)+IF(R740="",0,X740)+IF(R750="",0,X750)+IF(R760="",0,R760),0)</f>
        <v>0</v>
      </c>
      <c r="Y868" s="173" t="s">
        <v>312</v>
      </c>
      <c r="Z868" s="462">
        <f>IFERROR(IF(Z670="",0,Z670)+IF(Z680="",0,Z680)+IF(Z690="",0,Z690)+IF(Z700="",0,Z700)+IF(Z710="",0,Z710)+IF(Z720="",0,Z720)+IF(Z730="",0,Z730)+IF(Z740="",0,AF740)+IF(Z750="",0,AF750)+IF(Z760="",0,Z760),0)</f>
        <v>0</v>
      </c>
    </row>
    <row r="869" spans="1:26" ht="18" customHeight="1">
      <c r="A869" s="140"/>
      <c r="B869" s="140"/>
      <c r="D869"/>
      <c r="E869"/>
      <c r="F869"/>
      <c r="G869"/>
      <c r="H869"/>
      <c r="I869" s="241" t="s">
        <v>313</v>
      </c>
      <c r="J869" s="462">
        <f ca="1">IFERROR(IF(J771="",0,J771)+IF(J781="",0,J781)+IF(J791="",0,J791)+IF(J801="",0,J801)+IF(J811="",0,J811)+IF(J821="",0,J821)+IF(J831="",0,J831)+IF(J841="",0,J841)+IF(J851="",0,J851)+IF(J861="",0,J861),0)</f>
        <v>0</v>
      </c>
      <c r="K869" s="242"/>
      <c r="L869" s="176"/>
      <c r="M869" s="178"/>
      <c r="N869" s="139"/>
      <c r="O869" s="178"/>
      <c r="P869"/>
      <c r="Q869" s="173" t="s">
        <v>314</v>
      </c>
      <c r="R869" s="462">
        <f>IFERROR(IF(R771="",0,R771)+IF(R781="",0,R781)+IF(R791="",0,R791)+IF(R801="",0,R801)+IF(R811="",0,R811)+IF(R821="",0,R821)+IF(R831="",0,R831)+IF(R841="",0,R841)+IF(R851="",0,R851)+IF(R861="",0,R861),0)</f>
        <v>0</v>
      </c>
      <c r="Y869" s="173" t="s">
        <v>314</v>
      </c>
      <c r="Z869" s="462">
        <f>IFERROR(IF(Z771="",0,Z771)+IF(Z781="",0,Z781)+IF(Z791="",0,Z791)+IF(Z801="",0,Z801)+IF(Z811="",0,Z811)+IF(Z821="",0,Z821)+IF(Z831="",0,Z831)+IF(Z841="",0,Z841)+IF(Z851="",0,Z851)+IF(Z861="",0,Z861),0)</f>
        <v>0</v>
      </c>
    </row>
    <row r="870" spans="1:26" ht="18" customHeight="1">
      <c r="A870" s="140"/>
      <c r="B870" s="140"/>
      <c r="D870"/>
      <c r="E870"/>
      <c r="F870"/>
      <c r="G870"/>
      <c r="H870"/>
      <c r="I870" s="241" t="s">
        <v>315</v>
      </c>
      <c r="J870" s="11">
        <f ca="1">IFERROR(IF(E15="",0,E15)+IF(E16="",0,E16)+IF(E17="",0,E17)+IF(E18="",0,E18)+IF(E65="",0,E65)+IF(E66="",0,E66)+IF(E67="",0,E67)+IF(E68="",0,E68)+IF(E115="",0,E115)+IF(E116="",0,E116)+IF(E117="",0,E117)+IF(E118="",0,E118)+IF(E165="",0,E165)+IF(E166="",0,E166)+IF(E167="",0,E167)+IF(E168="",0,E168)+IF(E215="",0,E215)+IF(E216="",0,E216)+IF(E217="",0,E217)+IF(E218="",0,E218)+IF(E265="",0,E265)+IF(E266="",0,E266)+IF(E267="",0,E267)+IF(E268="",0,E268)+IF(E315="",0,E315)+IF(E316="",0,E316)+IF(E317="",0,E317)+IF(E318="",0,E318)+IF(E365="",0,E365)+IF(E366="",0,E366)+IF(E367="",0,E367)+IF(E368="",0,E368)+IF(E415="",0,E415)+IF(E416="",0,E416)+IF(E417="",0,E417)+IF(E418="",0,E418)+IF(E465="",0,E465)+IF(E466="",0,E466)+IF(E467="",0,E467)+IF(E468="",0,E468)+IF(E515="",0,E515)+IF(E516="",0,E516)+IF(E517="",0,E517)+IF(E518="",0,E518)+IF(E565="",0,E565)+IF(E566="",0,E566)+IF(E567="",0,E567)+IF(E568="",0,E568)+IF(E615="",0,E615)+IF(E616="",0,E616)+IF(E617="",0,E617)+IF(E618="",0,E618),0)</f>
        <v>0</v>
      </c>
      <c r="K870" s="242"/>
      <c r="L870" s="176"/>
      <c r="M870" s="178"/>
      <c r="N870" s="139"/>
      <c r="O870" s="178"/>
      <c r="P870"/>
      <c r="Q870" s="241" t="s">
        <v>315</v>
      </c>
      <c r="R870" s="11">
        <f ca="1">IFERROR(IF(M15="",0,M15)+IF(M16="",0,M16)+IF(M17="",0,M17)+IF(M18="",0,M18)+IF(M65="",0,M65)+IF(M66="",0,M66)+IF(M67="",0,M67)+IF(M68="",0,M68)+IF(M115="",0,M115)+IF(M116="",0,M116)+IF(M117="",0,M117)+IF(M118="",0,M118)+IF(M165="",0,M165)+IF(M166="",0,M166)+IF(M167="",0,M167)+IF(M168="",0,M168)+IF(M215="",0,M215)+IF(M216="",0,M216)+IF(M217="",0,M217)+IF(M218="",0,M218)+IF(M265="",0,M265)+IF(M266="",0,M266)+IF(M267="",0,M267)+IF(M268="",0,M268)+IF(M315="",0,M315)+IF(M316="",0,M316)+IF(M317="",0,M317)+IF(M318="",0,M318)+IF(M365="",0,M365)+IF(M366="",0,M366)+IF(M367="",0,M367)+IF(M368="",0,M368)+IF(M415="",0,M415)+IF(M416="",0,M416)+IF(M417="",0,M417)+IF(M418="",0,M418)+IF(M465="",0,M465)+IF(M466="",0,M466)+IF(M467="",0,M467)+IF(M468="",0,M468)+IF(M515="",0,M515)+IF(M516="",0,M516)+IF(M517="",0,M517)+IF(M518="",0,M518)+IF(M565="",0,M565)+IF(M566="",0,M566)+IF(M567="",0,M567)+IF(M568="",0,M568)+IF(M615="",0,M615)+IF(M616="",0,M616)+IF(M617="",0,M617)+IF(M618="",0,M618),0)</f>
        <v>0</v>
      </c>
      <c r="Y870" s="241" t="s">
        <v>315</v>
      </c>
      <c r="Z870" s="11">
        <f ca="1">IFERROR(IF(U15="",0,U15)+IF(U16="",0,U16)+IF(U17="",0,U17)+IF(U18="",0,U18)+IF(U65="",0,U65)+IF(U66="",0,U66)+IF(U67="",0,U67)+IF(U68="",0,U68)+IF(U115="",0,U115)+IF(U116="",0,U116)+IF(U117="",0,U117)+IF(U118="",0,U118)+IF(U165="",0,U165)+IF(U166="",0,U166)+IF(U167="",0,U167)+IF(U168="",0,U168)+IF(U215="",0,U215)+IF(U216="",0,U216)+IF(U217="",0,U217)+IF(U218="",0,U218)+IF(U265="",0,U265)+IF(U266="",0,U266)+IF(U267="",0,U267)+IF(U268="",0,U268)+IF(U315="",0,U315)+IF(U316="",0,U316)+IF(U317="",0,U317)+IF(U318="",0,U318)+IF(U365="",0,U365)+IF(U366="",0,U366)+IF(U367="",0,U367)+IF(U368="",0,U368)+IF(U415="",0,U415)+IF(U416="",0,U416)+IF(U417="",0,U417)+IF(U418="",0,U418)+IF(U465="",0,U465)+IF(U466="",0,U466)+IF(U467="",0,U467)+IF(U468="",0,U468)+IF(U515="",0,U515)+IF(U516="",0,U516)+IF(U517="",0,U517)+IF(U518="",0,U518)+IF(U565="",0,U565)+IF(U566="",0,U566)+IF(U567="",0,U567)+IF(U568="",0,U568)+IF(U615="",0,U615)+IF(U616="",0,U616)+IF(U617="",0,U617)+IF(U618="",0,U618),0)</f>
        <v>0</v>
      </c>
    </row>
    <row r="871" spans="1:26" ht="18" customHeight="1">
      <c r="A871" s="140"/>
      <c r="B871" s="140"/>
      <c r="D871"/>
      <c r="E871"/>
      <c r="F871"/>
      <c r="G871"/>
      <c r="H871"/>
      <c r="I871" s="241" t="s">
        <v>316</v>
      </c>
      <c r="J871" s="11">
        <f ca="1">IFERROR(IF(E666="",0,E666)+IF(E667="",0,E667)+IF(E668="",0,E668)+IF(E669="",0,E669)+IF(E676="",0,E676)+IF(E677="",0,E677)+IF(E678="",0,E678)+IF(E679="",0,E679)+IF(E686="",0,E686)+IF(E687="",0,E687)+IF(E688="",0,E688)+IF(E689="",0,E689)+IF(E696="",0,E696)+IF(E697="",0,E697)+IF(E698="",0,E698)+IF(E699="",0,E699)+IF(E706="",0,E706)+IF(E707="",0,E707)+IF(E708="",0,E708)+IF(E709="",0,E709)+IF(E716="",0,E716)+IF(E717="",0,E717)+IF(E718="",0,E718)+IF(E719="",0,E719)+IF(E726="",0,E726)+IF(E727="",0,E727)+IF(E728="",0,E728)+IF(E729="",0,E729)+IF(E736="",0,E736)+IF(E737="",0,E737)+IF(E738="",0,E738)+IF(E739="",0,E739)+IF(E746="",0,E746)+IF(E747="",0,E747)+IF(E748="",0,E748)+IF(E749="",0,E749)+IF(E756="",0,E756)+IF(E757="",0,E757)+IF(E758="",0,E758)+IF(E759="",0,E759),0)</f>
        <v>0</v>
      </c>
      <c r="K871" s="242"/>
      <c r="L871" s="176"/>
      <c r="M871" s="178"/>
      <c r="N871" s="139"/>
      <c r="O871" s="178"/>
      <c r="P871"/>
      <c r="Q871" s="241" t="s">
        <v>316</v>
      </c>
      <c r="R871" s="11">
        <f ca="1">IFERROR(IF(M666="",0,M666)+IF(M667="",0,M667)+IF(M668="",0,M668)+IF(M669="",0,M669)+IF(M676="",0,M676)+IF(M677="",0,M677)+IF(M678="",0,M678)+IF(M679="",0,M679)+IF(M686="",0,M686)+IF(M687="",0,M687)+IF(M688="",0,M688)+IF(M689="",0,M689)+IF(M696="",0,M696)+IF(M697="",0,M697)+IF(M698="",0,M698)+IF(M699="",0,M699)+IF(M706="",0,M706)+IF(M707="",0,M707)+IF(M708="",0,M708)+IF(M709="",0,M709)+IF(M716="",0,M716)+IF(M717="",0,M717)+IF(M718="",0,M718)+IF(M719="",0,M719)+IF(M726="",0,M726)+IF(M727="",0,M727)+IF(M728="",0,M728)+IF(M729="",0,M729)+IF(M736="",0,M736)+IF(M737="",0,M737)+IF(M738="",0,M738)+IF(M739="",0,M739)+IF(M746="",0,M746)+IF(M747="",0,M747)+IF(M748="",0,M748)+IF(M749="",0,M749)+IF(M756="",0,M756)+IF(M757="",0,M757)+IF(M758="",0,M758)+IF(M759="",0,M759),0)</f>
        <v>0</v>
      </c>
      <c r="Y871" s="241" t="s">
        <v>316</v>
      </c>
      <c r="Z871" s="11">
        <f ca="1">IFERROR(IF(U666="",0,U666)+IF(U667="",0,U667)+IF(U668="",0,U668)+IF(U669="",0,U669)+IF(U676="",0,U676)+IF(U677="",0,U677)+IF(U678="",0,U678)+IF(U679="",0,U679)+IF(U686="",0,U686)+IF(U687="",0,U687)+IF(U688="",0,U688)+IF(U689="",0,U689)+IF(U696="",0,U696)+IF(U697="",0,U697)+IF(U698="",0,U698)+IF(U699="",0,U699)+IF(U706="",0,U706)+IF(U707="",0,U707)+IF(U708="",0,U708)+IF(U709="",0,U709)+IF(U716="",0,U716)+IF(U717="",0,U717)+IF(U718="",0,U718)+IF(U719="",0,U719)+IF(U726="",0,U726)+IF(U727="",0,U727)+IF(U728="",0,U728)+IF(U729="",0,U729)+IF(U736="",0,U736)+IF(U737="",0,U737)+IF(U738="",0,U738)+IF(U739="",0,U739)+IF(U746="",0,U746)+IF(U747="",0,U747)+IF(U748="",0,U748)+IF(U749="",0,U749)+IF(U756="",0,U756)+IF(U757="",0,U757)+IF(U758="",0,U758)+IF(U759="",0,U759),0)</f>
        <v>0</v>
      </c>
    </row>
    <row r="872" spans="1:26" ht="18" customHeight="1">
      <c r="A872" s="140"/>
      <c r="B872" s="140"/>
      <c r="D872"/>
      <c r="E872"/>
      <c r="F872"/>
      <c r="G872"/>
      <c r="H872"/>
      <c r="I872" s="241" t="s">
        <v>317</v>
      </c>
      <c r="J872" s="11">
        <f ca="1">IFERROR(IF(E767="",0,E767)+IF(E768="",0,E768)+IF(E769="",0,E769)+IF(E770="",0,E770)+IF(E777="",0,E777)+IF(E778="",0,E778)+IF(E779="",0,E779)+IF(E780="",0,E780)+IF(E787="",0,E787)+IF(E788="",0,E788)+IF(E789="",0,E789)+IF(E790="",0,E790)+IF(E797="",0,E797)+IF(E798="",0,E798)+IF(E799="",0,E799)+IF(E800="",0,E800)+IF(E807="",0,E807)+IF(E808="",0,E808)+IF(E809="",0,E809)+IF(E810="",0,E810)+IF(E817="",0,E817)+IF(E818="",0,E818)+IF(E819="",0,E819)+IF(E820="",0,E820)+IF(E827="",0,E827)+IF(E828="",0,E828)+IF(E829="",0,E829)+IF(E830="",0,E830)+IF(E837="",0,E837)+IF(E838="",0,E838)+IF(E839="",0,E839)+IF(E840="",0,E840)+IF(E847="",0,E847)+IF(E848="",0,E848)+IF(E849="",0,E849)+IF(E850="",0,E850)+IF(E857="",0,E857)+IF(E858="",0,E858)+IF(E859="",0,E859)+IF(E860="",0,E860),0)</f>
        <v>0</v>
      </c>
      <c r="K872" s="242"/>
      <c r="L872" s="176"/>
      <c r="M872" s="178"/>
      <c r="N872" s="139"/>
      <c r="O872" s="178"/>
      <c r="P872"/>
      <c r="Q872" s="241" t="s">
        <v>317</v>
      </c>
      <c r="R872" s="11">
        <f ca="1">IFERROR(IF(M767="",0,M767)+IF(M768="",0,M768)+IF(M769="",0,M769)+IF(M770="",0,M770)+IF(M777="",0,M777)+IF(M778="",0,M778)+IF(M779="",0,M779)+IF(M780="",0,M780)+IF(M787="",0,M787)+IF(M788="",0,M788)+IF(M789="",0,M789)+IF(M790="",0,M790)+IF(M797="",0,M797)+IF(M798="",0,M798)+IF(M799="",0,M799)+IF(M800="",0,M800)+IF(M807="",0,M807)+IF(M808="",0,M808)+IF(M809="",0,M809)+IF(M810="",0,M810)+IF(M817="",0,M817)+IF(M818="",0,M818)+IF(M819="",0,M819)+IF(M820="",0,M820)+IF(M827="",0,M827)+IF(M828="",0,M828)+IF(M829="",0,M829)+IF(M830="",0,M830)+IF(M837="",0,M837)+IF(M838="",0,M838)+IF(M839="",0,M839)+IF(M840="",0,M840)+IF(M847="",0,M847)+IF(M848="",0,M848)+IF(M849="",0,M849)+IF(M850="",0,M850)+IF(M857="",0,M857)+IF(M858="",0,M858)+IF(M859="",0,M859)+IF(M860="",0,M860),0)</f>
        <v>0</v>
      </c>
      <c r="Y872" s="241" t="s">
        <v>317</v>
      </c>
      <c r="Z872" s="11">
        <f ca="1">IFERROR(IF(U767="",0,U767)+IF(U768="",0,U768)+IF(U769="",0,U769)+IF(U770="",0,U770)+IF(U777="",0,U777)+IF(U778="",0,U778)+IF(U779="",0,U779)+IF(U780="",0,U780)+IF(U787="",0,U787)+IF(U788="",0,U788)+IF(U789="",0,U789)+IF(U790="",0,U790)+IF(U797="",0,U797)+IF(U798="",0,U798)+IF(U799="",0,U799)+IF(U800="",0,U800)+IF(U807="",0,U807)+IF(U808="",0,U808)+IF(U809="",0,U809)+IF(U810="",0,U810)+IF(U817="",0,U817)+IF(U818="",0,U818)+IF(U819="",0,U819)+IF(U820="",0,U820)+IF(U827="",0,U827)+IF(U828="",0,U828)+IF(U829="",0,U829)+IF(U830="",0,U830)+IF(U837="",0,U837)+IF(U838="",0,U838)+IF(U839="",0,U839)+IF(U840="",0,U840)+IF(U847="",0,U847)+IF(U848="",0,U848)+IF(U849="",0,U849)+IF(U850="",0,U850)+IF(U857="",0,U857)+IF(U858="",0,U858)+IF(U859="",0,U859)+IF(U860="",0,U860),0)</f>
        <v>0</v>
      </c>
    </row>
    <row r="873" spans="1:140" s="162" customFormat="1" ht="18" customHeight="1" thickBot="1">
      <c r="A873" s="140"/>
      <c r="B873" s="140"/>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row>
    <row r="874" spans="1:27" ht="31.4" customHeight="1" thickBot="1">
      <c r="A874" s="153"/>
      <c r="B874" s="153"/>
      <c r="C874"/>
      <c r="D874" s="474" t="s">
        <v>318</v>
      </c>
      <c r="E874" s="475"/>
      <c r="F874" s="475"/>
      <c r="G874" s="475"/>
      <c r="H874" s="475"/>
      <c r="I874" s="475"/>
      <c r="J874" s="475"/>
      <c r="K874" s="475"/>
      <c r="L874" s="475"/>
      <c r="M874" s="475"/>
      <c r="N874" s="475"/>
      <c r="O874" s="475"/>
      <c r="P874" s="475"/>
      <c r="Q874" s="475"/>
      <c r="R874" s="476"/>
      <c r="S874" s="162"/>
      <c r="T874" s="474"/>
      <c r="U874" s="475"/>
      <c r="V874" s="475"/>
      <c r="W874" s="475"/>
      <c r="X874" s="475"/>
      <c r="Y874" s="475"/>
      <c r="Z874" s="476"/>
      <c r="AA874"/>
    </row>
    <row r="875" spans="1:27" ht="21.75" customHeight="1" thickBot="1">
      <c r="A875" s="140"/>
      <c r="B875" s="140"/>
      <c r="C875"/>
      <c r="D875" s="530" t="s">
        <v>456</v>
      </c>
      <c r="E875" s="531"/>
      <c r="F875" s="531"/>
      <c r="G875" s="531"/>
      <c r="H875" s="531"/>
      <c r="I875" s="531"/>
      <c r="J875" s="531"/>
      <c r="K875" s="531"/>
      <c r="L875" s="531"/>
      <c r="M875" s="531"/>
      <c r="N875" s="531"/>
      <c r="O875" s="531"/>
      <c r="P875" s="531"/>
      <c r="Q875" s="532"/>
      <c r="R875" s="246"/>
      <c r="AA875"/>
    </row>
    <row r="876" spans="1:27" ht="21.75" customHeight="1">
      <c r="A876" s="140"/>
      <c r="B876" s="140"/>
      <c r="C876"/>
      <c r="D876" s="516" t="s">
        <v>320</v>
      </c>
      <c r="E876" s="517"/>
      <c r="F876" s="464"/>
      <c r="G876" s="524"/>
      <c r="H876" s="525"/>
      <c r="I876" s="250" t="s">
        <v>441</v>
      </c>
      <c r="J876"/>
      <c r="K876" s="245"/>
      <c r="L876" s="526" t="s">
        <v>321</v>
      </c>
      <c r="M876" s="527"/>
      <c r="N876" s="528" t="s">
        <v>322</v>
      </c>
      <c r="O876" s="528"/>
      <c r="P876" s="529" t="s">
        <v>323</v>
      </c>
      <c r="Q876" s="529"/>
      <c r="R876" s="245"/>
      <c r="AA876"/>
    </row>
    <row r="877" spans="1:18" ht="21.75" customHeight="1">
      <c r="A877" s="140"/>
      <c r="B877" s="140" t="s">
        <v>38</v>
      </c>
      <c r="D877" s="505" t="s">
        <v>455</v>
      </c>
      <c r="E877" s="506"/>
      <c r="F877" s="509"/>
      <c r="G877" s="510"/>
      <c r="H877" s="511"/>
      <c r="I877"/>
      <c r="J877"/>
      <c r="K877" s="245"/>
      <c r="L877" s="520" t="s">
        <v>325</v>
      </c>
      <c r="M877" s="521"/>
      <c r="N877" s="512" t="str">
        <f>LTDSelect</f>
        <v>SELECT PLAN</v>
      </c>
      <c r="O877" s="512"/>
      <c r="P877" s="513" t="str">
        <f>IFERROR(VLOOKUP(N877,BEGIN_Renew_LTD_PlanID:END_RENEW_LTD,9,FALSE),"--")</f>
        <v>--</v>
      </c>
      <c r="Q877" s="513"/>
      <c r="R877" s="251" t="s">
        <v>446</v>
      </c>
    </row>
    <row r="878" spans="1:18" ht="21.75" customHeight="1">
      <c r="A878" s="140"/>
      <c r="B878" s="140" t="s">
        <v>38</v>
      </c>
      <c r="D878" s="505" t="s">
        <v>324</v>
      </c>
      <c r="E878" s="506"/>
      <c r="F878" s="465" t="s">
        <v>454</v>
      </c>
      <c r="G878" s="463"/>
      <c r="H878" s="463"/>
      <c r="I878"/>
      <c r="J878"/>
      <c r="K878" s="245"/>
      <c r="L878" s="520" t="s">
        <v>326</v>
      </c>
      <c r="M878" s="521"/>
      <c r="N878" s="512" t="str">
        <f>STDSelect</f>
        <v>SELECT PLAN</v>
      </c>
      <c r="O878" s="512"/>
      <c r="P878" s="513" t="str">
        <f>IFERROR(VLOOKUP(N878,BEGIN_Renew_STD_PlanID:END_RENEW_STD,9,FALSE),"--")</f>
        <v>--</v>
      </c>
      <c r="Q878" s="513"/>
      <c r="R878" s="251" t="s">
        <v>442</v>
      </c>
    </row>
    <row r="879" spans="1:18" ht="21.75" customHeight="1" thickBot="1">
      <c r="A879" s="140"/>
      <c r="B879" s="140" t="s">
        <v>38</v>
      </c>
      <c r="D879" s="522" t="s">
        <v>457</v>
      </c>
      <c r="E879" s="523"/>
      <c r="F879" s="466"/>
      <c r="G879" s="463">
        <v>3</v>
      </c>
      <c r="H879" s="463" t="str">
        <f>IFERROR(IF(G879="","","Per EE per Month"),"")</f>
        <v>Per EE per Month</v>
      </c>
      <c r="I879"/>
      <c r="J879"/>
      <c r="K879" s="245"/>
      <c r="L879" s="520" t="s">
        <v>327</v>
      </c>
      <c r="M879" s="521"/>
      <c r="N879" s="512" t="str">
        <f>LifeSelect</f>
        <v>SELECT PLAN</v>
      </c>
      <c r="O879" s="512"/>
      <c r="P879" s="513" t="str">
        <f>IFERROR(VLOOKUP(N879,BEGIN_Renew_LIFE_PlanID:END_RENEW_LIFE,9,FALSE),"--")</f>
        <v>--</v>
      </c>
      <c r="Q879" s="513"/>
      <c r="R879" s="251" t="s">
        <v>443</v>
      </c>
    </row>
    <row r="880" spans="1:20" ht="13">
      <c r="A880" s="140"/>
      <c r="B880" s="140"/>
      <c r="G880" s="253"/>
      <c r="H880" s="253"/>
      <c r="I880"/>
      <c r="J880"/>
      <c r="K880" s="245"/>
      <c r="L880"/>
      <c r="M880"/>
      <c r="N880"/>
      <c r="O880"/>
      <c r="P880"/>
      <c r="Q880"/>
      <c r="R880"/>
      <c r="S880"/>
      <c r="T880"/>
    </row>
    <row r="881" spans="1:8" ht="13">
      <c r="A881" s="140"/>
      <c r="B881" s="140"/>
      <c r="G881" s="253"/>
      <c r="H881" s="253"/>
    </row>
    <row r="882" spans="1:22" ht="13">
      <c r="A882" s="140"/>
      <c r="B882" s="140"/>
      <c r="G882" s="253"/>
      <c r="H882" s="253"/>
      <c r="I882" s="256"/>
      <c r="J882" s="253"/>
      <c r="K882" s="253"/>
      <c r="L882" s="253"/>
      <c r="M882" s="253"/>
      <c r="N882" s="255"/>
      <c r="O882" s="253"/>
      <c r="P882" s="253"/>
      <c r="Q882" s="253"/>
      <c r="R882" s="253"/>
      <c r="S882" s="257"/>
      <c r="T882" s="257"/>
      <c r="U882" s="257"/>
      <c r="V882" s="257"/>
    </row>
    <row r="883" spans="1:22" ht="13">
      <c r="A883" s="140"/>
      <c r="B883" s="140"/>
      <c r="G883" s="253"/>
      <c r="H883" s="253"/>
      <c r="I883" s="256"/>
      <c r="J883" s="253"/>
      <c r="K883" s="253"/>
      <c r="L883" s="253"/>
      <c r="M883" s="253"/>
      <c r="N883" s="255"/>
      <c r="O883" s="253"/>
      <c r="P883" s="253"/>
      <c r="Q883" s="253"/>
      <c r="R883" s="253"/>
      <c r="S883" s="257"/>
      <c r="T883" s="257"/>
      <c r="U883" s="257"/>
      <c r="V883" s="257"/>
    </row>
    <row r="884" spans="1:22" ht="13">
      <c r="A884" s="140"/>
      <c r="B884" s="140"/>
      <c r="G884" s="253"/>
      <c r="H884" s="253"/>
      <c r="I884" s="256"/>
      <c r="J884" s="253"/>
      <c r="K884" s="253"/>
      <c r="L884" s="253"/>
      <c r="M884" s="253"/>
      <c r="N884" s="255"/>
      <c r="O884" s="253"/>
      <c r="P884" s="253"/>
      <c r="Q884" s="253"/>
      <c r="R884" s="253"/>
      <c r="S884" s="257"/>
      <c r="T884" s="257"/>
      <c r="U884" s="257"/>
      <c r="V884" s="257"/>
    </row>
    <row r="885" spans="1:22" ht="13">
      <c r="A885" s="140"/>
      <c r="B885" s="140"/>
      <c r="G885" s="253"/>
      <c r="H885" s="253"/>
      <c r="I885" s="256"/>
      <c r="J885" s="253"/>
      <c r="K885" s="253"/>
      <c r="L885" s="253"/>
      <c r="M885" s="253"/>
      <c r="N885" s="255"/>
      <c r="O885" s="253"/>
      <c r="P885" s="253"/>
      <c r="Q885" s="253"/>
      <c r="R885" s="253"/>
      <c r="S885" s="257"/>
      <c r="T885" s="257"/>
      <c r="U885" s="257"/>
      <c r="V885" s="257"/>
    </row>
    <row r="886" spans="1:22" ht="13">
      <c r="A886" s="140"/>
      <c r="B886" s="140"/>
      <c r="G886" s="253"/>
      <c r="H886" s="253"/>
      <c r="I886" s="256"/>
      <c r="J886" s="253"/>
      <c r="K886" s="253"/>
      <c r="L886" s="253"/>
      <c r="M886" s="253"/>
      <c r="N886" s="255"/>
      <c r="O886" s="253"/>
      <c r="P886" s="253"/>
      <c r="Q886" s="253"/>
      <c r="R886" s="253"/>
      <c r="S886" s="257"/>
      <c r="T886" s="257"/>
      <c r="U886" s="257"/>
      <c r="V886" s="257"/>
    </row>
    <row r="887" spans="1:22" ht="13">
      <c r="A887" s="140"/>
      <c r="B887" s="140"/>
      <c r="G887" s="253"/>
      <c r="H887" s="253"/>
      <c r="I887" s="256"/>
      <c r="J887" s="253"/>
      <c r="K887" s="253"/>
      <c r="L887" s="253"/>
      <c r="M887" s="253"/>
      <c r="N887" s="255"/>
      <c r="O887" s="253"/>
      <c r="P887" s="253"/>
      <c r="Q887" s="253"/>
      <c r="R887" s="253"/>
      <c r="S887" s="257"/>
      <c r="T887" s="257"/>
      <c r="U887" s="257"/>
      <c r="V887" s="257"/>
    </row>
    <row r="888" spans="1:22" ht="13">
      <c r="A888" s="140"/>
      <c r="B888" s="140"/>
      <c r="G888" s="253"/>
      <c r="H888" s="253"/>
      <c r="I888" s="256"/>
      <c r="J888" s="253"/>
      <c r="K888" s="253"/>
      <c r="L888" s="253"/>
      <c r="M888" s="253"/>
      <c r="N888" s="255"/>
      <c r="O888" s="253"/>
      <c r="P888" s="253"/>
      <c r="Q888" s="253"/>
      <c r="R888" s="253"/>
      <c r="S888" s="257"/>
      <c r="T888" s="257"/>
      <c r="U888" s="257"/>
      <c r="V888" s="257"/>
    </row>
    <row r="889" spans="1:22" ht="13">
      <c r="A889" s="140"/>
      <c r="B889" s="140"/>
      <c r="G889" s="253"/>
      <c r="H889" s="253"/>
      <c r="I889" s="256"/>
      <c r="J889" s="253"/>
      <c r="K889" s="253"/>
      <c r="L889" s="253"/>
      <c r="M889" s="253"/>
      <c r="N889" s="255"/>
      <c r="O889" s="253"/>
      <c r="P889" s="253"/>
      <c r="Q889" s="253"/>
      <c r="R889" s="253"/>
      <c r="S889" s="257"/>
      <c r="T889" s="257"/>
      <c r="U889" s="257"/>
      <c r="V889" s="257"/>
    </row>
    <row r="890" spans="1:22" ht="13">
      <c r="A890" s="140"/>
      <c r="B890" s="140"/>
      <c r="G890" s="253"/>
      <c r="H890" s="253"/>
      <c r="I890" s="256"/>
      <c r="J890" s="253"/>
      <c r="K890" s="253"/>
      <c r="L890" s="253"/>
      <c r="M890" s="253"/>
      <c r="N890" s="255"/>
      <c r="O890" s="253"/>
      <c r="P890" s="253"/>
      <c r="Q890" s="253"/>
      <c r="R890" s="253"/>
      <c r="S890" s="257"/>
      <c r="T890" s="257"/>
      <c r="U890" s="257"/>
      <c r="V890" s="257"/>
    </row>
    <row r="891" spans="1:22" ht="13">
      <c r="A891" s="140"/>
      <c r="B891" s="140"/>
      <c r="G891" s="253"/>
      <c r="H891" s="253"/>
      <c r="I891" s="256"/>
      <c r="J891" s="253"/>
      <c r="K891" s="253"/>
      <c r="L891" s="253"/>
      <c r="M891" s="253"/>
      <c r="N891" s="255"/>
      <c r="O891" s="253"/>
      <c r="P891" s="253"/>
      <c r="Q891" s="253"/>
      <c r="R891" s="253"/>
      <c r="S891" s="257"/>
      <c r="T891" s="257"/>
      <c r="U891" s="257"/>
      <c r="V891" s="257"/>
    </row>
    <row r="892" spans="1:22" ht="13">
      <c r="A892" s="140"/>
      <c r="B892" s="140"/>
      <c r="G892" s="253"/>
      <c r="H892" s="253"/>
      <c r="I892" s="256"/>
      <c r="J892" s="253"/>
      <c r="K892" s="253"/>
      <c r="L892" s="253"/>
      <c r="M892" s="253"/>
      <c r="N892" s="255"/>
      <c r="O892" s="253"/>
      <c r="P892" s="253"/>
      <c r="Q892" s="253"/>
      <c r="R892" s="253"/>
      <c r="S892" s="257"/>
      <c r="T892" s="257"/>
      <c r="U892" s="257"/>
      <c r="V892" s="257"/>
    </row>
    <row r="893" spans="1:22" ht="13">
      <c r="A893" s="140"/>
      <c r="B893" s="140"/>
      <c r="G893" s="253"/>
      <c r="H893" s="253"/>
      <c r="I893" s="256"/>
      <c r="J893" s="253"/>
      <c r="K893" s="253"/>
      <c r="L893" s="253"/>
      <c r="M893" s="253"/>
      <c r="N893" s="255"/>
      <c r="O893" s="253"/>
      <c r="P893" s="253"/>
      <c r="Q893" s="253"/>
      <c r="R893" s="253"/>
      <c r="S893" s="257"/>
      <c r="T893" s="257"/>
      <c r="U893" s="257"/>
      <c r="V893" s="257"/>
    </row>
    <row r="894" spans="1:22" ht="13">
      <c r="A894" s="140"/>
      <c r="B894" s="140"/>
      <c r="G894" s="253"/>
      <c r="H894" s="253"/>
      <c r="I894" s="256"/>
      <c r="J894" s="253"/>
      <c r="K894" s="253"/>
      <c r="L894" s="253"/>
      <c r="M894" s="253"/>
      <c r="N894" s="255"/>
      <c r="O894" s="253"/>
      <c r="P894" s="253"/>
      <c r="Q894" s="253"/>
      <c r="R894" s="253"/>
      <c r="S894" s="257"/>
      <c r="T894" s="257"/>
      <c r="U894" s="257"/>
      <c r="V894" s="257"/>
    </row>
    <row r="895" spans="1:22" ht="13">
      <c r="A895" s="140"/>
      <c r="B895" s="140"/>
      <c r="G895" s="253"/>
      <c r="H895" s="253"/>
      <c r="I895" s="256"/>
      <c r="J895" s="253"/>
      <c r="K895" s="253"/>
      <c r="L895" s="253"/>
      <c r="M895" s="253"/>
      <c r="N895" s="255"/>
      <c r="O895" s="253"/>
      <c r="P895" s="253"/>
      <c r="Q895" s="253"/>
      <c r="R895" s="253"/>
      <c r="S895" s="257"/>
      <c r="T895" s="257"/>
      <c r="U895" s="257"/>
      <c r="V895" s="257"/>
    </row>
    <row r="896" spans="1:22" ht="13">
      <c r="A896" s="140"/>
      <c r="B896" s="140"/>
      <c r="G896" s="253"/>
      <c r="H896" s="253"/>
      <c r="I896" s="256"/>
      <c r="J896" s="253"/>
      <c r="K896" s="253"/>
      <c r="L896" s="253"/>
      <c r="M896" s="253"/>
      <c r="N896" s="255"/>
      <c r="O896" s="253"/>
      <c r="P896" s="253"/>
      <c r="Q896" s="253"/>
      <c r="R896" s="253"/>
      <c r="S896" s="257"/>
      <c r="T896" s="257"/>
      <c r="U896" s="257"/>
      <c r="V896" s="257"/>
    </row>
    <row r="897" spans="1:22" ht="13">
      <c r="A897" s="140"/>
      <c r="B897" s="140"/>
      <c r="G897" s="253"/>
      <c r="H897" s="253"/>
      <c r="I897" s="256"/>
      <c r="J897" s="253"/>
      <c r="K897" s="253"/>
      <c r="L897" s="253"/>
      <c r="M897" s="253"/>
      <c r="N897" s="255"/>
      <c r="O897" s="253"/>
      <c r="P897" s="253"/>
      <c r="Q897" s="253"/>
      <c r="R897" s="253"/>
      <c r="S897" s="257"/>
      <c r="T897" s="257"/>
      <c r="U897" s="257"/>
      <c r="V897" s="257"/>
    </row>
    <row r="898" spans="1:22" ht="13">
      <c r="A898" s="140"/>
      <c r="B898" s="140"/>
      <c r="G898" s="253"/>
      <c r="H898" s="253"/>
      <c r="I898" s="256"/>
      <c r="J898" s="253"/>
      <c r="K898" s="253"/>
      <c r="L898" s="253"/>
      <c r="M898" s="253"/>
      <c r="N898" s="255"/>
      <c r="O898" s="253"/>
      <c r="P898" s="253"/>
      <c r="Q898" s="253"/>
      <c r="R898" s="253"/>
      <c r="S898" s="257"/>
      <c r="T898" s="257"/>
      <c r="U898" s="257"/>
      <c r="V898" s="257"/>
    </row>
    <row r="899" spans="1:22" ht="13">
      <c r="A899" s="140"/>
      <c r="B899" s="140"/>
      <c r="G899" s="253"/>
      <c r="H899" s="253"/>
      <c r="I899" s="256"/>
      <c r="J899" s="253"/>
      <c r="K899" s="253"/>
      <c r="L899" s="253"/>
      <c r="M899" s="253"/>
      <c r="N899" s="255"/>
      <c r="O899" s="253"/>
      <c r="P899" s="253"/>
      <c r="Q899" s="253"/>
      <c r="R899" s="253"/>
      <c r="S899" s="257"/>
      <c r="T899" s="257"/>
      <c r="U899" s="257"/>
      <c r="V899" s="257"/>
    </row>
    <row r="900" spans="1:22" ht="13">
      <c r="A900" s="140"/>
      <c r="B900" s="140"/>
      <c r="G900" s="253"/>
      <c r="H900" s="253"/>
      <c r="I900" s="256"/>
      <c r="J900" s="253"/>
      <c r="K900" s="253"/>
      <c r="L900" s="253"/>
      <c r="M900" s="253"/>
      <c r="N900" s="255"/>
      <c r="O900" s="253"/>
      <c r="P900" s="253"/>
      <c r="Q900" s="253"/>
      <c r="R900" s="253"/>
      <c r="S900" s="257"/>
      <c r="T900" s="257"/>
      <c r="U900" s="257"/>
      <c r="V900" s="257"/>
    </row>
    <row r="901" spans="1:22" ht="13">
      <c r="A901" s="140"/>
      <c r="B901" s="140"/>
      <c r="G901" s="253"/>
      <c r="H901" s="253"/>
      <c r="I901" s="256"/>
      <c r="J901" s="253"/>
      <c r="K901" s="253"/>
      <c r="L901" s="253"/>
      <c r="M901" s="253"/>
      <c r="N901" s="255"/>
      <c r="O901" s="253"/>
      <c r="P901" s="253"/>
      <c r="Q901" s="253"/>
      <c r="R901" s="253"/>
      <c r="S901" s="257"/>
      <c r="T901" s="257"/>
      <c r="U901" s="257"/>
      <c r="V901" s="257"/>
    </row>
    <row r="902" spans="1:22" ht="13">
      <c r="A902" s="140"/>
      <c r="B902" s="140"/>
      <c r="G902" s="253"/>
      <c r="H902" s="253"/>
      <c r="I902" s="256"/>
      <c r="J902" s="253"/>
      <c r="K902" s="253"/>
      <c r="L902" s="253"/>
      <c r="M902" s="253"/>
      <c r="N902" s="255"/>
      <c r="O902" s="253"/>
      <c r="P902" s="253"/>
      <c r="Q902" s="253"/>
      <c r="R902" s="253"/>
      <c r="S902" s="257"/>
      <c r="T902" s="257"/>
      <c r="U902" s="257"/>
      <c r="V902" s="257"/>
    </row>
    <row r="903" spans="1:22" ht="13">
      <c r="A903" s="140"/>
      <c r="B903" s="140"/>
      <c r="G903" s="253"/>
      <c r="H903" s="253"/>
      <c r="I903" s="256"/>
      <c r="J903" s="253"/>
      <c r="K903" s="253"/>
      <c r="L903" s="253"/>
      <c r="M903" s="253"/>
      <c r="N903" s="255"/>
      <c r="O903" s="253"/>
      <c r="P903" s="253"/>
      <c r="Q903" s="253"/>
      <c r="R903" s="253"/>
      <c r="S903" s="257"/>
      <c r="T903" s="257"/>
      <c r="U903" s="257"/>
      <c r="V903" s="257"/>
    </row>
    <row r="904" spans="1:22" ht="13">
      <c r="A904" s="140"/>
      <c r="B904" s="140"/>
      <c r="G904" s="253"/>
      <c r="H904" s="253"/>
      <c r="I904" s="256"/>
      <c r="J904" s="253"/>
      <c r="K904" s="253"/>
      <c r="L904" s="253"/>
      <c r="M904" s="253"/>
      <c r="N904" s="255"/>
      <c r="O904" s="253"/>
      <c r="P904" s="253"/>
      <c r="Q904" s="253"/>
      <c r="R904" s="253"/>
      <c r="S904" s="257"/>
      <c r="T904" s="257"/>
      <c r="U904" s="257"/>
      <c r="V904" s="257"/>
    </row>
    <row r="905" spans="1:22" ht="13">
      <c r="A905" s="140"/>
      <c r="B905" s="140"/>
      <c r="G905" s="253"/>
      <c r="H905" s="253"/>
      <c r="I905" s="256"/>
      <c r="J905" s="253"/>
      <c r="K905" s="253"/>
      <c r="L905" s="253"/>
      <c r="M905" s="253"/>
      <c r="N905" s="255"/>
      <c r="O905" s="253"/>
      <c r="P905" s="253"/>
      <c r="Q905" s="253"/>
      <c r="R905" s="253"/>
      <c r="S905" s="257"/>
      <c r="T905" s="257"/>
      <c r="U905" s="257"/>
      <c r="V905" s="257"/>
    </row>
    <row r="906" spans="1:22" ht="13">
      <c r="A906" s="140"/>
      <c r="B906" s="140"/>
      <c r="G906" s="253"/>
      <c r="H906" s="253"/>
      <c r="I906" s="256"/>
      <c r="J906" s="253"/>
      <c r="K906" s="253"/>
      <c r="L906" s="253"/>
      <c r="M906" s="253"/>
      <c r="N906" s="255"/>
      <c r="O906" s="253"/>
      <c r="P906" s="253"/>
      <c r="Q906" s="253"/>
      <c r="R906" s="253"/>
      <c r="S906" s="257"/>
      <c r="T906" s="257"/>
      <c r="U906" s="257"/>
      <c r="V906" s="257"/>
    </row>
    <row r="907" spans="1:22" ht="13">
      <c r="A907" s="140"/>
      <c r="B907" s="140"/>
      <c r="G907" s="253"/>
      <c r="H907" s="253"/>
      <c r="I907" s="256"/>
      <c r="J907" s="253"/>
      <c r="K907" s="253"/>
      <c r="L907" s="253"/>
      <c r="M907" s="253"/>
      <c r="N907" s="255"/>
      <c r="O907" s="253"/>
      <c r="P907" s="253"/>
      <c r="Q907" s="253"/>
      <c r="R907" s="253"/>
      <c r="S907" s="257"/>
      <c r="T907" s="257"/>
      <c r="U907" s="257"/>
      <c r="V907" s="257"/>
    </row>
    <row r="908" spans="1:22" ht="13">
      <c r="A908" s="140"/>
      <c r="B908" s="140"/>
      <c r="G908" s="253"/>
      <c r="H908" s="253"/>
      <c r="I908" s="256"/>
      <c r="J908" s="253"/>
      <c r="K908" s="253"/>
      <c r="L908" s="253"/>
      <c r="M908" s="253"/>
      <c r="N908" s="255"/>
      <c r="O908" s="253"/>
      <c r="P908" s="253"/>
      <c r="Q908" s="253"/>
      <c r="R908" s="253"/>
      <c r="S908" s="257"/>
      <c r="T908" s="257"/>
      <c r="U908" s="257"/>
      <c r="V908" s="257"/>
    </row>
    <row r="909" spans="1:22" ht="13">
      <c r="A909" s="140"/>
      <c r="B909" s="140"/>
      <c r="I909" s="256"/>
      <c r="J909" s="253"/>
      <c r="K909" s="253"/>
      <c r="L909" s="253"/>
      <c r="M909" s="253"/>
      <c r="N909" s="255"/>
      <c r="O909" s="253"/>
      <c r="P909" s="253"/>
      <c r="Q909" s="253"/>
      <c r="R909" s="253"/>
      <c r="S909" s="257"/>
      <c r="T909" s="257"/>
      <c r="U909" s="257"/>
      <c r="V909" s="257"/>
    </row>
    <row r="910" spans="1:22" ht="13">
      <c r="A910" s="140"/>
      <c r="B910" s="140"/>
      <c r="I910" s="256"/>
      <c r="J910" s="253"/>
      <c r="K910" s="253"/>
      <c r="L910" s="253"/>
      <c r="M910" s="253"/>
      <c r="N910" s="255"/>
      <c r="O910" s="253"/>
      <c r="P910" s="253"/>
      <c r="Q910" s="253"/>
      <c r="R910" s="253"/>
      <c r="S910" s="257"/>
      <c r="T910" s="257"/>
      <c r="U910" s="257"/>
      <c r="V910" s="257"/>
    </row>
    <row r="911" spans="1:2" ht="13">
      <c r="A911" s="140"/>
      <c r="B911" s="140"/>
    </row>
    <row r="912" spans="1:2" ht="13">
      <c r="A912" s="140"/>
      <c r="B912" s="140"/>
    </row>
    <row r="913" spans="1:2" ht="13">
      <c r="A913" s="140"/>
      <c r="B913" s="140"/>
    </row>
    <row r="914" spans="1:2" ht="13">
      <c r="A914" s="140"/>
      <c r="B914" s="140"/>
    </row>
    <row r="915" spans="1:2" ht="13">
      <c r="A915" s="140"/>
      <c r="B915" s="140"/>
    </row>
    <row r="916" spans="1:2" ht="13">
      <c r="A916" s="140"/>
      <c r="B916" s="140"/>
    </row>
    <row r="917" spans="1:2" ht="13">
      <c r="A917" s="140"/>
      <c r="B917" s="140"/>
    </row>
    <row r="918" spans="1:2" ht="13">
      <c r="A918" s="140"/>
      <c r="B918" s="140"/>
    </row>
    <row r="919" spans="1:2" ht="13">
      <c r="A919" s="140"/>
      <c r="B919" s="140"/>
    </row>
    <row r="920" spans="1:2" ht="13">
      <c r="A920" s="140"/>
      <c r="B920" s="140"/>
    </row>
    <row r="921" spans="1:2" ht="13">
      <c r="A921" s="140"/>
      <c r="B921" s="140"/>
    </row>
    <row r="922" spans="1:2" ht="13">
      <c r="A922" s="140"/>
      <c r="B922" s="140"/>
    </row>
    <row r="923" spans="1:2" ht="13">
      <c r="A923" s="140"/>
      <c r="B923" s="140"/>
    </row>
    <row r="924" spans="1:2" ht="13">
      <c r="A924" s="140"/>
      <c r="B924" s="140"/>
    </row>
    <row r="925" spans="1:2" ht="13">
      <c r="A925" s="140"/>
      <c r="B925" s="140"/>
    </row>
    <row r="926" spans="1:2" ht="13">
      <c r="A926" s="140"/>
      <c r="B926" s="140"/>
    </row>
    <row r="927" spans="1:2" ht="13">
      <c r="A927" s="140"/>
      <c r="B927" s="140"/>
    </row>
    <row r="928" spans="1:2" ht="13">
      <c r="A928" s="140"/>
      <c r="B928" s="140"/>
    </row>
    <row r="929" spans="1:2" ht="13">
      <c r="A929" s="140"/>
      <c r="B929" s="140"/>
    </row>
    <row r="930" spans="1:2" ht="13">
      <c r="A930" s="140"/>
      <c r="B930" s="140"/>
    </row>
    <row r="931" spans="1:2" ht="13">
      <c r="A931" s="140"/>
      <c r="B931" s="140"/>
    </row>
    <row r="932" spans="1:2" ht="13">
      <c r="A932" s="140"/>
      <c r="B932" s="140"/>
    </row>
    <row r="933" spans="1:2" ht="13">
      <c r="A933" s="140"/>
      <c r="B933" s="140"/>
    </row>
    <row r="934" spans="1:2" ht="13">
      <c r="A934" s="140"/>
      <c r="B934" s="140"/>
    </row>
    <row r="935" spans="1:2" ht="13">
      <c r="A935" s="140"/>
      <c r="B935" s="140"/>
    </row>
    <row r="936" spans="1:2" ht="13">
      <c r="A936" s="140"/>
      <c r="B936" s="140"/>
    </row>
    <row r="937" spans="1:2" ht="13">
      <c r="A937" s="140"/>
      <c r="B937" s="140"/>
    </row>
    <row r="938" spans="1:2" ht="13">
      <c r="A938" s="140"/>
      <c r="B938" s="140"/>
    </row>
    <row r="939" spans="1:2" ht="13">
      <c r="A939" s="140"/>
      <c r="B939" s="140"/>
    </row>
    <row r="940" spans="1:2" ht="13">
      <c r="A940" s="140"/>
      <c r="B940" s="140"/>
    </row>
    <row r="941" spans="1:2" ht="13">
      <c r="A941" s="140"/>
      <c r="B941" s="140"/>
    </row>
    <row r="942" spans="1:2" ht="13">
      <c r="A942" s="140"/>
      <c r="B942" s="140"/>
    </row>
    <row r="943" spans="1:2" ht="13">
      <c r="A943" s="140"/>
      <c r="B943" s="140"/>
    </row>
    <row r="944" spans="1:2" ht="13">
      <c r="A944" s="140"/>
      <c r="B944" s="140"/>
    </row>
    <row r="945" spans="1:2" ht="13">
      <c r="A945" s="140"/>
      <c r="B945" s="140"/>
    </row>
    <row r="946" spans="1:2" ht="13">
      <c r="A946" s="140"/>
      <c r="B946" s="140"/>
    </row>
    <row r="947" spans="1:2" ht="13">
      <c r="A947" s="140"/>
      <c r="B947" s="140"/>
    </row>
    <row r="948" spans="1:2" ht="13">
      <c r="A948" s="140"/>
      <c r="B948" s="140"/>
    </row>
    <row r="949" spans="1:2" ht="13">
      <c r="A949" s="140"/>
      <c r="B949" s="140"/>
    </row>
    <row r="950" spans="1:2" ht="13">
      <c r="A950" s="140"/>
      <c r="B950" s="140"/>
    </row>
    <row r="951" spans="1:2" ht="13">
      <c r="A951" s="140"/>
      <c r="B951" s="140"/>
    </row>
    <row r="952" spans="1:2" ht="13">
      <c r="A952" s="140"/>
      <c r="B952" s="140"/>
    </row>
    <row r="953" spans="1:2" ht="13">
      <c r="A953" s="140"/>
      <c r="B953" s="140"/>
    </row>
    <row r="954" spans="1:2" ht="13">
      <c r="A954" s="140"/>
      <c r="B954" s="140"/>
    </row>
    <row r="955" spans="1:2" ht="13">
      <c r="A955" s="140"/>
      <c r="B955" s="140"/>
    </row>
    <row r="956" spans="1:2" ht="13">
      <c r="A956" s="140"/>
      <c r="B956" s="140"/>
    </row>
    <row r="957" spans="1:2" ht="13">
      <c r="A957" s="140"/>
      <c r="B957" s="140"/>
    </row>
    <row r="958" spans="1:2" ht="13">
      <c r="A958" s="140"/>
      <c r="B958" s="140"/>
    </row>
    <row r="959" spans="1:2" ht="13">
      <c r="A959" s="140"/>
      <c r="B959" s="140"/>
    </row>
    <row r="960" spans="1:2" ht="13">
      <c r="A960" s="140"/>
      <c r="B960" s="140"/>
    </row>
    <row r="961" spans="1:2" ht="13">
      <c r="A961" s="140"/>
      <c r="B961" s="140"/>
    </row>
    <row r="962" spans="1:2" ht="13">
      <c r="A962" s="140"/>
      <c r="B962" s="140"/>
    </row>
    <row r="963" spans="1:2" ht="13">
      <c r="A963" s="140"/>
      <c r="B963" s="140"/>
    </row>
    <row r="964" spans="1:2" ht="13">
      <c r="A964" s="140"/>
      <c r="B964" s="140"/>
    </row>
    <row r="965" spans="1:2" ht="13">
      <c r="A965" s="140"/>
      <c r="B965" s="140"/>
    </row>
    <row r="966" spans="1:2" ht="13">
      <c r="A966" s="140"/>
      <c r="B966" s="140"/>
    </row>
    <row r="967" spans="1:2" ht="13">
      <c r="A967" s="140"/>
      <c r="B967" s="140"/>
    </row>
    <row r="968" spans="1:2" ht="13">
      <c r="A968" s="140"/>
      <c r="B968" s="140"/>
    </row>
    <row r="969" spans="1:2" ht="13">
      <c r="A969" s="140"/>
      <c r="B969" s="140"/>
    </row>
    <row r="970" spans="1:2" ht="13">
      <c r="A970" s="140"/>
      <c r="B970" s="140"/>
    </row>
    <row r="971" spans="1:2" ht="13">
      <c r="A971" s="140"/>
      <c r="B971" s="140"/>
    </row>
    <row r="972" spans="1:2" ht="13">
      <c r="A972" s="140"/>
      <c r="B972" s="140"/>
    </row>
    <row r="973" spans="1:2" ht="13">
      <c r="A973" s="140"/>
      <c r="B973" s="140"/>
    </row>
    <row r="974" spans="1:2" ht="13">
      <c r="A974" s="140"/>
      <c r="B974" s="140"/>
    </row>
    <row r="975" spans="1:2" ht="13">
      <c r="A975" s="140"/>
      <c r="B975" s="140"/>
    </row>
    <row r="976" spans="1:2" ht="13">
      <c r="A976" s="140"/>
      <c r="B976" s="140"/>
    </row>
    <row r="977" spans="1:2" ht="13">
      <c r="A977" s="140"/>
      <c r="B977" s="140"/>
    </row>
    <row r="978" spans="1:2" ht="13">
      <c r="A978" s="140"/>
      <c r="B978" s="140"/>
    </row>
    <row r="979" spans="1:2" ht="13">
      <c r="A979" s="140"/>
      <c r="B979" s="140"/>
    </row>
    <row r="980" spans="1:2" ht="13">
      <c r="A980" s="140"/>
      <c r="B980" s="140"/>
    </row>
    <row r="981" spans="1:2" ht="13">
      <c r="A981" s="140"/>
      <c r="B981" s="140"/>
    </row>
    <row r="982" spans="1:2" ht="13">
      <c r="A982" s="140"/>
      <c r="B982" s="140"/>
    </row>
    <row r="983" spans="1:2" ht="13">
      <c r="A983" s="140"/>
      <c r="B983" s="140"/>
    </row>
    <row r="984" spans="1:2" ht="13">
      <c r="A984" s="140"/>
      <c r="B984" s="140"/>
    </row>
    <row r="985" spans="1:2" ht="13">
      <c r="A985" s="140"/>
      <c r="B985" s="140"/>
    </row>
    <row r="986" spans="1:2" ht="13">
      <c r="A986" s="140"/>
      <c r="B986" s="140"/>
    </row>
    <row r="987" spans="1:2" ht="13">
      <c r="A987" s="140"/>
      <c r="B987" s="140"/>
    </row>
    <row r="988" spans="1:2" ht="13">
      <c r="A988" s="140"/>
      <c r="B988" s="140"/>
    </row>
    <row r="989" spans="1:2" ht="13">
      <c r="A989" s="140"/>
      <c r="B989" s="140"/>
    </row>
    <row r="990" spans="1:2" ht="13">
      <c r="A990" s="140"/>
      <c r="B990" s="140"/>
    </row>
    <row r="991" spans="1:2" ht="13">
      <c r="A991" s="140"/>
      <c r="B991" s="140"/>
    </row>
    <row r="992" spans="1:2" ht="13">
      <c r="A992" s="140"/>
      <c r="B992" s="140"/>
    </row>
    <row r="993" spans="1:2" ht="13">
      <c r="A993" s="140"/>
      <c r="B993" s="140"/>
    </row>
    <row r="994" spans="1:2" ht="13">
      <c r="A994" s="140"/>
      <c r="B994" s="140"/>
    </row>
    <row r="995" spans="1:2" ht="13">
      <c r="A995" s="140"/>
      <c r="B995" s="140"/>
    </row>
    <row r="996" spans="1:2" ht="13">
      <c r="A996" s="140"/>
      <c r="B996" s="140"/>
    </row>
    <row r="997" spans="1:2" ht="13">
      <c r="A997" s="140"/>
      <c r="B997" s="140"/>
    </row>
    <row r="998" spans="1:2" ht="13">
      <c r="A998" s="140"/>
      <c r="B998" s="140"/>
    </row>
    <row r="999" spans="1:2" ht="13">
      <c r="A999" s="140"/>
      <c r="B999" s="140"/>
    </row>
    <row r="1000" spans="1:2" ht="13">
      <c r="A1000" s="140"/>
      <c r="B1000" s="140"/>
    </row>
    <row r="1001" spans="1:2" ht="13">
      <c r="A1001" s="140"/>
      <c r="B1001" s="140"/>
    </row>
    <row r="1002" spans="1:2" ht="13">
      <c r="A1002" s="140"/>
      <c r="B1002" s="140"/>
    </row>
    <row r="1003" spans="1:2" ht="13">
      <c r="A1003" s="140"/>
      <c r="B1003" s="140"/>
    </row>
    <row r="1004" spans="1:2" ht="13">
      <c r="A1004" s="140"/>
      <c r="B1004" s="140"/>
    </row>
    <row r="1005" spans="1:2" ht="13">
      <c r="A1005" s="140"/>
      <c r="B1005" s="140"/>
    </row>
    <row r="1006" spans="1:2" ht="13">
      <c r="A1006" s="140"/>
      <c r="B1006" s="140"/>
    </row>
    <row r="1007" spans="1:2" ht="13">
      <c r="A1007" s="140"/>
      <c r="B1007" s="140"/>
    </row>
    <row r="1008" spans="1:2" ht="13">
      <c r="A1008" s="140"/>
      <c r="B1008" s="140"/>
    </row>
    <row r="1009" spans="1:2" ht="13">
      <c r="A1009" s="140"/>
      <c r="B1009" s="140"/>
    </row>
    <row r="1010" spans="1:2" ht="13">
      <c r="A1010" s="140"/>
      <c r="B1010" s="140"/>
    </row>
    <row r="1011" spans="1:2" ht="13">
      <c r="A1011" s="140"/>
      <c r="B1011" s="140"/>
    </row>
    <row r="1012" spans="1:2" ht="13">
      <c r="A1012" s="140"/>
      <c r="B1012" s="140"/>
    </row>
    <row r="1013" spans="1:2" ht="13">
      <c r="A1013" s="140"/>
      <c r="B1013" s="140"/>
    </row>
    <row r="1014" spans="1:2" ht="13">
      <c r="A1014" s="140"/>
      <c r="B1014" s="140"/>
    </row>
    <row r="1015" spans="1:2" ht="13">
      <c r="A1015" s="140"/>
      <c r="B1015" s="140"/>
    </row>
    <row r="1016" spans="1:2" ht="13">
      <c r="A1016" s="140"/>
      <c r="B1016" s="140"/>
    </row>
    <row r="1017" spans="1:2" ht="13">
      <c r="A1017" s="140"/>
      <c r="B1017" s="140"/>
    </row>
    <row r="1018" spans="1:2" ht="13">
      <c r="A1018" s="140"/>
      <c r="B1018" s="140"/>
    </row>
    <row r="1019" spans="1:2" ht="13">
      <c r="A1019" s="140"/>
      <c r="B1019" s="140"/>
    </row>
    <row r="1020" spans="1:2" ht="13">
      <c r="A1020" s="140"/>
      <c r="B1020" s="140"/>
    </row>
    <row r="1021" spans="1:2" ht="13">
      <c r="A1021" s="140"/>
      <c r="B1021" s="140"/>
    </row>
    <row r="1022" spans="1:2" ht="13">
      <c r="A1022" s="140"/>
      <c r="B1022" s="140"/>
    </row>
    <row r="1023" spans="1:2" ht="13">
      <c r="A1023" s="140"/>
      <c r="B1023" s="140"/>
    </row>
    <row r="1024" spans="1:2" ht="13">
      <c r="A1024" s="140"/>
      <c r="B1024" s="140"/>
    </row>
    <row r="1025" spans="1:2" ht="13">
      <c r="A1025" s="140"/>
      <c r="B1025" s="140"/>
    </row>
    <row r="1026" spans="1:2" ht="13">
      <c r="A1026" s="140"/>
      <c r="B1026" s="140"/>
    </row>
    <row r="1027" spans="1:2" ht="13">
      <c r="A1027" s="140"/>
      <c r="B1027" s="140"/>
    </row>
    <row r="1028" spans="1:2" ht="13">
      <c r="A1028" s="140"/>
      <c r="B1028" s="140"/>
    </row>
    <row r="1029" spans="1:2" ht="13">
      <c r="A1029" s="140"/>
      <c r="B1029" s="140"/>
    </row>
    <row r="1030" spans="1:2" ht="13">
      <c r="A1030" s="140"/>
      <c r="B1030" s="140"/>
    </row>
    <row r="1031" spans="1:2" ht="13">
      <c r="A1031" s="140"/>
      <c r="B1031" s="140"/>
    </row>
    <row r="1032" spans="1:2" ht="13">
      <c r="A1032" s="140"/>
      <c r="B1032" s="140"/>
    </row>
    <row r="1033" spans="1:2" ht="13">
      <c r="A1033" s="140"/>
      <c r="B1033" s="140"/>
    </row>
    <row r="1034" spans="1:2" ht="13">
      <c r="A1034" s="140"/>
      <c r="B1034" s="140"/>
    </row>
    <row r="1035" spans="1:2" ht="13">
      <c r="A1035" s="140"/>
      <c r="B1035" s="140"/>
    </row>
    <row r="1036" spans="1:2" ht="13">
      <c r="A1036" s="140"/>
      <c r="B1036" s="140"/>
    </row>
    <row r="1037" spans="1:2" ht="13">
      <c r="A1037" s="140"/>
      <c r="B1037" s="140"/>
    </row>
    <row r="1038" spans="1:2" ht="13">
      <c r="A1038" s="140"/>
      <c r="B1038" s="140"/>
    </row>
    <row r="1039" spans="1:2" ht="13">
      <c r="A1039" s="140"/>
      <c r="B1039" s="140"/>
    </row>
    <row r="1040" spans="1:2" ht="13">
      <c r="A1040" s="140"/>
      <c r="B1040" s="140"/>
    </row>
    <row r="1041" spans="1:2" ht="13">
      <c r="A1041" s="140"/>
      <c r="B1041" s="140"/>
    </row>
    <row r="1042" spans="1:2" ht="13">
      <c r="A1042" s="140"/>
      <c r="B1042" s="140"/>
    </row>
    <row r="1043" spans="1:2" ht="13">
      <c r="A1043" s="140"/>
      <c r="B1043" s="140"/>
    </row>
    <row r="1044" spans="1:2" ht="13">
      <c r="A1044" s="140"/>
      <c r="B1044" s="140"/>
    </row>
    <row r="1045" spans="1:2" ht="13">
      <c r="A1045" s="140"/>
      <c r="B1045" s="140"/>
    </row>
    <row r="1046" spans="1:2" ht="13">
      <c r="A1046" s="140"/>
      <c r="B1046" s="140"/>
    </row>
    <row r="1047" spans="1:2" ht="13">
      <c r="A1047" s="140"/>
      <c r="B1047" s="140"/>
    </row>
    <row r="1048" spans="1:2" ht="13">
      <c r="A1048" s="140"/>
      <c r="B1048" s="140"/>
    </row>
    <row r="1049" spans="1:2" ht="13">
      <c r="A1049" s="140"/>
      <c r="B1049" s="140"/>
    </row>
    <row r="1050" spans="1:2" ht="13">
      <c r="A1050" s="140"/>
      <c r="B1050" s="140"/>
    </row>
    <row r="1051" spans="1:2" ht="13">
      <c r="A1051" s="140"/>
      <c r="B1051" s="140"/>
    </row>
    <row r="1052" spans="1:2" ht="13">
      <c r="A1052" s="140"/>
      <c r="B1052" s="140"/>
    </row>
    <row r="1053" spans="1:2" ht="13">
      <c r="A1053" s="140"/>
      <c r="B1053" s="140"/>
    </row>
    <row r="1054" spans="1:2" ht="13">
      <c r="A1054" s="140"/>
      <c r="B1054" s="140"/>
    </row>
    <row r="1055" spans="1:2" ht="13">
      <c r="A1055" s="140"/>
      <c r="B1055" s="140"/>
    </row>
    <row r="1056" spans="1:2" ht="13">
      <c r="A1056" s="140"/>
      <c r="B1056" s="140"/>
    </row>
    <row r="1057" spans="1:2" ht="13">
      <c r="A1057" s="140"/>
      <c r="B1057" s="140"/>
    </row>
    <row r="1058" spans="1:2" ht="13">
      <c r="A1058" s="140"/>
      <c r="B1058" s="140"/>
    </row>
    <row r="1059" spans="1:2" ht="13">
      <c r="A1059" s="140"/>
      <c r="B1059" s="140"/>
    </row>
    <row r="1060" spans="1:2" ht="13">
      <c r="A1060" s="140"/>
      <c r="B1060" s="140"/>
    </row>
    <row r="1061" spans="1:2" ht="13">
      <c r="A1061" s="140"/>
      <c r="B1061" s="140"/>
    </row>
    <row r="1062" spans="1:2" ht="13">
      <c r="A1062" s="140"/>
      <c r="B1062" s="140"/>
    </row>
    <row r="1063" spans="1:2" ht="13">
      <c r="A1063" s="140"/>
      <c r="B1063" s="140"/>
    </row>
    <row r="1064" spans="1:2" ht="13">
      <c r="A1064" s="140"/>
      <c r="B1064" s="140"/>
    </row>
    <row r="1065" spans="1:2" ht="13">
      <c r="A1065" s="140"/>
      <c r="B1065" s="140"/>
    </row>
    <row r="1066" spans="1:2" ht="13">
      <c r="A1066" s="140"/>
      <c r="B1066" s="140"/>
    </row>
    <row r="1067" spans="1:2" ht="13">
      <c r="A1067" s="140"/>
      <c r="B1067" s="140"/>
    </row>
    <row r="1068" spans="1:2" ht="13">
      <c r="A1068" s="140"/>
      <c r="B1068" s="140"/>
    </row>
    <row r="1069" spans="1:2" ht="13">
      <c r="A1069" s="140"/>
      <c r="B1069" s="140"/>
    </row>
    <row r="1070" spans="1:2" ht="13">
      <c r="A1070" s="140"/>
      <c r="B1070" s="140"/>
    </row>
    <row r="1071" spans="1:2" ht="13">
      <c r="A1071" s="140"/>
      <c r="B1071" s="140"/>
    </row>
    <row r="1072" spans="1:2" ht="13">
      <c r="A1072" s="140"/>
      <c r="B1072" s="140"/>
    </row>
    <row r="1073" spans="1:2" ht="13">
      <c r="A1073" s="140"/>
      <c r="B1073" s="140"/>
    </row>
    <row r="1074" spans="1:2" ht="13">
      <c r="A1074" s="140"/>
      <c r="B1074" s="140"/>
    </row>
    <row r="1075" spans="1:2" ht="13">
      <c r="A1075" s="140"/>
      <c r="B1075" s="140"/>
    </row>
    <row r="1076" spans="1:2" ht="13">
      <c r="A1076" s="140"/>
      <c r="B1076" s="140"/>
    </row>
    <row r="1077" spans="1:2" ht="13">
      <c r="A1077" s="140"/>
      <c r="B1077" s="140"/>
    </row>
    <row r="1078" spans="1:2" ht="13">
      <c r="A1078" s="140"/>
      <c r="B1078" s="140"/>
    </row>
    <row r="1079" spans="1:2" ht="13">
      <c r="A1079" s="140"/>
      <c r="B1079" s="140"/>
    </row>
    <row r="1080" spans="1:2" ht="13">
      <c r="A1080" s="140"/>
      <c r="B1080" s="140"/>
    </row>
    <row r="1081" spans="1:2" ht="13">
      <c r="A1081" s="140"/>
      <c r="B1081" s="140"/>
    </row>
    <row r="1082" spans="1:2" ht="13">
      <c r="A1082" s="140"/>
      <c r="B1082" s="140"/>
    </row>
    <row r="1083" spans="1:2" ht="13">
      <c r="A1083" s="140"/>
      <c r="B1083" s="140"/>
    </row>
    <row r="1084" spans="1:2" ht="13">
      <c r="A1084" s="140"/>
      <c r="B1084" s="140"/>
    </row>
    <row r="1085" spans="1:2" ht="13">
      <c r="A1085" s="140"/>
      <c r="B1085" s="140"/>
    </row>
    <row r="1086" spans="1:2" ht="13">
      <c r="A1086" s="140"/>
      <c r="B1086" s="140"/>
    </row>
    <row r="1087" spans="1:2" ht="13">
      <c r="A1087" s="140"/>
      <c r="B1087" s="140"/>
    </row>
    <row r="1088" spans="1:2" ht="13">
      <c r="A1088" s="140"/>
      <c r="B1088" s="140"/>
    </row>
    <row r="1089" spans="1:2" ht="13">
      <c r="A1089" s="140"/>
      <c r="B1089" s="140"/>
    </row>
    <row r="1090" spans="1:2" ht="13">
      <c r="A1090" s="140"/>
      <c r="B1090" s="140"/>
    </row>
    <row r="1091" spans="1:2" ht="13">
      <c r="A1091" s="140"/>
      <c r="B1091" s="140"/>
    </row>
    <row r="1092" spans="1:2" ht="13">
      <c r="A1092" s="140"/>
      <c r="B1092" s="140"/>
    </row>
    <row r="1093" spans="1:2" ht="13">
      <c r="A1093" s="140"/>
      <c r="B1093" s="140"/>
    </row>
    <row r="1094" spans="1:2" ht="13">
      <c r="A1094" s="140"/>
      <c r="B1094" s="140"/>
    </row>
    <row r="1095" spans="1:2" ht="13">
      <c r="A1095" s="140"/>
      <c r="B1095" s="140"/>
    </row>
    <row r="1096" spans="1:2" ht="13">
      <c r="A1096" s="140"/>
      <c r="B1096" s="140"/>
    </row>
    <row r="1097" spans="1:2" ht="13">
      <c r="A1097" s="140"/>
      <c r="B1097" s="140"/>
    </row>
    <row r="1098" spans="1:2" ht="13">
      <c r="A1098" s="140"/>
      <c r="B1098" s="140"/>
    </row>
    <row r="1099" spans="1:2" ht="13">
      <c r="A1099" s="140"/>
      <c r="B1099" s="140"/>
    </row>
    <row r="1100" spans="1:2" ht="13">
      <c r="A1100" s="140"/>
      <c r="B1100" s="140"/>
    </row>
    <row r="1101" spans="1:2" ht="13">
      <c r="A1101" s="140"/>
      <c r="B1101" s="140"/>
    </row>
    <row r="1102" spans="1:2" ht="13">
      <c r="A1102" s="140"/>
      <c r="B1102" s="140"/>
    </row>
    <row r="1103" spans="1:2" ht="13">
      <c r="A1103" s="140"/>
      <c r="B1103" s="140"/>
    </row>
    <row r="1104" spans="1:2" ht="13">
      <c r="A1104" s="140"/>
      <c r="B1104" s="140"/>
    </row>
    <row r="1105" spans="1:2" ht="13">
      <c r="A1105" s="140"/>
      <c r="B1105" s="140"/>
    </row>
    <row r="1106" spans="1:2" ht="13">
      <c r="A1106" s="140"/>
      <c r="B1106" s="140"/>
    </row>
    <row r="1107" spans="1:2" ht="13">
      <c r="A1107" s="140"/>
      <c r="B1107" s="140"/>
    </row>
    <row r="1108" spans="1:2" ht="13">
      <c r="A1108" s="140"/>
      <c r="B1108" s="140"/>
    </row>
    <row r="1109" spans="1:2" ht="13">
      <c r="A1109" s="140"/>
      <c r="B1109" s="140"/>
    </row>
    <row r="1110" spans="1:2" ht="13">
      <c r="A1110" s="140"/>
      <c r="B1110" s="140"/>
    </row>
    <row r="1111" spans="1:2" ht="13">
      <c r="A1111" s="140"/>
      <c r="B1111" s="140"/>
    </row>
    <row r="1112" spans="1:2" ht="13">
      <c r="A1112" s="140"/>
      <c r="B1112" s="140"/>
    </row>
    <row r="1113" spans="1:2" ht="13">
      <c r="A1113" s="140"/>
      <c r="B1113" s="140"/>
    </row>
    <row r="1114" spans="1:2" ht="13">
      <c r="A1114" s="140"/>
      <c r="B1114" s="140"/>
    </row>
    <row r="1115" spans="1:2" ht="13">
      <c r="A1115" s="140"/>
      <c r="B1115" s="140"/>
    </row>
    <row r="1116" spans="1:2" ht="13">
      <c r="A1116" s="140"/>
      <c r="B1116" s="140"/>
    </row>
    <row r="1117" spans="1:2" ht="13">
      <c r="A1117" s="140"/>
      <c r="B1117" s="140"/>
    </row>
    <row r="1118" spans="1:2" ht="13">
      <c r="A1118" s="140"/>
      <c r="B1118" s="140"/>
    </row>
    <row r="1119" spans="1:2" ht="13">
      <c r="A1119" s="140"/>
      <c r="B1119" s="140"/>
    </row>
    <row r="1120" spans="1:2" ht="13">
      <c r="A1120" s="140"/>
      <c r="B1120" s="140"/>
    </row>
    <row r="1121" spans="1:2" ht="13">
      <c r="A1121" s="140"/>
      <c r="B1121" s="140"/>
    </row>
    <row r="1122" spans="1:2" ht="13">
      <c r="A1122" s="140"/>
      <c r="B1122" s="140"/>
    </row>
    <row r="1123" spans="1:2" ht="13">
      <c r="A1123" s="140"/>
      <c r="B1123" s="140"/>
    </row>
    <row r="1124" spans="1:2" ht="13">
      <c r="A1124" s="140"/>
      <c r="B1124" s="140"/>
    </row>
    <row r="1125" spans="1:2" ht="13">
      <c r="A1125" s="140"/>
      <c r="B1125" s="140"/>
    </row>
    <row r="1126" spans="1:2" ht="13">
      <c r="A1126" s="140"/>
      <c r="B1126" s="140"/>
    </row>
    <row r="1127" spans="1:2" ht="13">
      <c r="A1127" s="140"/>
      <c r="B1127" s="140"/>
    </row>
    <row r="1128" spans="1:2" ht="13">
      <c r="A1128" s="140"/>
      <c r="B1128" s="140"/>
    </row>
    <row r="1129" spans="1:2" ht="13">
      <c r="A1129" s="140"/>
      <c r="B1129" s="140"/>
    </row>
    <row r="1130" spans="1:2" ht="13">
      <c r="A1130" s="140"/>
      <c r="B1130" s="140"/>
    </row>
    <row r="1131" spans="1:2" ht="13">
      <c r="A1131" s="140"/>
      <c r="B1131" s="140"/>
    </row>
    <row r="1132" spans="1:2" ht="13">
      <c r="A1132" s="140"/>
      <c r="B1132" s="140"/>
    </row>
    <row r="1133" spans="1:2" ht="13">
      <c r="A1133" s="140"/>
      <c r="B1133" s="140"/>
    </row>
    <row r="1134" spans="1:2" ht="13">
      <c r="A1134" s="140"/>
      <c r="B1134" s="140"/>
    </row>
    <row r="1135" spans="1:2" ht="13">
      <c r="A1135" s="140"/>
      <c r="B1135" s="140"/>
    </row>
    <row r="1136" spans="1:2" ht="13">
      <c r="A1136" s="140"/>
      <c r="B1136" s="140"/>
    </row>
    <row r="1137" spans="1:2" ht="13">
      <c r="A1137" s="140"/>
      <c r="B1137" s="140"/>
    </row>
    <row r="1138" spans="1:2" ht="13">
      <c r="A1138" s="140"/>
      <c r="B1138" s="140"/>
    </row>
    <row r="1139" spans="1:2" ht="13">
      <c r="A1139" s="140"/>
      <c r="B1139" s="140"/>
    </row>
    <row r="1140" spans="1:2" ht="13">
      <c r="A1140" s="140"/>
      <c r="B1140" s="140"/>
    </row>
    <row r="1141" spans="1:2" ht="13">
      <c r="A1141" s="140"/>
      <c r="B1141" s="140"/>
    </row>
    <row r="1142" spans="1:2" ht="13">
      <c r="A1142" s="140"/>
      <c r="B1142" s="140"/>
    </row>
    <row r="1143" spans="1:2" ht="13">
      <c r="A1143" s="140"/>
      <c r="B1143" s="140"/>
    </row>
    <row r="1144" spans="1:2" ht="13">
      <c r="A1144" s="140"/>
      <c r="B1144" s="140"/>
    </row>
    <row r="1145" spans="1:2" ht="13">
      <c r="A1145" s="140"/>
      <c r="B1145" s="140"/>
    </row>
    <row r="1146" spans="1:2" ht="13">
      <c r="A1146" s="140"/>
      <c r="B1146" s="140"/>
    </row>
    <row r="1147" spans="1:2" ht="13">
      <c r="A1147" s="140"/>
      <c r="B1147" s="140"/>
    </row>
    <row r="1148" spans="1:2" ht="13">
      <c r="A1148" s="140"/>
      <c r="B1148" s="140"/>
    </row>
    <row r="1149" spans="1:2" ht="13">
      <c r="A1149" s="140"/>
      <c r="B1149" s="140"/>
    </row>
    <row r="1150" spans="1:2" ht="13">
      <c r="A1150" s="140"/>
      <c r="B1150" s="140"/>
    </row>
    <row r="1151" spans="1:2" ht="13">
      <c r="A1151" s="140"/>
      <c r="B1151" s="140"/>
    </row>
    <row r="1152" spans="1:2" ht="13">
      <c r="A1152" s="140"/>
      <c r="B1152" s="140"/>
    </row>
    <row r="1153" spans="1:2" ht="13">
      <c r="A1153" s="140"/>
      <c r="B1153" s="140"/>
    </row>
    <row r="1154" spans="1:2" ht="13">
      <c r="A1154" s="140"/>
      <c r="B1154" s="140"/>
    </row>
    <row r="1155" spans="1:2" ht="13">
      <c r="A1155" s="140"/>
      <c r="B1155" s="140"/>
    </row>
    <row r="1156" spans="1:2" ht="13">
      <c r="A1156" s="140"/>
      <c r="B1156" s="140"/>
    </row>
    <row r="1157" spans="1:2" ht="13">
      <c r="A1157" s="140"/>
      <c r="B1157" s="140"/>
    </row>
    <row r="1158" spans="1:2" ht="13">
      <c r="A1158" s="140"/>
      <c r="B1158" s="140"/>
    </row>
    <row r="1159" spans="1:2" ht="13">
      <c r="A1159" s="140"/>
      <c r="B1159" s="140"/>
    </row>
    <row r="1160" spans="1:2" ht="13">
      <c r="A1160" s="140"/>
      <c r="B1160" s="140"/>
    </row>
    <row r="1161" spans="1:2" ht="13">
      <c r="A1161" s="140"/>
      <c r="B1161" s="140"/>
    </row>
    <row r="1162" spans="1:2" ht="13">
      <c r="A1162" s="140"/>
      <c r="B1162" s="140"/>
    </row>
    <row r="1163" spans="1:2" ht="13">
      <c r="A1163" s="140"/>
      <c r="B1163" s="140"/>
    </row>
    <row r="1164" spans="1:2" ht="13">
      <c r="A1164" s="140"/>
      <c r="B1164" s="140"/>
    </row>
    <row r="1165" spans="1:2" ht="13">
      <c r="A1165" s="140"/>
      <c r="B1165" s="140"/>
    </row>
    <row r="1166" spans="1:2" ht="13">
      <c r="A1166" s="140"/>
      <c r="B1166" s="140"/>
    </row>
    <row r="1167" spans="1:2" ht="13">
      <c r="A1167" s="140"/>
      <c r="B1167" s="140"/>
    </row>
    <row r="1168" spans="1:2" ht="13">
      <c r="A1168" s="140"/>
      <c r="B1168" s="140"/>
    </row>
    <row r="1169" spans="1:2" ht="13">
      <c r="A1169" s="140"/>
      <c r="B1169" s="140"/>
    </row>
    <row r="1170" spans="1:2" ht="13">
      <c r="A1170" s="140"/>
      <c r="B1170" s="140"/>
    </row>
    <row r="1171" spans="1:2" ht="13">
      <c r="A1171" s="140"/>
      <c r="B1171" s="140"/>
    </row>
    <row r="1172" spans="1:2" ht="13">
      <c r="A1172" s="140"/>
      <c r="B1172" s="140"/>
    </row>
    <row r="1173" spans="1:2" ht="13">
      <c r="A1173" s="140"/>
      <c r="B1173" s="140"/>
    </row>
    <row r="1174" spans="1:2" ht="13">
      <c r="A1174" s="140"/>
      <c r="B1174" s="140"/>
    </row>
    <row r="1175" spans="1:2" ht="13">
      <c r="A1175" s="140"/>
      <c r="B1175" s="140"/>
    </row>
    <row r="1176" spans="1:2" ht="13">
      <c r="A1176" s="140"/>
      <c r="B1176" s="140"/>
    </row>
    <row r="1177" spans="1:2" ht="13">
      <c r="A1177" s="140"/>
      <c r="B1177" s="140"/>
    </row>
    <row r="1178" spans="1:2" ht="13">
      <c r="A1178" s="140"/>
      <c r="B1178" s="140"/>
    </row>
    <row r="1179" spans="1:2" ht="13">
      <c r="A1179" s="140"/>
      <c r="B1179" s="140"/>
    </row>
    <row r="1180" spans="1:2" ht="13">
      <c r="A1180" s="140"/>
      <c r="B1180" s="140"/>
    </row>
    <row r="1181" spans="1:2" ht="13">
      <c r="A1181" s="140"/>
      <c r="B1181" s="140"/>
    </row>
    <row r="1182" spans="1:2" ht="13">
      <c r="A1182" s="140"/>
      <c r="B1182" s="140"/>
    </row>
    <row r="1183" spans="1:2" ht="13">
      <c r="A1183" s="140"/>
      <c r="B1183" s="140"/>
    </row>
    <row r="1184" spans="1:2" ht="13">
      <c r="A1184" s="140"/>
      <c r="B1184" s="140"/>
    </row>
    <row r="1185" spans="1:2" ht="13">
      <c r="A1185" s="140"/>
      <c r="B1185" s="140"/>
    </row>
    <row r="1186" spans="1:2" ht="13">
      <c r="A1186" s="140"/>
      <c r="B1186" s="140"/>
    </row>
    <row r="1187" spans="1:2" ht="13">
      <c r="A1187" s="140"/>
      <c r="B1187" s="140"/>
    </row>
    <row r="1188" spans="1:2" ht="13">
      <c r="A1188" s="140"/>
      <c r="B1188" s="140"/>
    </row>
    <row r="1189" spans="1:2" ht="13">
      <c r="A1189" s="140"/>
      <c r="B1189" s="140"/>
    </row>
    <row r="1190" spans="1:2" ht="13">
      <c r="A1190" s="140"/>
      <c r="B1190" s="140"/>
    </row>
    <row r="1191" spans="1:2" ht="13">
      <c r="A1191" s="140"/>
      <c r="B1191" s="140"/>
    </row>
    <row r="1192" spans="1:2" ht="13">
      <c r="A1192" s="140"/>
      <c r="B1192" s="140"/>
    </row>
    <row r="1193" spans="1:2" ht="13">
      <c r="A1193" s="140"/>
      <c r="B1193" s="140"/>
    </row>
    <row r="1194" spans="1:2" ht="13">
      <c r="A1194" s="140"/>
      <c r="B1194" s="140"/>
    </row>
    <row r="1195" spans="1:2" ht="13">
      <c r="A1195" s="140"/>
      <c r="B1195" s="140"/>
    </row>
    <row r="1196" spans="1:2" ht="13">
      <c r="A1196" s="140"/>
      <c r="B1196" s="140"/>
    </row>
    <row r="1197" spans="1:2" ht="13">
      <c r="A1197" s="140"/>
      <c r="B1197" s="140"/>
    </row>
    <row r="1198" spans="1:2" ht="13">
      <c r="A1198" s="140"/>
      <c r="B1198" s="140"/>
    </row>
    <row r="1199" spans="1:2" ht="13">
      <c r="A1199" s="140"/>
      <c r="B1199" s="140"/>
    </row>
    <row r="1200" spans="1:2" ht="13">
      <c r="A1200" s="140"/>
      <c r="B1200" s="140"/>
    </row>
    <row r="1201" spans="1:2" ht="13">
      <c r="A1201" s="140"/>
      <c r="B1201" s="140"/>
    </row>
    <row r="1202" spans="1:2" ht="13">
      <c r="A1202" s="140"/>
      <c r="B1202" s="140"/>
    </row>
    <row r="1203" spans="1:2" ht="13">
      <c r="A1203" s="140"/>
      <c r="B1203" s="140"/>
    </row>
    <row r="1204" spans="1:2" ht="13">
      <c r="A1204" s="140"/>
      <c r="B1204" s="140"/>
    </row>
    <row r="1205" spans="1:2" ht="13">
      <c r="A1205" s="140"/>
      <c r="B1205" s="140"/>
    </row>
    <row r="1206" spans="1:2" ht="13">
      <c r="A1206" s="140"/>
      <c r="B1206" s="140"/>
    </row>
    <row r="1207" spans="1:2" ht="13">
      <c r="A1207" s="140"/>
      <c r="B1207" s="140"/>
    </row>
    <row r="1208" spans="1:2" ht="13">
      <c r="A1208" s="140"/>
      <c r="B1208" s="140"/>
    </row>
    <row r="1209" spans="1:2" ht="13">
      <c r="A1209" s="140"/>
      <c r="B1209" s="140"/>
    </row>
    <row r="1210" spans="1:2" ht="13">
      <c r="A1210" s="140"/>
      <c r="B1210" s="140"/>
    </row>
    <row r="1211" spans="1:2" ht="13">
      <c r="A1211" s="140"/>
      <c r="B1211" s="140"/>
    </row>
    <row r="1212" spans="1:2" ht="13">
      <c r="A1212" s="140"/>
      <c r="B1212" s="140"/>
    </row>
    <row r="1213" spans="1:2" ht="13">
      <c r="A1213" s="140"/>
      <c r="B1213" s="140"/>
    </row>
    <row r="1214" spans="1:2" ht="13">
      <c r="A1214" s="140"/>
      <c r="B1214" s="140"/>
    </row>
    <row r="1215" spans="1:2" ht="13">
      <c r="A1215" s="140"/>
      <c r="B1215" s="140"/>
    </row>
    <row r="1216" spans="1:2" ht="13">
      <c r="A1216" s="140"/>
      <c r="B1216" s="140"/>
    </row>
    <row r="1217" spans="1:2" ht="13">
      <c r="A1217" s="140"/>
      <c r="B1217" s="140"/>
    </row>
    <row r="1218" spans="1:2" ht="13">
      <c r="A1218" s="140"/>
      <c r="B1218" s="140"/>
    </row>
    <row r="1219" spans="1:2" ht="13">
      <c r="A1219" s="140"/>
      <c r="B1219" s="140"/>
    </row>
    <row r="1220" spans="1:2" ht="13">
      <c r="A1220" s="140"/>
      <c r="B1220" s="140"/>
    </row>
    <row r="1221" spans="1:2" ht="13">
      <c r="A1221" s="140"/>
      <c r="B1221" s="140"/>
    </row>
    <row r="1222" spans="1:2" ht="13">
      <c r="A1222" s="140"/>
      <c r="B1222" s="140"/>
    </row>
    <row r="1223" spans="1:2" ht="13">
      <c r="A1223" s="140"/>
      <c r="B1223" s="140"/>
    </row>
    <row r="1224" spans="1:2" ht="13">
      <c r="A1224" s="140"/>
      <c r="B1224" s="140"/>
    </row>
    <row r="1225" spans="1:2" ht="13">
      <c r="A1225" s="140"/>
      <c r="B1225" s="140"/>
    </row>
    <row r="1226" spans="1:2" ht="13">
      <c r="A1226" s="140"/>
      <c r="B1226" s="140"/>
    </row>
    <row r="1227" spans="1:2" ht="13">
      <c r="A1227" s="140"/>
      <c r="B1227" s="140"/>
    </row>
    <row r="1228" spans="1:2" ht="13">
      <c r="A1228" s="140"/>
      <c r="B1228" s="140"/>
    </row>
    <row r="1229" spans="1:2" ht="13">
      <c r="A1229" s="140"/>
      <c r="B1229" s="140"/>
    </row>
    <row r="1230" spans="1:2" ht="13">
      <c r="A1230" s="140"/>
      <c r="B1230" s="140"/>
    </row>
    <row r="1231" spans="1:2" ht="13">
      <c r="A1231" s="140"/>
      <c r="B1231" s="140"/>
    </row>
    <row r="1232" spans="1:2" ht="13">
      <c r="A1232" s="140"/>
      <c r="B1232" s="140"/>
    </row>
    <row r="1233" spans="1:2" ht="13">
      <c r="A1233" s="140"/>
      <c r="B1233" s="140"/>
    </row>
    <row r="1234" spans="1:2" ht="13">
      <c r="A1234" s="140"/>
      <c r="B1234" s="140"/>
    </row>
    <row r="1235" spans="1:2" ht="13">
      <c r="A1235" s="140"/>
      <c r="B1235" s="140"/>
    </row>
    <row r="1236" spans="1:2" ht="13">
      <c r="A1236" s="140"/>
      <c r="B1236" s="140"/>
    </row>
    <row r="1237" spans="1:2" ht="13">
      <c r="A1237" s="140"/>
      <c r="B1237" s="140"/>
    </row>
    <row r="1238" spans="1:2" ht="13">
      <c r="A1238" s="140"/>
      <c r="B1238" s="140"/>
    </row>
    <row r="1239" spans="1:2" ht="13">
      <c r="A1239" s="140"/>
      <c r="B1239" s="140"/>
    </row>
    <row r="1240" spans="1:2" ht="13">
      <c r="A1240" s="140"/>
      <c r="B1240" s="140"/>
    </row>
    <row r="1241" spans="1:2" ht="13">
      <c r="A1241" s="140"/>
      <c r="B1241" s="140"/>
    </row>
    <row r="1242" spans="1:2" ht="13">
      <c r="A1242" s="140"/>
      <c r="B1242" s="140"/>
    </row>
    <row r="1243" spans="1:2" ht="13">
      <c r="A1243" s="140"/>
      <c r="B1243" s="140"/>
    </row>
    <row r="1244" spans="1:2" ht="13">
      <c r="A1244" s="140"/>
      <c r="B1244" s="140"/>
    </row>
    <row r="1245" spans="1:2" ht="13">
      <c r="A1245" s="140"/>
      <c r="B1245" s="140"/>
    </row>
    <row r="1246" spans="1:2" ht="13">
      <c r="A1246" s="140"/>
      <c r="B1246" s="140"/>
    </row>
    <row r="1247" spans="1:2" ht="13">
      <c r="A1247" s="140"/>
      <c r="B1247" s="140"/>
    </row>
    <row r="1248" spans="1:2" ht="13">
      <c r="A1248" s="140"/>
      <c r="B1248" s="140"/>
    </row>
    <row r="1249" spans="1:2" ht="13">
      <c r="A1249" s="140"/>
      <c r="B1249" s="140"/>
    </row>
    <row r="1250" spans="1:2" ht="13">
      <c r="A1250" s="140"/>
      <c r="B1250" s="140"/>
    </row>
    <row r="1251" spans="1:2" ht="13">
      <c r="A1251" s="140"/>
      <c r="B1251" s="140"/>
    </row>
    <row r="1252" spans="1:2" ht="13">
      <c r="A1252" s="140"/>
      <c r="B1252" s="140"/>
    </row>
    <row r="1253" spans="1:2" ht="13">
      <c r="A1253" s="140"/>
      <c r="B1253" s="140"/>
    </row>
    <row r="1254" spans="1:2" ht="13">
      <c r="A1254" s="140"/>
      <c r="B1254" s="140"/>
    </row>
    <row r="1255" spans="1:2" ht="13">
      <c r="A1255" s="140"/>
      <c r="B1255" s="140"/>
    </row>
    <row r="1256" spans="1:2" ht="13">
      <c r="A1256" s="140"/>
      <c r="B1256" s="140"/>
    </row>
    <row r="1257" spans="1:2" ht="13">
      <c r="A1257" s="140"/>
      <c r="B1257" s="140"/>
    </row>
    <row r="1258" spans="1:2" ht="13">
      <c r="A1258" s="140"/>
      <c r="B1258" s="140"/>
    </row>
    <row r="1259" spans="1:2" ht="13">
      <c r="A1259" s="140"/>
      <c r="B1259" s="140"/>
    </row>
    <row r="1260" spans="1:2" ht="13">
      <c r="A1260" s="140"/>
      <c r="B1260" s="140"/>
    </row>
    <row r="1261" spans="1:2" ht="13">
      <c r="A1261" s="140"/>
      <c r="B1261" s="140"/>
    </row>
    <row r="1262" spans="1:2" ht="13">
      <c r="A1262" s="140"/>
      <c r="B1262" s="140"/>
    </row>
    <row r="1263" spans="1:2" ht="13">
      <c r="A1263" s="140"/>
      <c r="B1263" s="140"/>
    </row>
    <row r="1264" spans="1:2" ht="13">
      <c r="A1264" s="140"/>
      <c r="B1264" s="140"/>
    </row>
    <row r="1265" spans="1:2" ht="13">
      <c r="A1265" s="140"/>
      <c r="B1265" s="140"/>
    </row>
    <row r="1266" spans="1:2" ht="13">
      <c r="A1266" s="140"/>
      <c r="B1266" s="140"/>
    </row>
    <row r="1267" spans="1:2" ht="13">
      <c r="A1267" s="140"/>
      <c r="B1267" s="140"/>
    </row>
    <row r="1268" spans="1:2" ht="13">
      <c r="A1268" s="140"/>
      <c r="B1268" s="140"/>
    </row>
    <row r="1269" spans="1:2" ht="13">
      <c r="A1269" s="140"/>
      <c r="B1269" s="140"/>
    </row>
    <row r="1270" spans="1:2" ht="13">
      <c r="A1270" s="140"/>
      <c r="B1270" s="140"/>
    </row>
    <row r="1271" spans="1:2" ht="13">
      <c r="A1271" s="140"/>
      <c r="B1271" s="140"/>
    </row>
    <row r="1272" spans="1:2" ht="13">
      <c r="A1272" s="140"/>
      <c r="B1272" s="140"/>
    </row>
    <row r="1273" spans="1:2" ht="13">
      <c r="A1273" s="140"/>
      <c r="B1273" s="140"/>
    </row>
    <row r="1274" spans="1:2" ht="13">
      <c r="A1274" s="140"/>
      <c r="B1274" s="140"/>
    </row>
    <row r="1275" spans="1:2" ht="13">
      <c r="A1275" s="140"/>
      <c r="B1275" s="140"/>
    </row>
    <row r="1276" spans="1:2" ht="13">
      <c r="A1276" s="140"/>
      <c r="B1276" s="140"/>
    </row>
    <row r="1277" spans="1:2" ht="13">
      <c r="A1277" s="140"/>
      <c r="B1277" s="140"/>
    </row>
    <row r="1278" spans="1:2" ht="13">
      <c r="A1278" s="140"/>
      <c r="B1278" s="140"/>
    </row>
    <row r="1279" spans="1:2" ht="13">
      <c r="A1279" s="140"/>
      <c r="B1279" s="140"/>
    </row>
    <row r="1280" spans="1:2" ht="13">
      <c r="A1280" s="140"/>
      <c r="B1280" s="140"/>
    </row>
    <row r="1281" spans="1:2" ht="13">
      <c r="A1281" s="140"/>
      <c r="B1281" s="140"/>
    </row>
    <row r="1282" spans="1:2" ht="13">
      <c r="A1282" s="140"/>
      <c r="B1282" s="140"/>
    </row>
    <row r="1283" spans="1:2" ht="13">
      <c r="A1283" s="140"/>
      <c r="B1283" s="140"/>
    </row>
    <row r="1284" spans="1:2" ht="13">
      <c r="A1284" s="140"/>
      <c r="B1284" s="140"/>
    </row>
    <row r="1285" spans="1:2" ht="13">
      <c r="A1285" s="140"/>
      <c r="B1285" s="140"/>
    </row>
    <row r="1286" spans="1:2" ht="13">
      <c r="A1286" s="140"/>
      <c r="B1286" s="140"/>
    </row>
    <row r="1287" spans="1:2" ht="13">
      <c r="A1287" s="140"/>
      <c r="B1287" s="140"/>
    </row>
    <row r="1288" spans="1:2" ht="13">
      <c r="A1288" s="140"/>
      <c r="B1288" s="140"/>
    </row>
    <row r="1289" spans="1:2" ht="13">
      <c r="A1289" s="140"/>
      <c r="B1289" s="140"/>
    </row>
    <row r="1290" spans="1:2" ht="13">
      <c r="A1290" s="140"/>
      <c r="B1290" s="140"/>
    </row>
    <row r="1291" spans="1:2" ht="13">
      <c r="A1291" s="140"/>
      <c r="B1291" s="140"/>
    </row>
    <row r="1292" spans="1:2" ht="13">
      <c r="A1292" s="140"/>
      <c r="B1292" s="140"/>
    </row>
    <row r="1293" spans="1:2" ht="13">
      <c r="A1293" s="140"/>
      <c r="B1293" s="140"/>
    </row>
    <row r="1294" spans="1:2" ht="13">
      <c r="A1294" s="140"/>
      <c r="B1294" s="140"/>
    </row>
    <row r="1295" spans="1:2" ht="13">
      <c r="A1295" s="140"/>
      <c r="B1295" s="140"/>
    </row>
    <row r="1296" spans="1:2" ht="13">
      <c r="A1296" s="140"/>
      <c r="B1296" s="140"/>
    </row>
    <row r="1297" spans="1:2" ht="13">
      <c r="A1297" s="140"/>
      <c r="B1297" s="140"/>
    </row>
    <row r="1298" spans="1:2" ht="13">
      <c r="A1298" s="140"/>
      <c r="B1298" s="140"/>
    </row>
    <row r="1299" spans="1:2" ht="13">
      <c r="A1299" s="140"/>
      <c r="B1299" s="140"/>
    </row>
    <row r="1300" spans="1:2" ht="13">
      <c r="A1300" s="140"/>
      <c r="B1300" s="140"/>
    </row>
    <row r="1301" spans="1:2" ht="13">
      <c r="A1301" s="140"/>
      <c r="B1301" s="140"/>
    </row>
    <row r="1302" spans="1:2" ht="13">
      <c r="A1302" s="140"/>
      <c r="B1302" s="140"/>
    </row>
    <row r="1303" spans="1:2" ht="13">
      <c r="A1303" s="140"/>
      <c r="B1303" s="140"/>
    </row>
    <row r="1304" spans="1:2" ht="13">
      <c r="A1304" s="140"/>
      <c r="B1304" s="140"/>
    </row>
    <row r="1305" spans="1:2" ht="13">
      <c r="A1305" s="140"/>
      <c r="B1305" s="140"/>
    </row>
    <row r="1306" spans="1:2" ht="13">
      <c r="A1306" s="140"/>
      <c r="B1306" s="140"/>
    </row>
    <row r="1307" spans="1:2" ht="13">
      <c r="A1307" s="140"/>
      <c r="B1307" s="140"/>
    </row>
    <row r="1308" spans="1:2" ht="13">
      <c r="A1308" s="140"/>
      <c r="B1308" s="140"/>
    </row>
    <row r="1309" spans="1:2" ht="13">
      <c r="A1309" s="140"/>
      <c r="B1309" s="140"/>
    </row>
    <row r="1310" spans="1:2" ht="13">
      <c r="A1310" s="140"/>
      <c r="B1310" s="140"/>
    </row>
    <row r="1311" spans="1:2" ht="13">
      <c r="A1311" s="140"/>
      <c r="B1311" s="140"/>
    </row>
    <row r="1312" spans="1:2" ht="13">
      <c r="A1312" s="140"/>
      <c r="B1312" s="140"/>
    </row>
    <row r="1313" spans="1:2" ht="13">
      <c r="A1313" s="140"/>
      <c r="B1313" s="140"/>
    </row>
    <row r="1314" spans="1:2" ht="13">
      <c r="A1314" s="140"/>
      <c r="B1314" s="140"/>
    </row>
    <row r="1315" spans="1:2" ht="13">
      <c r="A1315" s="140"/>
      <c r="B1315" s="140"/>
    </row>
    <row r="1316" spans="1:2" ht="13">
      <c r="A1316" s="140"/>
      <c r="B1316" s="140"/>
    </row>
    <row r="1317" spans="1:2" ht="13">
      <c r="A1317" s="140"/>
      <c r="B1317" s="140"/>
    </row>
    <row r="1318" spans="1:2" ht="13">
      <c r="A1318" s="140"/>
      <c r="B1318" s="140"/>
    </row>
    <row r="1319" spans="1:2" ht="13">
      <c r="A1319" s="140"/>
      <c r="B1319" s="140"/>
    </row>
    <row r="1320" spans="1:2" ht="13">
      <c r="A1320" s="140"/>
      <c r="B1320" s="140"/>
    </row>
    <row r="1321" spans="1:2" ht="13">
      <c r="A1321" s="140"/>
      <c r="B1321" s="140"/>
    </row>
    <row r="1322" spans="1:2" ht="13">
      <c r="A1322" s="140"/>
      <c r="B1322" s="140"/>
    </row>
    <row r="1323" spans="1:2" ht="13">
      <c r="A1323" s="140"/>
      <c r="B1323" s="140"/>
    </row>
    <row r="1324" spans="1:2" ht="13">
      <c r="A1324" s="140"/>
      <c r="B1324" s="140"/>
    </row>
    <row r="1325" spans="1:2" ht="13">
      <c r="A1325" s="140"/>
      <c r="B1325" s="140"/>
    </row>
    <row r="1326" spans="1:2" ht="13">
      <c r="A1326" s="140"/>
      <c r="B1326" s="140"/>
    </row>
    <row r="1327" spans="1:2" ht="13">
      <c r="A1327" s="140"/>
      <c r="B1327" s="140"/>
    </row>
    <row r="1328" spans="1:2" ht="13">
      <c r="A1328" s="140"/>
      <c r="B1328" s="140"/>
    </row>
    <row r="1329" spans="1:2" ht="13">
      <c r="A1329" s="140"/>
      <c r="B1329" s="140"/>
    </row>
    <row r="1330" spans="1:2" ht="13">
      <c r="A1330" s="140"/>
      <c r="B1330" s="140"/>
    </row>
    <row r="1331" spans="1:2" ht="13">
      <c r="A1331" s="140"/>
      <c r="B1331" s="140"/>
    </row>
    <row r="1332" spans="1:2" ht="13">
      <c r="A1332" s="140"/>
      <c r="B1332" s="140"/>
    </row>
    <row r="1333" spans="1:2" ht="13">
      <c r="A1333" s="140"/>
      <c r="B1333" s="140"/>
    </row>
    <row r="1334" spans="1:2" ht="13">
      <c r="A1334" s="140"/>
      <c r="B1334" s="140"/>
    </row>
    <row r="1335" spans="1:2" ht="13">
      <c r="A1335" s="140"/>
      <c r="B1335" s="140"/>
    </row>
    <row r="1336" spans="1:2" ht="13">
      <c r="A1336" s="140"/>
      <c r="B1336" s="140"/>
    </row>
    <row r="1337" spans="1:2" ht="13">
      <c r="A1337" s="140"/>
      <c r="B1337" s="140"/>
    </row>
    <row r="1338" spans="1:2" ht="13">
      <c r="A1338" s="140"/>
      <c r="B1338" s="140"/>
    </row>
    <row r="1339" spans="1:2" ht="13">
      <c r="A1339" s="140"/>
      <c r="B1339" s="140"/>
    </row>
    <row r="1340" spans="1:2" ht="13">
      <c r="A1340" s="140"/>
      <c r="B1340" s="140"/>
    </row>
    <row r="1341" spans="1:2" ht="13">
      <c r="A1341" s="140"/>
      <c r="B1341" s="140"/>
    </row>
    <row r="1342" spans="1:2" ht="13">
      <c r="A1342" s="140"/>
      <c r="B1342" s="140"/>
    </row>
    <row r="1343" spans="1:2" ht="13">
      <c r="A1343" s="140"/>
      <c r="B1343" s="140"/>
    </row>
    <row r="1344" spans="1:2" ht="13">
      <c r="A1344" s="140"/>
      <c r="B1344" s="140"/>
    </row>
    <row r="1345" spans="1:2" ht="13">
      <c r="A1345" s="140"/>
      <c r="B1345" s="140"/>
    </row>
    <row r="1346" spans="1:2" ht="13">
      <c r="A1346" s="140"/>
      <c r="B1346" s="140"/>
    </row>
    <row r="1347" spans="1:2" ht="13">
      <c r="A1347" s="140"/>
      <c r="B1347" s="140"/>
    </row>
    <row r="1348" spans="1:2" ht="13">
      <c r="A1348" s="140"/>
      <c r="B1348" s="140"/>
    </row>
    <row r="1349" spans="1:2" ht="13">
      <c r="A1349" s="140"/>
      <c r="B1349" s="140"/>
    </row>
    <row r="1350" spans="1:2" ht="13">
      <c r="A1350" s="140"/>
      <c r="B1350" s="140"/>
    </row>
    <row r="1351" spans="1:2" ht="13">
      <c r="A1351" s="140"/>
      <c r="B1351" s="140"/>
    </row>
    <row r="1352" spans="1:2" ht="13">
      <c r="A1352" s="140"/>
      <c r="B1352" s="140"/>
    </row>
    <row r="1353" spans="1:2" ht="13">
      <c r="A1353" s="140"/>
      <c r="B1353" s="140"/>
    </row>
    <row r="1354" spans="1:2" ht="13">
      <c r="A1354" s="140"/>
      <c r="B1354" s="140"/>
    </row>
    <row r="1355" spans="1:2" ht="13">
      <c r="A1355" s="140"/>
      <c r="B1355" s="140"/>
    </row>
    <row r="1356" spans="1:2" ht="13">
      <c r="A1356" s="140"/>
      <c r="B1356" s="140"/>
    </row>
    <row r="1357" spans="1:2" ht="13">
      <c r="A1357" s="140"/>
      <c r="B1357" s="140"/>
    </row>
    <row r="1358" spans="1:2" ht="13">
      <c r="A1358" s="140"/>
      <c r="B1358" s="140"/>
    </row>
    <row r="1359" spans="1:2" ht="13">
      <c r="A1359" s="140"/>
      <c r="B1359" s="140"/>
    </row>
    <row r="1360" spans="1:2" ht="13">
      <c r="A1360" s="140"/>
      <c r="B1360" s="140"/>
    </row>
    <row r="1361" spans="1:2" ht="13">
      <c r="A1361" s="140"/>
      <c r="B1361" s="140"/>
    </row>
    <row r="1362" spans="1:2" ht="13">
      <c r="A1362" s="140"/>
      <c r="B1362" s="140"/>
    </row>
    <row r="1363" spans="1:2" ht="13">
      <c r="A1363" s="140"/>
      <c r="B1363" s="140"/>
    </row>
    <row r="1364" spans="1:2" ht="13">
      <c r="A1364" s="140"/>
      <c r="B1364" s="140"/>
    </row>
    <row r="1365" spans="1:2" ht="13">
      <c r="A1365" s="140"/>
      <c r="B1365" s="140"/>
    </row>
    <row r="1366" spans="1:2" ht="13">
      <c r="A1366" s="140"/>
      <c r="B1366" s="140"/>
    </row>
    <row r="1367" spans="1:2" ht="13">
      <c r="A1367" s="140"/>
      <c r="B1367" s="140"/>
    </row>
    <row r="1368" spans="1:2" ht="13">
      <c r="A1368" s="140"/>
      <c r="B1368" s="140"/>
    </row>
    <row r="1369" spans="1:2" ht="13">
      <c r="A1369" s="140"/>
      <c r="B1369" s="140"/>
    </row>
    <row r="1370" spans="1:2" ht="13">
      <c r="A1370" s="140"/>
      <c r="B1370" s="140"/>
    </row>
    <row r="1371" spans="1:2" ht="13">
      <c r="A1371" s="140"/>
      <c r="B1371" s="140"/>
    </row>
    <row r="1372" spans="1:2" ht="13">
      <c r="A1372" s="140"/>
      <c r="B1372" s="140"/>
    </row>
    <row r="1373" spans="1:2" ht="13">
      <c r="A1373" s="140"/>
      <c r="B1373" s="140"/>
    </row>
    <row r="1374" spans="1:2" ht="13">
      <c r="A1374" s="140"/>
      <c r="B1374" s="140"/>
    </row>
    <row r="1375" spans="1:2" ht="13">
      <c r="A1375" s="140"/>
      <c r="B1375" s="140"/>
    </row>
    <row r="1376" spans="1:2" ht="13">
      <c r="A1376" s="140"/>
      <c r="B1376" s="140"/>
    </row>
    <row r="1377" spans="1:2" ht="13">
      <c r="A1377" s="140"/>
      <c r="B1377" s="140"/>
    </row>
    <row r="1378" spans="1:2" ht="13">
      <c r="A1378" s="140"/>
      <c r="B1378" s="140"/>
    </row>
    <row r="1379" spans="1:2" ht="13">
      <c r="A1379" s="140"/>
      <c r="B1379" s="140"/>
    </row>
    <row r="1380" spans="1:2" ht="13">
      <c r="A1380" s="140"/>
      <c r="B1380" s="140"/>
    </row>
    <row r="1381" spans="1:2" ht="13">
      <c r="A1381" s="140"/>
      <c r="B1381" s="140"/>
    </row>
    <row r="1382" spans="1:2" ht="13">
      <c r="A1382" s="140"/>
      <c r="B1382" s="140"/>
    </row>
    <row r="1383" spans="1:2" ht="13">
      <c r="A1383" s="140"/>
      <c r="B1383" s="140"/>
    </row>
    <row r="1384" spans="1:2" ht="13">
      <c r="A1384" s="140"/>
      <c r="B1384" s="140"/>
    </row>
    <row r="1385" spans="1:2" ht="13">
      <c r="A1385" s="140"/>
      <c r="B1385" s="140"/>
    </row>
    <row r="1386" spans="1:2" ht="13">
      <c r="A1386" s="140"/>
      <c r="B1386" s="140"/>
    </row>
    <row r="1387" spans="1:2" ht="13">
      <c r="A1387" s="140"/>
      <c r="B1387" s="140"/>
    </row>
    <row r="1388" spans="1:2" ht="13">
      <c r="A1388" s="140"/>
      <c r="B1388" s="140"/>
    </row>
    <row r="1389" spans="1:2" ht="13">
      <c r="A1389" s="140"/>
      <c r="B1389" s="140"/>
    </row>
    <row r="1390" spans="1:2" ht="13">
      <c r="A1390" s="140"/>
      <c r="B1390" s="140"/>
    </row>
    <row r="1391" spans="1:2" ht="13">
      <c r="A1391" s="140"/>
      <c r="B1391" s="140"/>
    </row>
    <row r="1392" spans="1:2" ht="13">
      <c r="A1392" s="140"/>
      <c r="B1392" s="140"/>
    </row>
    <row r="1393" spans="1:2" ht="13">
      <c r="A1393" s="140"/>
      <c r="B1393" s="140"/>
    </row>
    <row r="1394" spans="1:2" ht="13">
      <c r="A1394" s="140"/>
      <c r="B1394" s="140"/>
    </row>
    <row r="1395" spans="1:2" ht="13">
      <c r="A1395" s="140"/>
      <c r="B1395" s="140"/>
    </row>
    <row r="1396" spans="1:2" ht="13">
      <c r="A1396" s="140"/>
      <c r="B1396" s="140"/>
    </row>
    <row r="1397" spans="1:2" ht="13">
      <c r="A1397" s="140"/>
      <c r="B1397" s="140"/>
    </row>
    <row r="1398" spans="1:2" ht="13">
      <c r="A1398" s="140"/>
      <c r="B1398" s="140"/>
    </row>
    <row r="1399" spans="1:2" ht="13">
      <c r="A1399" s="140"/>
      <c r="B1399" s="140"/>
    </row>
    <row r="1400" spans="1:2" ht="13">
      <c r="A1400" s="140"/>
      <c r="B1400" s="140"/>
    </row>
    <row r="1401" spans="1:2" ht="13">
      <c r="A1401" s="140"/>
      <c r="B1401" s="140"/>
    </row>
    <row r="1402" spans="1:2" ht="13">
      <c r="A1402" s="140"/>
      <c r="B1402" s="140"/>
    </row>
    <row r="1403" spans="1:2" ht="13">
      <c r="A1403" s="140"/>
      <c r="B1403" s="140"/>
    </row>
    <row r="1404" spans="1:2" ht="13">
      <c r="A1404" s="140"/>
      <c r="B1404" s="140"/>
    </row>
    <row r="1405" spans="1:2" ht="13">
      <c r="A1405" s="140"/>
      <c r="B1405" s="140"/>
    </row>
    <row r="1406" spans="1:2" ht="13">
      <c r="A1406" s="140"/>
      <c r="B1406" s="140"/>
    </row>
    <row r="1407" spans="1:2" ht="13">
      <c r="A1407" s="140"/>
      <c r="B1407" s="140"/>
    </row>
    <row r="1408" spans="1:2" ht="13">
      <c r="A1408" s="140"/>
      <c r="B1408" s="140"/>
    </row>
    <row r="1409" spans="1:2" ht="13">
      <c r="A1409" s="140"/>
      <c r="B1409" s="140"/>
    </row>
    <row r="1410" spans="1:2" ht="13">
      <c r="A1410" s="140"/>
      <c r="B1410" s="140"/>
    </row>
    <row r="1411" spans="1:2" ht="13">
      <c r="A1411" s="140"/>
      <c r="B1411" s="140"/>
    </row>
    <row r="1412" spans="1:2" ht="13">
      <c r="A1412" s="140"/>
      <c r="B1412" s="140"/>
    </row>
    <row r="1413" spans="1:2" ht="13">
      <c r="A1413" s="140"/>
      <c r="B1413" s="140"/>
    </row>
    <row r="1414" spans="1:2" ht="13">
      <c r="A1414" s="140"/>
      <c r="B1414" s="140"/>
    </row>
    <row r="1415" spans="1:2" ht="13">
      <c r="A1415" s="140"/>
      <c r="B1415" s="140"/>
    </row>
    <row r="1416" spans="1:2" ht="13">
      <c r="A1416" s="140"/>
      <c r="B1416" s="140"/>
    </row>
    <row r="1417" spans="1:2" ht="13">
      <c r="A1417" s="140"/>
      <c r="B1417" s="140"/>
    </row>
    <row r="1418" spans="1:2" ht="13">
      <c r="A1418" s="140"/>
      <c r="B1418" s="140"/>
    </row>
    <row r="1419" spans="1:2" ht="13">
      <c r="A1419" s="140"/>
      <c r="B1419" s="140"/>
    </row>
    <row r="1420" spans="1:2" ht="13">
      <c r="A1420" s="140"/>
      <c r="B1420" s="140"/>
    </row>
    <row r="1421" spans="1:2" ht="13">
      <c r="A1421" s="140"/>
      <c r="B1421" s="140"/>
    </row>
    <row r="1422" spans="1:2" ht="13">
      <c r="A1422" s="140"/>
      <c r="B1422" s="140"/>
    </row>
    <row r="1423" spans="1:2" ht="13">
      <c r="A1423" s="140"/>
      <c r="B1423" s="140"/>
    </row>
    <row r="1424" spans="1:2" ht="13">
      <c r="A1424" s="140"/>
      <c r="B1424" s="140"/>
    </row>
    <row r="1425" spans="1:2" ht="13">
      <c r="A1425" s="140"/>
      <c r="B1425" s="140"/>
    </row>
    <row r="1426" spans="1:2" ht="13">
      <c r="A1426" s="140"/>
      <c r="B1426" s="140"/>
    </row>
    <row r="1427" spans="1:2" ht="13">
      <c r="A1427" s="140"/>
      <c r="B1427" s="140"/>
    </row>
    <row r="1428" spans="1:2" ht="13">
      <c r="A1428" s="140"/>
      <c r="B1428" s="140"/>
    </row>
    <row r="1429" spans="1:2" ht="13">
      <c r="A1429" s="140"/>
      <c r="B1429" s="140"/>
    </row>
    <row r="1430" spans="1:2" ht="13">
      <c r="A1430" s="140"/>
      <c r="B1430" s="140"/>
    </row>
    <row r="1431" spans="1:2" ht="13">
      <c r="A1431" s="140"/>
      <c r="B1431" s="140"/>
    </row>
    <row r="1432" spans="1:2" ht="13">
      <c r="A1432" s="140"/>
      <c r="B1432" s="140"/>
    </row>
    <row r="1433" spans="1:2" ht="13">
      <c r="A1433" s="140"/>
      <c r="B1433" s="140"/>
    </row>
    <row r="1434" spans="1:2" ht="13">
      <c r="A1434" s="140"/>
      <c r="B1434" s="140"/>
    </row>
    <row r="1435" spans="1:2" ht="13">
      <c r="A1435" s="140"/>
      <c r="B1435" s="140"/>
    </row>
    <row r="1436" spans="1:2" ht="13">
      <c r="A1436" s="140"/>
      <c r="B1436" s="140"/>
    </row>
    <row r="1437" spans="1:2" ht="13">
      <c r="A1437" s="140"/>
      <c r="B1437" s="140"/>
    </row>
    <row r="1438" spans="1:2" ht="13">
      <c r="A1438" s="140"/>
      <c r="B1438" s="140"/>
    </row>
    <row r="1439" spans="1:2" ht="13">
      <c r="A1439" s="140"/>
      <c r="B1439" s="140"/>
    </row>
    <row r="1440" spans="1:2" ht="13">
      <c r="A1440" s="140"/>
      <c r="B1440" s="140"/>
    </row>
    <row r="1441" spans="1:2" ht="13">
      <c r="A1441" s="140"/>
      <c r="B1441" s="140"/>
    </row>
    <row r="1442" spans="1:2" ht="13">
      <c r="A1442" s="140"/>
      <c r="B1442" s="140"/>
    </row>
    <row r="1443" spans="1:2" ht="13">
      <c r="A1443" s="140"/>
      <c r="B1443" s="140"/>
    </row>
    <row r="1444" spans="1:2" ht="13">
      <c r="A1444" s="140"/>
      <c r="B1444" s="140"/>
    </row>
    <row r="1445" spans="1:2" ht="13">
      <c r="A1445" s="140"/>
      <c r="B1445" s="140"/>
    </row>
    <row r="1446" spans="1:2" ht="13">
      <c r="A1446" s="140"/>
      <c r="B1446" s="140"/>
    </row>
    <row r="1447" spans="1:2" ht="13">
      <c r="A1447" s="140"/>
      <c r="B1447" s="140"/>
    </row>
    <row r="1448" spans="1:2" ht="13">
      <c r="A1448" s="140"/>
      <c r="B1448" s="140"/>
    </row>
    <row r="1449" spans="1:2" ht="13">
      <c r="A1449" s="140"/>
      <c r="B1449" s="140"/>
    </row>
    <row r="1450" spans="1:2" ht="13">
      <c r="A1450" s="140"/>
      <c r="B1450" s="140"/>
    </row>
    <row r="1451" spans="1:2" ht="13">
      <c r="A1451" s="140"/>
      <c r="B1451" s="140"/>
    </row>
    <row r="1452" spans="1:2" ht="13">
      <c r="A1452" s="140"/>
      <c r="B1452" s="140"/>
    </row>
    <row r="1453" spans="1:2" ht="13">
      <c r="A1453" s="140"/>
      <c r="B1453" s="140"/>
    </row>
    <row r="1454" spans="1:2" ht="13">
      <c r="A1454" s="140"/>
      <c r="B1454" s="140"/>
    </row>
    <row r="1455" spans="1:2" ht="13">
      <c r="A1455" s="140"/>
      <c r="B1455" s="140"/>
    </row>
    <row r="1456" spans="1:2" ht="13">
      <c r="A1456" s="140"/>
      <c r="B1456" s="140"/>
    </row>
    <row r="1457" spans="1:2" ht="13">
      <c r="A1457" s="140"/>
      <c r="B1457" s="140"/>
    </row>
    <row r="1458" spans="1:2" ht="13">
      <c r="A1458" s="140"/>
      <c r="B1458" s="140"/>
    </row>
    <row r="1459" spans="1:2" ht="13">
      <c r="A1459" s="140"/>
      <c r="B1459" s="140"/>
    </row>
    <row r="1460" spans="1:2" ht="13">
      <c r="A1460" s="140"/>
      <c r="B1460" s="140"/>
    </row>
    <row r="1461" spans="1:2" ht="13">
      <c r="A1461" s="140"/>
      <c r="B1461" s="140"/>
    </row>
    <row r="1462" spans="1:2" ht="13">
      <c r="A1462" s="140"/>
      <c r="B1462" s="140"/>
    </row>
    <row r="1463" spans="1:2" ht="13">
      <c r="A1463" s="140"/>
      <c r="B1463" s="140"/>
    </row>
    <row r="1464" spans="1:2" ht="13">
      <c r="A1464" s="140"/>
      <c r="B1464" s="140"/>
    </row>
    <row r="1465" spans="1:2" ht="13">
      <c r="A1465" s="140"/>
      <c r="B1465" s="140"/>
    </row>
    <row r="1466" spans="1:2" ht="13">
      <c r="A1466" s="140"/>
      <c r="B1466" s="140"/>
    </row>
    <row r="1467" spans="1:2" ht="13">
      <c r="A1467" s="140"/>
      <c r="B1467" s="140"/>
    </row>
    <row r="1468" spans="1:2" ht="13">
      <c r="A1468" s="140"/>
      <c r="B1468" s="140"/>
    </row>
    <row r="1469" spans="1:2" ht="13">
      <c r="A1469" s="140"/>
      <c r="B1469" s="140"/>
    </row>
    <row r="1470" spans="1:2" ht="13">
      <c r="A1470" s="140"/>
      <c r="B1470" s="140"/>
    </row>
    <row r="1471" spans="1:2" ht="13">
      <c r="A1471" s="140"/>
      <c r="B1471" s="140"/>
    </row>
    <row r="1472" spans="1:2" ht="13">
      <c r="A1472" s="140"/>
      <c r="B1472" s="140"/>
    </row>
    <row r="1473" spans="1:2" ht="13">
      <c r="A1473" s="140"/>
      <c r="B1473" s="140"/>
    </row>
    <row r="1474" spans="1:2" ht="13">
      <c r="A1474" s="140"/>
      <c r="B1474" s="140"/>
    </row>
    <row r="1475" spans="1:2" ht="13">
      <c r="A1475" s="140"/>
      <c r="B1475" s="140"/>
    </row>
    <row r="1476" spans="1:2" ht="13">
      <c r="A1476" s="140"/>
      <c r="B1476" s="140"/>
    </row>
    <row r="1477" spans="1:2" ht="13">
      <c r="A1477" s="140"/>
      <c r="B1477" s="140"/>
    </row>
    <row r="1478" spans="1:2" ht="13">
      <c r="A1478" s="140"/>
      <c r="B1478" s="140"/>
    </row>
    <row r="1479" spans="1:2" ht="13">
      <c r="A1479" s="140"/>
      <c r="B1479" s="140"/>
    </row>
    <row r="1480" spans="1:2" ht="13">
      <c r="A1480" s="140"/>
      <c r="B1480" s="140"/>
    </row>
    <row r="1481" spans="1:2" ht="13">
      <c r="A1481" s="140"/>
      <c r="B1481" s="140"/>
    </row>
    <row r="1482" spans="1:2" ht="13">
      <c r="A1482" s="140"/>
      <c r="B1482" s="140"/>
    </row>
    <row r="1483" spans="1:2" ht="13">
      <c r="A1483" s="140"/>
      <c r="B1483" s="140"/>
    </row>
    <row r="1484" spans="1:2" ht="13">
      <c r="A1484" s="140"/>
      <c r="B1484" s="140"/>
    </row>
    <row r="1485" spans="1:2" ht="13">
      <c r="A1485" s="140"/>
      <c r="B1485" s="140"/>
    </row>
    <row r="1486" spans="1:2" ht="13">
      <c r="A1486" s="140"/>
      <c r="B1486" s="140"/>
    </row>
    <row r="1487" spans="1:2" ht="13">
      <c r="A1487" s="140"/>
      <c r="B1487" s="140"/>
    </row>
    <row r="1488" spans="1:2" ht="13">
      <c r="A1488" s="140"/>
      <c r="B1488" s="140"/>
    </row>
    <row r="1489" spans="1:2" ht="13">
      <c r="A1489" s="140"/>
      <c r="B1489" s="140"/>
    </row>
    <row r="1490" spans="1:2" ht="13">
      <c r="A1490" s="140"/>
      <c r="B1490" s="140"/>
    </row>
    <row r="1491" spans="1:2" ht="13">
      <c r="A1491" s="140"/>
      <c r="B1491" s="140"/>
    </row>
    <row r="1492" spans="1:2" ht="13">
      <c r="A1492" s="140"/>
      <c r="B1492" s="140"/>
    </row>
    <row r="1493" spans="1:2" ht="13">
      <c r="A1493" s="140"/>
      <c r="B1493" s="140"/>
    </row>
    <row r="1494" spans="1:2" ht="13">
      <c r="A1494" s="140"/>
      <c r="B1494" s="140"/>
    </row>
    <row r="1495" spans="1:2" ht="13">
      <c r="A1495" s="140"/>
      <c r="B1495" s="140"/>
    </row>
    <row r="1496" spans="1:2" ht="13">
      <c r="A1496" s="140"/>
      <c r="B1496" s="140"/>
    </row>
    <row r="1497" spans="1:2" ht="13">
      <c r="A1497" s="140"/>
      <c r="B1497" s="140"/>
    </row>
    <row r="1498" spans="1:2" ht="13">
      <c r="A1498" s="140"/>
      <c r="B1498" s="140"/>
    </row>
    <row r="1499" spans="1:2" ht="13">
      <c r="A1499" s="140"/>
      <c r="B1499" s="140"/>
    </row>
    <row r="1500" spans="1:2" ht="13">
      <c r="A1500" s="140"/>
      <c r="B1500" s="140"/>
    </row>
    <row r="1501" spans="1:2" ht="13">
      <c r="A1501" s="140"/>
      <c r="B1501" s="140"/>
    </row>
    <row r="1502" spans="1:2" ht="13">
      <c r="A1502" s="140"/>
      <c r="B1502" s="140"/>
    </row>
    <row r="1503" spans="1:2" ht="13">
      <c r="A1503" s="140"/>
      <c r="B1503" s="140"/>
    </row>
    <row r="1504" spans="1:2" ht="13">
      <c r="A1504" s="140"/>
      <c r="B1504" s="140"/>
    </row>
    <row r="1505" spans="1:2" ht="13">
      <c r="A1505" s="140"/>
      <c r="B1505" s="140"/>
    </row>
    <row r="1506" spans="1:2" ht="13">
      <c r="A1506" s="140"/>
      <c r="B1506" s="140"/>
    </row>
    <row r="1507" spans="1:2" ht="13">
      <c r="A1507" s="140"/>
      <c r="B1507" s="140"/>
    </row>
    <row r="1508" spans="1:2" ht="13">
      <c r="A1508" s="140"/>
      <c r="B1508" s="140"/>
    </row>
    <row r="1509" spans="1:2" ht="13">
      <c r="A1509" s="140"/>
      <c r="B1509" s="140"/>
    </row>
    <row r="1510" spans="1:2" ht="13">
      <c r="A1510" s="140"/>
      <c r="B1510" s="140"/>
    </row>
    <row r="1511" spans="1:2" ht="13">
      <c r="A1511" s="140"/>
      <c r="B1511" s="140"/>
    </row>
    <row r="1512" spans="1:2" ht="13">
      <c r="A1512" s="140"/>
      <c r="B1512" s="140"/>
    </row>
    <row r="1513" spans="1:2" ht="13">
      <c r="A1513" s="140"/>
      <c r="B1513" s="140"/>
    </row>
    <row r="1514" spans="1:2" ht="13">
      <c r="A1514" s="140"/>
      <c r="B1514" s="140"/>
    </row>
    <row r="1515" spans="1:2" ht="13">
      <c r="A1515" s="140"/>
      <c r="B1515" s="140"/>
    </row>
    <row r="1516" spans="1:2" ht="13">
      <c r="A1516" s="140"/>
      <c r="B1516" s="140"/>
    </row>
    <row r="1517" spans="1:2" ht="13">
      <c r="A1517" s="140"/>
      <c r="B1517" s="140"/>
    </row>
    <row r="1518" spans="1:2" ht="13">
      <c r="A1518" s="140"/>
      <c r="B1518" s="140"/>
    </row>
    <row r="1519" spans="1:2" ht="13">
      <c r="A1519" s="140"/>
      <c r="B1519" s="140"/>
    </row>
    <row r="1520" spans="1:2" ht="13">
      <c r="A1520" s="140"/>
      <c r="B1520" s="140"/>
    </row>
    <row r="1521" spans="1:2" ht="13">
      <c r="A1521" s="140"/>
      <c r="B1521" s="140"/>
    </row>
    <row r="1522" spans="1:2" ht="13">
      <c r="A1522" s="140"/>
      <c r="B1522" s="140"/>
    </row>
    <row r="1523" spans="1:2" ht="13">
      <c r="A1523" s="140"/>
      <c r="B1523" s="140"/>
    </row>
    <row r="1524" spans="1:2" ht="13">
      <c r="A1524" s="140"/>
      <c r="B1524" s="140"/>
    </row>
    <row r="1525" spans="1:2" ht="13">
      <c r="A1525" s="140"/>
      <c r="B1525" s="140"/>
    </row>
    <row r="1526" spans="1:2" ht="13">
      <c r="A1526" s="140"/>
      <c r="B1526" s="140"/>
    </row>
    <row r="1527" spans="1:2" ht="13">
      <c r="A1527" s="140"/>
      <c r="B1527" s="140"/>
    </row>
    <row r="1528" spans="1:2" ht="13">
      <c r="A1528" s="140"/>
      <c r="B1528" s="140"/>
    </row>
    <row r="1529" spans="1:2" ht="13">
      <c r="A1529" s="140"/>
      <c r="B1529" s="140"/>
    </row>
    <row r="1530" spans="1:2" ht="13">
      <c r="A1530" s="140"/>
      <c r="B1530" s="140"/>
    </row>
    <row r="1531" spans="1:2" ht="13">
      <c r="A1531" s="140"/>
      <c r="B1531" s="140"/>
    </row>
    <row r="1532" spans="1:2" ht="13">
      <c r="A1532" s="140"/>
      <c r="B1532" s="140"/>
    </row>
    <row r="1533" spans="1:2" ht="13">
      <c r="A1533" s="140"/>
      <c r="B1533" s="140"/>
    </row>
    <row r="1534" spans="1:2" ht="13">
      <c r="A1534" s="140"/>
      <c r="B1534" s="140"/>
    </row>
    <row r="1535" spans="1:2" ht="13">
      <c r="A1535" s="140"/>
      <c r="B1535" s="140"/>
    </row>
    <row r="1536" spans="1:2" ht="13">
      <c r="A1536" s="140"/>
      <c r="B1536" s="140"/>
    </row>
    <row r="1537" spans="1:2" ht="13">
      <c r="A1537" s="140"/>
      <c r="B1537" s="140"/>
    </row>
    <row r="1538" spans="1:2" ht="13">
      <c r="A1538" s="140"/>
      <c r="B1538" s="140"/>
    </row>
    <row r="1539" spans="1:2" ht="13">
      <c r="A1539" s="140"/>
      <c r="B1539" s="140"/>
    </row>
    <row r="1540" spans="1:2" ht="13">
      <c r="A1540" s="140"/>
      <c r="B1540" s="140"/>
    </row>
    <row r="1541" spans="1:2" ht="13">
      <c r="A1541" s="140"/>
      <c r="B1541" s="140"/>
    </row>
    <row r="1542" spans="1:2" ht="13">
      <c r="A1542" s="140"/>
      <c r="B1542" s="140"/>
    </row>
    <row r="1543" spans="1:2" ht="13">
      <c r="A1543" s="140"/>
      <c r="B1543" s="140"/>
    </row>
    <row r="1544" spans="1:2" ht="13">
      <c r="A1544" s="140"/>
      <c r="B1544" s="140"/>
    </row>
    <row r="1545" spans="1:2" ht="13">
      <c r="A1545" s="140"/>
      <c r="B1545" s="140"/>
    </row>
    <row r="1546" spans="1:2" ht="13">
      <c r="A1546" s="140"/>
      <c r="B1546" s="140"/>
    </row>
    <row r="1547" spans="1:2" ht="13">
      <c r="A1547" s="140"/>
      <c r="B1547" s="140"/>
    </row>
    <row r="1548" spans="1:2" ht="13">
      <c r="A1548" s="140"/>
      <c r="B1548" s="140"/>
    </row>
    <row r="1549" spans="1:2" ht="13">
      <c r="A1549" s="140"/>
      <c r="B1549" s="140"/>
    </row>
    <row r="1550" spans="1:2" ht="13">
      <c r="A1550" s="140"/>
      <c r="B1550" s="140"/>
    </row>
    <row r="1551" spans="1:2" ht="13">
      <c r="A1551" s="140"/>
      <c r="B1551" s="140"/>
    </row>
    <row r="1552" spans="1:2" ht="13">
      <c r="A1552" s="140"/>
      <c r="B1552" s="140"/>
    </row>
    <row r="1553" spans="1:2" ht="13">
      <c r="A1553" s="140"/>
      <c r="B1553" s="140"/>
    </row>
    <row r="1554" spans="1:2" ht="13">
      <c r="A1554" s="140"/>
      <c r="B1554" s="140"/>
    </row>
    <row r="1555" spans="1:2" ht="13">
      <c r="A1555" s="140"/>
      <c r="B1555" s="140"/>
    </row>
    <row r="1556" spans="1:2" ht="13">
      <c r="A1556" s="140"/>
      <c r="B1556" s="140"/>
    </row>
    <row r="1557" spans="1:2" ht="13">
      <c r="A1557" s="140"/>
      <c r="B1557" s="140"/>
    </row>
    <row r="1558" spans="1:2" ht="13">
      <c r="A1558" s="140"/>
      <c r="B1558" s="140"/>
    </row>
    <row r="1559" spans="1:2" ht="13">
      <c r="A1559" s="140"/>
      <c r="B1559" s="140"/>
    </row>
    <row r="1560" spans="1:2" ht="13">
      <c r="A1560" s="140"/>
      <c r="B1560" s="140"/>
    </row>
    <row r="1561" spans="1:2" ht="13">
      <c r="A1561" s="140"/>
      <c r="B1561" s="140"/>
    </row>
    <row r="1562" spans="1:2" ht="13">
      <c r="A1562" s="140"/>
      <c r="B1562" s="140"/>
    </row>
    <row r="1563" spans="1:2" ht="13">
      <c r="A1563" s="140"/>
      <c r="B1563" s="140"/>
    </row>
    <row r="1564" spans="1:2" ht="13">
      <c r="A1564" s="140"/>
      <c r="B1564" s="140"/>
    </row>
    <row r="1565" spans="1:2" ht="13">
      <c r="A1565" s="140"/>
      <c r="B1565" s="140"/>
    </row>
    <row r="1566" spans="1:2" ht="13">
      <c r="A1566" s="140"/>
      <c r="B1566" s="140"/>
    </row>
    <row r="1567" spans="1:2" ht="13">
      <c r="A1567" s="140"/>
      <c r="B1567" s="140"/>
    </row>
    <row r="1568" spans="1:2" ht="13">
      <c r="A1568" s="140"/>
      <c r="B1568" s="140"/>
    </row>
    <row r="1569" spans="1:2" ht="13">
      <c r="A1569" s="140"/>
      <c r="B1569" s="140"/>
    </row>
    <row r="1570" spans="1:2" ht="13">
      <c r="A1570" s="140"/>
      <c r="B1570" s="140"/>
    </row>
    <row r="1571" spans="1:2" ht="13">
      <c r="A1571" s="140"/>
      <c r="B1571" s="140"/>
    </row>
    <row r="1572" spans="1:2" ht="13">
      <c r="A1572" s="140"/>
      <c r="B1572" s="140"/>
    </row>
    <row r="1573" spans="1:2" ht="13">
      <c r="A1573" s="140"/>
      <c r="B1573" s="140"/>
    </row>
    <row r="1574" spans="1:2" ht="13">
      <c r="A1574" s="140"/>
      <c r="B1574" s="140"/>
    </row>
    <row r="1575" spans="1:2" ht="13">
      <c r="A1575" s="140"/>
      <c r="B1575" s="140"/>
    </row>
    <row r="1576" spans="1:2" ht="13">
      <c r="A1576" s="140"/>
      <c r="B1576" s="140"/>
    </row>
    <row r="1577" spans="1:2" ht="13">
      <c r="A1577" s="140"/>
      <c r="B1577" s="140"/>
    </row>
    <row r="1578" spans="1:2" ht="13">
      <c r="A1578" s="140"/>
      <c r="B1578" s="140"/>
    </row>
    <row r="1579" spans="1:2" ht="13">
      <c r="A1579" s="140"/>
      <c r="B1579" s="140"/>
    </row>
    <row r="1580" spans="1:2" ht="13">
      <c r="A1580" s="140"/>
      <c r="B1580" s="140"/>
    </row>
    <row r="1581" spans="1:2" ht="13">
      <c r="A1581" s="140"/>
      <c r="B1581" s="140"/>
    </row>
    <row r="1582" spans="1:2" ht="13">
      <c r="A1582" s="140"/>
      <c r="B1582" s="140"/>
    </row>
    <row r="1583" spans="1:2" ht="13">
      <c r="A1583" s="140"/>
      <c r="B1583" s="140"/>
    </row>
    <row r="1584" spans="1:2" ht="13">
      <c r="A1584" s="140"/>
      <c r="B1584" s="140"/>
    </row>
    <row r="1585" spans="1:2" ht="13">
      <c r="A1585" s="140"/>
      <c r="B1585" s="140"/>
    </row>
    <row r="1586" spans="1:2" ht="13">
      <c r="A1586" s="140"/>
      <c r="B1586" s="140"/>
    </row>
    <row r="1587" spans="1:2" ht="13">
      <c r="A1587" s="140"/>
      <c r="B1587" s="140"/>
    </row>
    <row r="1588" spans="1:2" ht="13">
      <c r="A1588" s="140"/>
      <c r="B1588" s="140"/>
    </row>
    <row r="1589" spans="1:2" ht="13">
      <c r="A1589" s="140"/>
      <c r="B1589" s="140"/>
    </row>
    <row r="1590" spans="1:2" ht="13">
      <c r="A1590" s="140"/>
      <c r="B1590" s="140"/>
    </row>
    <row r="1591" spans="1:2" ht="13">
      <c r="A1591" s="140"/>
      <c r="B1591" s="140"/>
    </row>
    <row r="1592" spans="1:2" ht="13">
      <c r="A1592" s="140"/>
      <c r="B1592" s="140"/>
    </row>
    <row r="1593" spans="1:2" ht="13">
      <c r="A1593" s="140"/>
      <c r="B1593" s="140"/>
    </row>
    <row r="1594" spans="1:2" ht="13">
      <c r="A1594" s="140"/>
      <c r="B1594" s="140"/>
    </row>
    <row r="1595" spans="1:2" ht="13">
      <c r="A1595" s="140"/>
      <c r="B1595" s="140"/>
    </row>
    <row r="1596" spans="1:2" ht="13">
      <c r="A1596" s="140"/>
      <c r="B1596" s="140"/>
    </row>
    <row r="1597" spans="1:2" ht="13">
      <c r="A1597" s="140"/>
      <c r="B1597" s="140"/>
    </row>
    <row r="1598" spans="1:2" ht="13">
      <c r="A1598" s="140"/>
      <c r="B1598" s="140"/>
    </row>
    <row r="1599" spans="1:2" ht="13">
      <c r="A1599" s="140"/>
      <c r="B1599" s="140"/>
    </row>
    <row r="1600" spans="1:2" ht="13">
      <c r="A1600" s="140"/>
      <c r="B1600" s="140"/>
    </row>
    <row r="1601" spans="1:2" ht="13">
      <c r="A1601" s="140"/>
      <c r="B1601" s="140"/>
    </row>
    <row r="1602" spans="1:2" ht="13">
      <c r="A1602" s="140"/>
      <c r="B1602" s="140"/>
    </row>
    <row r="1603" spans="1:2" ht="13">
      <c r="A1603" s="140"/>
      <c r="B1603" s="140"/>
    </row>
    <row r="1604" spans="1:2" ht="13">
      <c r="A1604" s="140"/>
      <c r="B1604" s="140"/>
    </row>
    <row r="1605" spans="1:2" ht="13">
      <c r="A1605" s="140"/>
      <c r="B1605" s="140"/>
    </row>
    <row r="1606" spans="1:2" ht="13">
      <c r="A1606" s="140"/>
      <c r="B1606" s="140"/>
    </row>
    <row r="1607" spans="1:2" ht="13">
      <c r="A1607" s="140"/>
      <c r="B1607" s="140"/>
    </row>
    <row r="1608" spans="1:2" ht="13">
      <c r="A1608" s="140"/>
      <c r="B1608" s="140"/>
    </row>
    <row r="1609" spans="1:2" ht="13">
      <c r="A1609" s="140"/>
      <c r="B1609" s="140"/>
    </row>
    <row r="1610" spans="1:2" ht="13">
      <c r="A1610" s="140"/>
      <c r="B1610" s="140"/>
    </row>
    <row r="1611" spans="1:2" ht="13">
      <c r="A1611" s="140"/>
      <c r="B1611" s="140"/>
    </row>
    <row r="1612" spans="1:2" ht="13">
      <c r="A1612" s="140"/>
      <c r="B1612" s="140"/>
    </row>
    <row r="1613" spans="1:2" ht="13">
      <c r="A1613" s="140"/>
      <c r="B1613" s="140"/>
    </row>
    <row r="1614" spans="1:2" ht="13">
      <c r="A1614" s="140"/>
      <c r="B1614" s="140"/>
    </row>
    <row r="1615" spans="1:2" ht="13">
      <c r="A1615" s="140"/>
      <c r="B1615" s="140"/>
    </row>
    <row r="1616" spans="1:2" ht="13">
      <c r="A1616" s="140"/>
      <c r="B1616" s="140"/>
    </row>
    <row r="1617" spans="1:2" ht="13">
      <c r="A1617" s="140"/>
      <c r="B1617" s="140"/>
    </row>
    <row r="1618" spans="1:2" ht="13">
      <c r="A1618" s="140"/>
      <c r="B1618" s="140"/>
    </row>
    <row r="1619" spans="1:2" ht="13">
      <c r="A1619" s="140"/>
      <c r="B1619" s="140"/>
    </row>
    <row r="1620" spans="1:2" ht="13">
      <c r="A1620" s="140"/>
      <c r="B1620" s="140"/>
    </row>
    <row r="1621" spans="1:2" ht="13">
      <c r="A1621" s="140"/>
      <c r="B1621" s="140"/>
    </row>
    <row r="1622" spans="1:2" ht="13">
      <c r="A1622" s="140"/>
      <c r="B1622" s="140"/>
    </row>
    <row r="1623" spans="1:2" ht="13">
      <c r="A1623" s="140"/>
      <c r="B1623" s="140"/>
    </row>
    <row r="1624" spans="1:2" ht="13">
      <c r="A1624" s="140"/>
      <c r="B1624" s="140"/>
    </row>
    <row r="1625" spans="1:2" ht="13">
      <c r="A1625" s="140"/>
      <c r="B1625" s="140"/>
    </row>
    <row r="1626" spans="1:2" ht="13">
      <c r="A1626" s="140"/>
      <c r="B1626" s="140"/>
    </row>
    <row r="1627" spans="1:2" ht="13">
      <c r="A1627" s="140"/>
      <c r="B1627" s="140"/>
    </row>
    <row r="1628" spans="1:2" ht="13">
      <c r="A1628" s="140"/>
      <c r="B1628" s="140"/>
    </row>
    <row r="1629" spans="1:2" ht="13">
      <c r="A1629" s="140"/>
      <c r="B1629" s="140"/>
    </row>
    <row r="1630" spans="1:2" ht="13">
      <c r="A1630" s="140"/>
      <c r="B1630" s="140"/>
    </row>
    <row r="1631" spans="1:2" ht="13">
      <c r="A1631" s="140"/>
      <c r="B1631" s="140"/>
    </row>
    <row r="1632" spans="1:2" ht="13">
      <c r="A1632" s="140"/>
      <c r="B1632" s="140"/>
    </row>
    <row r="1633" spans="1:2" ht="13">
      <c r="A1633" s="140"/>
      <c r="B1633" s="140"/>
    </row>
    <row r="1634" spans="1:2" ht="13">
      <c r="A1634" s="140"/>
      <c r="B1634" s="140"/>
    </row>
    <row r="1635" spans="1:2" ht="13">
      <c r="A1635" s="140"/>
      <c r="B1635" s="140"/>
    </row>
    <row r="1636" spans="1:2" ht="13">
      <c r="A1636" s="140"/>
      <c r="B1636" s="140"/>
    </row>
    <row r="1637" spans="1:2" ht="13">
      <c r="A1637" s="140"/>
      <c r="B1637" s="140"/>
    </row>
    <row r="1638" spans="1:2" ht="13">
      <c r="A1638" s="140"/>
      <c r="B1638" s="140"/>
    </row>
    <row r="1639" spans="1:2" ht="13">
      <c r="A1639" s="140"/>
      <c r="B1639" s="140"/>
    </row>
    <row r="1640" spans="1:2" ht="13">
      <c r="A1640" s="140"/>
      <c r="B1640" s="140"/>
    </row>
    <row r="1641" spans="1:2" ht="13">
      <c r="A1641" s="140"/>
      <c r="B1641" s="140"/>
    </row>
    <row r="1642" spans="1:2" ht="13">
      <c r="A1642" s="140"/>
      <c r="B1642" s="140"/>
    </row>
    <row r="1643" spans="1:2" ht="13">
      <c r="A1643" s="140"/>
      <c r="B1643" s="140"/>
    </row>
    <row r="1644" spans="1:2" ht="13">
      <c r="A1644" s="140"/>
      <c r="B1644" s="140"/>
    </row>
    <row r="1645" spans="1:2" ht="13">
      <c r="A1645" s="140"/>
      <c r="B1645" s="140"/>
    </row>
    <row r="1646" spans="1:2" ht="13">
      <c r="A1646" s="140"/>
      <c r="B1646" s="140"/>
    </row>
    <row r="1647" spans="1:2" ht="13">
      <c r="A1647" s="140"/>
      <c r="B1647" s="140"/>
    </row>
    <row r="1648" spans="1:2" ht="13">
      <c r="A1648" s="140"/>
      <c r="B1648" s="140"/>
    </row>
    <row r="1649" spans="1:2" ht="13">
      <c r="A1649" s="140"/>
      <c r="B1649" s="140"/>
    </row>
    <row r="1650" spans="1:2" ht="13">
      <c r="A1650" s="140"/>
      <c r="B1650" s="140"/>
    </row>
    <row r="1651" spans="1:2" ht="13">
      <c r="A1651" s="140"/>
      <c r="B1651" s="140"/>
    </row>
    <row r="1652" spans="1:2" ht="13">
      <c r="A1652" s="140"/>
      <c r="B1652" s="140"/>
    </row>
    <row r="1653" spans="1:2" ht="13">
      <c r="A1653" s="140"/>
      <c r="B1653" s="140"/>
    </row>
    <row r="1654" spans="1:2" ht="13">
      <c r="A1654" s="140"/>
      <c r="B1654" s="140"/>
    </row>
    <row r="1655" spans="1:2" ht="13">
      <c r="A1655" s="140"/>
      <c r="B1655" s="140"/>
    </row>
    <row r="1656" spans="1:2" ht="13">
      <c r="A1656" s="140"/>
      <c r="B1656" s="140"/>
    </row>
    <row r="1657" spans="1:2" ht="13">
      <c r="A1657" s="140"/>
      <c r="B1657" s="140"/>
    </row>
    <row r="1658" spans="1:2" ht="13">
      <c r="A1658" s="140"/>
      <c r="B1658" s="140"/>
    </row>
    <row r="1659" spans="1:2" ht="13">
      <c r="A1659" s="140"/>
      <c r="B1659" s="140"/>
    </row>
    <row r="1660" spans="1:2" ht="13">
      <c r="A1660" s="140"/>
      <c r="B1660" s="140"/>
    </row>
    <row r="1661" spans="1:2" ht="13">
      <c r="A1661" s="140"/>
      <c r="B1661" s="140"/>
    </row>
    <row r="1662" spans="1:2" ht="13">
      <c r="A1662" s="140"/>
      <c r="B1662" s="140"/>
    </row>
    <row r="1663" spans="1:2" ht="13">
      <c r="A1663" s="140"/>
      <c r="B1663" s="140"/>
    </row>
    <row r="1664" spans="1:2" ht="13">
      <c r="A1664" s="140"/>
      <c r="B1664" s="140"/>
    </row>
    <row r="1665" spans="1:2" ht="13">
      <c r="A1665" s="140"/>
      <c r="B1665" s="140"/>
    </row>
    <row r="1666" spans="1:2" ht="13">
      <c r="A1666" s="140"/>
      <c r="B1666" s="140"/>
    </row>
    <row r="1667" spans="1:2" ht="13">
      <c r="A1667" s="140"/>
      <c r="B1667" s="140"/>
    </row>
    <row r="1668" spans="1:2" ht="13">
      <c r="A1668" s="140"/>
      <c r="B1668" s="140"/>
    </row>
    <row r="1669" spans="1:2" ht="13">
      <c r="A1669" s="140"/>
      <c r="B1669" s="140"/>
    </row>
    <row r="1670" spans="1:2" ht="13">
      <c r="A1670" s="140"/>
      <c r="B1670" s="140"/>
    </row>
    <row r="1671" spans="1:2" ht="13">
      <c r="A1671" s="140"/>
      <c r="B1671" s="140"/>
    </row>
    <row r="1672" spans="1:2" ht="13">
      <c r="A1672" s="140"/>
      <c r="B1672" s="140"/>
    </row>
    <row r="1673" spans="1:2" ht="13">
      <c r="A1673" s="140"/>
      <c r="B1673" s="140"/>
    </row>
    <row r="1674" spans="1:2" ht="13">
      <c r="A1674" s="140"/>
      <c r="B1674" s="140"/>
    </row>
    <row r="1675" spans="1:2" ht="13">
      <c r="A1675" s="140"/>
      <c r="B1675" s="140"/>
    </row>
    <row r="1676" spans="1:2" ht="13">
      <c r="A1676" s="140"/>
      <c r="B1676" s="140"/>
    </row>
    <row r="1677" spans="1:2" ht="13">
      <c r="A1677" s="140"/>
      <c r="B1677" s="140"/>
    </row>
    <row r="1678" spans="1:2" ht="13">
      <c r="A1678" s="140"/>
      <c r="B1678" s="140"/>
    </row>
    <row r="1679" spans="1:2" ht="13">
      <c r="A1679" s="140"/>
      <c r="B1679" s="140"/>
    </row>
    <row r="1680" spans="1:2" ht="13">
      <c r="A1680" s="140"/>
      <c r="B1680" s="140"/>
    </row>
    <row r="1681" spans="1:2" ht="13">
      <c r="A1681" s="140"/>
      <c r="B1681" s="140"/>
    </row>
    <row r="1682" spans="1:2" ht="13">
      <c r="A1682" s="140"/>
      <c r="B1682" s="140"/>
    </row>
    <row r="1683" spans="1:2" ht="13">
      <c r="A1683" s="140"/>
      <c r="B1683" s="140"/>
    </row>
    <row r="1684" spans="1:2" ht="13">
      <c r="A1684" s="140"/>
      <c r="B1684" s="140"/>
    </row>
    <row r="1685" spans="1:2" ht="13">
      <c r="A1685" s="140"/>
      <c r="B1685" s="140"/>
    </row>
    <row r="1686" spans="1:2" ht="13">
      <c r="A1686" s="140"/>
      <c r="B1686" s="140"/>
    </row>
    <row r="1687" spans="1:2" ht="13">
      <c r="A1687" s="140"/>
      <c r="B1687" s="140"/>
    </row>
    <row r="1688" spans="1:2" ht="13">
      <c r="A1688" s="140"/>
      <c r="B1688" s="140"/>
    </row>
    <row r="1689" spans="1:2" ht="13">
      <c r="A1689" s="140"/>
      <c r="B1689" s="140"/>
    </row>
    <row r="1690" spans="1:2" ht="13">
      <c r="A1690" s="140"/>
      <c r="B1690" s="140"/>
    </row>
    <row r="1691" spans="1:2" ht="13">
      <c r="A1691" s="140"/>
      <c r="B1691" s="140"/>
    </row>
    <row r="1692" spans="1:2" ht="13">
      <c r="A1692" s="140"/>
      <c r="B1692" s="140"/>
    </row>
    <row r="1693" spans="1:2" ht="13">
      <c r="A1693" s="140"/>
      <c r="B1693" s="140"/>
    </row>
    <row r="1694" spans="1:2" ht="13">
      <c r="A1694" s="140"/>
      <c r="B1694" s="140"/>
    </row>
    <row r="1695" spans="1:2" ht="13">
      <c r="A1695" s="140"/>
      <c r="B1695" s="140"/>
    </row>
    <row r="1696" spans="1:2" ht="13">
      <c r="A1696" s="140"/>
      <c r="B1696" s="140"/>
    </row>
    <row r="1697" spans="1:2" ht="13">
      <c r="A1697" s="140"/>
      <c r="B1697" s="140"/>
    </row>
    <row r="1698" spans="1:2" ht="13">
      <c r="A1698" s="140"/>
      <c r="B1698" s="140"/>
    </row>
    <row r="1699" spans="1:2" ht="13">
      <c r="A1699" s="140"/>
      <c r="B1699" s="140"/>
    </row>
    <row r="1700" spans="1:2" ht="13">
      <c r="A1700" s="140"/>
      <c r="B1700" s="140"/>
    </row>
    <row r="1701" spans="1:2" ht="13">
      <c r="A1701" s="140"/>
      <c r="B1701" s="140"/>
    </row>
    <row r="1702" spans="1:2" ht="13">
      <c r="A1702" s="140"/>
      <c r="B1702" s="140"/>
    </row>
    <row r="1703" spans="1:2" ht="13">
      <c r="A1703" s="140"/>
      <c r="B1703" s="140"/>
    </row>
    <row r="1704" spans="1:2" ht="13">
      <c r="A1704" s="140"/>
      <c r="B1704" s="140"/>
    </row>
    <row r="1705" spans="1:2" ht="13">
      <c r="A1705" s="140"/>
      <c r="B1705" s="140"/>
    </row>
    <row r="1706" spans="1:2" ht="13">
      <c r="A1706" s="140"/>
      <c r="B1706" s="140"/>
    </row>
    <row r="1707" spans="1:2" ht="13">
      <c r="A1707" s="140"/>
      <c r="B1707" s="140"/>
    </row>
    <row r="1708" spans="1:2" ht="13">
      <c r="A1708" s="140"/>
      <c r="B1708" s="140"/>
    </row>
    <row r="1709" spans="1:2" ht="13">
      <c r="A1709" s="140"/>
      <c r="B1709" s="140"/>
    </row>
    <row r="1710" spans="1:2" ht="13">
      <c r="A1710" s="140"/>
      <c r="B1710" s="140"/>
    </row>
    <row r="1711" spans="1:2" ht="13">
      <c r="A1711" s="140"/>
      <c r="B1711" s="140"/>
    </row>
    <row r="1712" spans="1:2" ht="13">
      <c r="A1712" s="140"/>
      <c r="B1712" s="140"/>
    </row>
    <row r="1713" spans="1:2" ht="13">
      <c r="A1713" s="140"/>
      <c r="B1713" s="140"/>
    </row>
    <row r="1714" spans="1:2" ht="13">
      <c r="A1714" s="140"/>
      <c r="B1714" s="140"/>
    </row>
    <row r="1715" spans="1:2" ht="13">
      <c r="A1715" s="140"/>
      <c r="B1715" s="140"/>
    </row>
    <row r="1716" spans="1:2" ht="13">
      <c r="A1716" s="140"/>
      <c r="B1716" s="140"/>
    </row>
    <row r="1717" spans="1:2" ht="13">
      <c r="A1717" s="140"/>
      <c r="B1717" s="140"/>
    </row>
    <row r="1718" spans="1:2" ht="13">
      <c r="A1718" s="140"/>
      <c r="B1718" s="140"/>
    </row>
    <row r="1719" spans="1:2" ht="13">
      <c r="A1719" s="140"/>
      <c r="B1719" s="140"/>
    </row>
    <row r="1720" spans="1:2" ht="13">
      <c r="A1720" s="140"/>
      <c r="B1720" s="140"/>
    </row>
    <row r="1721" spans="1:2" ht="13">
      <c r="A1721" s="140"/>
      <c r="B1721" s="140"/>
    </row>
    <row r="1722" spans="1:2" ht="13">
      <c r="A1722" s="140"/>
      <c r="B1722" s="140"/>
    </row>
    <row r="1723" spans="1:2" ht="13">
      <c r="A1723" s="140"/>
      <c r="B1723" s="140"/>
    </row>
    <row r="1724" spans="1:2" ht="13">
      <c r="A1724" s="140"/>
      <c r="B1724" s="140"/>
    </row>
    <row r="1725" spans="1:2" ht="13">
      <c r="A1725" s="140"/>
      <c r="B1725" s="140"/>
    </row>
    <row r="1726" spans="1:2" ht="13">
      <c r="A1726" s="140"/>
      <c r="B1726" s="140"/>
    </row>
    <row r="1727" spans="1:2" ht="13">
      <c r="A1727" s="140"/>
      <c r="B1727" s="140"/>
    </row>
    <row r="1728" spans="1:2" ht="13">
      <c r="A1728" s="140"/>
      <c r="B1728" s="140"/>
    </row>
    <row r="1729" spans="1:2" ht="13">
      <c r="A1729" s="140"/>
      <c r="B1729" s="140"/>
    </row>
    <row r="1730" spans="1:2" ht="13">
      <c r="A1730" s="140"/>
      <c r="B1730" s="140"/>
    </row>
    <row r="1731" spans="1:2" ht="13">
      <c r="A1731" s="140"/>
      <c r="B1731" s="140"/>
    </row>
    <row r="1732" spans="1:2" ht="13">
      <c r="A1732" s="140"/>
      <c r="B1732" s="140"/>
    </row>
    <row r="1733" spans="1:2" ht="13">
      <c r="A1733" s="140"/>
      <c r="B1733" s="140"/>
    </row>
    <row r="1734" spans="1:2" ht="13">
      <c r="A1734" s="140"/>
      <c r="B1734" s="140"/>
    </row>
    <row r="1735" spans="1:2" ht="13">
      <c r="A1735" s="140"/>
      <c r="B1735" s="140"/>
    </row>
    <row r="1736" spans="1:2" ht="13">
      <c r="A1736" s="140"/>
      <c r="B1736" s="140"/>
    </row>
    <row r="1737" spans="1:2" ht="13">
      <c r="A1737" s="140"/>
      <c r="B1737" s="140"/>
    </row>
    <row r="1738" spans="1:2" ht="13">
      <c r="A1738" s="140"/>
      <c r="B1738" s="140"/>
    </row>
    <row r="1739" spans="1:2" ht="13">
      <c r="A1739" s="140"/>
      <c r="B1739" s="140"/>
    </row>
    <row r="1740" spans="1:2" ht="13">
      <c r="A1740" s="140"/>
      <c r="B1740" s="140"/>
    </row>
    <row r="1741" spans="1:2" ht="13">
      <c r="A1741" s="140"/>
      <c r="B1741" s="140"/>
    </row>
    <row r="1742" spans="1:2" ht="13">
      <c r="A1742" s="140"/>
      <c r="B1742" s="140"/>
    </row>
    <row r="1743" spans="1:2" ht="13">
      <c r="A1743" s="140"/>
      <c r="B1743" s="140"/>
    </row>
    <row r="1744" spans="1:2" ht="13">
      <c r="A1744" s="140"/>
      <c r="B1744" s="140"/>
    </row>
    <row r="1745" spans="1:2" ht="13">
      <c r="A1745" s="140"/>
      <c r="B1745" s="140"/>
    </row>
    <row r="1746" spans="1:2" ht="13">
      <c r="A1746" s="140"/>
      <c r="B1746" s="140"/>
    </row>
    <row r="1747" spans="1:2" ht="13">
      <c r="A1747" s="140"/>
      <c r="B1747" s="140"/>
    </row>
    <row r="1748" spans="1:2" ht="13">
      <c r="A1748" s="140"/>
      <c r="B1748" s="140"/>
    </row>
    <row r="1749" spans="1:2" ht="13">
      <c r="A1749" s="140"/>
      <c r="B1749" s="140"/>
    </row>
    <row r="1750" spans="1:2" ht="13">
      <c r="A1750" s="140"/>
      <c r="B1750" s="140"/>
    </row>
    <row r="1751" spans="1:2" ht="13">
      <c r="A1751" s="140"/>
      <c r="B1751" s="140"/>
    </row>
    <row r="1752" spans="1:2" ht="13">
      <c r="A1752" s="140"/>
      <c r="B1752" s="140"/>
    </row>
    <row r="1753" spans="1:2" ht="13">
      <c r="A1753" s="140"/>
      <c r="B1753" s="140"/>
    </row>
    <row r="1754" spans="1:2" ht="13">
      <c r="A1754" s="140"/>
      <c r="B1754" s="140"/>
    </row>
    <row r="1755" spans="1:2" ht="13">
      <c r="A1755" s="140"/>
      <c r="B1755" s="140"/>
    </row>
    <row r="1756" spans="1:2" ht="13">
      <c r="A1756" s="140"/>
      <c r="B1756" s="140"/>
    </row>
    <row r="1757" spans="1:2" ht="13">
      <c r="A1757" s="140"/>
      <c r="B1757" s="140"/>
    </row>
    <row r="1758" spans="1:2" ht="13">
      <c r="A1758" s="140"/>
      <c r="B1758" s="140"/>
    </row>
    <row r="1759" spans="1:2" ht="13">
      <c r="A1759" s="140"/>
      <c r="B1759" s="140"/>
    </row>
    <row r="1760" spans="1:2" ht="13">
      <c r="A1760" s="140"/>
      <c r="B1760" s="140"/>
    </row>
    <row r="1761" spans="1:2" ht="13">
      <c r="A1761" s="140"/>
      <c r="B1761" s="140"/>
    </row>
    <row r="1762" spans="1:2" ht="13">
      <c r="A1762" s="140"/>
      <c r="B1762" s="140"/>
    </row>
    <row r="1763" spans="1:2" ht="13">
      <c r="A1763" s="140"/>
      <c r="B1763" s="140"/>
    </row>
    <row r="1764" spans="1:2" ht="13">
      <c r="A1764" s="140"/>
      <c r="B1764" s="140"/>
    </row>
    <row r="1765" spans="1:2" ht="13">
      <c r="A1765" s="140"/>
      <c r="B1765" s="140"/>
    </row>
    <row r="1766" spans="1:2" ht="13">
      <c r="A1766" s="140"/>
      <c r="B1766" s="140"/>
    </row>
    <row r="1767" spans="1:2" ht="13">
      <c r="A1767" s="140"/>
      <c r="B1767" s="140"/>
    </row>
    <row r="1768" spans="1:2" ht="13">
      <c r="A1768" s="140"/>
      <c r="B1768" s="140"/>
    </row>
    <row r="1769" spans="1:2" ht="13">
      <c r="A1769" s="140"/>
      <c r="B1769" s="140"/>
    </row>
    <row r="1770" spans="1:2" ht="13">
      <c r="A1770" s="140"/>
      <c r="B1770" s="140"/>
    </row>
    <row r="1771" spans="1:2" ht="13">
      <c r="A1771" s="140"/>
      <c r="B1771" s="140"/>
    </row>
    <row r="1772" spans="1:2" ht="13">
      <c r="A1772" s="140"/>
      <c r="B1772" s="140"/>
    </row>
    <row r="1773" spans="1:2" ht="13">
      <c r="A1773" s="140"/>
      <c r="B1773" s="140"/>
    </row>
    <row r="1774" spans="1:2" ht="13">
      <c r="A1774" s="140"/>
      <c r="B1774" s="140"/>
    </row>
    <row r="1775" spans="1:2" ht="13">
      <c r="A1775" s="140"/>
      <c r="B1775" s="140"/>
    </row>
    <row r="1776" spans="1:2" ht="13">
      <c r="A1776" s="140"/>
      <c r="B1776" s="140"/>
    </row>
    <row r="1777" spans="1:2" ht="13">
      <c r="A1777" s="140"/>
      <c r="B1777" s="140"/>
    </row>
    <row r="1778" spans="1:2" ht="13">
      <c r="A1778" s="140"/>
      <c r="B1778" s="140"/>
    </row>
    <row r="1779" spans="1:2" ht="13">
      <c r="A1779" s="140"/>
      <c r="B1779" s="140"/>
    </row>
    <row r="1780" spans="1:2" ht="13">
      <c r="A1780" s="140"/>
      <c r="B1780" s="140"/>
    </row>
    <row r="1781" spans="1:2" ht="13">
      <c r="A1781" s="140"/>
      <c r="B1781" s="140"/>
    </row>
    <row r="1782" spans="1:2" ht="13">
      <c r="A1782" s="140"/>
      <c r="B1782" s="140"/>
    </row>
    <row r="1783" spans="1:2" ht="13">
      <c r="A1783" s="140"/>
      <c r="B1783" s="140"/>
    </row>
    <row r="1784" spans="1:2" ht="13">
      <c r="A1784" s="140"/>
      <c r="B1784" s="140"/>
    </row>
    <row r="1785" spans="1:2" ht="13">
      <c r="A1785" s="140"/>
      <c r="B1785" s="140"/>
    </row>
    <row r="1786" spans="1:2" ht="13">
      <c r="A1786" s="140"/>
      <c r="B1786" s="140"/>
    </row>
    <row r="1787" spans="1:2" ht="13">
      <c r="A1787" s="140"/>
      <c r="B1787" s="140"/>
    </row>
    <row r="1788" spans="1:2" ht="13">
      <c r="A1788" s="140"/>
      <c r="B1788" s="140"/>
    </row>
    <row r="1789" spans="1:2" ht="13">
      <c r="A1789" s="140"/>
      <c r="B1789" s="140"/>
    </row>
    <row r="1790" spans="1:2" ht="13">
      <c r="A1790" s="140"/>
      <c r="B1790" s="140"/>
    </row>
    <row r="1791" spans="1:2" ht="13">
      <c r="A1791" s="140"/>
      <c r="B1791" s="140"/>
    </row>
    <row r="1792" spans="1:2" ht="13">
      <c r="A1792" s="140"/>
      <c r="B1792" s="140"/>
    </row>
    <row r="1793" spans="1:2" ht="13">
      <c r="A1793" s="140"/>
      <c r="B1793" s="140"/>
    </row>
    <row r="1794" spans="1:2" ht="13">
      <c r="A1794" s="140"/>
      <c r="B1794" s="140"/>
    </row>
    <row r="1795" spans="1:2" ht="13">
      <c r="A1795" s="140"/>
      <c r="B1795" s="140"/>
    </row>
    <row r="1796" spans="1:2" ht="13">
      <c r="A1796" s="140"/>
      <c r="B1796" s="140"/>
    </row>
    <row r="1797" spans="1:2" ht="13">
      <c r="A1797" s="140"/>
      <c r="B1797" s="140"/>
    </row>
    <row r="1798" spans="1:2" ht="13">
      <c r="A1798" s="140"/>
      <c r="B1798" s="140"/>
    </row>
    <row r="1799" spans="1:2" ht="13">
      <c r="A1799" s="140"/>
      <c r="B1799" s="140"/>
    </row>
    <row r="1800" spans="1:2" ht="13">
      <c r="A1800" s="140"/>
      <c r="B1800" s="140"/>
    </row>
    <row r="1801" spans="1:2" ht="13">
      <c r="A1801" s="140"/>
      <c r="B1801" s="140"/>
    </row>
    <row r="1802" spans="1:2" ht="13">
      <c r="A1802" s="140"/>
      <c r="B1802" s="140"/>
    </row>
    <row r="1803" spans="1:2" ht="13">
      <c r="A1803" s="140"/>
      <c r="B1803" s="140"/>
    </row>
    <row r="1804" spans="1:2" ht="13">
      <c r="A1804" s="140"/>
      <c r="B1804" s="140"/>
    </row>
    <row r="1805" spans="1:2" ht="13">
      <c r="A1805" s="140"/>
      <c r="B1805" s="140"/>
    </row>
    <row r="1806" spans="1:2" ht="13">
      <c r="A1806" s="140"/>
      <c r="B1806" s="140"/>
    </row>
    <row r="1807" spans="1:2" ht="13">
      <c r="A1807" s="140"/>
      <c r="B1807" s="140"/>
    </row>
    <row r="1808" spans="1:2" ht="13">
      <c r="A1808" s="140"/>
      <c r="B1808" s="140"/>
    </row>
    <row r="1809" spans="1:2" ht="13">
      <c r="A1809" s="140"/>
      <c r="B1809" s="140"/>
    </row>
    <row r="1810" spans="1:2" ht="13">
      <c r="A1810" s="140"/>
      <c r="B1810" s="140"/>
    </row>
    <row r="1811" spans="1:2" ht="13">
      <c r="A1811" s="140"/>
      <c r="B1811" s="140"/>
    </row>
    <row r="1812" spans="1:2" ht="13">
      <c r="A1812" s="140"/>
      <c r="B1812" s="140"/>
    </row>
    <row r="1813" spans="1:2" ht="13">
      <c r="A1813" s="140"/>
      <c r="B1813" s="140"/>
    </row>
    <row r="1814" spans="1:2" ht="13">
      <c r="A1814" s="140"/>
      <c r="B1814" s="140"/>
    </row>
    <row r="1815" spans="1:2" ht="13">
      <c r="A1815" s="140"/>
      <c r="B1815" s="140"/>
    </row>
    <row r="1816" spans="1:2" ht="13">
      <c r="A1816" s="140"/>
      <c r="B1816" s="140"/>
    </row>
    <row r="1817" spans="1:2" ht="13">
      <c r="A1817" s="140"/>
      <c r="B1817" s="140"/>
    </row>
    <row r="1818" spans="1:2" ht="13">
      <c r="A1818" s="140"/>
      <c r="B1818" s="140"/>
    </row>
    <row r="1819" spans="1:2" ht="13">
      <c r="A1819" s="140"/>
      <c r="B1819" s="140"/>
    </row>
    <row r="1820" spans="1:2" ht="13">
      <c r="A1820" s="140"/>
      <c r="B1820" s="140"/>
    </row>
    <row r="1821" spans="1:2" ht="13">
      <c r="A1821" s="140"/>
      <c r="B1821" s="140"/>
    </row>
    <row r="1822" spans="1:2" ht="13">
      <c r="A1822" s="140"/>
      <c r="B1822" s="140"/>
    </row>
    <row r="1823" spans="1:2" ht="13">
      <c r="A1823" s="140"/>
      <c r="B1823" s="140"/>
    </row>
    <row r="1824" spans="1:2" ht="13">
      <c r="A1824" s="140"/>
      <c r="B1824" s="140"/>
    </row>
    <row r="1825" spans="1:2" ht="13">
      <c r="A1825" s="140"/>
      <c r="B1825" s="140"/>
    </row>
    <row r="1826" spans="1:2" ht="13">
      <c r="A1826" s="140"/>
      <c r="B1826" s="140"/>
    </row>
    <row r="1827" spans="1:2" ht="13">
      <c r="A1827" s="140"/>
      <c r="B1827" s="140"/>
    </row>
    <row r="1828" spans="1:2" ht="13">
      <c r="A1828" s="140"/>
      <c r="B1828" s="140"/>
    </row>
    <row r="1829" spans="1:2" ht="13">
      <c r="A1829" s="140"/>
      <c r="B1829" s="140"/>
    </row>
    <row r="1830" spans="1:2" ht="13">
      <c r="A1830" s="140"/>
      <c r="B1830" s="140"/>
    </row>
    <row r="1831" spans="1:2" ht="13">
      <c r="A1831" s="140"/>
      <c r="B1831" s="140"/>
    </row>
    <row r="1832" spans="1:2" ht="13">
      <c r="A1832" s="140"/>
      <c r="B1832" s="140"/>
    </row>
    <row r="1833" spans="1:2" ht="13">
      <c r="A1833" s="140"/>
      <c r="B1833" s="140"/>
    </row>
    <row r="1834" spans="1:2" ht="13">
      <c r="A1834" s="140"/>
      <c r="B1834" s="140"/>
    </row>
  </sheetData>
  <sheetProtection sheet="1" formatColumns="0" formatRows="0"/>
  <mergeCells count="46">
    <mergeCell ref="D13:R13"/>
    <mergeCell ref="D664:R664"/>
    <mergeCell ref="L10:R10"/>
    <mergeCell ref="D765:R765"/>
    <mergeCell ref="E11:J11"/>
    <mergeCell ref="V6:W6"/>
    <mergeCell ref="V7:W7"/>
    <mergeCell ref="V8:W8"/>
    <mergeCell ref="T10:Z10"/>
    <mergeCell ref="L11:R11"/>
    <mergeCell ref="T11:Z11"/>
    <mergeCell ref="X6:Y6"/>
    <mergeCell ref="X7:Y7"/>
    <mergeCell ref="X8:Y8"/>
    <mergeCell ref="E6:R6"/>
    <mergeCell ref="E7:R7"/>
    <mergeCell ref="E3:R3"/>
    <mergeCell ref="E5:R5"/>
    <mergeCell ref="V4:W4"/>
    <mergeCell ref="V5:W5"/>
    <mergeCell ref="V3:Z3"/>
    <mergeCell ref="T3:U3"/>
    <mergeCell ref="X4:Y4"/>
    <mergeCell ref="X5:Y5"/>
    <mergeCell ref="E4:R4"/>
    <mergeCell ref="D874:R874"/>
    <mergeCell ref="T874:Z874"/>
    <mergeCell ref="D876:E876"/>
    <mergeCell ref="G876:H876"/>
    <mergeCell ref="L876:M876"/>
    <mergeCell ref="N876:O876"/>
    <mergeCell ref="P876:Q876"/>
    <mergeCell ref="D875:Q875"/>
    <mergeCell ref="D877:E877"/>
    <mergeCell ref="F877:H877"/>
    <mergeCell ref="L877:M877"/>
    <mergeCell ref="N877:O877"/>
    <mergeCell ref="P877:Q877"/>
    <mergeCell ref="D878:E878"/>
    <mergeCell ref="L878:M878"/>
    <mergeCell ref="N878:O878"/>
    <mergeCell ref="P878:Q878"/>
    <mergeCell ref="D879:E879"/>
    <mergeCell ref="L879:M879"/>
    <mergeCell ref="N879:O879"/>
    <mergeCell ref="P879:Q879"/>
  </mergeCells>
  <conditionalFormatting sqref="N62 V62">
    <cfRule type="expression" priority="3074" dxfId="2119">
      <formula>$N58="Drop Plan"</formula>
    </cfRule>
    <cfRule type="expression" priority="3086" dxfId="2118">
      <formula>$N58="Enter Percentages"</formula>
    </cfRule>
  </conditionalFormatting>
  <conditionalFormatting sqref="O62 W62">
    <cfRule type="expression" priority="3073" dxfId="2119">
      <formula>$N58="Drop Plan"</formula>
    </cfRule>
    <cfRule type="expression" priority="3081" dxfId="2118">
      <formula>$N58="Enter Dollar Amount"</formula>
    </cfRule>
  </conditionalFormatting>
  <conditionalFormatting sqref="N112 V112">
    <cfRule type="expression" priority="3026" dxfId="2119">
      <formula>$N108="Drop Plan"</formula>
    </cfRule>
    <cfRule type="expression" priority="3038" dxfId="2118">
      <formula>$N108="Enter Percentages"</formula>
    </cfRule>
  </conditionalFormatting>
  <conditionalFormatting sqref="O112 W112">
    <cfRule type="expression" priority="3025" dxfId="2119">
      <formula>$N108="Drop Plan"</formula>
    </cfRule>
    <cfRule type="expression" priority="3033" dxfId="2118">
      <formula>$N108="Enter Dollar Amount"</formula>
    </cfRule>
  </conditionalFormatting>
  <conditionalFormatting sqref="N162 V162">
    <cfRule type="expression" priority="2978" dxfId="2119">
      <formula>$N158="Drop Plan"</formula>
    </cfRule>
    <cfRule type="expression" priority="2990" dxfId="2118">
      <formula>$N158="Enter Percentages"</formula>
    </cfRule>
  </conditionalFormatting>
  <conditionalFormatting sqref="O162 W162">
    <cfRule type="expression" priority="2977" dxfId="2119">
      <formula>$N158="Drop Plan"</formula>
    </cfRule>
    <cfRule type="expression" priority="2985" dxfId="2118">
      <formula>$N158="Enter Dollar Amount"</formula>
    </cfRule>
  </conditionalFormatting>
  <conditionalFormatting sqref="N212 V212">
    <cfRule type="expression" priority="2930" dxfId="2119">
      <formula>$N208="Drop Plan"</formula>
    </cfRule>
    <cfRule type="expression" priority="2942" dxfId="2118">
      <formula>$N208="Enter Percentages"</formula>
    </cfRule>
  </conditionalFormatting>
  <conditionalFormatting sqref="O212 W212">
    <cfRule type="expression" priority="2929" dxfId="2119">
      <formula>$N208="Drop Plan"</formula>
    </cfRule>
    <cfRule type="expression" priority="2937" dxfId="2118">
      <formula>$N208="Enter Dollar Amount"</formula>
    </cfRule>
  </conditionalFormatting>
  <conditionalFormatting sqref="N262 V262">
    <cfRule type="expression" priority="2882" dxfId="2119">
      <formula>$N258="Drop Plan"</formula>
    </cfRule>
    <cfRule type="expression" priority="2894" dxfId="2118">
      <formula>$N258="Enter Percentages"</formula>
    </cfRule>
  </conditionalFormatting>
  <conditionalFormatting sqref="O262 W262">
    <cfRule type="expression" priority="2881" dxfId="2119">
      <formula>$N258="Drop Plan"</formula>
    </cfRule>
    <cfRule type="expression" priority="2889" dxfId="2118">
      <formula>$N258="Enter Dollar Amount"</formula>
    </cfRule>
  </conditionalFormatting>
  <conditionalFormatting sqref="N312 V312">
    <cfRule type="expression" priority="2834" dxfId="2119">
      <formula>$N308="Drop Plan"</formula>
    </cfRule>
    <cfRule type="expression" priority="2846" dxfId="2118">
      <formula>$N308="Enter Percentages"</formula>
    </cfRule>
  </conditionalFormatting>
  <conditionalFormatting sqref="O312 W312">
    <cfRule type="expression" priority="2833" dxfId="2119">
      <formula>$N308="Drop Plan"</formula>
    </cfRule>
    <cfRule type="expression" priority="2841" dxfId="2118">
      <formula>$N308="Enter Dollar Amount"</formula>
    </cfRule>
  </conditionalFormatting>
  <conditionalFormatting sqref="N362 V362">
    <cfRule type="expression" priority="2786" dxfId="2119">
      <formula>$N358="Drop Plan"</formula>
    </cfRule>
    <cfRule type="expression" priority="2798" dxfId="2118">
      <formula>$N358="Enter Percentages"</formula>
    </cfRule>
  </conditionalFormatting>
  <conditionalFormatting sqref="O362 W362">
    <cfRule type="expression" priority="2785" dxfId="2119">
      <formula>$N358="Drop Plan"</formula>
    </cfRule>
    <cfRule type="expression" priority="2793" dxfId="2118">
      <formula>$N358="Enter Dollar Amount"</formula>
    </cfRule>
  </conditionalFormatting>
  <conditionalFormatting sqref="N412 V412">
    <cfRule type="expression" priority="2738" dxfId="2119">
      <formula>$N408="Drop Plan"</formula>
    </cfRule>
    <cfRule type="expression" priority="2750" dxfId="2118">
      <formula>$N408="Enter Percentages"</formula>
    </cfRule>
  </conditionalFormatting>
  <conditionalFormatting sqref="O412 W412">
    <cfRule type="expression" priority="2737" dxfId="2119">
      <formula>$N408="Drop Plan"</formula>
    </cfRule>
    <cfRule type="expression" priority="2745" dxfId="2118">
      <formula>$N408="Enter Dollar Amount"</formula>
    </cfRule>
  </conditionalFormatting>
  <conditionalFormatting sqref="N462 V462">
    <cfRule type="expression" priority="2690" dxfId="2119">
      <formula>$N458="Drop Plan"</formula>
    </cfRule>
    <cfRule type="expression" priority="2702" dxfId="2118">
      <formula>$N458="Enter Percentages"</formula>
    </cfRule>
  </conditionalFormatting>
  <conditionalFormatting sqref="O462 W462">
    <cfRule type="expression" priority="2689" dxfId="2119">
      <formula>$N458="Drop Plan"</formula>
    </cfRule>
    <cfRule type="expression" priority="2697" dxfId="2118">
      <formula>$N458="Enter Dollar Amount"</formula>
    </cfRule>
  </conditionalFormatting>
  <conditionalFormatting sqref="N512 V512">
    <cfRule type="expression" priority="2642" dxfId="2119">
      <formula>$N508="Drop Plan"</formula>
    </cfRule>
    <cfRule type="expression" priority="2654" dxfId="2118">
      <formula>$N508="Enter Percentages"</formula>
    </cfRule>
  </conditionalFormatting>
  <conditionalFormatting sqref="O512 W512">
    <cfRule type="expression" priority="2641" dxfId="2119">
      <formula>$N508="Drop Plan"</formula>
    </cfRule>
    <cfRule type="expression" priority="2649" dxfId="2118">
      <formula>$N508="Enter Dollar Amount"</formula>
    </cfRule>
  </conditionalFormatting>
  <conditionalFormatting sqref="N562 V562">
    <cfRule type="expression" priority="2594" dxfId="2119">
      <formula>$N558="Drop Plan"</formula>
    </cfRule>
    <cfRule type="expression" priority="2606" dxfId="2118">
      <formula>$N558="Enter Percentages"</formula>
    </cfRule>
  </conditionalFormatting>
  <conditionalFormatting sqref="O562 W562">
    <cfRule type="expression" priority="2593" dxfId="2119">
      <formula>$N558="Drop Plan"</formula>
    </cfRule>
    <cfRule type="expression" priority="2601" dxfId="2118">
      <formula>$N558="Enter Dollar Amount"</formula>
    </cfRule>
  </conditionalFormatting>
  <conditionalFormatting sqref="N612 V612">
    <cfRule type="expression" priority="2546" dxfId="2119">
      <formula>$N608="Drop Plan"</formula>
    </cfRule>
    <cfRule type="expression" priority="2558" dxfId="2118">
      <formula>$N608="Enter Percentages"</formula>
    </cfRule>
  </conditionalFormatting>
  <conditionalFormatting sqref="O612 W612">
    <cfRule type="expression" priority="2545" dxfId="2119">
      <formula>$N608="Drop Plan"</formula>
    </cfRule>
    <cfRule type="expression" priority="2553" dxfId="2118">
      <formula>$N608="Enter Dollar Amount"</formula>
    </cfRule>
  </conditionalFormatting>
  <conditionalFormatting sqref="N662 V662">
    <cfRule type="expression" priority="2498" dxfId="2119">
      <formula>$N658="Drop Plan"</formula>
    </cfRule>
    <cfRule type="expression" priority="2510" dxfId="2118">
      <formula>$N658="Enter Percentages"</formula>
    </cfRule>
  </conditionalFormatting>
  <conditionalFormatting sqref="O662 W662">
    <cfRule type="expression" priority="2497" dxfId="2119">
      <formula>$N658="Drop Plan"</formula>
    </cfRule>
    <cfRule type="expression" priority="2505" dxfId="2118">
      <formula>$N658="Enter Dollar Amount"</formula>
    </cfRule>
  </conditionalFormatting>
  <conditionalFormatting sqref="O15:O18">
    <cfRule type="expression" priority="333" dxfId="2449">
      <formula>$N$14="Enter Percentages"</formula>
    </cfRule>
    <cfRule type="expression" priority="335" dxfId="2448">
      <formula>$N$14="Enter Dollar Amount"</formula>
    </cfRule>
  </conditionalFormatting>
  <conditionalFormatting sqref="N15:N18">
    <cfRule type="expression" priority="332" dxfId="2449">
      <formula>$N$14="Enter Dollar Amount"</formula>
    </cfRule>
    <cfRule type="expression" priority="334" dxfId="2448">
      <formula>$N$14="Enter Percentages"</formula>
    </cfRule>
  </conditionalFormatting>
  <conditionalFormatting sqref="N15:O18">
    <cfRule type="expression" priority="331" dxfId="2445">
      <formula>$N$14="Drop Plan"</formula>
    </cfRule>
  </conditionalFormatting>
  <conditionalFormatting sqref="W15:W18">
    <cfRule type="expression" priority="328" dxfId="2449">
      <formula>$V$14="Enter Percentages"</formula>
    </cfRule>
    <cfRule type="expression" priority="330" dxfId="2448">
      <formula>$V$14="Enter Dollar Amount"</formula>
    </cfRule>
  </conditionalFormatting>
  <conditionalFormatting sqref="V15:V18">
    <cfRule type="expression" priority="327" dxfId="2449">
      <formula>$V$14="Enter Dollar Amount"</formula>
    </cfRule>
    <cfRule type="expression" priority="329" dxfId="2448">
      <formula>$V$14="Enter Percentages"</formula>
    </cfRule>
  </conditionalFormatting>
  <conditionalFormatting sqref="V15:W18">
    <cfRule type="expression" priority="326" dxfId="2445">
      <formula>$V$14="Drop Plan"</formula>
    </cfRule>
  </conditionalFormatting>
  <conditionalFormatting sqref="O65:O68">
    <cfRule type="expression" priority="323" dxfId="2449">
      <formula>$N$64="Enter Percentages"</formula>
    </cfRule>
    <cfRule type="expression" priority="325" dxfId="2448">
      <formula>$N$64="Enter Dollar Amount"</formula>
    </cfRule>
  </conditionalFormatting>
  <conditionalFormatting sqref="N65:N68">
    <cfRule type="expression" priority="322" dxfId="2449">
      <formula>$N$64="Enter Dollar Amount"</formula>
    </cfRule>
    <cfRule type="expression" priority="324" dxfId="2448">
      <formula>$N$64="Enter Percentages"</formula>
    </cfRule>
  </conditionalFormatting>
  <conditionalFormatting sqref="N65:O68">
    <cfRule type="expression" priority="321" dxfId="2445">
      <formula>$N$64="Drop Plan"</formula>
    </cfRule>
  </conditionalFormatting>
  <conditionalFormatting sqref="W65:W68">
    <cfRule type="expression" priority="318" dxfId="2449">
      <formula>$V$64="Enter Percentages"</formula>
    </cfRule>
    <cfRule type="expression" priority="320" dxfId="2448">
      <formula>$V$64="Enter Dollar Amount"</formula>
    </cfRule>
  </conditionalFormatting>
  <conditionalFormatting sqref="V65:V68">
    <cfRule type="expression" priority="317" dxfId="2449">
      <formula>$V$64="Enter Dollar Amount"</formula>
    </cfRule>
    <cfRule type="expression" priority="319" dxfId="2448">
      <formula>$V$64="Enter Percentages"</formula>
    </cfRule>
  </conditionalFormatting>
  <conditionalFormatting sqref="V65:W68">
    <cfRule type="expression" priority="316" dxfId="2445">
      <formula>$V$64="Drop Plan"</formula>
    </cfRule>
  </conditionalFormatting>
  <conditionalFormatting sqref="O115:O118">
    <cfRule type="expression" priority="313" dxfId="2449">
      <formula>$N$114="Enter Percentages"</formula>
    </cfRule>
    <cfRule type="expression" priority="315" dxfId="2448">
      <formula>$N$114="Enter Dollar Amount"</formula>
    </cfRule>
  </conditionalFormatting>
  <conditionalFormatting sqref="N115:N118">
    <cfRule type="expression" priority="312" dxfId="2449">
      <formula>$N$114="Enter Dollar Amount"</formula>
    </cfRule>
    <cfRule type="expression" priority="314" dxfId="2448">
      <formula>$N$114="Enter Percentages"</formula>
    </cfRule>
  </conditionalFormatting>
  <conditionalFormatting sqref="N115:O118">
    <cfRule type="expression" priority="311" dxfId="2445">
      <formula>$N$114="Drop Plan"</formula>
    </cfRule>
  </conditionalFormatting>
  <conditionalFormatting sqref="W115:W118">
    <cfRule type="expression" priority="308" dxfId="2449">
      <formula>$V$114="Enter Percentages"</formula>
    </cfRule>
    <cfRule type="expression" priority="310" dxfId="2448">
      <formula>$V$114="Enter Dollar Amount"</formula>
    </cfRule>
  </conditionalFormatting>
  <conditionalFormatting sqref="V115:V118">
    <cfRule type="expression" priority="307" dxfId="2449">
      <formula>$V$114="Enter Dollar Amount"</formula>
    </cfRule>
    <cfRule type="expression" priority="309" dxfId="2448">
      <formula>$V$114="Enter Percentages"</formula>
    </cfRule>
  </conditionalFormatting>
  <conditionalFormatting sqref="V115:W118">
    <cfRule type="expression" priority="306" dxfId="2445">
      <formula>$V$114="Drop Plan"</formula>
    </cfRule>
  </conditionalFormatting>
  <conditionalFormatting sqref="O165:O168">
    <cfRule type="expression" priority="303" dxfId="2449">
      <formula>$N$164="Enter Percentages"</formula>
    </cfRule>
    <cfRule type="expression" priority="305" dxfId="2448">
      <formula>$N$164="Enter Dollar Amount"</formula>
    </cfRule>
  </conditionalFormatting>
  <conditionalFormatting sqref="N165:N168">
    <cfRule type="expression" priority="302" dxfId="2449">
      <formula>$N$164="Enter Dollar Amount"</formula>
    </cfRule>
    <cfRule type="expression" priority="304" dxfId="2448">
      <formula>$N$164="Enter Percentages"</formula>
    </cfRule>
  </conditionalFormatting>
  <conditionalFormatting sqref="N165:O168">
    <cfRule type="expression" priority="301" dxfId="2445">
      <formula>$N$164="Drop Plan"</formula>
    </cfRule>
  </conditionalFormatting>
  <conditionalFormatting sqref="W165:W168">
    <cfRule type="expression" priority="298" dxfId="2449">
      <formula>$V$164="Enter Percentages"</formula>
    </cfRule>
    <cfRule type="expression" priority="300" dxfId="2448">
      <formula>$V$164="Enter Dollar Amount"</formula>
    </cfRule>
  </conditionalFormatting>
  <conditionalFormatting sqref="V165:V168">
    <cfRule type="expression" priority="297" dxfId="2449">
      <formula>$V$164="Enter Dollar Amount"</formula>
    </cfRule>
    <cfRule type="expression" priority="299" dxfId="2448">
      <formula>$V$164="Enter Percentages"</formula>
    </cfRule>
  </conditionalFormatting>
  <conditionalFormatting sqref="V165:W168">
    <cfRule type="expression" priority="296" dxfId="2445">
      <formula>$V$164="Drop Plan"</formula>
    </cfRule>
  </conditionalFormatting>
  <conditionalFormatting sqref="O215:O218">
    <cfRule type="expression" priority="293" dxfId="2449">
      <formula>$N$214="Enter Percentages"</formula>
    </cfRule>
    <cfRule type="expression" priority="295" dxfId="2448">
      <formula>$N$214="Enter Dollar Amount"</formula>
    </cfRule>
  </conditionalFormatting>
  <conditionalFormatting sqref="N215:N218">
    <cfRule type="expression" priority="292" dxfId="2449">
      <formula>$N$214="Enter Dollar Amount"</formula>
    </cfRule>
    <cfRule type="expression" priority="294" dxfId="2448">
      <formula>$N$214="Enter Percentages"</formula>
    </cfRule>
  </conditionalFormatting>
  <conditionalFormatting sqref="N215:O218">
    <cfRule type="expression" priority="291" dxfId="2445">
      <formula>$N$214="Drop Plan"</formula>
    </cfRule>
  </conditionalFormatting>
  <conditionalFormatting sqref="W215:W218">
    <cfRule type="expression" priority="288" dxfId="2449">
      <formula>$V$214="Enter Percentages"</formula>
    </cfRule>
    <cfRule type="expression" priority="290" dxfId="2448">
      <formula>$V$214="Enter Dollar Amount"</formula>
    </cfRule>
  </conditionalFormatting>
  <conditionalFormatting sqref="V215:V218">
    <cfRule type="expression" priority="287" dxfId="2449">
      <formula>$V$214="Enter Dollar Amount"</formula>
    </cfRule>
    <cfRule type="expression" priority="289" dxfId="2448">
      <formula>$V$214="Enter Percentages"</formula>
    </cfRule>
  </conditionalFormatting>
  <conditionalFormatting sqref="V215:W218">
    <cfRule type="expression" priority="286" dxfId="2445">
      <formula>$V$214="Drop Plan"</formula>
    </cfRule>
  </conditionalFormatting>
  <conditionalFormatting sqref="O265:O268">
    <cfRule type="expression" priority="283" dxfId="2449">
      <formula>$N$264="Enter Percentages"</formula>
    </cfRule>
    <cfRule type="expression" priority="285" dxfId="2448">
      <formula>$N$264="Enter Dollar Amount"</formula>
    </cfRule>
  </conditionalFormatting>
  <conditionalFormatting sqref="N265:N268">
    <cfRule type="expression" priority="282" dxfId="2449">
      <formula>$N$264="Enter Dollar Amount"</formula>
    </cfRule>
    <cfRule type="expression" priority="284" dxfId="2448">
      <formula>$N$264="Enter Percentages"</formula>
    </cfRule>
  </conditionalFormatting>
  <conditionalFormatting sqref="N265:O268">
    <cfRule type="expression" priority="281" dxfId="2445">
      <formula>$N$264="Drop Plan"</formula>
    </cfRule>
  </conditionalFormatting>
  <conditionalFormatting sqref="W265:W268">
    <cfRule type="expression" priority="278" dxfId="2449">
      <formula>$V$264="Enter Percentages"</formula>
    </cfRule>
    <cfRule type="expression" priority="280" dxfId="2448">
      <formula>$V$264="Enter Dollar Amount"</formula>
    </cfRule>
  </conditionalFormatting>
  <conditionalFormatting sqref="V265:V268">
    <cfRule type="expression" priority="277" dxfId="2449">
      <formula>$V$264="Enter Dollar Amount"</formula>
    </cfRule>
    <cfRule type="expression" priority="279" dxfId="2448">
      <formula>$V$264="Enter Percentages"</formula>
    </cfRule>
  </conditionalFormatting>
  <conditionalFormatting sqref="V265:W268">
    <cfRule type="expression" priority="276" dxfId="2445">
      <formula>$V$264="Drop Plan"</formula>
    </cfRule>
  </conditionalFormatting>
  <conditionalFormatting sqref="O315:O318">
    <cfRule type="expression" priority="273" dxfId="2449">
      <formula>$N$314="Enter Percentages"</formula>
    </cfRule>
    <cfRule type="expression" priority="275" dxfId="2448">
      <formula>$N$314="Enter Dollar Amount"</formula>
    </cfRule>
  </conditionalFormatting>
  <conditionalFormatting sqref="N315:N318">
    <cfRule type="expression" priority="272" dxfId="2449">
      <formula>$N$314="Enter Dollar Amount"</formula>
    </cfRule>
    <cfRule type="expression" priority="274" dxfId="2448">
      <formula>$N$314="Enter Percentages"</formula>
    </cfRule>
  </conditionalFormatting>
  <conditionalFormatting sqref="N315:O318">
    <cfRule type="expression" priority="271" dxfId="2445">
      <formula>$N$314="Drop Plan"</formula>
    </cfRule>
  </conditionalFormatting>
  <conditionalFormatting sqref="W315:W318">
    <cfRule type="expression" priority="268" dxfId="2449">
      <formula>$V$314="Enter Percentages"</formula>
    </cfRule>
    <cfRule type="expression" priority="270" dxfId="2448">
      <formula>$V$314="Enter Dollar Amount"</formula>
    </cfRule>
  </conditionalFormatting>
  <conditionalFormatting sqref="V315:V318">
    <cfRule type="expression" priority="267" dxfId="2449">
      <formula>$V$314="Enter Dollar Amount"</formula>
    </cfRule>
    <cfRule type="expression" priority="269" dxfId="2448">
      <formula>$V$314="Enter Percentages"</formula>
    </cfRule>
  </conditionalFormatting>
  <conditionalFormatting sqref="V315:W318">
    <cfRule type="expression" priority="266" dxfId="2445">
      <formula>$V$314="Drop Plan"</formula>
    </cfRule>
  </conditionalFormatting>
  <conditionalFormatting sqref="O365:O368">
    <cfRule type="expression" priority="263" dxfId="2449">
      <formula>$N$364="Enter Percentages"</formula>
    </cfRule>
    <cfRule type="expression" priority="265" dxfId="2448">
      <formula>$N$364="Enter Dollar Amount"</formula>
    </cfRule>
  </conditionalFormatting>
  <conditionalFormatting sqref="N365:N368">
    <cfRule type="expression" priority="262" dxfId="2449">
      <formula>$N$364="Enter Dollar Amount"</formula>
    </cfRule>
    <cfRule type="expression" priority="264" dxfId="2448">
      <formula>$N$364="Enter Percentages"</formula>
    </cfRule>
  </conditionalFormatting>
  <conditionalFormatting sqref="N365:O368">
    <cfRule type="expression" priority="261" dxfId="2445">
      <formula>$N$364="Drop Plan"</formula>
    </cfRule>
  </conditionalFormatting>
  <conditionalFormatting sqref="W365:W368">
    <cfRule type="expression" priority="258" dxfId="2449">
      <formula>$V$364="Enter Percentages"</formula>
    </cfRule>
    <cfRule type="expression" priority="260" dxfId="2448">
      <formula>$V$364="Enter Dollar Amount"</formula>
    </cfRule>
  </conditionalFormatting>
  <conditionalFormatting sqref="V365:V368">
    <cfRule type="expression" priority="257" dxfId="2449">
      <formula>$V$364="Enter Dollar Amount"</formula>
    </cfRule>
    <cfRule type="expression" priority="259" dxfId="2448">
      <formula>$V$364="Enter Percentages"</formula>
    </cfRule>
  </conditionalFormatting>
  <conditionalFormatting sqref="V365:W368">
    <cfRule type="expression" priority="256" dxfId="2445">
      <formula>$V$364="Drop Plan"</formula>
    </cfRule>
  </conditionalFormatting>
  <conditionalFormatting sqref="O415:O418">
    <cfRule type="expression" priority="253" dxfId="2449">
      <formula>$N$414="Enter Percentages"</formula>
    </cfRule>
    <cfRule type="expression" priority="255" dxfId="2448">
      <formula>$N$414="Enter Dollar Amount"</formula>
    </cfRule>
  </conditionalFormatting>
  <conditionalFormatting sqref="N415:N418">
    <cfRule type="expression" priority="252" dxfId="2449">
      <formula>$N$414="Enter Dollar Amount"</formula>
    </cfRule>
    <cfRule type="expression" priority="254" dxfId="2448">
      <formula>$N$414="Enter Percentages"</formula>
    </cfRule>
  </conditionalFormatting>
  <conditionalFormatting sqref="N415:O418">
    <cfRule type="expression" priority="251" dxfId="2445">
      <formula>$N$414="Drop Plan"</formula>
    </cfRule>
  </conditionalFormatting>
  <conditionalFormatting sqref="W415:W418">
    <cfRule type="expression" priority="248" dxfId="2449">
      <formula>$V$414="Enter Percentages"</formula>
    </cfRule>
    <cfRule type="expression" priority="250" dxfId="2448">
      <formula>$V$414="Enter Dollar Amount"</formula>
    </cfRule>
  </conditionalFormatting>
  <conditionalFormatting sqref="V415:V418">
    <cfRule type="expression" priority="247" dxfId="2449">
      <formula>$V$414="Enter Dollar Amount"</formula>
    </cfRule>
    <cfRule type="expression" priority="249" dxfId="2448">
      <formula>$V$414="Enter Percentages"</formula>
    </cfRule>
  </conditionalFormatting>
  <conditionalFormatting sqref="V415:W418">
    <cfRule type="expression" priority="246" dxfId="2445">
      <formula>$V$414="Drop Plan"</formula>
    </cfRule>
  </conditionalFormatting>
  <conditionalFormatting sqref="O465:O468">
    <cfRule type="expression" priority="243" dxfId="2449">
      <formula>$N$464="Enter Percentages"</formula>
    </cfRule>
    <cfRule type="expression" priority="245" dxfId="2448">
      <formula>$N$464="Enter Dollar Amount"</formula>
    </cfRule>
  </conditionalFormatting>
  <conditionalFormatting sqref="N465:N468">
    <cfRule type="expression" priority="242" dxfId="2449">
      <formula>$N$464="Enter Dollar Amount"</formula>
    </cfRule>
    <cfRule type="expression" priority="244" dxfId="2448">
      <formula>$N$464="Enter Percentages"</formula>
    </cfRule>
  </conditionalFormatting>
  <conditionalFormatting sqref="N465:O468">
    <cfRule type="expression" priority="241" dxfId="2445">
      <formula>$N$464="Drop Plan"</formula>
    </cfRule>
  </conditionalFormatting>
  <conditionalFormatting sqref="W465:W468">
    <cfRule type="expression" priority="238" dxfId="2449">
      <formula>$V$464="Enter Percentages"</formula>
    </cfRule>
    <cfRule type="expression" priority="240" dxfId="2448">
      <formula>$V$464="Enter Dollar Amount"</formula>
    </cfRule>
  </conditionalFormatting>
  <conditionalFormatting sqref="V465:V468">
    <cfRule type="expression" priority="237" dxfId="2449">
      <formula>$V$464="Enter Dollar Amount"</formula>
    </cfRule>
    <cfRule type="expression" priority="239" dxfId="2448">
      <formula>$V$464="Enter Percentages"</formula>
    </cfRule>
  </conditionalFormatting>
  <conditionalFormatting sqref="V465:W468">
    <cfRule type="expression" priority="236" dxfId="2445">
      <formula>$V$464="Drop Plan"</formula>
    </cfRule>
  </conditionalFormatting>
  <conditionalFormatting sqref="O515:O518">
    <cfRule type="expression" priority="233" dxfId="2449">
      <formula>$N$514="Enter Percentages"</formula>
    </cfRule>
    <cfRule type="expression" priority="235" dxfId="2448">
      <formula>$N$514="Enter Dollar Amount"</formula>
    </cfRule>
  </conditionalFormatting>
  <conditionalFormatting sqref="N515:N518">
    <cfRule type="expression" priority="232" dxfId="2449">
      <formula>$N$514="Enter Dollar Amount"</formula>
    </cfRule>
    <cfRule type="expression" priority="234" dxfId="2448">
      <formula>$N$514="Enter Percentages"</formula>
    </cfRule>
  </conditionalFormatting>
  <conditionalFormatting sqref="N515:O518">
    <cfRule type="expression" priority="231" dxfId="2445">
      <formula>$N$514="Drop Plan"</formula>
    </cfRule>
  </conditionalFormatting>
  <conditionalFormatting sqref="W515:W518">
    <cfRule type="expression" priority="228" dxfId="2449">
      <formula>$V$514="Enter Percentages"</formula>
    </cfRule>
    <cfRule type="expression" priority="230" dxfId="2448">
      <formula>$V$514="Enter Dollar Amount"</formula>
    </cfRule>
  </conditionalFormatting>
  <conditionalFormatting sqref="V515:V518">
    <cfRule type="expression" priority="227" dxfId="2449">
      <formula>$V$514="Enter Dollar Amount"</formula>
    </cfRule>
    <cfRule type="expression" priority="229" dxfId="2448">
      <formula>$V$514="Enter Percentages"</formula>
    </cfRule>
  </conditionalFormatting>
  <conditionalFormatting sqref="V515:W518">
    <cfRule type="expression" priority="226" dxfId="2445">
      <formula>$V$514="Drop Plan"</formula>
    </cfRule>
  </conditionalFormatting>
  <conditionalFormatting sqref="O565:O568">
    <cfRule type="expression" priority="223" dxfId="2449">
      <formula>$N$564="Enter Percentages"</formula>
    </cfRule>
    <cfRule type="expression" priority="225" dxfId="2448">
      <formula>$N$564="Enter Dollar Amount"</formula>
    </cfRule>
  </conditionalFormatting>
  <conditionalFormatting sqref="N565:N568">
    <cfRule type="expression" priority="222" dxfId="2449">
      <formula>$N$564="Enter Dollar Amount"</formula>
    </cfRule>
    <cfRule type="expression" priority="224" dxfId="2448">
      <formula>$N$564="Enter Percentages"</formula>
    </cfRule>
  </conditionalFormatting>
  <conditionalFormatting sqref="N565:O568">
    <cfRule type="expression" priority="221" dxfId="2445">
      <formula>$N$564="Drop Plan"</formula>
    </cfRule>
  </conditionalFormatting>
  <conditionalFormatting sqref="W565:W568">
    <cfRule type="expression" priority="218" dxfId="2449">
      <formula>$V$564="Enter Percentages"</formula>
    </cfRule>
    <cfRule type="expression" priority="220" dxfId="2448">
      <formula>$V$564="Enter Dollar Amount"</formula>
    </cfRule>
  </conditionalFormatting>
  <conditionalFormatting sqref="V565:V568">
    <cfRule type="expression" priority="217" dxfId="2449">
      <formula>$V$564="Enter Dollar Amount"</formula>
    </cfRule>
    <cfRule type="expression" priority="219" dxfId="2448">
      <formula>$V$564="Enter Percentages"</formula>
    </cfRule>
  </conditionalFormatting>
  <conditionalFormatting sqref="V565:W568">
    <cfRule type="expression" priority="216" dxfId="2445">
      <formula>$V$564="Drop Plan"</formula>
    </cfRule>
  </conditionalFormatting>
  <conditionalFormatting sqref="O615:O618">
    <cfRule type="expression" priority="213" dxfId="2449">
      <formula>$N$614="Enter Percentages"</formula>
    </cfRule>
    <cfRule type="expression" priority="215" dxfId="2448">
      <formula>$N$614="Enter Dollar Amount"</formula>
    </cfRule>
  </conditionalFormatting>
  <conditionalFormatting sqref="N615:N618">
    <cfRule type="expression" priority="212" dxfId="2449">
      <formula>$N$614="Enter Dollar Amount"</formula>
    </cfRule>
    <cfRule type="expression" priority="214" dxfId="2448">
      <formula>$N$614="Enter Percentages"</formula>
    </cfRule>
  </conditionalFormatting>
  <conditionalFormatting sqref="N615:O618">
    <cfRule type="expression" priority="211" dxfId="2445">
      <formula>$N$614="Drop Plan"</formula>
    </cfRule>
  </conditionalFormatting>
  <conditionalFormatting sqref="W615:W618">
    <cfRule type="expression" priority="208" dxfId="2449">
      <formula>$V$614="Enter Percentages"</formula>
    </cfRule>
    <cfRule type="expression" priority="210" dxfId="2448">
      <formula>$V$614="Enter Dollar Amount"</formula>
    </cfRule>
  </conditionalFormatting>
  <conditionalFormatting sqref="V615:V618">
    <cfRule type="expression" priority="207" dxfId="2449">
      <formula>$V$614="Enter Dollar Amount"</formula>
    </cfRule>
    <cfRule type="expression" priority="209" dxfId="2448">
      <formula>$V$614="Enter Percentages"</formula>
    </cfRule>
  </conditionalFormatting>
  <conditionalFormatting sqref="V615:W618">
    <cfRule type="expression" priority="206" dxfId="2445">
      <formula>$V$614="Drop Plan"</formula>
    </cfRule>
  </conditionalFormatting>
  <conditionalFormatting sqref="O666:O669">
    <cfRule type="expression" priority="198" dxfId="2449">
      <formula>$N$665="Enter Percentages"</formula>
    </cfRule>
    <cfRule type="expression" priority="200" dxfId="2448">
      <formula>$N$665="Enter Dollar Amount"</formula>
    </cfRule>
  </conditionalFormatting>
  <conditionalFormatting sqref="N666:N669">
    <cfRule type="expression" priority="197" dxfId="2449">
      <formula>$N$665="Enter Dollar Amount"</formula>
    </cfRule>
    <cfRule type="expression" priority="199" dxfId="2448">
      <formula>$N$665="Enter Percentages"</formula>
    </cfRule>
  </conditionalFormatting>
  <conditionalFormatting sqref="N666:O669">
    <cfRule type="expression" priority="196" dxfId="2445">
      <formula>$N$665="Drop Plan"</formula>
    </cfRule>
  </conditionalFormatting>
  <conditionalFormatting sqref="W666:W669">
    <cfRule type="expression" priority="193" dxfId="2449">
      <formula>$V$665="Enter Percentages"</formula>
    </cfRule>
    <cfRule type="expression" priority="195" dxfId="2448">
      <formula>$V$665="Enter Dollar Amount"</formula>
    </cfRule>
  </conditionalFormatting>
  <conditionalFormatting sqref="V666:V669">
    <cfRule type="expression" priority="192" dxfId="2449">
      <formula>$V$665="Enter Dollar Amount"</formula>
    </cfRule>
    <cfRule type="expression" priority="194" dxfId="2448">
      <formula>$V$665="Enter Percentages"</formula>
    </cfRule>
  </conditionalFormatting>
  <conditionalFormatting sqref="V666:W669">
    <cfRule type="expression" priority="191" dxfId="2445">
      <formula>$V$665="Drop Plan"</formula>
    </cfRule>
  </conditionalFormatting>
  <conditionalFormatting sqref="O676:O679">
    <cfRule type="expression" priority="188" dxfId="2449">
      <formula>$N$675="Enter Percentages"</formula>
    </cfRule>
    <cfRule type="expression" priority="190" dxfId="2448">
      <formula>$N$675="Enter Dollar Amount"</formula>
    </cfRule>
  </conditionalFormatting>
  <conditionalFormatting sqref="N676:N679">
    <cfRule type="expression" priority="187" dxfId="2449">
      <formula>$N$675="Enter Dollar Amount"</formula>
    </cfRule>
    <cfRule type="expression" priority="189" dxfId="2448">
      <formula>$N$675="Enter Percentages"</formula>
    </cfRule>
  </conditionalFormatting>
  <conditionalFormatting sqref="N676:O679">
    <cfRule type="expression" priority="186" dxfId="2445">
      <formula>$N$675="Drop Plan"</formula>
    </cfRule>
  </conditionalFormatting>
  <conditionalFormatting sqref="W676:W679">
    <cfRule type="expression" priority="183" dxfId="2449">
      <formula>$V$675="Enter Percentages"</formula>
    </cfRule>
    <cfRule type="expression" priority="185" dxfId="2448">
      <formula>$V$675="Enter Dollar Amount"</formula>
    </cfRule>
  </conditionalFormatting>
  <conditionalFormatting sqref="V676:V679">
    <cfRule type="expression" priority="182" dxfId="2449">
      <formula>$V$675="Enter Dollar Amount"</formula>
    </cfRule>
    <cfRule type="expression" priority="184" dxfId="2448">
      <formula>$V$675="Enter Percentages"</formula>
    </cfRule>
  </conditionalFormatting>
  <conditionalFormatting sqref="V676:W679">
    <cfRule type="expression" priority="181" dxfId="2445">
      <formula>$V$675="Drop Plan"</formula>
    </cfRule>
  </conditionalFormatting>
  <conditionalFormatting sqref="O686:O689">
    <cfRule type="expression" priority="178" dxfId="2449">
      <formula>$N$685="Enter Percentages"</formula>
    </cfRule>
    <cfRule type="expression" priority="180" dxfId="2448">
      <formula>$N$685="Enter Dollar Amount"</formula>
    </cfRule>
  </conditionalFormatting>
  <conditionalFormatting sqref="N686:N689">
    <cfRule type="expression" priority="177" dxfId="2449">
      <formula>$N$685="Enter Dollar Amount"</formula>
    </cfRule>
    <cfRule type="expression" priority="179" dxfId="2448">
      <formula>$N$685="Enter Percentages"</formula>
    </cfRule>
  </conditionalFormatting>
  <conditionalFormatting sqref="N686:O689">
    <cfRule type="expression" priority="176" dxfId="2445">
      <formula>$N$685="Drop Plan"</formula>
    </cfRule>
  </conditionalFormatting>
  <conditionalFormatting sqref="W686:W689">
    <cfRule type="expression" priority="173" dxfId="2449">
      <formula>$V$685="Enter Percentages"</formula>
    </cfRule>
    <cfRule type="expression" priority="175" dxfId="2448">
      <formula>$V$685="Enter Dollar Amount"</formula>
    </cfRule>
  </conditionalFormatting>
  <conditionalFormatting sqref="V686:V689">
    <cfRule type="expression" priority="172" dxfId="2449">
      <formula>$V$685="Enter Dollar Amount"</formula>
    </cfRule>
    <cfRule type="expression" priority="174" dxfId="2448">
      <formula>$V$685="Enter Percentages"</formula>
    </cfRule>
  </conditionalFormatting>
  <conditionalFormatting sqref="V686:W689">
    <cfRule type="expression" priority="171" dxfId="2445">
      <formula>$V$685="Drop Plan"</formula>
    </cfRule>
  </conditionalFormatting>
  <conditionalFormatting sqref="O696:O699">
    <cfRule type="expression" priority="168" dxfId="2449">
      <formula>$N$695="Enter Percentages"</formula>
    </cfRule>
    <cfRule type="expression" priority="170" dxfId="2448">
      <formula>$N$695="Enter Dollar Amount"</formula>
    </cfRule>
  </conditionalFormatting>
  <conditionalFormatting sqref="N696:N699">
    <cfRule type="expression" priority="167" dxfId="2449">
      <formula>$N$695="Enter Dollar Amount"</formula>
    </cfRule>
    <cfRule type="expression" priority="169" dxfId="2448">
      <formula>$N$695="Enter Percentages"</formula>
    </cfRule>
  </conditionalFormatting>
  <conditionalFormatting sqref="N696:O699">
    <cfRule type="expression" priority="166" dxfId="2445">
      <formula>$N$695="Drop Plan"</formula>
    </cfRule>
  </conditionalFormatting>
  <conditionalFormatting sqref="W696:W699">
    <cfRule type="expression" priority="163" dxfId="2449">
      <formula>$V$695="Enter Percentages"</formula>
    </cfRule>
    <cfRule type="expression" priority="165" dxfId="2448">
      <formula>$V$695="Enter Dollar Amount"</formula>
    </cfRule>
  </conditionalFormatting>
  <conditionalFormatting sqref="V696:V699">
    <cfRule type="expression" priority="162" dxfId="2449">
      <formula>$V$695="Enter Dollar Amount"</formula>
    </cfRule>
    <cfRule type="expression" priority="164" dxfId="2448">
      <formula>$V$695="Enter Percentages"</formula>
    </cfRule>
  </conditionalFormatting>
  <conditionalFormatting sqref="V696:W699">
    <cfRule type="expression" priority="161" dxfId="2445">
      <formula>$V$695="Drop Plan"</formula>
    </cfRule>
  </conditionalFormatting>
  <conditionalFormatting sqref="O706:O709">
    <cfRule type="expression" priority="158" dxfId="2449">
      <formula>$N$705="Enter Percentages"</formula>
    </cfRule>
    <cfRule type="expression" priority="160" dxfId="2448">
      <formula>$N$705="Enter Dollar Amount"</formula>
    </cfRule>
  </conditionalFormatting>
  <conditionalFormatting sqref="N706:N709">
    <cfRule type="expression" priority="157" dxfId="2449">
      <formula>$N$705="Enter Dollar Amount"</formula>
    </cfRule>
    <cfRule type="expression" priority="159" dxfId="2448">
      <formula>$N$705="Enter Percentages"</formula>
    </cfRule>
  </conditionalFormatting>
  <conditionalFormatting sqref="N706:O709">
    <cfRule type="expression" priority="156" dxfId="2445">
      <formula>$N$705="Drop Plan"</formula>
    </cfRule>
  </conditionalFormatting>
  <conditionalFormatting sqref="W706:W709">
    <cfRule type="expression" priority="153" dxfId="2449">
      <formula>$V$705="Enter Percentages"</formula>
    </cfRule>
    <cfRule type="expression" priority="155" dxfId="2448">
      <formula>$V$705="Enter Dollar Amount"</formula>
    </cfRule>
  </conditionalFormatting>
  <conditionalFormatting sqref="V706:V709">
    <cfRule type="expression" priority="152" dxfId="2449">
      <formula>$V$705="Enter Dollar Amount"</formula>
    </cfRule>
    <cfRule type="expression" priority="154" dxfId="2448">
      <formula>$V$705="Enter Percentages"</formula>
    </cfRule>
  </conditionalFormatting>
  <conditionalFormatting sqref="V706:W709">
    <cfRule type="expression" priority="151" dxfId="2445">
      <formula>$V$705="Drop Plan"</formula>
    </cfRule>
  </conditionalFormatting>
  <conditionalFormatting sqref="O716:O719">
    <cfRule type="expression" priority="148" dxfId="2449">
      <formula>$N$715="Enter Percentages"</formula>
    </cfRule>
    <cfRule type="expression" priority="150" dxfId="2448">
      <formula>$N$715="Enter Dollar Amount"</formula>
    </cfRule>
  </conditionalFormatting>
  <conditionalFormatting sqref="N716:N719">
    <cfRule type="expression" priority="147" dxfId="2449">
      <formula>$N$715="Enter Dollar Amount"</formula>
    </cfRule>
    <cfRule type="expression" priority="149" dxfId="2448">
      <formula>$N$715="Enter Percentages"</formula>
    </cfRule>
  </conditionalFormatting>
  <conditionalFormatting sqref="N716:O719">
    <cfRule type="expression" priority="146" dxfId="2445">
      <formula>$N$715="Drop Plan"</formula>
    </cfRule>
  </conditionalFormatting>
  <conditionalFormatting sqref="W716:W719">
    <cfRule type="expression" priority="143" dxfId="2449">
      <formula>$V$715="Enter Percentages"</formula>
    </cfRule>
    <cfRule type="expression" priority="145" dxfId="2448">
      <formula>$V$715="Enter Dollar Amount"</formula>
    </cfRule>
  </conditionalFormatting>
  <conditionalFormatting sqref="V716:V719">
    <cfRule type="expression" priority="142" dxfId="2449">
      <formula>$V$715="Enter Dollar Amount"</formula>
    </cfRule>
    <cfRule type="expression" priority="144" dxfId="2448">
      <formula>$V$715="Enter Percentages"</formula>
    </cfRule>
  </conditionalFormatting>
  <conditionalFormatting sqref="V716:W719">
    <cfRule type="expression" priority="141" dxfId="2445">
      <formula>$V$715="Drop Plan"</formula>
    </cfRule>
  </conditionalFormatting>
  <conditionalFormatting sqref="O726:O729">
    <cfRule type="expression" priority="138" dxfId="2449">
      <formula>$N$725="Enter Percentages"</formula>
    </cfRule>
    <cfRule type="expression" priority="140" dxfId="2448">
      <formula>$N$725="Enter Dollar Amount"</formula>
    </cfRule>
  </conditionalFormatting>
  <conditionalFormatting sqref="N726:N729">
    <cfRule type="expression" priority="137" dxfId="2449">
      <formula>$N$725="Enter Dollar Amount"</formula>
    </cfRule>
    <cfRule type="expression" priority="139" dxfId="2448">
      <formula>$N$725="Enter Percentages"</formula>
    </cfRule>
  </conditionalFormatting>
  <conditionalFormatting sqref="N726:O729">
    <cfRule type="expression" priority="136" dxfId="2445">
      <formula>$N$725="Drop Plan"</formula>
    </cfRule>
  </conditionalFormatting>
  <conditionalFormatting sqref="W726:W729">
    <cfRule type="expression" priority="133" dxfId="2449">
      <formula>$V$725="Enter Percentages"</formula>
    </cfRule>
    <cfRule type="expression" priority="135" dxfId="2448">
      <formula>$V$725="Enter Dollar Amount"</formula>
    </cfRule>
  </conditionalFormatting>
  <conditionalFormatting sqref="V726:V729">
    <cfRule type="expression" priority="132" dxfId="2449">
      <formula>$V$725="Enter Dollar Amount"</formula>
    </cfRule>
    <cfRule type="expression" priority="134" dxfId="2448">
      <formula>$V$725="Enter Percentages"</formula>
    </cfRule>
  </conditionalFormatting>
  <conditionalFormatting sqref="V726:W729">
    <cfRule type="expression" priority="131" dxfId="2445">
      <formula>$V$725="Drop Plan"</formula>
    </cfRule>
  </conditionalFormatting>
  <conditionalFormatting sqref="O736:O739">
    <cfRule type="expression" priority="128" dxfId="2449">
      <formula>$N$735="Enter Percentages"</formula>
    </cfRule>
    <cfRule type="expression" priority="130" dxfId="2448">
      <formula>$N$735="Enter Dollar Amount"</formula>
    </cfRule>
  </conditionalFormatting>
  <conditionalFormatting sqref="N736:N739">
    <cfRule type="expression" priority="127" dxfId="2449">
      <formula>$N$735="Enter Dollar Amount"</formula>
    </cfRule>
    <cfRule type="expression" priority="129" dxfId="2448">
      <formula>$N$735="Enter Percentages"</formula>
    </cfRule>
  </conditionalFormatting>
  <conditionalFormatting sqref="N736:O739">
    <cfRule type="expression" priority="126" dxfId="2445">
      <formula>$N$735="Drop Plan"</formula>
    </cfRule>
  </conditionalFormatting>
  <conditionalFormatting sqref="W736:W739">
    <cfRule type="expression" priority="123" dxfId="2449">
      <formula>$V$735="Enter Percentages"</formula>
    </cfRule>
    <cfRule type="expression" priority="125" dxfId="2448">
      <formula>$V$735="Enter Dollar Amount"</formula>
    </cfRule>
  </conditionalFormatting>
  <conditionalFormatting sqref="V736:V739">
    <cfRule type="expression" priority="122" dxfId="2449">
      <formula>$V$735="Enter Dollar Amount"</formula>
    </cfRule>
    <cfRule type="expression" priority="124" dxfId="2448">
      <formula>$V$735="Enter Percentages"</formula>
    </cfRule>
  </conditionalFormatting>
  <conditionalFormatting sqref="V736:W739">
    <cfRule type="expression" priority="121" dxfId="2445">
      <formula>$V$735="Drop Plan"</formula>
    </cfRule>
  </conditionalFormatting>
  <conditionalFormatting sqref="O746:O749">
    <cfRule type="expression" priority="118" dxfId="2449">
      <formula>$N$745="Enter Percentages"</formula>
    </cfRule>
    <cfRule type="expression" priority="120" dxfId="2448">
      <formula>$N$745="Enter Dollar Amount"</formula>
    </cfRule>
  </conditionalFormatting>
  <conditionalFormatting sqref="N746:N749">
    <cfRule type="expression" priority="117" dxfId="2449">
      <formula>$N$745="Enter Dollar Amount"</formula>
    </cfRule>
    <cfRule type="expression" priority="119" dxfId="2448">
      <formula>$N$745="Enter Percentages"</formula>
    </cfRule>
  </conditionalFormatting>
  <conditionalFormatting sqref="N746:O749">
    <cfRule type="expression" priority="116" dxfId="2445">
      <formula>$N$745="Drop Plan"</formula>
    </cfRule>
  </conditionalFormatting>
  <conditionalFormatting sqref="W746:W749">
    <cfRule type="expression" priority="113" dxfId="2449">
      <formula>$V$745="Enter Percentages"</formula>
    </cfRule>
    <cfRule type="expression" priority="115" dxfId="2448">
      <formula>$V$745="Enter Dollar Amount"</formula>
    </cfRule>
  </conditionalFormatting>
  <conditionalFormatting sqref="V746:V749">
    <cfRule type="expression" priority="112" dxfId="2449">
      <formula>$V$745="Enter Dollar Amount"</formula>
    </cfRule>
    <cfRule type="expression" priority="114" dxfId="2448">
      <formula>$V$745="Enter Percentages"</formula>
    </cfRule>
  </conditionalFormatting>
  <conditionalFormatting sqref="V746:W749">
    <cfRule type="expression" priority="111" dxfId="2445">
      <formula>$V$745="Drop Plan"</formula>
    </cfRule>
  </conditionalFormatting>
  <conditionalFormatting sqref="O756:O759">
    <cfRule type="expression" priority="108" dxfId="2449">
      <formula>$N$755="Enter Percentages"</formula>
    </cfRule>
    <cfRule type="expression" priority="110" dxfId="2448">
      <formula>$N$755="Enter Dollar Amount"</formula>
    </cfRule>
  </conditionalFormatting>
  <conditionalFormatting sqref="N756:N759">
    <cfRule type="expression" priority="107" dxfId="2449">
      <formula>$N$755="Enter Dollar Amount"</formula>
    </cfRule>
    <cfRule type="expression" priority="109" dxfId="2448">
      <formula>$N$755="Enter Percentages"</formula>
    </cfRule>
  </conditionalFormatting>
  <conditionalFormatting sqref="N756:O759">
    <cfRule type="expression" priority="106" dxfId="2445">
      <formula>$N$755="Drop Plan"</formula>
    </cfRule>
  </conditionalFormatting>
  <conditionalFormatting sqref="W756:W759">
    <cfRule type="expression" priority="103" dxfId="2449">
      <formula>$V$755="Enter Percentages"</formula>
    </cfRule>
    <cfRule type="expression" priority="105" dxfId="2448">
      <formula>$V$755="Enter Dollar Amount"</formula>
    </cfRule>
  </conditionalFormatting>
  <conditionalFormatting sqref="V756:V759">
    <cfRule type="expression" priority="102" dxfId="2449">
      <formula>$V$755="Enter Dollar Amount"</formula>
    </cfRule>
    <cfRule type="expression" priority="104" dxfId="2448">
      <formula>$V$755="Enter Percentages"</formula>
    </cfRule>
  </conditionalFormatting>
  <conditionalFormatting sqref="V756:W759">
    <cfRule type="expression" priority="101" dxfId="2445">
      <formula>$V$755="Drop Plan"</formula>
    </cfRule>
  </conditionalFormatting>
  <conditionalFormatting sqref="O767:O770">
    <cfRule type="expression" priority="98" dxfId="2449">
      <formula>$N$766="Enter Percentages"</formula>
    </cfRule>
    <cfRule type="expression" priority="100" dxfId="2448">
      <formula>$N$766="Enter Dollar Amount"</formula>
    </cfRule>
  </conditionalFormatting>
  <conditionalFormatting sqref="N767:N770">
    <cfRule type="expression" priority="97" dxfId="2449">
      <formula>$N$766="Enter Dollar Amount"</formula>
    </cfRule>
    <cfRule type="expression" priority="99" dxfId="2448">
      <formula>$N$766="Enter Percentages"</formula>
    </cfRule>
  </conditionalFormatting>
  <conditionalFormatting sqref="N767:O770">
    <cfRule type="expression" priority="96" dxfId="2445">
      <formula>$N$766="Drop Plan"</formula>
    </cfRule>
  </conditionalFormatting>
  <conditionalFormatting sqref="W767:W770">
    <cfRule type="expression" priority="93" dxfId="2449">
      <formula>$V$766="Enter Percentages"</formula>
    </cfRule>
    <cfRule type="expression" priority="95" dxfId="2448">
      <formula>$V$766="Enter Dollar Amount"</formula>
    </cfRule>
  </conditionalFormatting>
  <conditionalFormatting sqref="V767:V770">
    <cfRule type="expression" priority="92" dxfId="2449">
      <formula>$V$766="Enter Dollar Amount"</formula>
    </cfRule>
    <cfRule type="expression" priority="94" dxfId="2448">
      <formula>$V$766="Enter Percentages"</formula>
    </cfRule>
  </conditionalFormatting>
  <conditionalFormatting sqref="V767:W770">
    <cfRule type="expression" priority="91" dxfId="2445">
      <formula>$V$766="Drop Plan"</formula>
    </cfRule>
  </conditionalFormatting>
  <conditionalFormatting sqref="O777:O780">
    <cfRule type="expression" priority="88" dxfId="2449">
      <formula>$N$776="Enter Percentages"</formula>
    </cfRule>
    <cfRule type="expression" priority="90" dxfId="2448">
      <formula>$N$776="Enter Dollar Amount"</formula>
    </cfRule>
  </conditionalFormatting>
  <conditionalFormatting sqref="N777:N780">
    <cfRule type="expression" priority="87" dxfId="2449">
      <formula>$N$776="Enter Dollar Amount"</formula>
    </cfRule>
    <cfRule type="expression" priority="89" dxfId="2448">
      <formula>$N$776="Enter Percentages"</formula>
    </cfRule>
  </conditionalFormatting>
  <conditionalFormatting sqref="N777:O780">
    <cfRule type="expression" priority="86" dxfId="2445">
      <formula>$N$776="Drop Plan"</formula>
    </cfRule>
  </conditionalFormatting>
  <conditionalFormatting sqref="W777:W780">
    <cfRule type="expression" priority="83" dxfId="2449">
      <formula>$V$776="Enter Percentages"</formula>
    </cfRule>
    <cfRule type="expression" priority="85" dxfId="2448">
      <formula>$V$776="Enter Dollar Amount"</formula>
    </cfRule>
  </conditionalFormatting>
  <conditionalFormatting sqref="V777:V780">
    <cfRule type="expression" priority="82" dxfId="2449">
      <formula>$V$776="Enter Dollar Amount"</formula>
    </cfRule>
    <cfRule type="expression" priority="84" dxfId="2448">
      <formula>$V$776="Enter Percentages"</formula>
    </cfRule>
  </conditionalFormatting>
  <conditionalFormatting sqref="V777:W780">
    <cfRule type="expression" priority="81" dxfId="2445">
      <formula>$V$776="Drop Plan"</formula>
    </cfRule>
  </conditionalFormatting>
  <conditionalFormatting sqref="O787:O790">
    <cfRule type="expression" priority="78" dxfId="2449">
      <formula>$N$786="Enter Percentages"</formula>
    </cfRule>
    <cfRule type="expression" priority="80" dxfId="2448">
      <formula>$N$786="Enter Dollar Amount"</formula>
    </cfRule>
  </conditionalFormatting>
  <conditionalFormatting sqref="N787:N790">
    <cfRule type="expression" priority="77" dxfId="2449">
      <formula>$N$786="Enter Dollar Amount"</formula>
    </cfRule>
    <cfRule type="expression" priority="79" dxfId="2448">
      <formula>$N$786="Enter Percentages"</formula>
    </cfRule>
  </conditionalFormatting>
  <conditionalFormatting sqref="N787:O790">
    <cfRule type="expression" priority="76" dxfId="2445">
      <formula>$N$786="Drop Plan"</formula>
    </cfRule>
  </conditionalFormatting>
  <conditionalFormatting sqref="W787:W790">
    <cfRule type="expression" priority="73" dxfId="2449">
      <formula>$V$786="Enter Percentages"</formula>
    </cfRule>
    <cfRule type="expression" priority="75" dxfId="2448">
      <formula>$V$786="Enter Dollar Amount"</formula>
    </cfRule>
  </conditionalFormatting>
  <conditionalFormatting sqref="V787:V790">
    <cfRule type="expression" priority="72" dxfId="2449">
      <formula>$V$786="Enter Dollar Amount"</formula>
    </cfRule>
    <cfRule type="expression" priority="74" dxfId="2448">
      <formula>$V$786="Enter Percentages"</formula>
    </cfRule>
  </conditionalFormatting>
  <conditionalFormatting sqref="V787:W790">
    <cfRule type="expression" priority="71" dxfId="2445">
      <formula>$V$786="Drop Plan"</formula>
    </cfRule>
  </conditionalFormatting>
  <conditionalFormatting sqref="O797:O800">
    <cfRule type="expression" priority="68" dxfId="2449">
      <formula>$N$796="Enter Percentages"</formula>
    </cfRule>
    <cfRule type="expression" priority="70" dxfId="2448">
      <formula>$N$796="Enter Dollar Amount"</formula>
    </cfRule>
  </conditionalFormatting>
  <conditionalFormatting sqref="N797:N800">
    <cfRule type="expression" priority="67" dxfId="2449">
      <formula>$N$796="Enter Dollar Amount"</formula>
    </cfRule>
    <cfRule type="expression" priority="69" dxfId="2448">
      <formula>$N$796="Enter Percentages"</formula>
    </cfRule>
  </conditionalFormatting>
  <conditionalFormatting sqref="N797:O800">
    <cfRule type="expression" priority="66" dxfId="2445">
      <formula>$N$796="Drop Plan"</formula>
    </cfRule>
  </conditionalFormatting>
  <conditionalFormatting sqref="W797:W800">
    <cfRule type="expression" priority="63" dxfId="2449">
      <formula>$V$796="Enter Percentages"</formula>
    </cfRule>
    <cfRule type="expression" priority="65" dxfId="2448">
      <formula>$V$796="Enter Dollar Amount"</formula>
    </cfRule>
  </conditionalFormatting>
  <conditionalFormatting sqref="V797:V800">
    <cfRule type="expression" priority="62" dxfId="2449">
      <formula>$V$796="Enter Dollar Amount"</formula>
    </cfRule>
    <cfRule type="expression" priority="64" dxfId="2448">
      <formula>$V$796="Enter Percentages"</formula>
    </cfRule>
  </conditionalFormatting>
  <conditionalFormatting sqref="V797:W800">
    <cfRule type="expression" priority="61" dxfId="2445">
      <formula>$V$796="Drop Plan"</formula>
    </cfRule>
  </conditionalFormatting>
  <conditionalFormatting sqref="O807:O810">
    <cfRule type="expression" priority="58" dxfId="2449">
      <formula>$N$806="Enter Percentages"</formula>
    </cfRule>
    <cfRule type="expression" priority="60" dxfId="2448">
      <formula>$N$806="Enter Dollar Amount"</formula>
    </cfRule>
  </conditionalFormatting>
  <conditionalFormatting sqref="N807:N810">
    <cfRule type="expression" priority="57" dxfId="2449">
      <formula>$N$806="Enter Dollar Amount"</formula>
    </cfRule>
    <cfRule type="expression" priority="59" dxfId="2448">
      <formula>$N$806="Enter Percentages"</formula>
    </cfRule>
  </conditionalFormatting>
  <conditionalFormatting sqref="N807:O810">
    <cfRule type="expression" priority="56" dxfId="2445">
      <formula>$N$806="Drop Plan"</formula>
    </cfRule>
  </conditionalFormatting>
  <conditionalFormatting sqref="W807:W810">
    <cfRule type="expression" priority="53" dxfId="2449">
      <formula>$V$806="Enter Percentages"</formula>
    </cfRule>
    <cfRule type="expression" priority="55" dxfId="2448">
      <formula>$V$806="Enter Dollar Amount"</formula>
    </cfRule>
  </conditionalFormatting>
  <conditionalFormatting sqref="V807:V810">
    <cfRule type="expression" priority="52" dxfId="2449">
      <formula>$V$806="Enter Dollar Amount"</formula>
    </cfRule>
    <cfRule type="expression" priority="54" dxfId="2448">
      <formula>$V$806="Enter Percentages"</formula>
    </cfRule>
  </conditionalFormatting>
  <conditionalFormatting sqref="V807:W810">
    <cfRule type="expression" priority="51" dxfId="2445">
      <formula>$V$806="Drop Plan"</formula>
    </cfRule>
  </conditionalFormatting>
  <conditionalFormatting sqref="O817:O820">
    <cfRule type="expression" priority="48" dxfId="2449">
      <formula>$N$816="Enter Percentages"</formula>
    </cfRule>
    <cfRule type="expression" priority="50" dxfId="2448">
      <formula>$N$816="Enter Dollar Amount"</formula>
    </cfRule>
  </conditionalFormatting>
  <conditionalFormatting sqref="N817:N820">
    <cfRule type="expression" priority="47" dxfId="2449">
      <formula>$N$816="Enter Dollar Amount"</formula>
    </cfRule>
    <cfRule type="expression" priority="49" dxfId="2448">
      <formula>$N$816="Enter Percentages"</formula>
    </cfRule>
  </conditionalFormatting>
  <conditionalFormatting sqref="N817:O820">
    <cfRule type="expression" priority="46" dxfId="2445">
      <formula>$N$816="Drop Plan"</formula>
    </cfRule>
  </conditionalFormatting>
  <conditionalFormatting sqref="W817:W820">
    <cfRule type="expression" priority="43" dxfId="2449">
      <formula>$V$816="Enter Percentages"</formula>
    </cfRule>
    <cfRule type="expression" priority="45" dxfId="2448">
      <formula>$V$816="Enter Dollar Amount"</formula>
    </cfRule>
  </conditionalFormatting>
  <conditionalFormatting sqref="V817:V820">
    <cfRule type="expression" priority="42" dxfId="2449">
      <formula>$V$816="Enter Dollar Amount"</formula>
    </cfRule>
    <cfRule type="expression" priority="44" dxfId="2448">
      <formula>$V$816="Enter Percentages"</formula>
    </cfRule>
  </conditionalFormatting>
  <conditionalFormatting sqref="V817:W820">
    <cfRule type="expression" priority="41" dxfId="2445">
      <formula>$V$816="Drop Plan"</formula>
    </cfRule>
  </conditionalFormatting>
  <conditionalFormatting sqref="O827:O830">
    <cfRule type="expression" priority="38" dxfId="2449">
      <formula>$N$826="Enter Percentages"</formula>
    </cfRule>
    <cfRule type="expression" priority="40" dxfId="2448">
      <formula>$N$826="Enter Dollar Amount"</formula>
    </cfRule>
  </conditionalFormatting>
  <conditionalFormatting sqref="N827:N830">
    <cfRule type="expression" priority="37" dxfId="2449">
      <formula>$N$826="Enter Dollar Amount"</formula>
    </cfRule>
    <cfRule type="expression" priority="39" dxfId="2448">
      <formula>$N$826="Enter Percentages"</formula>
    </cfRule>
  </conditionalFormatting>
  <conditionalFormatting sqref="N827:O830">
    <cfRule type="expression" priority="36" dxfId="2445">
      <formula>$N$826="Drop Plan"</formula>
    </cfRule>
  </conditionalFormatting>
  <conditionalFormatting sqref="W827:W830">
    <cfRule type="expression" priority="33" dxfId="2449">
      <formula>$V$826="Enter Percentages"</formula>
    </cfRule>
    <cfRule type="expression" priority="35" dxfId="2448">
      <formula>$V$826="Enter Dollar Amount"</formula>
    </cfRule>
  </conditionalFormatting>
  <conditionalFormatting sqref="V827:V830">
    <cfRule type="expression" priority="32" dxfId="2449">
      <formula>$V$826="Enter Dollar Amount"</formula>
    </cfRule>
    <cfRule type="expression" priority="34" dxfId="2448">
      <formula>$V$826="Enter Percentages"</formula>
    </cfRule>
  </conditionalFormatting>
  <conditionalFormatting sqref="V827:W830">
    <cfRule type="expression" priority="31" dxfId="2445">
      <formula>$V$826="Drop Plan"</formula>
    </cfRule>
  </conditionalFormatting>
  <conditionalFormatting sqref="O837:O840">
    <cfRule type="expression" priority="28" dxfId="2449">
      <formula>$N$836="Enter Percentages"</formula>
    </cfRule>
    <cfRule type="expression" priority="30" dxfId="2448">
      <formula>$N$836="Enter Dollar Amount"</formula>
    </cfRule>
  </conditionalFormatting>
  <conditionalFormatting sqref="N837:N840">
    <cfRule type="expression" priority="27" dxfId="2449">
      <formula>$N$836="Enter Dollar Amount"</formula>
    </cfRule>
    <cfRule type="expression" priority="29" dxfId="2448">
      <formula>$N$836="Enter Percentages"</formula>
    </cfRule>
  </conditionalFormatting>
  <conditionalFormatting sqref="N837:O840">
    <cfRule type="expression" priority="26" dxfId="2445">
      <formula>$N$836="Drop Plan"</formula>
    </cfRule>
  </conditionalFormatting>
  <conditionalFormatting sqref="W837:W840">
    <cfRule type="expression" priority="23" dxfId="2449">
      <formula>$V$836="Enter Percentages"</formula>
    </cfRule>
    <cfRule type="expression" priority="25" dxfId="2448">
      <formula>$V$836="Enter Dollar Amount"</formula>
    </cfRule>
  </conditionalFormatting>
  <conditionalFormatting sqref="V837:V840">
    <cfRule type="expression" priority="22" dxfId="2449">
      <formula>$V$836="Enter Dollar Amount"</formula>
    </cfRule>
    <cfRule type="expression" priority="24" dxfId="2448">
      <formula>$V$836="Enter Percentages"</formula>
    </cfRule>
  </conditionalFormatting>
  <conditionalFormatting sqref="V837:W840">
    <cfRule type="expression" priority="21" dxfId="2445">
      <formula>$V$836="Drop Plan"</formula>
    </cfRule>
  </conditionalFormatting>
  <conditionalFormatting sqref="O847:O850">
    <cfRule type="expression" priority="18" dxfId="2449">
      <formula>$N$846="Enter Percentages"</formula>
    </cfRule>
    <cfRule type="expression" priority="20" dxfId="2448">
      <formula>$N$846="Enter Dollar Amount"</formula>
    </cfRule>
  </conditionalFormatting>
  <conditionalFormatting sqref="N847:N850">
    <cfRule type="expression" priority="17" dxfId="2449">
      <formula>$N$846="Enter Dollar Amount"</formula>
    </cfRule>
    <cfRule type="expression" priority="19" dxfId="2448">
      <formula>$N$846="Enter Percentages"</formula>
    </cfRule>
  </conditionalFormatting>
  <conditionalFormatting sqref="N847:O850">
    <cfRule type="expression" priority="16" dxfId="2445">
      <formula>$N$846="Drop Plan"</formula>
    </cfRule>
  </conditionalFormatting>
  <conditionalFormatting sqref="W847:W850">
    <cfRule type="expression" priority="13" dxfId="2449">
      <formula>$V$846="Enter Percentages"</formula>
    </cfRule>
    <cfRule type="expression" priority="15" dxfId="2448">
      <formula>$V$846="Enter Dollar Amount"</formula>
    </cfRule>
  </conditionalFormatting>
  <conditionalFormatting sqref="V847:V850">
    <cfRule type="expression" priority="12" dxfId="2449">
      <formula>$V$846="Enter Dollar Amount"</formula>
    </cfRule>
    <cfRule type="expression" priority="14" dxfId="2448">
      <formula>$V$846="Enter Percentages"</formula>
    </cfRule>
  </conditionalFormatting>
  <conditionalFormatting sqref="V847:W850">
    <cfRule type="expression" priority="11" dxfId="2445">
      <formula>$V$846="Drop Plan"</formula>
    </cfRule>
  </conditionalFormatting>
  <conditionalFormatting sqref="O857:O860">
    <cfRule type="expression" priority="8" dxfId="2449">
      <formula>$N$856="Enter Percentages"</formula>
    </cfRule>
    <cfRule type="expression" priority="10" dxfId="2448">
      <formula>$N$856="Enter Dollar Amount"</formula>
    </cfRule>
  </conditionalFormatting>
  <conditionalFormatting sqref="N857:N860">
    <cfRule type="expression" priority="7" dxfId="2449">
      <formula>$N$856="Enter Dollar Amount"</formula>
    </cfRule>
    <cfRule type="expression" priority="9" dxfId="2448">
      <formula>$N$856="Enter Percentages"</formula>
    </cfRule>
  </conditionalFormatting>
  <conditionalFormatting sqref="N857:O860">
    <cfRule type="expression" priority="6" dxfId="2445">
      <formula>$N$856="Drop Plan"</formula>
    </cfRule>
  </conditionalFormatting>
  <conditionalFormatting sqref="W857:W860">
    <cfRule type="expression" priority="3" dxfId="2449">
      <formula>$V$856="Enter Percentages"</formula>
    </cfRule>
    <cfRule type="expression" priority="5" dxfId="2448">
      <formula>$V$856="Enter Dollar Amount"</formula>
    </cfRule>
  </conditionalFormatting>
  <conditionalFormatting sqref="V857:V860">
    <cfRule type="expression" priority="2" dxfId="2449">
      <formula>$V$856="Enter Dollar Amount"</formula>
    </cfRule>
    <cfRule type="expression" priority="4" dxfId="2448">
      <formula>$V$856="Enter Percentages"</formula>
    </cfRule>
  </conditionalFormatting>
  <conditionalFormatting sqref="V857:W860">
    <cfRule type="expression" priority="1" dxfId="2445">
      <formula>$V$856="Drop Plan"</formula>
    </cfRule>
  </conditionalFormatting>
  <dataValidations count="8">
    <dataValidation type="list" allowBlank="1" showInputMessage="1" showErrorMessage="1" sqref="N14 V14 N64 V64 N114 V114 N164 V164 N214 V214 N264 V264 N314 V314 N364 V364 N414 V414 N464 V464 N514 V514 N564 V564 N614 V614 N665 V665 N675 V675 N685 V685 N695 V695 N705 V705 N715 V715 N725 V725 N735 V735 N745 V745 N755 V755 N766 V766 N776 V776 N786 V786 N796 V796 N806 V806 N816 V816 N826 V826 N836 V836 N846 V846 N856 V856">
      <formula1>"[Contribution Methods],Keep Contribution Same,Keep Percentage Same,Enter Dollar Amount,Enter Percentages,Drop Plan"</formula1>
    </dataValidation>
    <dataValidation type="list" allowBlank="1" showInputMessage="1" showErrorMessage="1" sqref="F876 F878:F879">
      <formula1>"Yes,No"</formula1>
    </dataValidation>
    <dataValidation type="list" allowBlank="1" showInputMessage="1" showErrorMessage="1" sqref="L14 T14 L64 T64 L114 T114 L164 T164 L214 T214 L264 T264 L314 T314 L364 T364 L414 T414 L464 T464 L514 T514 L564 T564 L614 T614">
      <formula1>'Health Summary'!$B$5:$AK$5</formula1>
    </dataValidation>
    <dataValidation type="list" allowBlank="1" showInputMessage="1" showErrorMessage="1" sqref="L665 T665 L675 T675 L685 T685 L695 T695 L705 T705 L715 T715 L725 T725 L735 T735 L745 T745 L755 T755">
      <formula1>'Dental Summary'!$B$5:$AK$5</formula1>
    </dataValidation>
    <dataValidation type="list" allowBlank="1" showInputMessage="1" showErrorMessage="1" sqref="L766 T766 L776 T776 L786 T786 L796 T796 L806 T806 L816 T816 L826 T826 L836 T836 L846 T846 L856 T856">
      <formula1>'Vision Summary'!$B$5:$AK$5</formula1>
    </dataValidation>
    <dataValidation type="list" allowBlank="1" showInputMessage="1" showErrorMessage="1" sqref="N879:O879">
      <formula1>'Life Summary'!$B$6:$W$6</formula1>
    </dataValidation>
    <dataValidation type="list" allowBlank="1" showInputMessage="1" showErrorMessage="1" sqref="N877:O877">
      <formula1>'LTD Summary'!$B$5:$W$5</formula1>
    </dataValidation>
    <dataValidation type="list" allowBlank="1" showInputMessage="1" showErrorMessage="1" sqref="N878:O878">
      <formula1>'STD Summary'!$B$5:$W$5</formula1>
    </dataValidation>
  </dataValidations>
  <hyperlinks>
    <hyperlink ref="E4:R4" location="Class6_HealthSection" display="Medical"/>
    <hyperlink ref="E5:R5" location="Class6_DentalSection" display="Dental"/>
    <hyperlink ref="E6:R6" location="Class6_VisionSection" display="Vision"/>
    <hyperlink ref="E7:R7" location="Class6_LifeSection" display="Life / Disability"/>
  </hyperlinks>
  <pageMargins left="0.25" right="0.25" top="0.5" bottom="0.25" header="0.3" footer="0.3"/>
  <pageSetup fitToHeight="0" orientation="landscape" paperSize="1" scale="33" r:id="rId4"/>
  <drawing r:id="rId2"/>
  <legacyDrawing r:id="rId3"/>
  <mc:AlternateContent xmlns:mc="http://schemas.openxmlformats.org/markup-compatibility/2006">
    <mc:Choice Requires="x14">
      <controls>
        <mc:AlternateContent xmlns:mc="http://schemas.openxmlformats.org/markup-compatibility/2006">
          <mc:Choice Requires="x14">
            <control shapeId="13316" r:id="rId1" name="Button 4">
              <controlPr defaultSize="0" print="0" autoLine="0" autoPict="0" macro="[0]!Loc">
                <anchor moveWithCells="1" sizeWithCells="1">
                  <from>
                    <xdr:col>2</xdr:col>
                    <xdr:colOff>31750</xdr:colOff>
                    <xdr:row>9</xdr:row>
                    <xdr:rowOff>222250</xdr:rowOff>
                  </from>
                  <to>
                    <xdr:col>2</xdr:col>
                    <xdr:colOff>609600</xdr:colOff>
                    <xdr:row>11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B7114728-B033-4E9A-8A49-905626A718D9}">
  <sheetPr codeName="Sheet7">
    <pageSetUpPr fitToPage="1"/>
  </sheetPr>
  <dimension ref="A1:EJ1834"/>
  <sheetViews>
    <sheetView showGridLines="0" tabSelected="1" zoomScale="70" zoomScaleNormal="70" workbookViewId="0" topLeftCell="C1">
      <pane ySplit="12" topLeftCell="A13" activePane="bottomLeft" state="frozen"/>
      <selection pane="topLeft" activeCell="E15" sqref="E15"/>
      <selection pane="bottomLeft" activeCell="L15" sqref="L15"/>
    </sheetView>
  </sheetViews>
  <sheetFormatPr defaultColWidth="9.29333333333333" defaultRowHeight="13"/>
  <cols>
    <col min="1" max="2" width="3.33333333333333" style="1" hidden="1" customWidth="1"/>
    <col min="3" max="3" width="10.8333333333333" style="141" bestFit="1" customWidth="1"/>
    <col min="4" max="4" width="45.8333333333333" style="142" customWidth="1"/>
    <col min="5" max="5" width="18.8333333333333" style="142" customWidth="1"/>
    <col min="6" max="8" width="18.8333333333333" style="4" customWidth="1"/>
    <col min="9" max="9" width="18.8333333333333" style="254" customWidth="1"/>
    <col min="10" max="10" width="20.8333333333333" style="4" customWidth="1"/>
    <col min="11" max="11" width="1.66666666666667" style="4" customWidth="1"/>
    <col min="12" max="12" width="20.1666666666667" style="4" customWidth="1"/>
    <col min="13" max="13" width="18.8333333333333" style="4" customWidth="1"/>
    <col min="14" max="14" width="18.8333333333333" style="252" customWidth="1"/>
    <col min="15" max="17" width="18.8333333333333" style="4" customWidth="1"/>
    <col min="18" max="18" width="20.8333333333333" style="4" customWidth="1"/>
    <col min="19" max="19" width="1.16666666666667" style="1" customWidth="1"/>
    <col min="20" max="20" width="20.1666666666667" style="1" customWidth="1"/>
    <col min="21" max="25" width="18.8333333333333" style="1" customWidth="1"/>
    <col min="26" max="26" width="20.8333333333333" style="1" customWidth="1"/>
    <col min="27" max="27" width="2.5" style="1" customWidth="1"/>
    <col min="28" max="28" width="37.5" bestFit="1" customWidth="1"/>
    <col min="29" max="29" width="24.6666666666667" customWidth="1"/>
    <col min="30" max="31" width="1" customWidth="1"/>
    <col min="32" max="32" width="24.6666666666667" customWidth="1"/>
    <col min="33" max="33" width="0.333333333333333" customWidth="1"/>
    <col min="34" max="34" width="24.6666666666667" customWidth="1"/>
    <col min="141" max="16384" width="9.33333333333333" style="1"/>
  </cols>
  <sheetData>
    <row r="1" spans="1:25" ht="28.5" customHeight="1">
      <c r="A1" s="140"/>
      <c r="B1" s="140"/>
      <c r="E1"/>
      <c r="F1"/>
      <c r="G1"/>
      <c r="H1"/>
      <c r="I1"/>
      <c r="J1"/>
      <c r="K1"/>
      <c r="L1"/>
      <c r="M1"/>
      <c r="N1"/>
      <c r="O1"/>
      <c r="P1"/>
      <c r="Q1"/>
      <c r="R1"/>
      <c r="V1" s="118"/>
      <c r="W1" s="119"/>
      <c r="X1" s="118"/>
      <c r="Y1" s="118"/>
    </row>
    <row r="2" spans="1:25" ht="18" customHeight="1" thickBot="1">
      <c r="A2" s="140"/>
      <c r="B2" s="140"/>
      <c r="D2" s="143"/>
      <c r="E2"/>
      <c r="F2"/>
      <c r="G2"/>
      <c r="H2"/>
      <c r="I2"/>
      <c r="J2"/>
      <c r="K2"/>
      <c r="L2"/>
      <c r="M2"/>
      <c r="N2"/>
      <c r="O2"/>
      <c r="P2"/>
      <c r="Q2"/>
      <c r="R2"/>
      <c r="S2" s="144"/>
      <c r="V2" s="118"/>
      <c r="W2" s="119"/>
      <c r="X2" s="118"/>
      <c r="Y2" s="118"/>
    </row>
    <row r="3" spans="1:26" ht="25" customHeight="1" thickBot="1">
      <c r="A3" s="140"/>
      <c r="B3" s="140"/>
      <c r="D3" s="143"/>
      <c r="E3" s="504" t="str">
        <f>Client_Name&amp;" ("&amp;Client_Number&amp;") "&amp;Benefit_Year_Display&amp;" Renewal Rates"</f>
        <v>QUESTCO TEST (102) 2025 Renewal Rates</v>
      </c>
      <c r="F3" s="504"/>
      <c r="G3" s="504"/>
      <c r="H3" s="504"/>
      <c r="I3" s="504"/>
      <c r="J3" s="504"/>
      <c r="K3" s="504"/>
      <c r="L3" s="504"/>
      <c r="M3" s="504"/>
      <c r="N3" s="504"/>
      <c r="O3" s="504"/>
      <c r="P3" s="504"/>
      <c r="Q3" s="504"/>
      <c r="R3" s="504"/>
      <c r="S3" s="145"/>
      <c r="T3" s="498" t="s">
        <v>212</v>
      </c>
      <c r="U3" s="499"/>
      <c r="V3" s="496" t="s">
        <v>213</v>
      </c>
      <c r="W3" s="496"/>
      <c r="X3" s="496"/>
      <c r="Y3" s="496"/>
      <c r="Z3" s="497"/>
    </row>
    <row r="4" spans="1:26" ht="25.5" customHeight="1">
      <c r="A4" s="140"/>
      <c r="B4" s="140"/>
      <c r="D4" s="143"/>
      <c r="E4" s="533" t="s">
        <v>214</v>
      </c>
      <c r="F4" s="533"/>
      <c r="G4" s="533"/>
      <c r="H4" s="533"/>
      <c r="I4" s="533"/>
      <c r="J4" s="533"/>
      <c r="K4" s="533"/>
      <c r="L4" s="533"/>
      <c r="M4" s="533"/>
      <c r="N4" s="533"/>
      <c r="O4" s="533"/>
      <c r="P4" s="533"/>
      <c r="Q4" s="533"/>
      <c r="R4" s="533"/>
      <c r="S4" s="145"/>
      <c r="T4" s="393"/>
      <c r="U4" s="394"/>
      <c r="V4" s="492" t="s">
        <v>215</v>
      </c>
      <c r="W4" s="493"/>
      <c r="X4" s="500" t="s">
        <v>216</v>
      </c>
      <c r="Y4" s="501"/>
      <c r="Z4" s="395" t="s">
        <v>217</v>
      </c>
    </row>
    <row r="5" spans="1:26" ht="18" customHeight="1">
      <c r="A5" s="140"/>
      <c r="B5" s="140"/>
      <c r="D5" s="143"/>
      <c r="E5" s="533" t="s">
        <v>39</v>
      </c>
      <c r="F5" s="533"/>
      <c r="G5" s="533"/>
      <c r="H5" s="533"/>
      <c r="I5" s="533"/>
      <c r="J5" s="533"/>
      <c r="K5" s="533"/>
      <c r="L5" s="533"/>
      <c r="M5" s="533"/>
      <c r="N5" s="533"/>
      <c r="O5" s="533"/>
      <c r="P5" s="533"/>
      <c r="Q5" s="533"/>
      <c r="R5" s="533"/>
      <c r="T5" s="396" t="s">
        <v>218</v>
      </c>
      <c r="U5" s="397"/>
      <c r="V5" s="494">
        <f ca="1">IFERROR(IF(F20="",0,F20)+IF(F70="",0,F70)+IF(F120="",0,F120)+IF(F170="",0,F170)+IF(F220="",0,F220)+IF(F270="",0,F270)+IF(F320="",0,F320)+IF(F370="",0,F370)+IF(F420="",0,F420)+IF(F470="",0,F470)+IF(F520="",0,F520)+IF(F570="",0,F570)+IF(F620="",0,F620),"")</f>
        <v>0</v>
      </c>
      <c r="W5" s="495"/>
      <c r="X5" s="502">
        <f ca="1">IFERROR(IF(L20="",0,L20)+IF(L70="",0,L70)+IF(L120="",0,L120)+IF(L170="",0,L170)+IF(L220="",0,L220)+IF(L270="",0,L270)+IF(L320="",0,L320)+IF(L370="",0,L370)+IF(L420="",0,L420)+IF(L470="",0,L470)+IF(L520="",0,L520)+IF(L570="",0,L570)+IF(L620="",0,L620),"")</f>
        <v>0</v>
      </c>
      <c r="Y5" s="503"/>
      <c r="Z5" s="398">
        <f ca="1">IFERROR(IF(T20="",0,T20)+IF(T70="",0,T70)+IF(T120="",0,T120)+IF(T170="",0,T170)+IF(T220="",0,T220)+IF(T270="",0,T270)+IF(T320="",0,T320)+IF(T370="",0,T370)+IF(T420="",0,T420)+IF(T470="",0,T470)+IF(T520="",0,T520)+IF(T570="",0,T570)+IF(T620="",0,T620),"")</f>
        <v>0</v>
      </c>
    </row>
    <row r="6" spans="1:26" ht="18" customHeight="1">
      <c r="A6" s="140"/>
      <c r="B6" s="140"/>
      <c r="D6" s="143"/>
      <c r="E6" s="533" t="s">
        <v>40</v>
      </c>
      <c r="F6" s="533"/>
      <c r="G6" s="533"/>
      <c r="H6" s="533"/>
      <c r="I6" s="533"/>
      <c r="J6" s="533"/>
      <c r="K6" s="533"/>
      <c r="L6" s="533"/>
      <c r="M6" s="533"/>
      <c r="N6" s="533"/>
      <c r="O6" s="533"/>
      <c r="P6" s="533"/>
      <c r="Q6" s="533"/>
      <c r="R6" s="533"/>
      <c r="T6" s="399" t="s">
        <v>219</v>
      </c>
      <c r="U6" s="400"/>
      <c r="V6" s="477">
        <f ca="1">IFERROR(Current_Medical_EE_Count,"")</f>
        <v>0</v>
      </c>
      <c r="W6" s="478"/>
      <c r="X6" s="477">
        <f ca="1">IFERROR(Renewal_Medical_EE_Count,"")</f>
        <v>0</v>
      </c>
      <c r="Y6" s="478"/>
      <c r="Z6" s="401">
        <f ca="1">IFERROR(Alternate_Medical_EE_Count,"")</f>
        <v>0</v>
      </c>
    </row>
    <row r="7" spans="1:26" ht="18" customHeight="1">
      <c r="A7" s="140"/>
      <c r="B7" s="140"/>
      <c r="D7" s="143"/>
      <c r="E7" s="533" t="s">
        <v>220</v>
      </c>
      <c r="F7" s="533"/>
      <c r="G7" s="533"/>
      <c r="H7" s="533"/>
      <c r="I7" s="533"/>
      <c r="J7" s="533"/>
      <c r="K7" s="533"/>
      <c r="L7" s="533"/>
      <c r="M7" s="533"/>
      <c r="N7" s="533"/>
      <c r="O7" s="533"/>
      <c r="P7" s="533"/>
      <c r="Q7" s="533"/>
      <c r="R7" s="533"/>
      <c r="T7" s="402" t="s">
        <v>221</v>
      </c>
      <c r="U7" s="406"/>
      <c r="V7" s="487" t="s">
        <v>222</v>
      </c>
      <c r="W7" s="488"/>
      <c r="X7" s="479">
        <f ca="1">IFERROR(IF(V5="","",X5-V5),0)</f>
        <v>0</v>
      </c>
      <c r="Y7" s="480"/>
      <c r="Z7" s="398">
        <f ca="1">IFERROR(IF(V5="","",Z5-V5),0)</f>
        <v>0</v>
      </c>
    </row>
    <row r="8" spans="1:26" ht="18" customHeight="1" thickBot="1">
      <c r="A8" s="140"/>
      <c r="B8" s="140"/>
      <c r="D8" s="143"/>
      <c r="E8" s="143"/>
      <c r="F8" s="145"/>
      <c r="G8" s="145"/>
      <c r="H8" s="145"/>
      <c r="I8" s="145"/>
      <c r="J8" s="145"/>
      <c r="K8" s="145"/>
      <c r="L8" s="145"/>
      <c r="M8" s="145"/>
      <c r="N8" s="145"/>
      <c r="O8" s="145"/>
      <c r="P8" s="145"/>
      <c r="Q8" s="145"/>
      <c r="R8" s="145"/>
      <c r="T8" s="403" t="s">
        <v>223</v>
      </c>
      <c r="U8" s="404"/>
      <c r="V8" s="489" t="s">
        <v>222</v>
      </c>
      <c r="W8" s="490"/>
      <c r="X8" s="481">
        <f ca="1">IFERROR(IF(X5="","",(X5/V5)-1),0)</f>
        <v>0</v>
      </c>
      <c r="Y8" s="482"/>
      <c r="Z8" s="405">
        <f ca="1">IFERROR(IF(Z5="","",(Z5/V5)-1),0)</f>
        <v>0</v>
      </c>
    </row>
    <row r="9" spans="1:140" s="151" customFormat="1" ht="18" customHeight="1">
      <c r="A9" s="140"/>
      <c r="B9" s="140"/>
      <c r="C9" s="141"/>
      <c r="D9" s="143"/>
      <c r="E9" s="143"/>
      <c r="F9" s="145"/>
      <c r="G9" s="145"/>
      <c r="H9" s="145"/>
      <c r="I9" s="145"/>
      <c r="J9" s="145"/>
      <c r="K9" s="145"/>
      <c r="L9" s="145"/>
      <c r="M9" s="145"/>
      <c r="N9" s="145"/>
      <c r="O9" s="145"/>
      <c r="P9" s="145"/>
      <c r="Q9" s="145"/>
      <c r="R9" s="145"/>
      <c r="S9" s="1"/>
      <c r="T9" s="2"/>
      <c r="U9" s="146"/>
      <c r="V9" s="146"/>
      <c r="W9" s="147"/>
      <c r="X9" s="148"/>
      <c r="Y9" s="147"/>
      <c r="Z9" s="148"/>
      <c r="AA9" s="1"/>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row>
    <row r="10" spans="1:27" ht="18" customHeight="1">
      <c r="A10" s="149"/>
      <c r="B10" s="149"/>
      <c r="C10"/>
      <c r="D10"/>
      <c r="E10"/>
      <c r="F10"/>
      <c r="G10"/>
      <c r="H10"/>
      <c r="I10"/>
      <c r="J10"/>
      <c r="K10" s="150"/>
      <c r="L10" s="483"/>
      <c r="M10" s="483"/>
      <c r="N10" s="483"/>
      <c r="O10" s="483"/>
      <c r="P10" s="483"/>
      <c r="Q10" s="483"/>
      <c r="R10" s="483"/>
      <c r="S10" s="151"/>
      <c r="T10" s="483"/>
      <c r="U10" s="483"/>
      <c r="V10" s="483"/>
      <c r="W10" s="483"/>
      <c r="X10" s="483"/>
      <c r="Y10" s="483"/>
      <c r="Z10" s="483"/>
      <c r="AA10" s="151"/>
    </row>
    <row r="11" spans="1:140" s="159" customFormat="1" ht="18" customHeight="1">
      <c r="A11" s="140"/>
      <c r="B11" s="140"/>
      <c r="C11"/>
      <c r="D11"/>
      <c r="E11" s="483" t="s">
        <v>224</v>
      </c>
      <c r="F11" s="483"/>
      <c r="G11" s="483"/>
      <c r="H11" s="483"/>
      <c r="I11" s="483"/>
      <c r="J11" s="483"/>
      <c r="K11" s="152"/>
      <c r="L11" s="483" t="s">
        <v>225</v>
      </c>
      <c r="M11" s="483"/>
      <c r="N11" s="483"/>
      <c r="O11" s="483"/>
      <c r="P11" s="483"/>
      <c r="Q11" s="483"/>
      <c r="R11" s="483"/>
      <c r="S11" s="1"/>
      <c r="T11" s="483" t="s">
        <v>226</v>
      </c>
      <c r="U11" s="483"/>
      <c r="V11" s="483"/>
      <c r="W11" s="483"/>
      <c r="X11" s="483"/>
      <c r="Y11" s="483"/>
      <c r="Z11" s="483"/>
      <c r="AA11" s="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row>
    <row r="12" spans="1:140" s="162" customFormat="1" ht="60" customHeight="1" thickBot="1">
      <c r="A12" s="153"/>
      <c r="B12" s="153"/>
      <c r="C12" s="154" t="s">
        <v>227</v>
      </c>
      <c r="D12" s="467" t="str">
        <f>IF(Class7_Name=0,"",Class7_Name)</f>
        <v/>
      </c>
      <c r="E12" s="155" t="str">
        <f>"Employee Count (as of "&amp;TEXT(CountsAsOfDate,"MM/DD/YY")&amp;")"</f>
        <v>Employee Count (as of 08/01/24)</v>
      </c>
      <c r="F12" s="156" t="str">
        <f>"CurrentRates"&amp;Benefit_Year_Display-1</f>
        <v>CurrentRates2024</v>
      </c>
      <c r="G12" s="156" t="s">
        <v>228</v>
      </c>
      <c r="H12" s="156" t="s">
        <v>229</v>
      </c>
      <c r="I12" s="155" t="s">
        <v>230</v>
      </c>
      <c r="J12" s="156" t="s">
        <v>231</v>
      </c>
      <c r="K12" s="157"/>
      <c r="L12" s="158" t="str">
        <f>"Rates Effective 1/1/"&amp;Benefit_Year_Display</f>
        <v>Rates Effective 1/1/2025</v>
      </c>
      <c r="M12" s="158" t="s">
        <v>232</v>
      </c>
      <c r="N12" s="116" t="s">
        <v>233</v>
      </c>
      <c r="O12" s="116" t="s">
        <v>234</v>
      </c>
      <c r="P12" s="158" t="str">
        <f>"Employer Contribution "&amp;Benefit_Year_Display</f>
        <v>Employer Contribution 2025</v>
      </c>
      <c r="Q12" s="158" t="str">
        <f>"Employee Contribution "&amp;Benefit_Year_Display</f>
        <v>Employee Contribution 2025</v>
      </c>
      <c r="R12" s="158" t="s">
        <v>231</v>
      </c>
      <c r="S12" s="159"/>
      <c r="T12" s="160" t="str">
        <f>"Rates Effective 1/1/"&amp;Benefit_Year_Display</f>
        <v>Rates Effective 1/1/2025</v>
      </c>
      <c r="U12" s="160" t="s">
        <v>232</v>
      </c>
      <c r="V12" s="117" t="s">
        <v>233</v>
      </c>
      <c r="W12" s="117" t="s">
        <v>234</v>
      </c>
      <c r="X12" s="160" t="str">
        <f>"Employer Contribution "&amp;Benefit_Year_Display</f>
        <v>Employer Contribution 2025</v>
      </c>
      <c r="Y12" s="160" t="str">
        <f>"Employee Contribution "&amp;Benefit_Year_Display</f>
        <v>Employee Contribution 2025</v>
      </c>
      <c r="Z12" s="160" t="s">
        <v>231</v>
      </c>
      <c r="AA12" s="159"/>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row>
    <row r="13" spans="1:27" ht="38.25" customHeight="1" thickBot="1">
      <c r="A13" s="153"/>
      <c r="B13" s="153"/>
      <c r="C13" s="161"/>
      <c r="D13" s="474" t="s">
        <v>235</v>
      </c>
      <c r="E13" s="475"/>
      <c r="F13" s="475"/>
      <c r="G13" s="475"/>
      <c r="H13" s="475"/>
      <c r="I13" s="475"/>
      <c r="J13" s="475"/>
      <c r="K13" s="475"/>
      <c r="L13" s="475"/>
      <c r="M13" s="475"/>
      <c r="N13" s="475"/>
      <c r="O13" s="475"/>
      <c r="P13" s="475"/>
      <c r="Q13" s="475"/>
      <c r="R13" s="476"/>
      <c r="S13" s="162"/>
      <c r="T13" s="163"/>
      <c r="U13" s="163"/>
      <c r="V13" s="163"/>
      <c r="W13" s="163"/>
      <c r="X13" s="163"/>
      <c r="Y13" s="163"/>
      <c r="Z13" s="163"/>
      <c r="AA13" s="162"/>
    </row>
    <row r="14" spans="1:26" ht="50.15" customHeight="1">
      <c r="A14" s="140">
        <v>1</v>
      </c>
      <c r="B14" s="140" t="str">
        <f>IF(A14&gt;Class7_CurrentHealthCount,"DELETE",Class7_CurrentHealthStart+A14)</f>
        <v>DELETE</v>
      </c>
      <c r="C14" s="164" t="s">
        <v>236</v>
      </c>
      <c r="D14" s="273" t="str">
        <f>IF(B14="Delete","",VLOOKUP(F14,BEGIN_CURRENT_HEALTH:END_CURRENT_HEALTH,3,FALSE))</f>
        <v/>
      </c>
      <c r="E14" s="165"/>
      <c r="F14" s="320" t="str" cm="1">
        <f t="array" ca="1" aca="1" ref="F14">IF(B14="Delete","",INDIRECT("CurrentPlans!A"&amp;B14,TRUE))</f>
        <v/>
      </c>
      <c r="G14" s="166"/>
      <c r="H14" s="167"/>
      <c r="I14" s="168"/>
      <c r="J14" s="169"/>
      <c r="K14"/>
      <c r="L14" s="274" t="str">
        <f ca="1">_xlfn.IFNA(VLOOKUP(F14,BEGIN_RENEWEDFROM_HEALTH:ROW_RenewHealth_PlanID,3,FALSE),"SELECT PLAN")</f>
        <v>SELECT PLAN</v>
      </c>
      <c r="M14" s="170"/>
      <c r="N14" s="274" t="s">
        <v>237</v>
      </c>
      <c r="O14" s="171"/>
      <c r="P14" s="171"/>
      <c r="Q14" s="171"/>
      <c r="R14" s="169"/>
      <c r="T14" s="274" t="s">
        <v>38</v>
      </c>
      <c r="U14" s="170"/>
      <c r="V14" s="274" t="s">
        <v>237</v>
      </c>
      <c r="W14" s="171"/>
      <c r="X14" s="171"/>
      <c r="Y14" s="171"/>
      <c r="Z14" s="169"/>
    </row>
    <row r="15" spans="1:26" ht="18.75" customHeight="1">
      <c r="A15" s="140"/>
      <c r="B15" s="140"/>
      <c r="D15" s="172" t="s">
        <v>238</v>
      </c>
      <c r="E15" s="407" t="str">
        <f ca="1">_xlfn.IFNA(VLOOKUP(F14,BEGIN_CURRENT_HEALTH:END_CURRENT_HEALTH,CURRENT_COL_EO_count,FALSE),"")</f>
        <v/>
      </c>
      <c r="F15" s="408" t="str">
        <f ca="1">_xlfn.IFNA(VLOOKUP(F14,BEGIN_CURRENT_HEALTH:END_CURRENT_HEALTH,CURRENT_COL_EO,FALSE),"")</f>
        <v/>
      </c>
      <c r="G15" s="468" t="str">
        <f ca="1" t="shared" si="0" ref="G15:G18">IF(F15="","",H15/F15)</f>
        <v/>
      </c>
      <c r="H15" s="408" t="str">
        <f ca="1">_xlfn.IFNA(VLOOKUP(F14,BEGIN_CURRENT_HEALTH:END_CURRENT_HEALTH,CURRENT_COL_EOContrib,FALSE),"")</f>
        <v/>
      </c>
      <c r="I15" s="409" t="str">
        <f ca="1">IFERROR(F15-H15,"")</f>
        <v/>
      </c>
      <c r="J15" s="410" t="str">
        <f ca="1">IF(F15="","",H15*E15)</f>
        <v/>
      </c>
      <c r="K15" s="411"/>
      <c r="L15" s="408" t="str" cm="1">
        <f t="array" ca="1" aca="1" ref="L15">_xlfn.IFNA(VLOOKUP(INDIRECT("L"&amp;ROW()-1)&amp;"_"&amp;$D$12,BEGIN_RENEW_HEALTH:END_RENEW_HEALTH,RENEW_COL_EO,FALSE),"")</f>
        <v/>
      </c>
      <c r="M15" s="412" t="str">
        <f ca="1">IF(E15="","",E15)</f>
        <v/>
      </c>
      <c r="N15" s="413"/>
      <c r="O15" s="414"/>
      <c r="P15" s="415" t="str">
        <f>IFERROR(IF($N14="Keep Contribution Same",H15,IF($N14="Enter Percentages",IF(N15="","",N15*L15),IF($N14="Keep Percentage Same",IF(G15="","",G15*L15),IF($N14="Enter Dollar Amount",IF(O15="","",O15),"")))),"")</f>
        <v/>
      </c>
      <c r="Q15" s="408" t="str">
        <f ca="1">IFERROR(L15-P15,"")</f>
        <v/>
      </c>
      <c r="R15" s="410" t="str">
        <f>IFERROR(IF(P15="","",M15*P15),"")</f>
        <v/>
      </c>
      <c r="S15" s="411"/>
      <c r="T15" s="408" t="str" cm="1">
        <f t="array" ca="1" aca="1" ref="T15">_xlfn.IFNA(VLOOKUP(INDIRECT("T"&amp;ROW()-1)&amp;"_"&amp;$D$12,BEGIN_RENEW_HEALTH:END_RENEW_HEALTH,RENEW_COL_EO,FALSE),"")</f>
        <v/>
      </c>
      <c r="U15" s="412" t="str">
        <f ca="1">IF(E15="","",E15)</f>
        <v/>
      </c>
      <c r="V15" s="413"/>
      <c r="W15" s="414"/>
      <c r="X15" s="415" t="str">
        <f>IFERROR(IF($V14="Keep Contribution Same",H15,IF($V14="Enter Percentages",IF(V15="","",V15*T15),IF($V14="Keep Percentage Same",IF(G15="","",G15*T15),IF($V14="Enter Dollar Amount",IF(W15="","",W15),"")))),"")</f>
        <v/>
      </c>
      <c r="Y15" s="408" t="str">
        <f ca="1">IFERROR(T15-X15,"")</f>
        <v/>
      </c>
      <c r="Z15" s="410" t="str">
        <f>IFERROR(IF(X15="","",U15*X15),"")</f>
        <v/>
      </c>
    </row>
    <row r="16" spans="1:26" ht="18.75" customHeight="1">
      <c r="A16" s="140"/>
      <c r="B16" s="140"/>
      <c r="D16" s="172" t="s">
        <v>239</v>
      </c>
      <c r="E16" s="407" t="str">
        <f ca="1">_xlfn.IFNA(VLOOKUP(F14,BEGIN_CURRENT_HEALTH:END_CURRENT_HEALTH,CURRENT_COL_ES_count,FALSE),"")</f>
        <v/>
      </c>
      <c r="F16" s="408" t="str">
        <f ca="1">_xlfn.IFNA(VLOOKUP(F14,BEGIN_CURRENT_HEALTH:END_CURRENT_HEALTH,CURRENT_COL_ES,FALSE),"")</f>
        <v/>
      </c>
      <c r="G16" s="468" t="str">
        <f t="shared" ca="1" si="0"/>
        <v/>
      </c>
      <c r="H16" s="408" t="str">
        <f ca="1">_xlfn.IFNA(VLOOKUP(F14,BEGIN_CURRENT_HEALTH:END_CURRENT_HEALTH,CURRENT_COL_ESContrib,FALSE),"")</f>
        <v/>
      </c>
      <c r="I16" s="409" t="str">
        <f ca="1" t="shared" si="1" ref="I16:I18">IFERROR(F16-H16,"")</f>
        <v/>
      </c>
      <c r="J16" s="410" t="str">
        <f ca="1">IF(F16="","",H16*E16)</f>
        <v/>
      </c>
      <c r="K16" s="411"/>
      <c r="L16" s="408" t="str" cm="1">
        <f t="array" ca="1" aca="1" ref="L16">_xlfn.IFNA(VLOOKUP(INDIRECT("L"&amp;ROW()-2)&amp;"_"&amp;$D$12,BEGIN_RENEW_HEALTH:END_RENEW_HEALTH,RENEW_COL_ES,FALSE),"")</f>
        <v/>
      </c>
      <c r="M16" s="412" t="str">
        <f ca="1">IF(E16="","",E16)</f>
        <v/>
      </c>
      <c r="N16" s="413"/>
      <c r="O16" s="414"/>
      <c r="P16" s="415" t="str">
        <f>IFERROR(IF($N14="Keep Contribution Same",H16,IF($N14="Enter Percentages",IF(N16="","",N16*L16),IF($N14="Keep Percentage Same",IF(G16="","",G16*L16),IF($N14="Enter Dollar Amount",IF(O16="","",O16),"")))),"")</f>
        <v/>
      </c>
      <c r="Q16" s="408" t="str">
        <f ca="1">IFERROR(L16-P16,"")</f>
        <v/>
      </c>
      <c r="R16" s="410" t="str">
        <f>IFERROR(IF(P16="","",M16*P16),"")</f>
        <v/>
      </c>
      <c r="S16" s="411"/>
      <c r="T16" s="408" t="str" cm="1">
        <f t="array" ca="1" aca="1" ref="T16">_xlfn.IFNA(VLOOKUP(INDIRECT("T"&amp;ROW()-2)&amp;"_"&amp;$D$12,BEGIN_RENEW_HEALTH:END_RENEW_HEALTH,RENEW_COL_ES,FALSE),"")</f>
        <v/>
      </c>
      <c r="U16" s="412" t="str">
        <f ca="1" t="shared" si="2" ref="U16:U18">IF(E16="","",E16)</f>
        <v/>
      </c>
      <c r="V16" s="413"/>
      <c r="W16" s="414"/>
      <c r="X16" s="415" t="str">
        <f>IFERROR(IF($V14="Keep Contribution Same",H16,IF($V14="Enter Percentages",IF(V16="","",V16*T16),IF($V14="Keep Percentage Same",IF(G16="","",G16*T16),IF($V14="Enter Dollar Amount",IF(W16="","",W16),"")))),"")</f>
        <v/>
      </c>
      <c r="Y16" s="408" t="str">
        <f ca="1" t="shared" si="3" ref="Y16:Y18">IFERROR(T16-X16,"")</f>
        <v/>
      </c>
      <c r="Z16" s="410" t="str">
        <f t="shared" si="4" ref="Z16:Z18">IFERROR(IF(X16="","",U16*X16),"")</f>
        <v/>
      </c>
    </row>
    <row r="17" spans="1:26" ht="18.75" customHeight="1">
      <c r="A17" s="140"/>
      <c r="B17" s="140"/>
      <c r="D17" s="172" t="s">
        <v>240</v>
      </c>
      <c r="E17" s="407" t="str">
        <f ca="1">_xlfn.IFNA(VLOOKUP(F14,BEGIN_CURRENT_HEALTH:END_CURRENT_HEALTH,CURRENT_COL_EC_count,FALSE),"")</f>
        <v/>
      </c>
      <c r="F17" s="408" t="str">
        <f ca="1">_xlfn.IFNA(VLOOKUP(F14,BEGIN_CURRENT_HEALTH:END_CURRENT_HEALTH,CURRENT_COL_EC,FALSE),"")</f>
        <v/>
      </c>
      <c r="G17" s="468" t="str">
        <f t="shared" ca="1" si="0"/>
        <v/>
      </c>
      <c r="H17" s="408" t="str">
        <f ca="1">_xlfn.IFNA(VLOOKUP(F14,BEGIN_CURRENT_HEALTH:END_CURRENT_HEALTH,CURRENT_COL_ECContrib,FALSE),"")</f>
        <v/>
      </c>
      <c r="I17" s="409" t="str">
        <f t="shared" ca="1" si="1"/>
        <v/>
      </c>
      <c r="J17" s="410" t="str">
        <f ca="1">IF(F17="","",H17*E17)</f>
        <v/>
      </c>
      <c r="K17" s="411"/>
      <c r="L17" s="408" t="str" cm="1">
        <f t="array" ca="1" aca="1" ref="L17">_xlfn.IFNA(VLOOKUP(INDIRECT("L"&amp;ROW()-3)&amp;"_"&amp;$D$12,BEGIN_RENEW_HEALTH:END_RENEW_HEALTH,RENEW_COL_EC,FALSE),"")</f>
        <v/>
      </c>
      <c r="M17" s="412" t="str">
        <f ca="1">IF(E17="","",E17)</f>
        <v/>
      </c>
      <c r="N17" s="413"/>
      <c r="O17" s="414"/>
      <c r="P17" s="415" t="str">
        <f>IFERROR(IF($N14="Keep Contribution Same",H17,IF($N14="Enter Percentages",IF(N17="","",N17*L17),IF($N14="Keep Percentage Same",IF(G17="","",G17*L17),IF($N14="Enter Dollar Amount",IF(O17="","",O17),"")))),"")</f>
        <v/>
      </c>
      <c r="Q17" s="408" t="str">
        <f ca="1">IFERROR(L17-P17,"")</f>
        <v/>
      </c>
      <c r="R17" s="410" t="str">
        <f>IFERROR(IF(P17="","",M17*P17),"")</f>
        <v/>
      </c>
      <c r="S17" s="411"/>
      <c r="T17" s="408" t="str" cm="1">
        <f t="array" ca="1" aca="1" ref="T17">_xlfn.IFNA(VLOOKUP(INDIRECT("T"&amp;ROW()-3)&amp;"_"&amp;$D$12,BEGIN_RENEW_HEALTH:END_RENEW_HEALTH,RENEW_COL_EC,FALSE),"")</f>
        <v/>
      </c>
      <c r="U17" s="412" t="str">
        <f t="shared" ca="1" si="2"/>
        <v/>
      </c>
      <c r="V17" s="413"/>
      <c r="W17" s="414"/>
      <c r="X17" s="415" t="str">
        <f>IFERROR(IF($V14="Keep Contribution Same",H17,IF($V14="Enter Percentages",IF(V17="","",V17*T17),IF($V14="Keep Percentage Same",IF(G17="","",G17*T17),IF($V14="Enter Dollar Amount",IF(W17="","",W17),"")))),"")</f>
        <v/>
      </c>
      <c r="Y17" s="408" t="str">
        <f t="shared" ca="1" si="3"/>
        <v/>
      </c>
      <c r="Z17" s="410" t="str">
        <f t="shared" si="4"/>
        <v/>
      </c>
    </row>
    <row r="18" spans="1:26" ht="18.75" customHeight="1" thickBot="1">
      <c r="A18" s="140"/>
      <c r="B18" s="140"/>
      <c r="D18" s="174" t="s">
        <v>241</v>
      </c>
      <c r="E18" s="416" t="str">
        <f ca="1">_xlfn.IFNA(VLOOKUP(F14,BEGIN_CURRENT_HEALTH:END_CURRENT_HEALTH,CURRENT_COL_FAM_count,FALSE),"")</f>
        <v/>
      </c>
      <c r="F18" s="417" t="str">
        <f ca="1">_xlfn.IFNA(VLOOKUP(F14,BEGIN_CURRENT_HEALTH:END_CURRENT_HEALTH,CURRENT_COL_FAM,FALSE),"")</f>
        <v/>
      </c>
      <c r="G18" s="469" t="str">
        <f t="shared" ca="1" si="0"/>
        <v/>
      </c>
      <c r="H18" s="417" t="str">
        <f ca="1">_xlfn.IFNA(VLOOKUP(F14,BEGIN_CURRENT_HEALTH:END_CURRENT_HEALTH,CURRENT_COL_FAMContrib,FALSE),"")</f>
        <v/>
      </c>
      <c r="I18" s="418" t="str">
        <f t="shared" ca="1" si="1"/>
        <v/>
      </c>
      <c r="J18" s="419" t="str">
        <f ca="1">IF(F18="","",H18*E18)</f>
        <v/>
      </c>
      <c r="K18" s="411"/>
      <c r="L18" s="417" t="str" cm="1">
        <f t="array" ca="1" aca="1" ref="L18">_xlfn.IFNA(VLOOKUP(INDIRECT("L"&amp;ROW()-4)&amp;"_"&amp;$D$12,BEGIN_RENEW_HEALTH:END_RENEW_HEALTH,RENEW_COL_FAM,FALSE),"")</f>
        <v/>
      </c>
      <c r="M18" s="423" t="str">
        <f ca="1">IF(E18="","",E18)</f>
        <v/>
      </c>
      <c r="N18" s="420"/>
      <c r="O18" s="421"/>
      <c r="P18" s="422" t="str">
        <f>IFERROR(IF($N14="Keep Contribution Same",H18,IF($N14="Enter Percentages",IF(N18="","",N18*L18),IF($N14="Keep Percentage Same",IF(G18="","",G18*L18),IF($N14="Enter Dollar Amount",IF(O18="","",O18),"")))),"")</f>
        <v/>
      </c>
      <c r="Q18" s="417" t="str">
        <f ca="1">IFERROR(L18-P18,"")</f>
        <v/>
      </c>
      <c r="R18" s="419" t="str">
        <f>IFERROR(IF(P18="","",M18*P18),"")</f>
        <v/>
      </c>
      <c r="S18" s="411"/>
      <c r="T18" s="417" t="str" cm="1">
        <f t="array" ca="1" aca="1" ref="T18">_xlfn.IFNA(VLOOKUP(INDIRECT("T"&amp;ROW()-4)&amp;"_"&amp;$D$12,BEGIN_RENEW_HEALTH:END_RENEW_HEALTH,RENEW_COL_FAM,FALSE),"")</f>
        <v/>
      </c>
      <c r="U18" s="423" t="str">
        <f t="shared" ca="1" si="2"/>
        <v/>
      </c>
      <c r="V18" s="420"/>
      <c r="W18" s="421"/>
      <c r="X18" s="422" t="str">
        <f>IFERROR(IF($V14="Keep Contribution Same",H18,IF($V14="Enter Percentages",IF(V18="","",V18*T18),IF($V14="Keep Percentage Same",IF(G18="","",G18*T18),IF($V14="Enter Dollar Amount",IF(W18="","",W18),"")))),"")</f>
        <v/>
      </c>
      <c r="Y18" s="417" t="str">
        <f t="shared" ca="1" si="3"/>
        <v/>
      </c>
      <c r="Z18" s="419" t="str">
        <f t="shared" si="4"/>
        <v/>
      </c>
    </row>
    <row r="19" spans="1:26" ht="18.75" customHeight="1" thickTop="1">
      <c r="A19" s="140"/>
      <c r="B19" s="140"/>
      <c r="D19" s="175" t="s">
        <v>242</v>
      </c>
      <c r="E19" s="424"/>
      <c r="F19" s="447" t="str">
        <f ca="1">IFERROR((F15*E15)+(F16*E16)+(F17*E17)+(F18*E18),"")</f>
        <v/>
      </c>
      <c r="G19" s="426"/>
      <c r="H19" s="427"/>
      <c r="I19" s="428"/>
      <c r="J19" s="429" t="str">
        <f ca="1">IFERROR(IF(J15="","",SUM(J15:J18)),0)</f>
        <v/>
      </c>
      <c r="K19" s="1"/>
      <c r="L19" s="430" t="str">
        <f ca="1">IFERROR((M15*L15)+(M16*L16)+(M17*L17)+(M18*L18),"")</f>
        <v/>
      </c>
      <c r="M19" s="427"/>
      <c r="N19" s="426"/>
      <c r="O19" s="427"/>
      <c r="P19" s="431"/>
      <c r="Q19" s="432"/>
      <c r="R19" s="429" t="str">
        <f>IFERROR(IF(R15="","",SUM(R15:R18)),0)</f>
        <v/>
      </c>
      <c r="T19" s="430" t="str">
        <f ca="1">IFERROR((U15*T15)+(U16*T16)+(U17*T17)+(U18*T18),"")</f>
        <v/>
      </c>
      <c r="U19" s="427"/>
      <c r="V19" s="426"/>
      <c r="W19" s="427"/>
      <c r="X19" s="431"/>
      <c r="Y19" s="432"/>
      <c r="Z19" s="429" t="str">
        <f>IFERROR(IF(Z15="","",SUM(Z15:Z18)),0)</f>
        <v/>
      </c>
    </row>
    <row r="20" spans="1:26" ht="18.75" customHeight="1">
      <c r="A20" s="140"/>
      <c r="B20" s="140"/>
      <c r="D20" s="177" t="s">
        <v>243</v>
      </c>
      <c r="E20" s="433"/>
      <c r="F20" s="448" t="str">
        <f ca="1">IFERROR(F19*12,"")</f>
        <v/>
      </c>
      <c r="G20" s="435"/>
      <c r="H20" s="436"/>
      <c r="I20" s="432"/>
      <c r="J20" s="437" t="str">
        <f ca="1">IF(J19="","",J19*12)</f>
        <v/>
      </c>
      <c r="K20" s="1"/>
      <c r="L20" s="438" t="str">
        <f ca="1">IFERROR(L19*12,"")</f>
        <v/>
      </c>
      <c r="M20" s="436"/>
      <c r="N20" s="435"/>
      <c r="O20" s="436"/>
      <c r="P20" s="432"/>
      <c r="Q20" s="432"/>
      <c r="R20" s="437" t="str">
        <f>IF(R19="","",R19*12)</f>
        <v/>
      </c>
      <c r="T20" s="438" t="str">
        <f ca="1">IFERROR(T19*12,"")</f>
        <v/>
      </c>
      <c r="U20" s="436"/>
      <c r="V20" s="435"/>
      <c r="W20" s="436"/>
      <c r="X20" s="432"/>
      <c r="Y20" s="432"/>
      <c r="Z20" s="437" t="str">
        <f>IF(Z19="","",Z19*12)</f>
        <v/>
      </c>
    </row>
    <row r="21" spans="1:26" ht="18.75" customHeight="1">
      <c r="A21" s="140"/>
      <c r="B21" s="140"/>
      <c r="D21" s="177" t="s">
        <v>244</v>
      </c>
      <c r="E21" s="433"/>
      <c r="F21" s="436"/>
      <c r="G21" s="435"/>
      <c r="H21" s="436"/>
      <c r="I21" s="432"/>
      <c r="J21" s="437"/>
      <c r="K21" s="1"/>
      <c r="L21" s="434" t="str">
        <f ca="1">IFERROR(L20-F20,"")</f>
        <v/>
      </c>
      <c r="M21" s="436"/>
      <c r="N21" s="435"/>
      <c r="O21" s="436"/>
      <c r="P21" s="432"/>
      <c r="Q21" s="432"/>
      <c r="R21" s="437" t="str">
        <f ca="1">IFERROR(IF(J20="","",R20-J20),0)</f>
        <v/>
      </c>
      <c r="T21" s="434" t="str">
        <f ca="1">IFERROR(T20-F20,"")</f>
        <v/>
      </c>
      <c r="U21" s="436"/>
      <c r="V21" s="435"/>
      <c r="W21" s="436"/>
      <c r="X21" s="432"/>
      <c r="Y21" s="432"/>
      <c r="Z21" s="437" t="str">
        <f>IFERROR(IF(R20="","",Z20-R20),0)</f>
        <v/>
      </c>
    </row>
    <row r="22" spans="1:26" ht="18.75" customHeight="1" thickBot="1">
      <c r="A22" s="140"/>
      <c r="B22" s="140"/>
      <c r="D22" s="180" t="s">
        <v>245</v>
      </c>
      <c r="E22" s="439"/>
      <c r="F22" s="440"/>
      <c r="G22" s="441"/>
      <c r="H22" s="440"/>
      <c r="I22" s="442"/>
      <c r="J22" s="443"/>
      <c r="K22" s="1"/>
      <c r="L22" s="444" t="str">
        <f ca="1">IFERROR(L20/F20-1,"")</f>
        <v/>
      </c>
      <c r="M22" s="440"/>
      <c r="N22" s="441"/>
      <c r="O22" s="440"/>
      <c r="P22" s="445"/>
      <c r="Q22" s="445"/>
      <c r="R22" s="446" t="str">
        <f ca="1">IFERROR(IF(J20="","",(R20/J20)-1),0)</f>
        <v/>
      </c>
      <c r="T22" s="444" t="str">
        <f ca="1">IFERROR(T20/F20-1,"")</f>
        <v/>
      </c>
      <c r="U22" s="440"/>
      <c r="V22" s="441"/>
      <c r="W22" s="440"/>
      <c r="X22" s="445"/>
      <c r="Y22" s="445"/>
      <c r="Z22" s="446" t="str">
        <f>IFERROR(IF(R20="","",(Z20/R20)-1),0)</f>
        <v/>
      </c>
    </row>
    <row r="23" spans="1:26" ht="18.75" customHeight="1">
      <c r="A23" s="140"/>
      <c r="B23" s="140"/>
      <c r="D23" s="181" t="s">
        <v>246</v>
      </c>
      <c r="E23" s="182"/>
      <c r="F23" s="182"/>
      <c r="G23" s="182"/>
      <c r="H23" s="182"/>
      <c r="I23" s="182"/>
      <c r="J23" s="183"/>
      <c r="K23"/>
      <c r="L23" s="184"/>
      <c r="M23" s="182"/>
      <c r="N23" s="182"/>
      <c r="O23" s="182"/>
      <c r="P23" s="182"/>
      <c r="Q23" s="182"/>
      <c r="R23" s="183"/>
      <c r="T23" s="184"/>
      <c r="U23" s="182"/>
      <c r="V23" s="182"/>
      <c r="W23" s="182"/>
      <c r="X23" s="182"/>
      <c r="Y23" s="182"/>
      <c r="Z23" s="183"/>
    </row>
    <row r="24" spans="1:26" ht="18.75" customHeight="1" hidden="1">
      <c r="A24" s="140"/>
      <c r="B24" s="140"/>
      <c r="D24" s="185" t="s">
        <v>247</v>
      </c>
      <c r="E24" s="186"/>
      <c r="F24" s="186"/>
      <c r="G24" s="186"/>
      <c r="H24" s="186"/>
      <c r="I24" s="186"/>
      <c r="J24" s="187"/>
      <c r="K24"/>
      <c r="L24" s="188"/>
      <c r="M24" s="186"/>
      <c r="N24" s="186"/>
      <c r="O24" s="186"/>
      <c r="P24" s="186"/>
      <c r="Q24" s="186"/>
      <c r="R24" s="187"/>
      <c r="T24" s="188"/>
      <c r="U24" s="186"/>
      <c r="V24" s="186"/>
      <c r="W24" s="186"/>
      <c r="X24" s="186"/>
      <c r="Y24" s="186"/>
      <c r="Z24" s="187"/>
    </row>
    <row r="25" spans="1:26" ht="18.75" customHeight="1" hidden="1">
      <c r="A25" s="140"/>
      <c r="B25" s="140"/>
      <c r="D25" s="189" t="s">
        <v>248</v>
      </c>
      <c r="E25" s="190" t="str">
        <f>D14&amp;"_"&amp;D12</f>
        <v>_</v>
      </c>
      <c r="F25" s="191"/>
      <c r="G25" s="191"/>
      <c r="H25" s="191"/>
      <c r="I25" s="190"/>
      <c r="J25" s="192"/>
      <c r="K25"/>
      <c r="L25" s="193" t="str">
        <f ca="1">L14&amp;"_"&amp;D12</f>
        <v>SELECT PLAN_</v>
      </c>
      <c r="M25" s="191"/>
      <c r="N25" s="191"/>
      <c r="O25" s="191"/>
      <c r="P25" s="190"/>
      <c r="Q25" s="191"/>
      <c r="R25" s="192"/>
      <c r="T25" s="193" t="str">
        <f>T14&amp;"_"&amp;D12</f>
        <v>SELECT PLAN_</v>
      </c>
      <c r="U25" s="191"/>
      <c r="V25" s="191"/>
      <c r="W25" s="191"/>
      <c r="X25" s="190"/>
      <c r="Y25" s="191"/>
      <c r="Z25" s="192"/>
    </row>
    <row r="26" spans="1:26" ht="18.75" customHeight="1" hidden="1">
      <c r="A26" s="140"/>
      <c r="B26" s="140"/>
      <c r="D26" s="189" t="s">
        <v>249</v>
      </c>
      <c r="E26" s="191"/>
      <c r="F26" s="191"/>
      <c r="G26" s="191"/>
      <c r="H26" s="191"/>
      <c r="I26" s="191"/>
      <c r="J26" s="192"/>
      <c r="K26"/>
      <c r="L26" s="189"/>
      <c r="M26" s="191"/>
      <c r="N26" s="191"/>
      <c r="O26" s="191"/>
      <c r="P26" s="191"/>
      <c r="Q26" s="191"/>
      <c r="R26" s="192"/>
      <c r="T26" s="189"/>
      <c r="U26" s="191"/>
      <c r="V26" s="191"/>
      <c r="W26" s="191"/>
      <c r="X26" s="191"/>
      <c r="Y26" s="191"/>
      <c r="Z26" s="192"/>
    </row>
    <row r="27" spans="1:26" ht="18.75" customHeight="1" hidden="1">
      <c r="A27" s="140"/>
      <c r="B27" s="140"/>
      <c r="D27" s="194" t="s">
        <v>250</v>
      </c>
      <c r="E27" s="195"/>
      <c r="F27" s="195"/>
      <c r="G27" s="195"/>
      <c r="H27" s="195"/>
      <c r="I27" s="195"/>
      <c r="J27" s="196"/>
      <c r="K27"/>
      <c r="L27" s="197"/>
      <c r="M27" s="195"/>
      <c r="N27" s="195"/>
      <c r="O27" s="195"/>
      <c r="P27" s="195"/>
      <c r="Q27" s="195"/>
      <c r="R27" s="196"/>
      <c r="T27" s="197"/>
      <c r="U27" s="195"/>
      <c r="V27" s="195"/>
      <c r="W27" s="195"/>
      <c r="X27" s="195"/>
      <c r="Y27" s="195"/>
      <c r="Z27" s="196"/>
    </row>
    <row r="28" spans="1:26" ht="18.75" customHeight="1" hidden="1">
      <c r="A28" s="140"/>
      <c r="B28" s="140"/>
      <c r="D28" s="198" t="s">
        <v>251</v>
      </c>
      <c r="E28" s="199" t="str">
        <f>_xlfn.XLOOKUP(E25,CurrentPlans!B:B,CurrentPlans!X:X,"NA",0,1)</f>
        <v>NA</v>
      </c>
      <c r="F28" s="200"/>
      <c r="G28" s="200"/>
      <c r="H28" s="200"/>
      <c r="I28" s="199"/>
      <c r="J28" s="201"/>
      <c r="K28"/>
      <c r="L28" s="202" t="str">
        <f ca="1">_xlfn.XLOOKUP(L25,RenewalPlans!B:B,RenewalPlans!AA:AA,"NA",0,1)</f>
        <v>NA</v>
      </c>
      <c r="M28" s="200"/>
      <c r="N28" s="200"/>
      <c r="O28" s="200"/>
      <c r="P28" s="199"/>
      <c r="Q28" s="200"/>
      <c r="R28" s="201"/>
      <c r="T28" s="202" t="str">
        <f>_xlfn.XLOOKUP(T25,RenewalPlans!B:B,RenewalPlans!AA:AA,"NA",0,1)</f>
        <v>NA</v>
      </c>
      <c r="U28" s="200"/>
      <c r="V28" s="200"/>
      <c r="W28" s="200"/>
      <c r="X28" s="199"/>
      <c r="Y28" s="200"/>
      <c r="Z28" s="201"/>
    </row>
    <row r="29" spans="1:26" ht="18.75" customHeight="1" hidden="1">
      <c r="A29" s="140"/>
      <c r="B29" s="140"/>
      <c r="D29" s="198" t="s">
        <v>252</v>
      </c>
      <c r="E29" s="199" t="str">
        <f>_xlfn.XLOOKUP(E25,CurrentPlans!B:B,CurrentPlans!Y:Y,"NA",0,1)</f>
        <v>NA</v>
      </c>
      <c r="F29" s="200"/>
      <c r="G29" s="200"/>
      <c r="H29" s="200"/>
      <c r="I29" s="199"/>
      <c r="J29" s="201"/>
      <c r="K29"/>
      <c r="L29" s="202" t="str">
        <f ca="1">_xlfn.XLOOKUP(L25,RenewalPlans!B:B,RenewalPlans!AB:AB,"NA",0,1)</f>
        <v>NA</v>
      </c>
      <c r="M29" s="200"/>
      <c r="N29" s="200"/>
      <c r="O29" s="200"/>
      <c r="P29" s="199"/>
      <c r="Q29" s="200"/>
      <c r="R29" s="201"/>
      <c r="T29" s="202" t="str">
        <f>_xlfn.XLOOKUP(T25,RenewalPlans!B:B,RenewalPlans!AB:AB,"NA",0,1)</f>
        <v>NA</v>
      </c>
      <c r="U29" s="200"/>
      <c r="V29" s="200"/>
      <c r="W29" s="200"/>
      <c r="X29" s="199"/>
      <c r="Y29" s="200"/>
      <c r="Z29" s="201"/>
    </row>
    <row r="30" spans="1:26" ht="18.75" customHeight="1" hidden="1">
      <c r="A30" s="140"/>
      <c r="B30" s="140"/>
      <c r="D30" s="120" t="s">
        <v>253</v>
      </c>
      <c r="E30" s="121" t="str">
        <f>_xlfn.XLOOKUP(E25,CurrentPlans!B:B,CurrentPlans!W:W,"NA",0,1)</f>
        <v>NA</v>
      </c>
      <c r="F30" s="122"/>
      <c r="G30" s="122"/>
      <c r="H30" s="122"/>
      <c r="I30" s="121"/>
      <c r="J30" s="123"/>
      <c r="K30"/>
      <c r="L30" s="124" t="str">
        <f ca="1">_xlfn.XLOOKUP(L25,RenewalPlans!B:B,RenewalPlans!Z:Z,"NA",0,1)</f>
        <v>NA</v>
      </c>
      <c r="M30" s="122"/>
      <c r="N30" s="122"/>
      <c r="O30" s="122"/>
      <c r="P30" s="121"/>
      <c r="Q30" s="122"/>
      <c r="R30" s="123"/>
      <c r="T30" s="124" t="str">
        <f>_xlfn.XLOOKUP(T25,RenewalPlans!B:B,RenewalPlans!Z:Z,"NA",0,1)</f>
        <v>NA</v>
      </c>
      <c r="U30" s="122"/>
      <c r="V30" s="122"/>
      <c r="W30" s="122"/>
      <c r="X30" s="121"/>
      <c r="Y30" s="122"/>
      <c r="Z30" s="123"/>
    </row>
    <row r="31" spans="1:26" ht="18.75" customHeight="1" hidden="1">
      <c r="A31" s="140"/>
      <c r="B31" s="140"/>
      <c r="D31" s="203" t="s">
        <v>254</v>
      </c>
      <c r="E31" s="204"/>
      <c r="F31" s="205"/>
      <c r="G31" s="205"/>
      <c r="H31" s="205"/>
      <c r="I31" s="204"/>
      <c r="J31" s="206"/>
      <c r="K31"/>
      <c r="L31" s="207"/>
      <c r="M31" s="205"/>
      <c r="N31" s="205"/>
      <c r="O31" s="205"/>
      <c r="P31" s="204"/>
      <c r="Q31" s="205"/>
      <c r="R31" s="206"/>
      <c r="T31" s="207"/>
      <c r="U31" s="205"/>
      <c r="V31" s="205"/>
      <c r="W31" s="205"/>
      <c r="X31" s="204"/>
      <c r="Y31" s="205"/>
      <c r="Z31" s="206"/>
    </row>
    <row r="32" spans="1:26" ht="18.75" customHeight="1" hidden="1">
      <c r="A32" s="140"/>
      <c r="B32" s="140"/>
      <c r="D32" s="125" t="s">
        <v>255</v>
      </c>
      <c r="E32" s="126" t="str">
        <f>_xlfn.XLOOKUP(E25,CurrentPlans!B:B,CurrentPlans!Z:Z,"NA",0,1)</f>
        <v>NA</v>
      </c>
      <c r="F32" s="127"/>
      <c r="G32" s="127"/>
      <c r="H32" s="127"/>
      <c r="I32" s="126"/>
      <c r="J32" s="128"/>
      <c r="K32"/>
      <c r="L32" s="129" t="str">
        <f ca="1">_xlfn.XLOOKUP(L25,RenewalPlans!B:B,RenewalPlans!AC:AC,"NA",0,1)</f>
        <v>NA</v>
      </c>
      <c r="M32" s="127"/>
      <c r="N32" s="127"/>
      <c r="O32" s="127"/>
      <c r="P32" s="126"/>
      <c r="Q32" s="127"/>
      <c r="R32" s="128"/>
      <c r="T32" s="129" t="str">
        <f>_xlfn.XLOOKUP(T25,RenewalPlans!B:B,RenewalPlans!AC:AC,"NA",0,1)</f>
        <v>NA</v>
      </c>
      <c r="U32" s="127"/>
      <c r="V32" s="127"/>
      <c r="W32" s="127"/>
      <c r="X32" s="126"/>
      <c r="Y32" s="127"/>
      <c r="Z32" s="128"/>
    </row>
    <row r="33" spans="1:26" ht="18.75" customHeight="1" hidden="1">
      <c r="A33" s="140"/>
      <c r="B33" s="140"/>
      <c r="D33" s="198" t="s">
        <v>256</v>
      </c>
      <c r="E33" s="208" t="str">
        <f>_xlfn.XLOOKUP(E25,CurrentPlans!B:B,CurrentPlans!AA:AA,"NA",0,1)</f>
        <v>NA</v>
      </c>
      <c r="F33" s="200"/>
      <c r="G33" s="200"/>
      <c r="H33" s="200"/>
      <c r="I33" s="208"/>
      <c r="J33" s="201"/>
      <c r="K33"/>
      <c r="L33" s="209" t="str">
        <f ca="1">_xlfn.XLOOKUP(L25,RenewalPlans!B:B,RenewalPlans!AD:AD,"NA",0,1)</f>
        <v>NA</v>
      </c>
      <c r="M33" s="200"/>
      <c r="N33" s="200"/>
      <c r="O33" s="200"/>
      <c r="P33" s="208"/>
      <c r="Q33" s="200"/>
      <c r="R33" s="201"/>
      <c r="T33" s="209" t="str">
        <f>_xlfn.XLOOKUP(T25,RenewalPlans!B:B,RenewalPlans!AD:AD,"NA",0,1)</f>
        <v>NA</v>
      </c>
      <c r="U33" s="200"/>
      <c r="V33" s="200"/>
      <c r="W33" s="200"/>
      <c r="X33" s="208"/>
      <c r="Y33" s="200"/>
      <c r="Z33" s="201"/>
    </row>
    <row r="34" spans="1:26" ht="18.75" customHeight="1" hidden="1">
      <c r="A34" s="140"/>
      <c r="B34" s="140"/>
      <c r="D34" s="203" t="s">
        <v>257</v>
      </c>
      <c r="E34" s="204"/>
      <c r="F34" s="205"/>
      <c r="G34" s="205"/>
      <c r="H34" s="205"/>
      <c r="I34" s="204"/>
      <c r="J34" s="206"/>
      <c r="K34"/>
      <c r="L34" s="207"/>
      <c r="M34" s="205"/>
      <c r="N34" s="205"/>
      <c r="O34" s="205"/>
      <c r="P34" s="204"/>
      <c r="Q34" s="205"/>
      <c r="R34" s="206"/>
      <c r="T34" s="207"/>
      <c r="U34" s="205"/>
      <c r="V34" s="205"/>
      <c r="W34" s="205"/>
      <c r="X34" s="204"/>
      <c r="Y34" s="205"/>
      <c r="Z34" s="206"/>
    </row>
    <row r="35" spans="1:26" ht="18.75" customHeight="1" hidden="1">
      <c r="A35" s="140"/>
      <c r="B35" s="140"/>
      <c r="D35" s="198" t="s">
        <v>258</v>
      </c>
      <c r="E35" s="208" t="str">
        <f>_xlfn.XLOOKUP(E25,CurrentPlans!B:B,CurrentPlans!AB:AB,"NA",0,1)</f>
        <v>NA</v>
      </c>
      <c r="F35" s="200"/>
      <c r="G35" s="200"/>
      <c r="H35" s="200"/>
      <c r="I35" s="208"/>
      <c r="J35" s="201"/>
      <c r="K35"/>
      <c r="L35" s="209" t="str">
        <f ca="1">_xlfn.XLOOKUP(L25,RenewalPlans!B:B,RenewalPlans!AE:AE,"NA",0,1)</f>
        <v>NA</v>
      </c>
      <c r="M35" s="200"/>
      <c r="N35" s="200"/>
      <c r="O35" s="200"/>
      <c r="P35" s="208"/>
      <c r="Q35" s="200"/>
      <c r="R35" s="201"/>
      <c r="T35" s="209" t="str">
        <f>_xlfn.XLOOKUP(T25,RenewalPlans!B:B,RenewalPlans!AE:AE,"NA",0,1)</f>
        <v>NA</v>
      </c>
      <c r="U35" s="200"/>
      <c r="V35" s="200"/>
      <c r="W35" s="200"/>
      <c r="X35" s="208"/>
      <c r="Y35" s="200"/>
      <c r="Z35" s="201"/>
    </row>
    <row r="36" spans="1:26" ht="18.75" customHeight="1" hidden="1">
      <c r="A36" s="140"/>
      <c r="B36" s="140"/>
      <c r="D36" s="198" t="s">
        <v>259</v>
      </c>
      <c r="E36" s="208" t="str">
        <f>_xlfn.XLOOKUP(E25,CurrentPlans!B:B,CurrentPlans!AC:AC,"NA",0,1)</f>
        <v>NA</v>
      </c>
      <c r="F36" s="200"/>
      <c r="G36" s="200"/>
      <c r="H36" s="200"/>
      <c r="I36" s="208"/>
      <c r="J36" s="201"/>
      <c r="K36"/>
      <c r="L36" s="209" t="str">
        <f ca="1">_xlfn.XLOOKUP(L25,RenewalPlans!B:B,RenewalPlans!AF:AF,"NA",0,1)</f>
        <v>NA</v>
      </c>
      <c r="M36" s="200"/>
      <c r="N36" s="200"/>
      <c r="O36" s="200"/>
      <c r="P36" s="208"/>
      <c r="Q36" s="200"/>
      <c r="R36" s="201"/>
      <c r="T36" s="209" t="str">
        <f>_xlfn.XLOOKUP(T25,RenewalPlans!B:B,RenewalPlans!AF:AF,"NA",0,1)</f>
        <v>NA</v>
      </c>
      <c r="U36" s="200"/>
      <c r="V36" s="200"/>
      <c r="W36" s="200"/>
      <c r="X36" s="208"/>
      <c r="Y36" s="200"/>
      <c r="Z36" s="201"/>
    </row>
    <row r="37" spans="1:26" ht="18.75" customHeight="1" hidden="1">
      <c r="A37" s="140"/>
      <c r="B37" s="140"/>
      <c r="D37" s="210"/>
      <c r="E37" s="211"/>
      <c r="F37" s="211"/>
      <c r="G37" s="211"/>
      <c r="H37" s="211"/>
      <c r="I37" s="211"/>
      <c r="J37" s="212"/>
      <c r="K37"/>
      <c r="L37" s="210"/>
      <c r="M37" s="211"/>
      <c r="N37" s="211"/>
      <c r="O37" s="211"/>
      <c r="P37" s="211"/>
      <c r="Q37" s="211"/>
      <c r="R37" s="212"/>
      <c r="T37" s="210"/>
      <c r="U37" s="211"/>
      <c r="V37" s="211"/>
      <c r="W37" s="211"/>
      <c r="X37" s="211"/>
      <c r="Y37" s="211"/>
      <c r="Z37" s="212"/>
    </row>
    <row r="38" spans="1:26" ht="18.75" customHeight="1" hidden="1">
      <c r="A38" s="140"/>
      <c r="B38" s="140"/>
      <c r="D38" s="185" t="s">
        <v>260</v>
      </c>
      <c r="E38" s="186"/>
      <c r="F38" s="186"/>
      <c r="G38" s="186"/>
      <c r="H38" s="186"/>
      <c r="I38" s="186"/>
      <c r="J38" s="187"/>
      <c r="K38"/>
      <c r="L38" s="188"/>
      <c r="M38" s="186"/>
      <c r="N38" s="186"/>
      <c r="O38" s="186"/>
      <c r="P38" s="186"/>
      <c r="Q38" s="186"/>
      <c r="R38" s="187"/>
      <c r="T38" s="188"/>
      <c r="U38" s="186"/>
      <c r="V38" s="186"/>
      <c r="W38" s="186"/>
      <c r="X38" s="186"/>
      <c r="Y38" s="186"/>
      <c r="Z38" s="187"/>
    </row>
    <row r="39" spans="1:26" ht="18.75" customHeight="1" hidden="1">
      <c r="A39" s="140"/>
      <c r="B39" s="140"/>
      <c r="D39" s="213" t="s">
        <v>261</v>
      </c>
      <c r="E39" s="130" t="str">
        <f>_xlfn.XLOOKUP(E25,CurrentPlans!B:B,CurrentPlans!AJ:AJ,"NA",0,1)</f>
        <v>NA</v>
      </c>
      <c r="F39" s="214"/>
      <c r="G39" s="214"/>
      <c r="H39" s="214"/>
      <c r="I39" s="130"/>
      <c r="J39" s="215"/>
      <c r="K39"/>
      <c r="L39" s="131" t="str">
        <f ca="1">_xlfn.XLOOKUP(L25,RenewalPlans!B:B,RenewalPlans!AM:AM,"NA",0,1)</f>
        <v>NA</v>
      </c>
      <c r="M39" s="214"/>
      <c r="N39" s="214"/>
      <c r="O39" s="214"/>
      <c r="P39" s="130"/>
      <c r="Q39" s="214"/>
      <c r="R39" s="215"/>
      <c r="T39" s="131" t="str">
        <f>_xlfn.XLOOKUP(T25,RenewalPlans!B:B,RenewalPlans!AM:AM,"NA",0,1)</f>
        <v>NA</v>
      </c>
      <c r="U39" s="214"/>
      <c r="V39" s="214"/>
      <c r="W39" s="214"/>
      <c r="X39" s="130"/>
      <c r="Y39" s="214"/>
      <c r="Z39" s="215"/>
    </row>
    <row r="40" spans="1:26" ht="18.75" customHeight="1" hidden="1">
      <c r="A40" s="140"/>
      <c r="B40" s="140"/>
      <c r="D40" s="198" t="s">
        <v>262</v>
      </c>
      <c r="E40" s="130" t="str">
        <f>_xlfn.XLOOKUP(E25,CurrentPlans!B:B,CurrentPlans!AM:AM,"NA",0,1)</f>
        <v>NA</v>
      </c>
      <c r="F40" s="200"/>
      <c r="G40" s="200"/>
      <c r="H40" s="200"/>
      <c r="I40" s="130"/>
      <c r="J40" s="201"/>
      <c r="K40"/>
      <c r="L40" s="131" t="str">
        <f ca="1">_xlfn.XLOOKUP(L25,RenewalPlans!B:B,RenewalPlans!AP:AP,"NA",0,1)</f>
        <v>NA</v>
      </c>
      <c r="M40" s="200"/>
      <c r="N40" s="200"/>
      <c r="O40" s="200"/>
      <c r="P40" s="130"/>
      <c r="Q40" s="200"/>
      <c r="R40" s="201"/>
      <c r="T40" s="131" t="str">
        <f>_xlfn.XLOOKUP(T25,RenewalPlans!B:B,RenewalPlans!AP:AP,"NA",0,1)</f>
        <v>NA</v>
      </c>
      <c r="U40" s="200"/>
      <c r="V40" s="200"/>
      <c r="W40" s="200"/>
      <c r="X40" s="130"/>
      <c r="Y40" s="200"/>
      <c r="Z40" s="201"/>
    </row>
    <row r="41" spans="1:26" ht="18.75" customHeight="1" hidden="1">
      <c r="A41" s="140"/>
      <c r="B41" s="140"/>
      <c r="D41" s="198" t="s">
        <v>263</v>
      </c>
      <c r="E41" s="130" t="str">
        <f>_xlfn.XLOOKUP(E25,CurrentPlans!B:B,CurrentPlans!AI:AI,"NA",0,1)</f>
        <v>NA</v>
      </c>
      <c r="F41" s="200"/>
      <c r="G41" s="200"/>
      <c r="H41" s="200"/>
      <c r="I41" s="130"/>
      <c r="J41" s="201"/>
      <c r="K41"/>
      <c r="L41" s="131" t="str">
        <f ca="1">_xlfn.XLOOKUP(L25,RenewalPlans!B:B,RenewalPlans!AL:AL,"NA",0,1)</f>
        <v>NA</v>
      </c>
      <c r="M41" s="200"/>
      <c r="N41" s="200"/>
      <c r="O41" s="200"/>
      <c r="P41" s="130"/>
      <c r="Q41" s="200"/>
      <c r="R41" s="201"/>
      <c r="T41" s="131" t="str">
        <f>_xlfn.XLOOKUP(T25,RenewalPlans!B:B,RenewalPlans!AL:AL,"NA",0,1)</f>
        <v>NA</v>
      </c>
      <c r="U41" s="200"/>
      <c r="V41" s="200"/>
      <c r="W41" s="200"/>
      <c r="X41" s="130"/>
      <c r="Y41" s="200"/>
      <c r="Z41" s="201"/>
    </row>
    <row r="42" spans="1:26" ht="18.75" customHeight="1" hidden="1">
      <c r="A42" s="140"/>
      <c r="B42" s="140"/>
      <c r="D42" s="198" t="s">
        <v>264</v>
      </c>
      <c r="E42" s="208" t="str">
        <f>_xlfn.XLOOKUP(E25,CurrentPlans!B:B,CurrentPlans!AN:AN,"NA",0,1)</f>
        <v>NA</v>
      </c>
      <c r="F42" s="200"/>
      <c r="G42" s="200"/>
      <c r="H42" s="200"/>
      <c r="I42" s="208"/>
      <c r="J42" s="201"/>
      <c r="K42"/>
      <c r="L42" s="209" t="str">
        <f ca="1">_xlfn.XLOOKUP(L25,RenewalPlans!B:B,RenewalPlans!AQ:AQ,"NA",0,1)</f>
        <v>NA</v>
      </c>
      <c r="M42" s="200"/>
      <c r="N42" s="200"/>
      <c r="O42" s="200"/>
      <c r="P42" s="208"/>
      <c r="Q42" s="200"/>
      <c r="R42" s="201"/>
      <c r="T42" s="209" t="str">
        <f>_xlfn.XLOOKUP(T25,RenewalPlans!B:B,RenewalPlans!AQ:AQ,"NA",0,1)</f>
        <v>NA</v>
      </c>
      <c r="U42" s="200"/>
      <c r="V42" s="200"/>
      <c r="W42" s="200"/>
      <c r="X42" s="208"/>
      <c r="Y42" s="200"/>
      <c r="Z42" s="201"/>
    </row>
    <row r="43" spans="1:26" ht="18.75" customHeight="1" hidden="1">
      <c r="A43" s="140"/>
      <c r="B43" s="140"/>
      <c r="D43" s="210"/>
      <c r="E43" s="211"/>
      <c r="F43" s="211"/>
      <c r="G43" s="211"/>
      <c r="H43" s="211"/>
      <c r="I43" s="211"/>
      <c r="J43" s="212"/>
      <c r="K43"/>
      <c r="L43" s="210"/>
      <c r="M43" s="211"/>
      <c r="N43" s="211"/>
      <c r="O43" s="211"/>
      <c r="P43" s="211"/>
      <c r="Q43" s="211"/>
      <c r="R43" s="212"/>
      <c r="T43" s="210"/>
      <c r="U43" s="211"/>
      <c r="V43" s="211"/>
      <c r="W43" s="211"/>
      <c r="X43" s="211"/>
      <c r="Y43" s="211"/>
      <c r="Z43" s="212"/>
    </row>
    <row r="44" spans="1:26" ht="18.75" customHeight="1" hidden="1">
      <c r="A44" s="140"/>
      <c r="B44" s="140"/>
      <c r="D44" s="185" t="s">
        <v>265</v>
      </c>
      <c r="E44" s="186"/>
      <c r="F44" s="186"/>
      <c r="G44" s="186"/>
      <c r="H44" s="186"/>
      <c r="I44" s="186"/>
      <c r="J44" s="187"/>
      <c r="K44"/>
      <c r="L44" s="188"/>
      <c r="M44" s="186"/>
      <c r="N44" s="186"/>
      <c r="O44" s="186"/>
      <c r="P44" s="186"/>
      <c r="Q44" s="186"/>
      <c r="R44" s="187"/>
      <c r="T44" s="188"/>
      <c r="U44" s="186"/>
      <c r="V44" s="186"/>
      <c r="W44" s="186"/>
      <c r="X44" s="186"/>
      <c r="Y44" s="186"/>
      <c r="Z44" s="187"/>
    </row>
    <row r="45" spans="1:26" ht="18.75" customHeight="1" hidden="1">
      <c r="A45" s="140"/>
      <c r="B45" s="140"/>
      <c r="D45" s="132" t="s">
        <v>266</v>
      </c>
      <c r="E45" s="133" t="str">
        <f>_xlfn.XLOOKUP(E25,CurrentPlans!B:B,CurrentPlans!AE:AE,"NA",0,1)</f>
        <v>NA</v>
      </c>
      <c r="F45" s="134"/>
      <c r="G45" s="134"/>
      <c r="H45" s="134"/>
      <c r="I45" s="133"/>
      <c r="J45" s="135"/>
      <c r="K45"/>
      <c r="L45" s="136" t="str">
        <f ca="1">_xlfn.XLOOKUP(L25,RenewalPlans!B:B,RenewalPlans!AH:AH,"NA",0,1)</f>
        <v>NA</v>
      </c>
      <c r="M45" s="134"/>
      <c r="N45" s="134"/>
      <c r="O45" s="134"/>
      <c r="P45" s="133"/>
      <c r="Q45" s="134"/>
      <c r="R45" s="135"/>
      <c r="T45" s="136" t="str">
        <f>_xlfn.XLOOKUP(T25,RenewalPlans!B:B,RenewalPlans!AH:AH,"NA",0,1)</f>
        <v>NA</v>
      </c>
      <c r="U45" s="134"/>
      <c r="V45" s="134"/>
      <c r="W45" s="134"/>
      <c r="X45" s="133"/>
      <c r="Y45" s="134"/>
      <c r="Z45" s="135"/>
    </row>
    <row r="46" spans="1:26" ht="18.75" customHeight="1" hidden="1">
      <c r="A46" s="140"/>
      <c r="B46" s="140"/>
      <c r="D46" s="120" t="s">
        <v>267</v>
      </c>
      <c r="E46" s="130" t="str">
        <f>_xlfn.XLOOKUP(E25,CurrentPlans!B:B,CurrentPlans!AF:AF,"NA",0,1)</f>
        <v>NA</v>
      </c>
      <c r="F46" s="122"/>
      <c r="G46" s="122"/>
      <c r="H46" s="122"/>
      <c r="I46" s="130"/>
      <c r="J46" s="123"/>
      <c r="K46"/>
      <c r="L46" s="131" t="str">
        <f ca="1">_xlfn.XLOOKUP(L25,RenewalPlans!B:B,RenewalPlans!AI:AI,"NA",0,1)</f>
        <v>NA</v>
      </c>
      <c r="M46" s="122"/>
      <c r="N46" s="122"/>
      <c r="O46" s="122"/>
      <c r="P46" s="130"/>
      <c r="Q46" s="122"/>
      <c r="R46" s="123"/>
      <c r="T46" s="131" t="str">
        <f>_xlfn.XLOOKUP(T25,RenewalPlans!B:B,RenewalPlans!AI:AI,"NA",0,1)</f>
        <v>NA</v>
      </c>
      <c r="U46" s="122"/>
      <c r="V46" s="122"/>
      <c r="W46" s="122"/>
      <c r="X46" s="130"/>
      <c r="Y46" s="122"/>
      <c r="Z46" s="123"/>
    </row>
    <row r="47" spans="1:26" ht="18.75" customHeight="1" hidden="1">
      <c r="A47" s="140"/>
      <c r="B47" s="140"/>
      <c r="D47" s="198" t="s">
        <v>268</v>
      </c>
      <c r="E47" s="130" t="str">
        <f>_xlfn.XLOOKUP(E25,CurrentPlans!B:B,CurrentPlans!AH:AH,"NA",0,1)</f>
        <v>NA</v>
      </c>
      <c r="F47" s="200"/>
      <c r="G47" s="200"/>
      <c r="H47" s="200"/>
      <c r="I47" s="130"/>
      <c r="J47" s="201"/>
      <c r="K47"/>
      <c r="L47" s="131" t="str">
        <f ca="1">_xlfn.XLOOKUP(L25,RenewalPlans!B:B,RenewalPlans!AK:AK,"NA",0,1)</f>
        <v>NA</v>
      </c>
      <c r="M47" s="200"/>
      <c r="N47" s="200"/>
      <c r="O47" s="200"/>
      <c r="P47" s="130"/>
      <c r="Q47" s="200"/>
      <c r="R47" s="201"/>
      <c r="T47" s="131" t="str">
        <f>_xlfn.XLOOKUP(T25,RenewalPlans!B:B,RenewalPlans!AK:AK,"NA",0,1)</f>
        <v>NA</v>
      </c>
      <c r="U47" s="200"/>
      <c r="V47" s="200"/>
      <c r="W47" s="200"/>
      <c r="X47" s="130"/>
      <c r="Y47" s="200"/>
      <c r="Z47" s="201"/>
    </row>
    <row r="48" spans="1:26" ht="18.75" customHeight="1" hidden="1">
      <c r="A48" s="140"/>
      <c r="B48" s="140"/>
      <c r="D48" s="198" t="s">
        <v>269</v>
      </c>
      <c r="E48" s="130" t="str">
        <f>_xlfn.XLOOKUP(E25,CurrentPlans!B:B,CurrentPlans!AG:AG,"NA",0,1)</f>
        <v>NA</v>
      </c>
      <c r="F48" s="200"/>
      <c r="G48" s="200"/>
      <c r="H48" s="200"/>
      <c r="I48" s="130"/>
      <c r="J48" s="201"/>
      <c r="K48"/>
      <c r="L48" s="131" t="str">
        <f ca="1">_xlfn.XLOOKUP(L25,RenewalPlans!B:B,RenewalPlans!AJ:AJ,"NA",0,1)</f>
        <v>NA</v>
      </c>
      <c r="M48" s="200"/>
      <c r="N48" s="200"/>
      <c r="O48" s="200"/>
      <c r="P48" s="130"/>
      <c r="Q48" s="200"/>
      <c r="R48" s="201"/>
      <c r="T48" s="131" t="str">
        <f>_xlfn.XLOOKUP(T25,RenewalPlans!B:B,RenewalPlans!AJ:AJ,"NA",0,1)</f>
        <v>NA</v>
      </c>
      <c r="U48" s="200"/>
      <c r="V48" s="200"/>
      <c r="W48" s="200"/>
      <c r="X48" s="130"/>
      <c r="Y48" s="200"/>
      <c r="Z48" s="201"/>
    </row>
    <row r="49" spans="1:26" ht="18.75" customHeight="1" hidden="1">
      <c r="A49" s="140"/>
      <c r="B49" s="140"/>
      <c r="D49" s="213" t="s">
        <v>270</v>
      </c>
      <c r="E49" s="216" t="str">
        <f>_xlfn.XLOOKUP(E25,CurrentPlans!B:B,CurrentPlans!AU:AU,"NA",0,1)</f>
        <v>NA</v>
      </c>
      <c r="F49" s="214"/>
      <c r="G49" s="214"/>
      <c r="H49" s="214"/>
      <c r="I49" s="217"/>
      <c r="J49" s="215"/>
      <c r="K49"/>
      <c r="L49" s="218" t="str">
        <f ca="1">_xlfn.XLOOKUP(L25,RenewalPlans!B:B,RenewalPlans!AX:AX,"NA",0,1)</f>
        <v>NA</v>
      </c>
      <c r="M49" s="214"/>
      <c r="N49" s="214"/>
      <c r="O49" s="214"/>
      <c r="P49" s="217"/>
      <c r="Q49" s="214"/>
      <c r="R49" s="215"/>
      <c r="T49" s="218" t="str">
        <f>_xlfn.XLOOKUP(T25,RenewalPlans!B:B,RenewalPlans!AX:AX,"NA",0,1)</f>
        <v>NA</v>
      </c>
      <c r="U49" s="214"/>
      <c r="V49" s="214"/>
      <c r="W49" s="214"/>
      <c r="X49" s="217"/>
      <c r="Y49" s="214"/>
      <c r="Z49" s="215"/>
    </row>
    <row r="50" spans="1:26" ht="18.75" customHeight="1" hidden="1">
      <c r="A50" s="140"/>
      <c r="B50" s="140"/>
      <c r="D50" s="213" t="s">
        <v>271</v>
      </c>
      <c r="E50" s="216" t="str">
        <f>_xlfn.XLOOKUP(E25,CurrentPlans!B:B,CurrentPlans!AT:AT,"NA",0,1)</f>
        <v>NA</v>
      </c>
      <c r="F50" s="214"/>
      <c r="G50" s="214"/>
      <c r="H50" s="214"/>
      <c r="I50" s="217"/>
      <c r="J50" s="215"/>
      <c r="K50"/>
      <c r="L50" s="218" t="str">
        <f ca="1">_xlfn.XLOOKUP(L25,RenewalPlans!B:B,RenewalPlans!AW:AW,"NA",0,1)</f>
        <v>NA</v>
      </c>
      <c r="M50" s="214"/>
      <c r="N50" s="214"/>
      <c r="O50" s="214"/>
      <c r="P50" s="217"/>
      <c r="Q50" s="214"/>
      <c r="R50" s="215"/>
      <c r="T50" s="218" t="str">
        <f>_xlfn.XLOOKUP(T25,RenewalPlans!B:B,RenewalPlans!AW:AW,"NA",0,1)</f>
        <v>NA</v>
      </c>
      <c r="U50" s="214"/>
      <c r="V50" s="214"/>
      <c r="W50" s="214"/>
      <c r="X50" s="217"/>
      <c r="Y50" s="214"/>
      <c r="Z50" s="215"/>
    </row>
    <row r="51" spans="1:26" ht="18.75" customHeight="1" hidden="1">
      <c r="A51" s="140"/>
      <c r="B51" s="140"/>
      <c r="D51" s="198" t="s">
        <v>272</v>
      </c>
      <c r="E51" s="130" t="str">
        <f>_xlfn.XLOOKUP(E25,CurrentPlans!B:B,CurrentPlans!AD:AD,"NA",0,1)</f>
        <v>NA</v>
      </c>
      <c r="F51" s="200"/>
      <c r="G51" s="200"/>
      <c r="H51" s="200"/>
      <c r="I51" s="130"/>
      <c r="J51" s="201"/>
      <c r="K51"/>
      <c r="L51" s="131" t="str">
        <f ca="1">_xlfn.XLOOKUP(L25,RenewalPlans!B:B,RenewalPlans!AG:AG,"NA",0,1)</f>
        <v>NA</v>
      </c>
      <c r="M51" s="200"/>
      <c r="N51" s="200"/>
      <c r="O51" s="200"/>
      <c r="P51" s="130"/>
      <c r="Q51" s="200"/>
      <c r="R51" s="201"/>
      <c r="T51" s="131" t="str">
        <f>_xlfn.XLOOKUP(T25,RenewalPlans!B:B,RenewalPlans!AG:AG,"NA",0,1)</f>
        <v>NA</v>
      </c>
      <c r="U51" s="200"/>
      <c r="V51" s="200"/>
      <c r="W51" s="200"/>
      <c r="X51" s="130"/>
      <c r="Y51" s="200"/>
      <c r="Z51" s="201"/>
    </row>
    <row r="52" spans="1:26" ht="18.75" customHeight="1" hidden="1">
      <c r="A52" s="140"/>
      <c r="B52" s="140"/>
      <c r="D52" s="198" t="s">
        <v>273</v>
      </c>
      <c r="E52" s="200"/>
      <c r="F52" s="200"/>
      <c r="G52" s="200"/>
      <c r="H52" s="200"/>
      <c r="I52" s="200"/>
      <c r="J52" s="201"/>
      <c r="K52"/>
      <c r="L52" s="198"/>
      <c r="M52" s="200"/>
      <c r="N52" s="200"/>
      <c r="O52" s="200"/>
      <c r="P52" s="200"/>
      <c r="Q52" s="200"/>
      <c r="R52" s="201"/>
      <c r="T52" s="198"/>
      <c r="U52" s="200"/>
      <c r="V52" s="200"/>
      <c r="W52" s="200"/>
      <c r="X52" s="200"/>
      <c r="Y52" s="200"/>
      <c r="Z52" s="201"/>
    </row>
    <row r="53" spans="1:26" ht="18.75" customHeight="1" hidden="1">
      <c r="A53" s="140"/>
      <c r="B53" s="140"/>
      <c r="D53" s="210"/>
      <c r="E53" s="211"/>
      <c r="F53" s="211"/>
      <c r="G53" s="211"/>
      <c r="H53" s="211"/>
      <c r="I53" s="211"/>
      <c r="J53" s="212"/>
      <c r="K53"/>
      <c r="L53" s="210"/>
      <c r="M53" s="211"/>
      <c r="N53" s="211"/>
      <c r="O53" s="211"/>
      <c r="P53" s="211"/>
      <c r="Q53" s="211"/>
      <c r="R53" s="212"/>
      <c r="T53" s="210"/>
      <c r="U53" s="211"/>
      <c r="V53" s="211"/>
      <c r="W53" s="211"/>
      <c r="X53" s="211"/>
      <c r="Y53" s="211"/>
      <c r="Z53" s="212"/>
    </row>
    <row r="54" spans="1:26" ht="18.75" customHeight="1" hidden="1">
      <c r="A54" s="140"/>
      <c r="B54" s="140"/>
      <c r="D54" s="219" t="s">
        <v>274</v>
      </c>
      <c r="E54" s="220"/>
      <c r="F54" s="220"/>
      <c r="G54" s="220"/>
      <c r="H54" s="220"/>
      <c r="I54" s="220"/>
      <c r="J54" s="221"/>
      <c r="K54"/>
      <c r="L54" s="222"/>
      <c r="M54" s="220"/>
      <c r="N54" s="220"/>
      <c r="O54" s="220"/>
      <c r="P54" s="220"/>
      <c r="Q54" s="220"/>
      <c r="R54" s="221"/>
      <c r="T54" s="222"/>
      <c r="U54" s="220"/>
      <c r="V54" s="220"/>
      <c r="W54" s="220"/>
      <c r="X54" s="220"/>
      <c r="Y54" s="220"/>
      <c r="Z54" s="221"/>
    </row>
    <row r="55" spans="1:26" ht="18.75" customHeight="1" hidden="1">
      <c r="A55" s="140"/>
      <c r="B55" s="140"/>
      <c r="D55" s="223" t="s">
        <v>250</v>
      </c>
      <c r="E55" s="205"/>
      <c r="F55" s="205"/>
      <c r="G55" s="205"/>
      <c r="H55" s="205"/>
      <c r="I55" s="205"/>
      <c r="J55" s="206"/>
      <c r="K55"/>
      <c r="L55" s="203"/>
      <c r="M55" s="205"/>
      <c r="N55" s="205"/>
      <c r="O55" s="205"/>
      <c r="P55" s="205"/>
      <c r="Q55" s="205"/>
      <c r="R55" s="206"/>
      <c r="T55" s="203"/>
      <c r="U55" s="205"/>
      <c r="V55" s="205"/>
      <c r="W55" s="205"/>
      <c r="X55" s="205"/>
      <c r="Y55" s="205"/>
      <c r="Z55" s="206"/>
    </row>
    <row r="56" spans="1:26" ht="18.75" customHeight="1" hidden="1">
      <c r="A56" s="140"/>
      <c r="B56" s="140"/>
      <c r="D56" s="198" t="s">
        <v>251</v>
      </c>
      <c r="E56" s="130" t="str">
        <f>_xlfn.XLOOKUP(E25,CurrentPlans!B:B,CurrentPlans!AP:AP,"NA",0,1)</f>
        <v>NA</v>
      </c>
      <c r="F56" s="200"/>
      <c r="G56" s="200"/>
      <c r="H56" s="200"/>
      <c r="I56" s="130"/>
      <c r="J56" s="201"/>
      <c r="K56"/>
      <c r="L56" s="131" t="str">
        <f ca="1">_xlfn.XLOOKUP(L25,RenewalPlans!B:B,RenewalPlans!AS:AS,"NA",0,1)</f>
        <v>NA</v>
      </c>
      <c r="M56" s="200"/>
      <c r="N56" s="200"/>
      <c r="O56" s="200"/>
      <c r="P56" s="130"/>
      <c r="Q56" s="200"/>
      <c r="R56" s="201"/>
      <c r="T56" s="131" t="str">
        <f>_xlfn.XLOOKUP(T25,RenewalPlans!B:B,RenewalPlans!AS:AS,"NA",0,1)</f>
        <v>NA</v>
      </c>
      <c r="U56" s="200"/>
      <c r="V56" s="200"/>
      <c r="W56" s="200"/>
      <c r="X56" s="130"/>
      <c r="Y56" s="200"/>
      <c r="Z56" s="201"/>
    </row>
    <row r="57" spans="1:26" ht="18.75" customHeight="1" hidden="1">
      <c r="A57" s="140"/>
      <c r="B57" s="140"/>
      <c r="D57" s="198" t="s">
        <v>252</v>
      </c>
      <c r="E57" s="130" t="str">
        <f>_xlfn.XLOOKUP(E25,CurrentPlans!B:B,CurrentPlans!AQ:AQ,"NA",0,1)</f>
        <v>NA</v>
      </c>
      <c r="F57" s="200"/>
      <c r="G57" s="200"/>
      <c r="H57" s="200"/>
      <c r="I57" s="130"/>
      <c r="J57" s="201"/>
      <c r="K57"/>
      <c r="L57" s="131" t="str">
        <f ca="1">_xlfn.XLOOKUP(L25,RenewalPlans!B:B,RenewalPlans!AT:AT,"NA",0,1)</f>
        <v>NA</v>
      </c>
      <c r="M57" s="200"/>
      <c r="N57" s="200"/>
      <c r="O57" s="200"/>
      <c r="P57" s="130"/>
      <c r="Q57" s="200"/>
      <c r="R57" s="201"/>
      <c r="T57" s="131" t="str">
        <f>_xlfn.XLOOKUP(T25,RenewalPlans!B:B,RenewalPlans!AT:AT,"NA",0,1)</f>
        <v>NA</v>
      </c>
      <c r="U57" s="200"/>
      <c r="V57" s="200"/>
      <c r="W57" s="200"/>
      <c r="X57" s="130"/>
      <c r="Y57" s="200"/>
      <c r="Z57" s="201"/>
    </row>
    <row r="58" spans="1:26" ht="18.75" customHeight="1" hidden="1">
      <c r="A58" s="140"/>
      <c r="B58" s="140"/>
      <c r="D58" s="120" t="s">
        <v>253</v>
      </c>
      <c r="E58" s="133" t="str">
        <f>_xlfn.XLOOKUP(E25,CurrentPlans!B:B,CurrentPlans!AO:AO,"NA",0,1)</f>
        <v>NA</v>
      </c>
      <c r="F58" s="122"/>
      <c r="G58" s="122"/>
      <c r="H58" s="122"/>
      <c r="I58" s="133"/>
      <c r="J58" s="123"/>
      <c r="K58"/>
      <c r="L58" s="136" t="str">
        <f ca="1">_xlfn.XLOOKUP(L25,RenewalPlans!B:B,RenewalPlans!AR:AR,"NA",0,1)</f>
        <v>NA</v>
      </c>
      <c r="M58" s="122"/>
      <c r="N58" s="122"/>
      <c r="O58" s="122"/>
      <c r="P58" s="133"/>
      <c r="Q58" s="122"/>
      <c r="R58" s="123"/>
      <c r="T58" s="136" t="str">
        <f>_xlfn.XLOOKUP(T25,RenewalPlans!B:B,RenewalPlans!AR:AR,"NA",0,1)</f>
        <v>NA</v>
      </c>
      <c r="U58" s="122"/>
      <c r="V58" s="122"/>
      <c r="W58" s="122"/>
      <c r="X58" s="133"/>
      <c r="Y58" s="122"/>
      <c r="Z58" s="123"/>
    </row>
    <row r="59" spans="1:26" ht="18.75" customHeight="1" hidden="1">
      <c r="A59" s="140"/>
      <c r="B59" s="140"/>
      <c r="D59" s="223" t="s">
        <v>254</v>
      </c>
      <c r="E59" s="205"/>
      <c r="F59" s="205"/>
      <c r="G59" s="205"/>
      <c r="H59" s="205"/>
      <c r="I59" s="205"/>
      <c r="J59" s="206"/>
      <c r="K59"/>
      <c r="L59" s="203"/>
      <c r="M59" s="205"/>
      <c r="N59" s="205"/>
      <c r="O59" s="205"/>
      <c r="P59" s="205"/>
      <c r="Q59" s="205"/>
      <c r="R59" s="206"/>
      <c r="T59" s="203"/>
      <c r="U59" s="205"/>
      <c r="V59" s="205"/>
      <c r="W59" s="205"/>
      <c r="X59" s="205"/>
      <c r="Y59" s="205"/>
      <c r="Z59" s="206"/>
    </row>
    <row r="60" spans="1:26" ht="18.75" customHeight="1" hidden="1">
      <c r="A60" s="140"/>
      <c r="B60" s="140"/>
      <c r="D60" s="198" t="s">
        <v>255</v>
      </c>
      <c r="E60" s="130" t="str">
        <f>_xlfn.XLOOKUP(E25,CurrentPlans!B:B,CurrentPlans!AR:AR,"NA",0,1)</f>
        <v>NA</v>
      </c>
      <c r="F60" s="200"/>
      <c r="G60" s="200"/>
      <c r="H60" s="200"/>
      <c r="I60" s="130"/>
      <c r="J60" s="201"/>
      <c r="K60"/>
      <c r="L60" s="131" t="str">
        <f ca="1">_xlfn.XLOOKUP(L25,RenewalPlans!B:B,RenewalPlans!AU:AU,"NA",0,1)</f>
        <v>NA</v>
      </c>
      <c r="M60" s="200"/>
      <c r="N60" s="200"/>
      <c r="O60" s="200"/>
      <c r="P60" s="130"/>
      <c r="Q60" s="200"/>
      <c r="R60" s="201"/>
      <c r="T60" s="131" t="str">
        <f>_xlfn.XLOOKUP(T25,RenewalPlans!B:B,RenewalPlans!AU:AU,"NA",0,1)</f>
        <v>NA</v>
      </c>
      <c r="U60" s="200"/>
      <c r="V60" s="200"/>
      <c r="W60" s="200"/>
      <c r="X60" s="130"/>
      <c r="Y60" s="200"/>
      <c r="Z60" s="201"/>
    </row>
    <row r="61" spans="1:26" ht="18.75" customHeight="1" hidden="1" thickBot="1">
      <c r="A61" s="140"/>
      <c r="B61" s="140"/>
      <c r="D61" s="224" t="s">
        <v>256</v>
      </c>
      <c r="E61" s="137" t="str">
        <f>_xlfn.XLOOKUP(E25,CurrentPlans!B:B,CurrentPlans!AS:AS,"NA",0,1)</f>
        <v>NA</v>
      </c>
      <c r="F61" s="225"/>
      <c r="G61" s="225"/>
      <c r="H61" s="225"/>
      <c r="I61" s="137"/>
      <c r="J61" s="226"/>
      <c r="K61"/>
      <c r="L61" s="138" t="str">
        <f ca="1">_xlfn.XLOOKUP(L25,RenewalPlans!B:B,RenewalPlans!AV:AV,"NA",0,1)</f>
        <v>NA</v>
      </c>
      <c r="M61" s="225"/>
      <c r="N61" s="225"/>
      <c r="O61" s="225"/>
      <c r="P61" s="137"/>
      <c r="Q61" s="225"/>
      <c r="R61" s="226"/>
      <c r="T61" s="138" t="str">
        <f>_xlfn.XLOOKUP(T25,RenewalPlans!B:B,RenewalPlans!AV:AV,"NA",0,1)</f>
        <v>NA</v>
      </c>
      <c r="U61" s="225"/>
      <c r="V61" s="225"/>
      <c r="W61" s="225"/>
      <c r="X61" s="137"/>
      <c r="Y61" s="225"/>
      <c r="Z61" s="226"/>
    </row>
    <row r="62" spans="1:26" ht="18" customHeight="1">
      <c r="A62" s="140"/>
      <c r="B62" s="140"/>
      <c r="D62" s="227"/>
      <c r="E62" s="176"/>
      <c r="F62" s="178"/>
      <c r="G62" s="179"/>
      <c r="H62" s="178"/>
      <c r="I62" s="176"/>
      <c r="J62" s="228"/>
      <c r="K62"/>
      <c r="L62" s="178"/>
      <c r="M62" s="176"/>
      <c r="N62" s="139"/>
      <c r="O62" s="178"/>
      <c r="P62" s="178"/>
      <c r="Q62" s="178"/>
      <c r="R62" s="228"/>
      <c r="T62" s="178"/>
      <c r="U62" s="176"/>
      <c r="V62" s="139"/>
      <c r="W62" s="178"/>
      <c r="X62" s="178"/>
      <c r="Y62" s="178"/>
      <c r="Z62" s="228"/>
    </row>
    <row r="63" spans="1:26" ht="5.25" customHeight="1" thickBot="1">
      <c r="A63" s="140"/>
      <c r="B63" s="140"/>
      <c r="D63" s="229"/>
      <c r="E63" s="229"/>
      <c r="F63" s="230"/>
      <c r="G63" s="231"/>
      <c r="H63" s="232"/>
      <c r="I63" s="233"/>
      <c r="J63" s="233"/>
      <c r="K63"/>
      <c r="L63" s="233"/>
      <c r="M63" s="233"/>
      <c r="N63" s="233"/>
      <c r="O63" s="233"/>
      <c r="P63" s="233"/>
      <c r="Q63" s="233"/>
      <c r="R63" s="233"/>
      <c r="T63" s="233"/>
      <c r="U63" s="233"/>
      <c r="V63" s="233"/>
      <c r="W63" s="233"/>
      <c r="X63" s="233"/>
      <c r="Y63" s="233"/>
      <c r="Z63" s="233"/>
    </row>
    <row r="64" spans="1:26" ht="50.15" customHeight="1">
      <c r="A64" s="140">
        <v>2</v>
      </c>
      <c r="B64" s="140" t="str">
        <f>IF(A64&gt;Class7_CurrentHealthCount,"DELETE",Class7_CurrentHealthStart+A64)</f>
        <v>DELETE</v>
      </c>
      <c r="C64" s="164" t="s">
        <v>275</v>
      </c>
      <c r="D64" s="273" t="str">
        <f>IF(B64="Delete","",VLOOKUP(F64,BEGIN_CURRENT_HEALTH:END_CURRENT_HEALTH,3,FALSE))</f>
        <v/>
      </c>
      <c r="E64" s="165"/>
      <c r="F64" s="272" t="str" cm="1">
        <f t="array" ca="1" aca="1" ref="F64">IF(B64="Delete","",INDIRECT("CurrentPlans!A"&amp;B64,TRUE))</f>
        <v/>
      </c>
      <c r="G64" s="166"/>
      <c r="H64" s="167"/>
      <c r="I64" s="168"/>
      <c r="J64" s="169"/>
      <c r="K64"/>
      <c r="L64" s="274" t="str">
        <f ca="1">_xlfn.IFNA(VLOOKUP(F64,BEGIN_RENEWEDFROM_HEALTH:ROW_RenewHealth_PlanID,3,FALSE),"SELECT PLAN")</f>
        <v>SELECT PLAN</v>
      </c>
      <c r="M64" s="170"/>
      <c r="N64" s="274" t="s">
        <v>237</v>
      </c>
      <c r="O64" s="171"/>
      <c r="P64" s="171"/>
      <c r="Q64" s="171"/>
      <c r="R64" s="169"/>
      <c r="T64" s="274" t="s">
        <v>38</v>
      </c>
      <c r="U64" s="170"/>
      <c r="V64" s="274" t="s">
        <v>237</v>
      </c>
      <c r="W64" s="171"/>
      <c r="X64" s="171"/>
      <c r="Y64" s="171"/>
      <c r="Z64" s="169"/>
    </row>
    <row r="65" spans="1:26" ht="18.75" customHeight="1">
      <c r="A65" s="140"/>
      <c r="B65" s="140"/>
      <c r="D65" s="172" t="s">
        <v>238</v>
      </c>
      <c r="E65" s="407" t="str">
        <f ca="1">_xlfn.IFNA(VLOOKUP(F64,BEGIN_CURRENT_HEALTH:END_CURRENT_HEALTH,CURRENT_COL_EO_count,FALSE),"")</f>
        <v/>
      </c>
      <c r="F65" s="408" t="str">
        <f ca="1">_xlfn.IFNA(VLOOKUP(F64,BEGIN_CURRENT_HEALTH:END_CURRENT_HEALTH,CURRENT_COL_EO,FALSE),"")</f>
        <v/>
      </c>
      <c r="G65" s="468" t="str">
        <f ca="1" t="shared" si="5" ref="G65:G68">IF(F65="","",H65/F65)</f>
        <v/>
      </c>
      <c r="H65" s="408" t="str">
        <f ca="1">_xlfn.IFNA(VLOOKUP(F64,BEGIN_CURRENT_HEALTH:END_CURRENT_HEALTH,CURRENT_COL_EOContrib,FALSE),"")</f>
        <v/>
      </c>
      <c r="I65" s="409" t="str">
        <f ca="1">IFERROR(F65-H65,"")</f>
        <v/>
      </c>
      <c r="J65" s="410" t="str">
        <f ca="1">IF(F65="","",H65*E65)</f>
        <v/>
      </c>
      <c r="K65" s="411"/>
      <c r="L65" s="408" t="str" cm="1">
        <f t="array" ca="1" aca="1" ref="L65">_xlfn.IFNA(VLOOKUP(INDIRECT("L"&amp;ROW()-1)&amp;"_"&amp;$D$12,BEGIN_RENEW_HEALTH:END_RENEW_HEALTH,RENEW_COL_EO,FALSE),"")</f>
        <v/>
      </c>
      <c r="M65" s="412" t="str">
        <f ca="1">IF(E65="","",E65)</f>
        <v/>
      </c>
      <c r="N65" s="413"/>
      <c r="O65" s="414"/>
      <c r="P65" s="415" t="str">
        <f>IFERROR(IF($N64="Keep Contribution Same",H65,IF($N64="Enter Percentages",IF(N65="","",N65*L65),IF($N64="Keep Percentage Same",IF(G65="","",G65*L65),IF($N64="Enter Dollar Amount",IF(O65="","",O65),"")))),"")</f>
        <v/>
      </c>
      <c r="Q65" s="408" t="str">
        <f ca="1">IFERROR(L65-P65,"")</f>
        <v/>
      </c>
      <c r="R65" s="410" t="str">
        <f>IFERROR(IF(P65="","",M65*P65),"")</f>
        <v/>
      </c>
      <c r="S65" s="411"/>
      <c r="T65" s="408" t="str" cm="1">
        <f t="array" ca="1" aca="1" ref="T65">_xlfn.IFNA(VLOOKUP(INDIRECT("T"&amp;ROW()-1)&amp;"_"&amp;$D$12,BEGIN_RENEW_HEALTH:END_RENEW_HEALTH,RENEW_COL_EO,FALSE),"")</f>
        <v/>
      </c>
      <c r="U65" s="412" t="str">
        <f ca="1">IF(E65="","",E65)</f>
        <v/>
      </c>
      <c r="V65" s="413"/>
      <c r="W65" s="414"/>
      <c r="X65" s="415" t="str">
        <f>IFERROR(IF($V64="Keep Contribution Same",H65,IF($V64="Enter Percentages",IF(V65="","",V65*T65),IF($V64="Keep Percentage Same",IF(G65="","",G65*T65),IF($V64="Enter Dollar Amount",IF(W65="","",W65),"")))),"")</f>
        <v/>
      </c>
      <c r="Y65" s="408" t="str">
        <f ca="1">IFERROR(T65-X65,"")</f>
        <v/>
      </c>
      <c r="Z65" s="410" t="str">
        <f>IFERROR(IF(X65="","",U65*X65),"")</f>
        <v/>
      </c>
    </row>
    <row r="66" spans="1:26" ht="18.75" customHeight="1">
      <c r="A66" s="140"/>
      <c r="B66" s="140"/>
      <c r="D66" s="172" t="s">
        <v>239</v>
      </c>
      <c r="E66" s="407" t="str">
        <f ca="1">_xlfn.IFNA(VLOOKUP(F64,BEGIN_CURRENT_HEALTH:END_CURRENT_HEALTH,CURRENT_COL_ES_count,FALSE),"")</f>
        <v/>
      </c>
      <c r="F66" s="408" t="str">
        <f ca="1">_xlfn.IFNA(VLOOKUP(F64,BEGIN_CURRENT_HEALTH:END_CURRENT_HEALTH,CURRENT_COL_ES,FALSE),"")</f>
        <v/>
      </c>
      <c r="G66" s="468" t="str">
        <f t="shared" ca="1" si="5"/>
        <v/>
      </c>
      <c r="H66" s="408" t="str">
        <f ca="1">_xlfn.IFNA(VLOOKUP(F64,BEGIN_CURRENT_HEALTH:END_CURRENT_HEALTH,CURRENT_COL_ESContrib,FALSE),"")</f>
        <v/>
      </c>
      <c r="I66" s="409" t="str">
        <f ca="1" t="shared" si="6" ref="I66:I68">IFERROR(F66-H66,"")</f>
        <v/>
      </c>
      <c r="J66" s="410" t="str">
        <f ca="1">IF(F66="","",H66*E66)</f>
        <v/>
      </c>
      <c r="K66" s="411"/>
      <c r="L66" s="408" t="str" cm="1">
        <f t="array" ca="1" aca="1" ref="L66">_xlfn.IFNA(VLOOKUP(INDIRECT("L"&amp;ROW()-2)&amp;"_"&amp;$D$12,BEGIN_RENEW_HEALTH:END_RENEW_HEALTH,RENEW_COL_ES,FALSE),"")</f>
        <v/>
      </c>
      <c r="M66" s="412" t="str">
        <f ca="1">IF(E66="","",E66)</f>
        <v/>
      </c>
      <c r="N66" s="413"/>
      <c r="O66" s="414"/>
      <c r="P66" s="415" t="str">
        <f>IFERROR(IF($N64="Keep Contribution Same",H66,IF($N64="Enter Percentages",IF(N66="","",N66*L66),IF($N64="Keep Percentage Same",IF(G66="","",G66*L66),IF($N64="Enter Dollar Amount",IF(O66="","",O66),"")))),"")</f>
        <v/>
      </c>
      <c r="Q66" s="408" t="str">
        <f ca="1">IFERROR(L66-P66,"")</f>
        <v/>
      </c>
      <c r="R66" s="410" t="str">
        <f>IFERROR(IF(P66="","",M66*P66),"")</f>
        <v/>
      </c>
      <c r="S66" s="411"/>
      <c r="T66" s="408" t="str" cm="1">
        <f t="array" ca="1" aca="1" ref="T66">_xlfn.IFNA(VLOOKUP(INDIRECT("T"&amp;ROW()-2)&amp;"_"&amp;$D$12,BEGIN_RENEW_HEALTH:END_RENEW_HEALTH,RENEW_COL_ES,FALSE),"")</f>
        <v/>
      </c>
      <c r="U66" s="412" t="str">
        <f ca="1" t="shared" si="7" ref="U66:U68">IF(E66="","",E66)</f>
        <v/>
      </c>
      <c r="V66" s="413"/>
      <c r="W66" s="414"/>
      <c r="X66" s="415" t="str">
        <f>IFERROR(IF($V64="Keep Contribution Same",H66,IF($V64="Enter Percentages",IF(V66="","",V66*T66),IF($V64="Keep Percentage Same",IF(G66="","",G66*T66),IF($V64="Enter Dollar Amount",IF(W66="","",W66),"")))),"")</f>
        <v/>
      </c>
      <c r="Y66" s="408" t="str">
        <f ca="1" t="shared" si="8" ref="Y66:Y68">IFERROR(T66-X66,"")</f>
        <v/>
      </c>
      <c r="Z66" s="410" t="str">
        <f t="shared" si="9" ref="Z66:Z68">IFERROR(IF(X66="","",U66*X66),"")</f>
        <v/>
      </c>
    </row>
    <row r="67" spans="1:26" ht="18.75" customHeight="1">
      <c r="A67" s="140"/>
      <c r="B67" s="140"/>
      <c r="D67" s="172" t="s">
        <v>240</v>
      </c>
      <c r="E67" s="407" t="str">
        <f ca="1">_xlfn.IFNA(VLOOKUP(F64,BEGIN_CURRENT_HEALTH:END_CURRENT_HEALTH,CURRENT_COL_EC_count,FALSE),"")</f>
        <v/>
      </c>
      <c r="F67" s="408" t="str">
        <f ca="1">_xlfn.IFNA(VLOOKUP(F64,BEGIN_CURRENT_HEALTH:END_CURRENT_HEALTH,CURRENT_COL_EC,FALSE),"")</f>
        <v/>
      </c>
      <c r="G67" s="468" t="str">
        <f t="shared" ca="1" si="5"/>
        <v/>
      </c>
      <c r="H67" s="408" t="str">
        <f ca="1">_xlfn.IFNA(VLOOKUP(F64,BEGIN_CURRENT_HEALTH:END_CURRENT_HEALTH,CURRENT_COL_ECContrib,FALSE),"")</f>
        <v/>
      </c>
      <c r="I67" s="409" t="str">
        <f t="shared" ca="1" si="6"/>
        <v/>
      </c>
      <c r="J67" s="410" t="str">
        <f ca="1">IF(F67="","",H67*E67)</f>
        <v/>
      </c>
      <c r="K67" s="411"/>
      <c r="L67" s="408" t="str" cm="1">
        <f t="array" ca="1" aca="1" ref="L67">_xlfn.IFNA(VLOOKUP(INDIRECT("L"&amp;ROW()-3)&amp;"_"&amp;$D$12,BEGIN_RENEW_HEALTH:END_RENEW_HEALTH,RENEW_COL_EC,FALSE),"")</f>
        <v/>
      </c>
      <c r="M67" s="412" t="str">
        <f ca="1">IF(E67="","",E67)</f>
        <v/>
      </c>
      <c r="N67" s="413"/>
      <c r="O67" s="414"/>
      <c r="P67" s="415" t="str">
        <f>IFERROR(IF($N64="Keep Contribution Same",H67,IF($N64="Enter Percentages",IF(N67="","",N67*L67),IF($N64="Keep Percentage Same",IF(G67="","",G67*L67),IF($N64="Enter Dollar Amount",IF(O67="","",O67),"")))),"")</f>
        <v/>
      </c>
      <c r="Q67" s="408" t="str">
        <f ca="1">IFERROR(L67-P67,"")</f>
        <v/>
      </c>
      <c r="R67" s="410" t="str">
        <f>IFERROR(IF(P67="","",M67*P67),"")</f>
        <v/>
      </c>
      <c r="S67" s="411"/>
      <c r="T67" s="408" t="str" cm="1">
        <f t="array" ca="1" aca="1" ref="T67">_xlfn.IFNA(VLOOKUP(INDIRECT("T"&amp;ROW()-3)&amp;"_"&amp;$D$12,BEGIN_RENEW_HEALTH:END_RENEW_HEALTH,RENEW_COL_EC,FALSE),"")</f>
        <v/>
      </c>
      <c r="U67" s="412" t="str">
        <f t="shared" ca="1" si="7"/>
        <v/>
      </c>
      <c r="V67" s="413"/>
      <c r="W67" s="414"/>
      <c r="X67" s="415" t="str">
        <f>IFERROR(IF($V64="Keep Contribution Same",H67,IF($V64="Enter Percentages",IF(V67="","",V67*T67),IF($V64="Keep Percentage Same",IF(G67="","",G67*T67),IF($V64="Enter Dollar Amount",IF(W67="","",W67),"")))),"")</f>
        <v/>
      </c>
      <c r="Y67" s="408" t="str">
        <f t="shared" ca="1" si="8"/>
        <v/>
      </c>
      <c r="Z67" s="410" t="str">
        <f t="shared" si="9"/>
        <v/>
      </c>
    </row>
    <row r="68" spans="1:26" ht="18.75" customHeight="1" thickBot="1">
      <c r="A68" s="140"/>
      <c r="B68" s="140"/>
      <c r="D68" s="174" t="s">
        <v>241</v>
      </c>
      <c r="E68" s="416" t="str">
        <f ca="1">_xlfn.IFNA(VLOOKUP(F64,BEGIN_CURRENT_HEALTH:END_CURRENT_HEALTH,CURRENT_COL_FAM_count,FALSE),"")</f>
        <v/>
      </c>
      <c r="F68" s="417" t="str">
        <f ca="1">_xlfn.IFNA(VLOOKUP(F64,BEGIN_CURRENT_HEALTH:END_CURRENT_HEALTH,CURRENT_COL_FAM,FALSE),"")</f>
        <v/>
      </c>
      <c r="G68" s="469" t="str">
        <f t="shared" ca="1" si="5"/>
        <v/>
      </c>
      <c r="H68" s="417" t="str">
        <f ca="1">_xlfn.IFNA(VLOOKUP(F64,BEGIN_CURRENT_HEALTH:END_CURRENT_HEALTH,CURRENT_COL_FAMContrib,FALSE),"")</f>
        <v/>
      </c>
      <c r="I68" s="418" t="str">
        <f t="shared" ca="1" si="6"/>
        <v/>
      </c>
      <c r="J68" s="419" t="str">
        <f ca="1">IF(F68="","",H68*E68)</f>
        <v/>
      </c>
      <c r="K68" s="411"/>
      <c r="L68" s="417" t="str" cm="1">
        <f t="array" ca="1" aca="1" ref="L68">_xlfn.IFNA(VLOOKUP(INDIRECT("L"&amp;ROW()-4)&amp;"_"&amp;$D$12,BEGIN_RENEW_HEALTH:END_RENEW_HEALTH,RENEW_COL_FAM,FALSE),"")</f>
        <v/>
      </c>
      <c r="M68" s="423" t="str">
        <f ca="1">IF(E68="","",E68)</f>
        <v/>
      </c>
      <c r="N68" s="420"/>
      <c r="O68" s="421"/>
      <c r="P68" s="422" t="str">
        <f>IFERROR(IF($N64="Keep Contribution Same",H68,IF($N64="Enter Percentages",IF(N68="","",N68*L68),IF($N64="Keep Percentage Same",IF(G68="","",G68*L68),IF($N64="Enter Dollar Amount",IF(O68="","",O68),"")))),"")</f>
        <v/>
      </c>
      <c r="Q68" s="417" t="str">
        <f ca="1">IFERROR(L68-P68,"")</f>
        <v/>
      </c>
      <c r="R68" s="419" t="str">
        <f>IFERROR(IF(P68="","",M68*P68),"")</f>
        <v/>
      </c>
      <c r="S68" s="411"/>
      <c r="T68" s="417" t="str" cm="1">
        <f t="array" ca="1" aca="1" ref="T68">_xlfn.IFNA(VLOOKUP(INDIRECT("T"&amp;ROW()-4)&amp;"_"&amp;$D$12,BEGIN_RENEW_HEALTH:END_RENEW_HEALTH,RENEW_COL_FAM,FALSE),"")</f>
        <v/>
      </c>
      <c r="U68" s="423" t="str">
        <f t="shared" ca="1" si="7"/>
        <v/>
      </c>
      <c r="V68" s="420"/>
      <c r="W68" s="421"/>
      <c r="X68" s="422" t="str">
        <f>IFERROR(IF($V64="Keep Contribution Same",H68,IF($V64="Enter Percentages",IF(V68="","",V68*T68),IF($V64="Keep Percentage Same",IF(G68="","",G68*T68),IF($V64="Enter Dollar Amount",IF(W68="","",W68),"")))),"")</f>
        <v/>
      </c>
      <c r="Y68" s="417" t="str">
        <f t="shared" ca="1" si="8"/>
        <v/>
      </c>
      <c r="Z68" s="419" t="str">
        <f t="shared" si="9"/>
        <v/>
      </c>
    </row>
    <row r="69" spans="1:26" ht="18.75" customHeight="1" thickTop="1">
      <c r="A69" s="140"/>
      <c r="B69" s="140"/>
      <c r="D69" s="175" t="s">
        <v>242</v>
      </c>
      <c r="E69" s="424"/>
      <c r="F69" s="447" t="str">
        <f ca="1">IFERROR((F65*E65)+(F66*E66)+(F67*E67)+(F68*E68),"")</f>
        <v/>
      </c>
      <c r="G69" s="426"/>
      <c r="H69" s="427"/>
      <c r="I69" s="428"/>
      <c r="J69" s="429" t="str">
        <f ca="1">IFERROR(IF(J65="","",SUM(J65:J68)),0)</f>
        <v/>
      </c>
      <c r="K69" s="1"/>
      <c r="L69" s="430" t="str">
        <f ca="1">IFERROR((M65*L65)+(M66*L66)+(M67*L67)+(M68*L68),"")</f>
        <v/>
      </c>
      <c r="M69" s="427"/>
      <c r="N69" s="426"/>
      <c r="O69" s="427"/>
      <c r="P69" s="431"/>
      <c r="Q69" s="432"/>
      <c r="R69" s="429" t="str">
        <f>IFERROR(IF(R65="","",SUM(R65:R68)),0)</f>
        <v/>
      </c>
      <c r="T69" s="430" t="str">
        <f ca="1">IFERROR((U65*T65)+(U66*T66)+(U67*T67)+(U68*T68),"")</f>
        <v/>
      </c>
      <c r="U69" s="427"/>
      <c r="V69" s="426"/>
      <c r="W69" s="427"/>
      <c r="X69" s="431"/>
      <c r="Y69" s="432"/>
      <c r="Z69" s="429" t="str">
        <f>IFERROR(IF(Z65="","",SUM(Z65:Z68)),0)</f>
        <v/>
      </c>
    </row>
    <row r="70" spans="1:26" ht="18.75" customHeight="1">
      <c r="A70" s="140"/>
      <c r="B70" s="140"/>
      <c r="D70" s="177" t="s">
        <v>243</v>
      </c>
      <c r="E70" s="433"/>
      <c r="F70" s="448" t="str">
        <f ca="1">IFERROR(F69*12,"")</f>
        <v/>
      </c>
      <c r="G70" s="435"/>
      <c r="H70" s="436"/>
      <c r="I70" s="432"/>
      <c r="J70" s="437" t="str">
        <f ca="1">IF(J69="","",J69*12)</f>
        <v/>
      </c>
      <c r="K70" s="1"/>
      <c r="L70" s="438" t="str">
        <f ca="1">IFERROR(L69*12,"")</f>
        <v/>
      </c>
      <c r="M70" s="436"/>
      <c r="N70" s="435"/>
      <c r="O70" s="436"/>
      <c r="P70" s="432"/>
      <c r="Q70" s="432"/>
      <c r="R70" s="437" t="str">
        <f>IF(R69="","",R69*12)</f>
        <v/>
      </c>
      <c r="T70" s="438" t="str">
        <f ca="1">IFERROR(T69*12,"")</f>
        <v/>
      </c>
      <c r="U70" s="436"/>
      <c r="V70" s="435"/>
      <c r="W70" s="436"/>
      <c r="X70" s="432"/>
      <c r="Y70" s="432"/>
      <c r="Z70" s="437" t="str">
        <f>IF(Z69="","",Z69*12)</f>
        <v/>
      </c>
    </row>
    <row r="71" spans="1:26" ht="18.75" customHeight="1">
      <c r="A71" s="140"/>
      <c r="B71" s="140"/>
      <c r="D71" s="177" t="s">
        <v>244</v>
      </c>
      <c r="E71" s="433"/>
      <c r="F71" s="436"/>
      <c r="G71" s="435"/>
      <c r="H71" s="436"/>
      <c r="I71" s="432"/>
      <c r="J71" s="437"/>
      <c r="K71" s="1"/>
      <c r="L71" s="434" t="str">
        <f ca="1">IFERROR(L70-F70,"")</f>
        <v/>
      </c>
      <c r="M71" s="436"/>
      <c r="N71" s="435"/>
      <c r="O71" s="436"/>
      <c r="P71" s="432"/>
      <c r="Q71" s="432"/>
      <c r="R71" s="437" t="str">
        <f ca="1">IFERROR(IF(J70="","",R70-J70),0)</f>
        <v/>
      </c>
      <c r="T71" s="434" t="str">
        <f ca="1">IFERROR(T70-F70,"")</f>
        <v/>
      </c>
      <c r="U71" s="436"/>
      <c r="V71" s="435"/>
      <c r="W71" s="436"/>
      <c r="X71" s="432"/>
      <c r="Y71" s="432"/>
      <c r="Z71" s="437" t="str">
        <f>IFERROR(IF(R70="","",Z70-R70),0)</f>
        <v/>
      </c>
    </row>
    <row r="72" spans="1:26" ht="18.75" customHeight="1" thickBot="1">
      <c r="A72" s="140"/>
      <c r="B72" s="140"/>
      <c r="D72" s="180" t="s">
        <v>245</v>
      </c>
      <c r="E72" s="439"/>
      <c r="F72" s="440"/>
      <c r="G72" s="441"/>
      <c r="H72" s="440"/>
      <c r="I72" s="442"/>
      <c r="J72" s="443"/>
      <c r="K72" s="1"/>
      <c r="L72" s="444" t="str">
        <f ca="1">IFERROR(L70/F70-1,"")</f>
        <v/>
      </c>
      <c r="M72" s="440"/>
      <c r="N72" s="441"/>
      <c r="O72" s="440"/>
      <c r="P72" s="445"/>
      <c r="Q72" s="445"/>
      <c r="R72" s="446" t="str">
        <f ca="1">IFERROR(IF(J70="","",(R70/J70)-1),0)</f>
        <v/>
      </c>
      <c r="T72" s="444" t="str">
        <f ca="1">IFERROR(T70/F70-1,"")</f>
        <v/>
      </c>
      <c r="U72" s="440"/>
      <c r="V72" s="441"/>
      <c r="W72" s="440"/>
      <c r="X72" s="445"/>
      <c r="Y72" s="445"/>
      <c r="Z72" s="446" t="str">
        <f>IFERROR(IF(R70="","",(Z70/R70)-1),0)</f>
        <v/>
      </c>
    </row>
    <row r="73" spans="1:26" ht="18.75" customHeight="1">
      <c r="A73" s="140"/>
      <c r="B73" s="140"/>
      <c r="D73" s="181" t="s">
        <v>246</v>
      </c>
      <c r="E73" s="182"/>
      <c r="F73" s="182"/>
      <c r="G73" s="182"/>
      <c r="H73" s="182"/>
      <c r="I73" s="182"/>
      <c r="J73" s="183"/>
      <c r="K73"/>
      <c r="L73" s="184"/>
      <c r="M73" s="182"/>
      <c r="N73" s="182"/>
      <c r="O73" s="182"/>
      <c r="P73" s="182"/>
      <c r="Q73" s="182"/>
      <c r="R73" s="183"/>
      <c r="T73" s="184"/>
      <c r="U73" s="182"/>
      <c r="V73" s="182"/>
      <c r="W73" s="182"/>
      <c r="X73" s="182"/>
      <c r="Y73" s="182"/>
      <c r="Z73" s="183"/>
    </row>
    <row r="74" spans="1:26" ht="18.75" customHeight="1" hidden="1">
      <c r="A74" s="140"/>
      <c r="B74" s="140"/>
      <c r="D74" s="185" t="s">
        <v>247</v>
      </c>
      <c r="E74" s="186"/>
      <c r="F74" s="186"/>
      <c r="G74" s="186"/>
      <c r="H74" s="186"/>
      <c r="I74" s="186"/>
      <c r="J74" s="187"/>
      <c r="K74"/>
      <c r="L74" s="188"/>
      <c r="M74" s="186"/>
      <c r="N74" s="186"/>
      <c r="O74" s="186"/>
      <c r="P74" s="186"/>
      <c r="Q74" s="186"/>
      <c r="R74" s="187"/>
      <c r="T74" s="188"/>
      <c r="U74" s="186"/>
      <c r="V74" s="186"/>
      <c r="W74" s="186"/>
      <c r="X74" s="186"/>
      <c r="Y74" s="186"/>
      <c r="Z74" s="187"/>
    </row>
    <row r="75" spans="1:26" ht="18.75" customHeight="1" hidden="1">
      <c r="A75" s="140"/>
      <c r="B75" s="140"/>
      <c r="D75" s="189" t="s">
        <v>248</v>
      </c>
      <c r="E75" s="190" t="str">
        <f>D64&amp;"_"&amp;D12</f>
        <v>_</v>
      </c>
      <c r="F75" s="191"/>
      <c r="G75" s="191"/>
      <c r="H75" s="191"/>
      <c r="I75" s="190"/>
      <c r="J75" s="192"/>
      <c r="K75"/>
      <c r="L75" s="193" t="str">
        <f ca="1">L64&amp;"_"&amp;D12</f>
        <v>SELECT PLAN_</v>
      </c>
      <c r="M75" s="191"/>
      <c r="N75" s="191"/>
      <c r="O75" s="191"/>
      <c r="P75" s="190"/>
      <c r="Q75" s="191"/>
      <c r="R75" s="192"/>
      <c r="T75" s="193" t="str">
        <f>T64&amp;"_"&amp;D12</f>
        <v>SELECT PLAN_</v>
      </c>
      <c r="U75" s="191"/>
      <c r="V75" s="191"/>
      <c r="W75" s="191"/>
      <c r="X75" s="190"/>
      <c r="Y75" s="191"/>
      <c r="Z75" s="192"/>
    </row>
    <row r="76" spans="1:26" ht="18.75" customHeight="1" hidden="1">
      <c r="A76" s="140"/>
      <c r="B76" s="140"/>
      <c r="D76" s="189" t="s">
        <v>249</v>
      </c>
      <c r="E76" s="191"/>
      <c r="F76" s="191"/>
      <c r="G76" s="191"/>
      <c r="H76" s="191"/>
      <c r="I76" s="191"/>
      <c r="J76" s="192"/>
      <c r="K76"/>
      <c r="L76" s="189"/>
      <c r="M76" s="191"/>
      <c r="N76" s="191"/>
      <c r="O76" s="191"/>
      <c r="P76" s="191"/>
      <c r="Q76" s="191"/>
      <c r="R76" s="192"/>
      <c r="T76" s="189"/>
      <c r="U76" s="191"/>
      <c r="V76" s="191"/>
      <c r="W76" s="191"/>
      <c r="X76" s="191"/>
      <c r="Y76" s="191"/>
      <c r="Z76" s="192"/>
    </row>
    <row r="77" spans="1:26" ht="18.75" customHeight="1" hidden="1">
      <c r="A77" s="140"/>
      <c r="B77" s="140"/>
      <c r="D77" s="194" t="s">
        <v>250</v>
      </c>
      <c r="E77" s="195"/>
      <c r="F77" s="195"/>
      <c r="G77" s="195"/>
      <c r="H77" s="195"/>
      <c r="I77" s="195"/>
      <c r="J77" s="196"/>
      <c r="K77"/>
      <c r="L77" s="197"/>
      <c r="M77" s="195"/>
      <c r="N77" s="195"/>
      <c r="O77" s="195"/>
      <c r="P77" s="195"/>
      <c r="Q77" s="195"/>
      <c r="R77" s="196"/>
      <c r="T77" s="197"/>
      <c r="U77" s="195"/>
      <c r="V77" s="195"/>
      <c r="W77" s="195"/>
      <c r="X77" s="195"/>
      <c r="Y77" s="195"/>
      <c r="Z77" s="196"/>
    </row>
    <row r="78" spans="1:26" ht="18.75" customHeight="1" hidden="1">
      <c r="A78" s="140"/>
      <c r="B78" s="140"/>
      <c r="D78" s="198" t="s">
        <v>251</v>
      </c>
      <c r="E78" s="199" t="str">
        <f>_xlfn.XLOOKUP(E75,CurrentPlans!B:B,CurrentPlans!X:X,"NA",0,1)</f>
        <v>NA</v>
      </c>
      <c r="F78" s="200"/>
      <c r="G78" s="200"/>
      <c r="H78" s="200"/>
      <c r="I78" s="199"/>
      <c r="J78" s="201"/>
      <c r="K78"/>
      <c r="L78" s="202" t="str">
        <f ca="1">_xlfn.XLOOKUP(L75,RenewalPlans!B:B,RenewalPlans!AA:AA,"NA",0,1)</f>
        <v>NA</v>
      </c>
      <c r="M78" s="200"/>
      <c r="N78" s="200"/>
      <c r="O78" s="200"/>
      <c r="P78" s="199"/>
      <c r="Q78" s="200"/>
      <c r="R78" s="201"/>
      <c r="T78" s="202" t="str">
        <f>_xlfn.XLOOKUP(T75,RenewalPlans!B:B,RenewalPlans!AA:AA,"NA",0,1)</f>
        <v>NA</v>
      </c>
      <c r="U78" s="200"/>
      <c r="V78" s="200"/>
      <c r="W78" s="200"/>
      <c r="X78" s="199"/>
      <c r="Y78" s="200"/>
      <c r="Z78" s="201"/>
    </row>
    <row r="79" spans="1:26" ht="18.75" customHeight="1" hidden="1">
      <c r="A79" s="140"/>
      <c r="B79" s="140"/>
      <c r="D79" s="198" t="s">
        <v>252</v>
      </c>
      <c r="E79" s="199" t="str">
        <f>_xlfn.XLOOKUP(E75,CurrentPlans!B:B,CurrentPlans!Y:Y,"NA",0,1)</f>
        <v>NA</v>
      </c>
      <c r="F79" s="200"/>
      <c r="G79" s="200"/>
      <c r="H79" s="200"/>
      <c r="I79" s="199"/>
      <c r="J79" s="201"/>
      <c r="K79"/>
      <c r="L79" s="202" t="str">
        <f ca="1">_xlfn.XLOOKUP(L75,RenewalPlans!B:B,RenewalPlans!AB:AB,"NA",0,1)</f>
        <v>NA</v>
      </c>
      <c r="M79" s="200"/>
      <c r="N79" s="200"/>
      <c r="O79" s="200"/>
      <c r="P79" s="199"/>
      <c r="Q79" s="200"/>
      <c r="R79" s="201"/>
      <c r="T79" s="202" t="str">
        <f>_xlfn.XLOOKUP(T75,RenewalPlans!B:B,RenewalPlans!AB:AB,"NA",0,1)</f>
        <v>NA</v>
      </c>
      <c r="U79" s="200"/>
      <c r="V79" s="200"/>
      <c r="W79" s="200"/>
      <c r="X79" s="199"/>
      <c r="Y79" s="200"/>
      <c r="Z79" s="201"/>
    </row>
    <row r="80" spans="1:26" ht="18.75" customHeight="1" hidden="1">
      <c r="A80" s="140"/>
      <c r="B80" s="140"/>
      <c r="D80" s="120" t="s">
        <v>253</v>
      </c>
      <c r="E80" s="121" t="str">
        <f>_xlfn.XLOOKUP(E75,CurrentPlans!B:B,CurrentPlans!W:W,"NA",0,1)</f>
        <v>NA</v>
      </c>
      <c r="F80" s="122"/>
      <c r="G80" s="122"/>
      <c r="H80" s="122"/>
      <c r="I80" s="121"/>
      <c r="J80" s="123"/>
      <c r="K80"/>
      <c r="L80" s="124" t="str">
        <f ca="1">_xlfn.XLOOKUP(L75,RenewalPlans!B:B,RenewalPlans!Z:Z,"NA",0,1)</f>
        <v>NA</v>
      </c>
      <c r="M80" s="122"/>
      <c r="N80" s="122"/>
      <c r="O80" s="122"/>
      <c r="P80" s="121"/>
      <c r="Q80" s="122"/>
      <c r="R80" s="123"/>
      <c r="T80" s="124" t="str">
        <f>_xlfn.XLOOKUP(T75,RenewalPlans!B:B,RenewalPlans!Z:Z,"NA",0,1)</f>
        <v>NA</v>
      </c>
      <c r="U80" s="122"/>
      <c r="V80" s="122"/>
      <c r="W80" s="122"/>
      <c r="X80" s="121"/>
      <c r="Y80" s="122"/>
      <c r="Z80" s="123"/>
    </row>
    <row r="81" spans="1:26" ht="18.75" customHeight="1" hidden="1">
      <c r="A81" s="140"/>
      <c r="B81" s="140"/>
      <c r="D81" s="203" t="s">
        <v>254</v>
      </c>
      <c r="E81" s="204"/>
      <c r="F81" s="205"/>
      <c r="G81" s="205"/>
      <c r="H81" s="205"/>
      <c r="I81" s="204"/>
      <c r="J81" s="206"/>
      <c r="K81"/>
      <c r="L81" s="207"/>
      <c r="M81" s="205"/>
      <c r="N81" s="205"/>
      <c r="O81" s="205"/>
      <c r="P81" s="204"/>
      <c r="Q81" s="205"/>
      <c r="R81" s="206"/>
      <c r="T81" s="207"/>
      <c r="U81" s="205"/>
      <c r="V81" s="205"/>
      <c r="W81" s="205"/>
      <c r="X81" s="204"/>
      <c r="Y81" s="205"/>
      <c r="Z81" s="206"/>
    </row>
    <row r="82" spans="1:26" ht="18.75" customHeight="1" hidden="1">
      <c r="A82" s="140"/>
      <c r="B82" s="140"/>
      <c r="D82" s="125" t="s">
        <v>255</v>
      </c>
      <c r="E82" s="126" t="str">
        <f>_xlfn.XLOOKUP(E75,CurrentPlans!B:B,CurrentPlans!Z:Z,"NA",0,1)</f>
        <v>NA</v>
      </c>
      <c r="F82" s="127"/>
      <c r="G82" s="127"/>
      <c r="H82" s="127"/>
      <c r="I82" s="126"/>
      <c r="J82" s="128"/>
      <c r="K82"/>
      <c r="L82" s="129" t="str">
        <f ca="1">_xlfn.XLOOKUP(L75,RenewalPlans!B:B,RenewalPlans!AC:AC,"NA",0,1)</f>
        <v>NA</v>
      </c>
      <c r="M82" s="127"/>
      <c r="N82" s="127"/>
      <c r="O82" s="127"/>
      <c r="P82" s="126"/>
      <c r="Q82" s="127"/>
      <c r="R82" s="128"/>
      <c r="T82" s="129" t="str">
        <f>_xlfn.XLOOKUP(T75,RenewalPlans!B:B,RenewalPlans!AC:AC,"NA",0,1)</f>
        <v>NA</v>
      </c>
      <c r="U82" s="127"/>
      <c r="V82" s="127"/>
      <c r="W82" s="127"/>
      <c r="X82" s="126"/>
      <c r="Y82" s="127"/>
      <c r="Z82" s="128"/>
    </row>
    <row r="83" spans="1:26" ht="18.75" customHeight="1" hidden="1">
      <c r="A83" s="140"/>
      <c r="B83" s="140"/>
      <c r="D83" s="198" t="s">
        <v>256</v>
      </c>
      <c r="E83" s="208" t="str">
        <f>_xlfn.XLOOKUP(E75,CurrentPlans!B:B,CurrentPlans!AA:AA,"NA",0,1)</f>
        <v>NA</v>
      </c>
      <c r="F83" s="200"/>
      <c r="G83" s="200"/>
      <c r="H83" s="200"/>
      <c r="I83" s="208"/>
      <c r="J83" s="201"/>
      <c r="K83"/>
      <c r="L83" s="209" t="str">
        <f ca="1">_xlfn.XLOOKUP(L75,RenewalPlans!B:B,RenewalPlans!AD:AD,"NA",0,1)</f>
        <v>NA</v>
      </c>
      <c r="M83" s="200"/>
      <c r="N83" s="200"/>
      <c r="O83" s="200"/>
      <c r="P83" s="208"/>
      <c r="Q83" s="200"/>
      <c r="R83" s="201"/>
      <c r="T83" s="209" t="str">
        <f>_xlfn.XLOOKUP(T75,RenewalPlans!B:B,RenewalPlans!AD:AD,"NA",0,1)</f>
        <v>NA</v>
      </c>
      <c r="U83" s="200"/>
      <c r="V83" s="200"/>
      <c r="W83" s="200"/>
      <c r="X83" s="208"/>
      <c r="Y83" s="200"/>
      <c r="Z83" s="201"/>
    </row>
    <row r="84" spans="1:26" ht="18.75" customHeight="1" hidden="1">
      <c r="A84" s="140"/>
      <c r="B84" s="140"/>
      <c r="D84" s="203" t="s">
        <v>257</v>
      </c>
      <c r="E84" s="204"/>
      <c r="F84" s="205"/>
      <c r="G84" s="205"/>
      <c r="H84" s="205"/>
      <c r="I84" s="204"/>
      <c r="J84" s="206"/>
      <c r="K84"/>
      <c r="L84" s="207"/>
      <c r="M84" s="205"/>
      <c r="N84" s="205"/>
      <c r="O84" s="205"/>
      <c r="P84" s="204"/>
      <c r="Q84" s="205"/>
      <c r="R84" s="206"/>
      <c r="T84" s="207"/>
      <c r="U84" s="205"/>
      <c r="V84" s="205"/>
      <c r="W84" s="205"/>
      <c r="X84" s="204"/>
      <c r="Y84" s="205"/>
      <c r="Z84" s="206"/>
    </row>
    <row r="85" spans="1:26" ht="18.75" customHeight="1" hidden="1">
      <c r="A85" s="140"/>
      <c r="B85" s="140"/>
      <c r="D85" s="198" t="s">
        <v>258</v>
      </c>
      <c r="E85" s="208" t="str">
        <f>_xlfn.XLOOKUP(E75,CurrentPlans!B:B,CurrentPlans!AB:AB,"NA",0,1)</f>
        <v>NA</v>
      </c>
      <c r="F85" s="200"/>
      <c r="G85" s="200"/>
      <c r="H85" s="200"/>
      <c r="I85" s="208"/>
      <c r="J85" s="201"/>
      <c r="K85"/>
      <c r="L85" s="209" t="str">
        <f ca="1">_xlfn.XLOOKUP(L75,RenewalPlans!B:B,RenewalPlans!AE:AE,"NA",0,1)</f>
        <v>NA</v>
      </c>
      <c r="M85" s="200"/>
      <c r="N85" s="200"/>
      <c r="O85" s="200"/>
      <c r="P85" s="208"/>
      <c r="Q85" s="200"/>
      <c r="R85" s="201"/>
      <c r="T85" s="209" t="str">
        <f>_xlfn.XLOOKUP(T75,RenewalPlans!B:B,RenewalPlans!AE:AE,"NA",0,1)</f>
        <v>NA</v>
      </c>
      <c r="U85" s="200"/>
      <c r="V85" s="200"/>
      <c r="W85" s="200"/>
      <c r="X85" s="208"/>
      <c r="Y85" s="200"/>
      <c r="Z85" s="201"/>
    </row>
    <row r="86" spans="1:26" ht="18.75" customHeight="1" hidden="1">
      <c r="A86" s="140"/>
      <c r="B86" s="140"/>
      <c r="D86" s="198" t="s">
        <v>259</v>
      </c>
      <c r="E86" s="208" t="str">
        <f>_xlfn.XLOOKUP(E75,CurrentPlans!B:B,CurrentPlans!AC:AC,"NA",0,1)</f>
        <v>NA</v>
      </c>
      <c r="F86" s="200"/>
      <c r="G86" s="200"/>
      <c r="H86" s="200"/>
      <c r="I86" s="208"/>
      <c r="J86" s="201"/>
      <c r="K86"/>
      <c r="L86" s="209" t="str">
        <f ca="1">_xlfn.XLOOKUP(L75,RenewalPlans!B:B,RenewalPlans!AF:AF,"NA",0,1)</f>
        <v>NA</v>
      </c>
      <c r="M86" s="200"/>
      <c r="N86" s="200"/>
      <c r="O86" s="200"/>
      <c r="P86" s="208"/>
      <c r="Q86" s="200"/>
      <c r="R86" s="201"/>
      <c r="T86" s="209" t="str">
        <f>_xlfn.XLOOKUP(T75,RenewalPlans!B:B,RenewalPlans!AF:AF,"NA",0,1)</f>
        <v>NA</v>
      </c>
      <c r="U86" s="200"/>
      <c r="V86" s="200"/>
      <c r="W86" s="200"/>
      <c r="X86" s="208"/>
      <c r="Y86" s="200"/>
      <c r="Z86" s="201"/>
    </row>
    <row r="87" spans="1:26" ht="18.75" customHeight="1" hidden="1">
      <c r="A87" s="140"/>
      <c r="B87" s="140"/>
      <c r="D87" s="210"/>
      <c r="E87" s="211"/>
      <c r="F87" s="211"/>
      <c r="G87" s="211"/>
      <c r="H87" s="211"/>
      <c r="I87" s="211"/>
      <c r="J87" s="212"/>
      <c r="K87"/>
      <c r="L87" s="210"/>
      <c r="M87" s="211"/>
      <c r="N87" s="211"/>
      <c r="O87" s="211"/>
      <c r="P87" s="211"/>
      <c r="Q87" s="211"/>
      <c r="R87" s="212"/>
      <c r="T87" s="210"/>
      <c r="U87" s="211"/>
      <c r="V87" s="211"/>
      <c r="W87" s="211"/>
      <c r="X87" s="211"/>
      <c r="Y87" s="211"/>
      <c r="Z87" s="212"/>
    </row>
    <row r="88" spans="1:26" ht="18.75" customHeight="1" hidden="1">
      <c r="A88" s="140"/>
      <c r="B88" s="140"/>
      <c r="D88" s="185" t="s">
        <v>260</v>
      </c>
      <c r="E88" s="186"/>
      <c r="F88" s="186"/>
      <c r="G88" s="186"/>
      <c r="H88" s="186"/>
      <c r="I88" s="186"/>
      <c r="J88" s="187"/>
      <c r="K88"/>
      <c r="L88" s="188"/>
      <c r="M88" s="186"/>
      <c r="N88" s="186"/>
      <c r="O88" s="186"/>
      <c r="P88" s="186"/>
      <c r="Q88" s="186"/>
      <c r="R88" s="187"/>
      <c r="T88" s="188"/>
      <c r="U88" s="186"/>
      <c r="V88" s="186"/>
      <c r="W88" s="186"/>
      <c r="X88" s="186"/>
      <c r="Y88" s="186"/>
      <c r="Z88" s="187"/>
    </row>
    <row r="89" spans="1:26" ht="18.75" customHeight="1" hidden="1">
      <c r="A89" s="140"/>
      <c r="B89" s="140"/>
      <c r="D89" s="213" t="s">
        <v>261</v>
      </c>
      <c r="E89" s="130" t="str">
        <f>_xlfn.XLOOKUP(E75,CurrentPlans!B:B,CurrentPlans!AJ:AJ,"NA",0,1)</f>
        <v>NA</v>
      </c>
      <c r="F89" s="214"/>
      <c r="G89" s="214"/>
      <c r="H89" s="214"/>
      <c r="I89" s="130"/>
      <c r="J89" s="215"/>
      <c r="K89"/>
      <c r="L89" s="131" t="str">
        <f ca="1">_xlfn.XLOOKUP(L75,RenewalPlans!B:B,RenewalPlans!AM:AM,"NA",0,1)</f>
        <v>NA</v>
      </c>
      <c r="M89" s="214"/>
      <c r="N89" s="214"/>
      <c r="O89" s="214"/>
      <c r="P89" s="130"/>
      <c r="Q89" s="214"/>
      <c r="R89" s="215"/>
      <c r="T89" s="131" t="str">
        <f>_xlfn.XLOOKUP(T75,RenewalPlans!B:B,RenewalPlans!AM:AM,"NA",0,1)</f>
        <v>NA</v>
      </c>
      <c r="U89" s="214"/>
      <c r="V89" s="214"/>
      <c r="W89" s="214"/>
      <c r="X89" s="130"/>
      <c r="Y89" s="214"/>
      <c r="Z89" s="215"/>
    </row>
    <row r="90" spans="1:26" ht="18.75" customHeight="1" hidden="1">
      <c r="A90" s="140"/>
      <c r="B90" s="140"/>
      <c r="D90" s="198" t="s">
        <v>262</v>
      </c>
      <c r="E90" s="130" t="str">
        <f>_xlfn.XLOOKUP(E75,CurrentPlans!B:B,CurrentPlans!AM:AM,"NA",0,1)</f>
        <v>NA</v>
      </c>
      <c r="F90" s="200"/>
      <c r="G90" s="200"/>
      <c r="H90" s="200"/>
      <c r="I90" s="130"/>
      <c r="J90" s="201"/>
      <c r="K90"/>
      <c r="L90" s="131" t="str">
        <f ca="1">_xlfn.XLOOKUP(L75,RenewalPlans!B:B,RenewalPlans!AP:AP,"NA",0,1)</f>
        <v>NA</v>
      </c>
      <c r="M90" s="200"/>
      <c r="N90" s="200"/>
      <c r="O90" s="200"/>
      <c r="P90" s="130"/>
      <c r="Q90" s="200"/>
      <c r="R90" s="201"/>
      <c r="T90" s="131" t="str">
        <f>_xlfn.XLOOKUP(T75,RenewalPlans!B:B,RenewalPlans!AP:AP,"NA",0,1)</f>
        <v>NA</v>
      </c>
      <c r="U90" s="200"/>
      <c r="V90" s="200"/>
      <c r="W90" s="200"/>
      <c r="X90" s="130"/>
      <c r="Y90" s="200"/>
      <c r="Z90" s="201"/>
    </row>
    <row r="91" spans="1:26" ht="18.75" customHeight="1" hidden="1">
      <c r="A91" s="140"/>
      <c r="B91" s="140"/>
      <c r="D91" s="198" t="s">
        <v>263</v>
      </c>
      <c r="E91" s="130" t="str">
        <f>_xlfn.XLOOKUP(E75,CurrentPlans!B:B,CurrentPlans!AI:AI,"NA",0,1)</f>
        <v>NA</v>
      </c>
      <c r="F91" s="200"/>
      <c r="G91" s="200"/>
      <c r="H91" s="200"/>
      <c r="I91" s="130"/>
      <c r="J91" s="201"/>
      <c r="K91"/>
      <c r="L91" s="131" t="str">
        <f ca="1">_xlfn.XLOOKUP(L75,RenewalPlans!B:B,RenewalPlans!AL:AL,"NA",0,1)</f>
        <v>NA</v>
      </c>
      <c r="M91" s="200"/>
      <c r="N91" s="200"/>
      <c r="O91" s="200"/>
      <c r="P91" s="130"/>
      <c r="Q91" s="200"/>
      <c r="R91" s="201"/>
      <c r="T91" s="131" t="str">
        <f>_xlfn.XLOOKUP(T75,RenewalPlans!B:B,RenewalPlans!AL:AL,"NA",0,1)</f>
        <v>NA</v>
      </c>
      <c r="U91" s="200"/>
      <c r="V91" s="200"/>
      <c r="W91" s="200"/>
      <c r="X91" s="130"/>
      <c r="Y91" s="200"/>
      <c r="Z91" s="201"/>
    </row>
    <row r="92" spans="1:26" ht="18.75" customHeight="1" hidden="1">
      <c r="A92" s="140"/>
      <c r="B92" s="140"/>
      <c r="D92" s="198" t="s">
        <v>264</v>
      </c>
      <c r="E92" s="208" t="str">
        <f>_xlfn.XLOOKUP(E75,CurrentPlans!B:B,CurrentPlans!AN:AN,"NA",0,1)</f>
        <v>NA</v>
      </c>
      <c r="F92" s="200"/>
      <c r="G92" s="200"/>
      <c r="H92" s="200"/>
      <c r="I92" s="208"/>
      <c r="J92" s="201"/>
      <c r="K92"/>
      <c r="L92" s="209" t="str">
        <f ca="1">_xlfn.XLOOKUP(L75,RenewalPlans!B:B,RenewalPlans!AQ:AQ,"NA",0,1)</f>
        <v>NA</v>
      </c>
      <c r="M92" s="200"/>
      <c r="N92" s="200"/>
      <c r="O92" s="200"/>
      <c r="P92" s="208"/>
      <c r="Q92" s="200"/>
      <c r="R92" s="201"/>
      <c r="T92" s="209" t="str">
        <f>_xlfn.XLOOKUP(T75,RenewalPlans!B:B,RenewalPlans!AQ:AQ,"NA",0,1)</f>
        <v>NA</v>
      </c>
      <c r="U92" s="200"/>
      <c r="V92" s="200"/>
      <c r="W92" s="200"/>
      <c r="X92" s="208"/>
      <c r="Y92" s="200"/>
      <c r="Z92" s="201"/>
    </row>
    <row r="93" spans="1:26" ht="18.75" customHeight="1" hidden="1">
      <c r="A93" s="140"/>
      <c r="B93" s="140"/>
      <c r="D93" s="210"/>
      <c r="E93" s="211"/>
      <c r="F93" s="211"/>
      <c r="G93" s="211"/>
      <c r="H93" s="211"/>
      <c r="I93" s="211"/>
      <c r="J93" s="212"/>
      <c r="K93"/>
      <c r="L93" s="210"/>
      <c r="M93" s="211"/>
      <c r="N93" s="211"/>
      <c r="O93" s="211"/>
      <c r="P93" s="211"/>
      <c r="Q93" s="211"/>
      <c r="R93" s="212"/>
      <c r="T93" s="210"/>
      <c r="U93" s="211"/>
      <c r="V93" s="211"/>
      <c r="W93" s="211"/>
      <c r="X93" s="211"/>
      <c r="Y93" s="211"/>
      <c r="Z93" s="212"/>
    </row>
    <row r="94" spans="1:26" ht="18.75" customHeight="1" hidden="1">
      <c r="A94" s="140"/>
      <c r="B94" s="140"/>
      <c r="D94" s="185" t="s">
        <v>265</v>
      </c>
      <c r="E94" s="186"/>
      <c r="F94" s="186"/>
      <c r="G94" s="186"/>
      <c r="H94" s="186"/>
      <c r="I94" s="186"/>
      <c r="J94" s="187"/>
      <c r="K94"/>
      <c r="L94" s="188"/>
      <c r="M94" s="186"/>
      <c r="N94" s="186"/>
      <c r="O94" s="186"/>
      <c r="P94" s="186"/>
      <c r="Q94" s="186"/>
      <c r="R94" s="187"/>
      <c r="T94" s="188"/>
      <c r="U94" s="186"/>
      <c r="V94" s="186"/>
      <c r="W94" s="186"/>
      <c r="X94" s="186"/>
      <c r="Y94" s="186"/>
      <c r="Z94" s="187"/>
    </row>
    <row r="95" spans="1:26" ht="18.75" customHeight="1" hidden="1">
      <c r="A95" s="140"/>
      <c r="B95" s="140"/>
      <c r="D95" s="132" t="s">
        <v>266</v>
      </c>
      <c r="E95" s="133" t="str">
        <f>_xlfn.XLOOKUP(E75,CurrentPlans!B:B,CurrentPlans!AE:AE,"NA",0,1)</f>
        <v>NA</v>
      </c>
      <c r="F95" s="134"/>
      <c r="G95" s="134"/>
      <c r="H95" s="134"/>
      <c r="I95" s="133"/>
      <c r="J95" s="135"/>
      <c r="K95"/>
      <c r="L95" s="136" t="str">
        <f ca="1">_xlfn.XLOOKUP(L75,RenewalPlans!B:B,RenewalPlans!AH:AH,"NA",0,1)</f>
        <v>NA</v>
      </c>
      <c r="M95" s="134"/>
      <c r="N95" s="134"/>
      <c r="O95" s="134"/>
      <c r="P95" s="133"/>
      <c r="Q95" s="134"/>
      <c r="R95" s="135"/>
      <c r="T95" s="136" t="str">
        <f>_xlfn.XLOOKUP(T75,RenewalPlans!B:B,RenewalPlans!AH:AH,"NA",0,1)</f>
        <v>NA</v>
      </c>
      <c r="U95" s="134"/>
      <c r="V95" s="134"/>
      <c r="W95" s="134"/>
      <c r="X95" s="133"/>
      <c r="Y95" s="134"/>
      <c r="Z95" s="135"/>
    </row>
    <row r="96" spans="1:26" ht="18.75" customHeight="1" hidden="1">
      <c r="A96" s="140"/>
      <c r="B96" s="140"/>
      <c r="D96" s="120" t="s">
        <v>267</v>
      </c>
      <c r="E96" s="130" t="str">
        <f>_xlfn.XLOOKUP(E75,CurrentPlans!B:B,CurrentPlans!AF:AF,"NA",0,1)</f>
        <v>NA</v>
      </c>
      <c r="F96" s="122"/>
      <c r="G96" s="122"/>
      <c r="H96" s="122"/>
      <c r="I96" s="130"/>
      <c r="J96" s="123"/>
      <c r="K96"/>
      <c r="L96" s="131" t="str">
        <f ca="1">_xlfn.XLOOKUP(L75,RenewalPlans!B:B,RenewalPlans!AI:AI,"NA",0,1)</f>
        <v>NA</v>
      </c>
      <c r="M96" s="122"/>
      <c r="N96" s="122"/>
      <c r="O96" s="122"/>
      <c r="P96" s="130"/>
      <c r="Q96" s="122"/>
      <c r="R96" s="123"/>
      <c r="T96" s="131" t="str">
        <f>_xlfn.XLOOKUP(T75,RenewalPlans!B:B,RenewalPlans!AI:AI,"NA",0,1)</f>
        <v>NA</v>
      </c>
      <c r="U96" s="122"/>
      <c r="V96" s="122"/>
      <c r="W96" s="122"/>
      <c r="X96" s="130"/>
      <c r="Y96" s="122"/>
      <c r="Z96" s="123"/>
    </row>
    <row r="97" spans="1:26" ht="18.75" customHeight="1" hidden="1">
      <c r="A97" s="140"/>
      <c r="B97" s="140"/>
      <c r="D97" s="198" t="s">
        <v>268</v>
      </c>
      <c r="E97" s="130" t="str">
        <f>_xlfn.XLOOKUP(E75,CurrentPlans!B:B,CurrentPlans!AH:AH,"NA",0,1)</f>
        <v>NA</v>
      </c>
      <c r="F97" s="200"/>
      <c r="G97" s="200"/>
      <c r="H97" s="200"/>
      <c r="I97" s="130"/>
      <c r="J97" s="201"/>
      <c r="K97"/>
      <c r="L97" s="131" t="str">
        <f ca="1">_xlfn.XLOOKUP(L75,RenewalPlans!B:B,RenewalPlans!AK:AK,"NA",0,1)</f>
        <v>NA</v>
      </c>
      <c r="M97" s="200"/>
      <c r="N97" s="200"/>
      <c r="O97" s="200"/>
      <c r="P97" s="130"/>
      <c r="Q97" s="200"/>
      <c r="R97" s="201"/>
      <c r="T97" s="131" t="str">
        <f>_xlfn.XLOOKUP(T75,RenewalPlans!B:B,RenewalPlans!AK:AK,"NA",0,1)</f>
        <v>NA</v>
      </c>
      <c r="U97" s="200"/>
      <c r="V97" s="200"/>
      <c r="W97" s="200"/>
      <c r="X97" s="130"/>
      <c r="Y97" s="200"/>
      <c r="Z97" s="201"/>
    </row>
    <row r="98" spans="1:26" ht="18.75" customHeight="1" hidden="1">
      <c r="A98" s="140"/>
      <c r="B98" s="140"/>
      <c r="D98" s="198" t="s">
        <v>269</v>
      </c>
      <c r="E98" s="130" t="str">
        <f>_xlfn.XLOOKUP(E75,CurrentPlans!B:B,CurrentPlans!AG:AG,"NA",0,1)</f>
        <v>NA</v>
      </c>
      <c r="F98" s="200"/>
      <c r="G98" s="200"/>
      <c r="H98" s="200"/>
      <c r="I98" s="130"/>
      <c r="J98" s="201"/>
      <c r="K98"/>
      <c r="L98" s="131" t="str">
        <f ca="1">_xlfn.XLOOKUP(L75,RenewalPlans!B:B,RenewalPlans!AJ:AJ,"NA",0,1)</f>
        <v>NA</v>
      </c>
      <c r="M98" s="200"/>
      <c r="N98" s="200"/>
      <c r="O98" s="200"/>
      <c r="P98" s="130"/>
      <c r="Q98" s="200"/>
      <c r="R98" s="201"/>
      <c r="T98" s="131" t="str">
        <f>_xlfn.XLOOKUP(T75,RenewalPlans!B:B,RenewalPlans!AJ:AJ,"NA",0,1)</f>
        <v>NA</v>
      </c>
      <c r="U98" s="200"/>
      <c r="V98" s="200"/>
      <c r="W98" s="200"/>
      <c r="X98" s="130"/>
      <c r="Y98" s="200"/>
      <c r="Z98" s="201"/>
    </row>
    <row r="99" spans="1:26" ht="18.75" customHeight="1" hidden="1">
      <c r="A99" s="140"/>
      <c r="B99" s="140"/>
      <c r="D99" s="213" t="s">
        <v>270</v>
      </c>
      <c r="E99" s="216" t="str">
        <f>_xlfn.XLOOKUP(E75,CurrentPlans!B:B,CurrentPlans!AU:AU,"NA",0,1)</f>
        <v>NA</v>
      </c>
      <c r="F99" s="214"/>
      <c r="G99" s="214"/>
      <c r="H99" s="214"/>
      <c r="I99" s="217"/>
      <c r="J99" s="215"/>
      <c r="K99"/>
      <c r="L99" s="218" t="str">
        <f ca="1">_xlfn.XLOOKUP(L75,RenewalPlans!B:B,RenewalPlans!AX:AX,"NA",0,1)</f>
        <v>NA</v>
      </c>
      <c r="M99" s="214"/>
      <c r="N99" s="214"/>
      <c r="O99" s="214"/>
      <c r="P99" s="217"/>
      <c r="Q99" s="214"/>
      <c r="R99" s="215"/>
      <c r="T99" s="218" t="str">
        <f>_xlfn.XLOOKUP(T75,RenewalPlans!B:B,RenewalPlans!AX:AX,"NA",0,1)</f>
        <v>NA</v>
      </c>
      <c r="U99" s="214"/>
      <c r="V99" s="214"/>
      <c r="W99" s="214"/>
      <c r="X99" s="217"/>
      <c r="Y99" s="214"/>
      <c r="Z99" s="215"/>
    </row>
    <row r="100" spans="1:26" ht="18.75" customHeight="1" hidden="1">
      <c r="A100" s="140"/>
      <c r="B100" s="140"/>
      <c r="D100" s="213" t="s">
        <v>271</v>
      </c>
      <c r="E100" s="216" t="str">
        <f>_xlfn.XLOOKUP(E75,CurrentPlans!B:B,CurrentPlans!AT:AT,"NA",0,1)</f>
        <v>NA</v>
      </c>
      <c r="F100" s="214"/>
      <c r="G100" s="214"/>
      <c r="H100" s="214"/>
      <c r="I100" s="217"/>
      <c r="J100" s="215"/>
      <c r="K100"/>
      <c r="L100" s="218" t="str">
        <f ca="1">_xlfn.XLOOKUP(L75,RenewalPlans!B:B,RenewalPlans!AW:AW,"NA",0,1)</f>
        <v>NA</v>
      </c>
      <c r="M100" s="214"/>
      <c r="N100" s="214"/>
      <c r="O100" s="214"/>
      <c r="P100" s="217"/>
      <c r="Q100" s="214"/>
      <c r="R100" s="215"/>
      <c r="T100" s="218" t="str">
        <f>_xlfn.XLOOKUP(T75,RenewalPlans!B:B,RenewalPlans!AW:AW,"NA",0,1)</f>
        <v>NA</v>
      </c>
      <c r="U100" s="214"/>
      <c r="V100" s="214"/>
      <c r="W100" s="214"/>
      <c r="X100" s="217"/>
      <c r="Y100" s="214"/>
      <c r="Z100" s="215"/>
    </row>
    <row r="101" spans="1:26" ht="18.75" customHeight="1" hidden="1">
      <c r="A101" s="140"/>
      <c r="B101" s="140"/>
      <c r="D101" s="198" t="s">
        <v>272</v>
      </c>
      <c r="E101" s="130" t="str">
        <f>_xlfn.XLOOKUP(E75,CurrentPlans!B:B,CurrentPlans!AD:AD,"NA",0,1)</f>
        <v>NA</v>
      </c>
      <c r="F101" s="200"/>
      <c r="G101" s="200"/>
      <c r="H101" s="200"/>
      <c r="I101" s="130"/>
      <c r="J101" s="201"/>
      <c r="K101"/>
      <c r="L101" s="131" t="str">
        <f ca="1">_xlfn.XLOOKUP(L75,RenewalPlans!B:B,RenewalPlans!AG:AG,"NA",0,1)</f>
        <v>NA</v>
      </c>
      <c r="M101" s="200"/>
      <c r="N101" s="200"/>
      <c r="O101" s="200"/>
      <c r="P101" s="130"/>
      <c r="Q101" s="200"/>
      <c r="R101" s="201"/>
      <c r="T101" s="131" t="str">
        <f>_xlfn.XLOOKUP(T75,RenewalPlans!B:B,RenewalPlans!AG:AG,"NA",0,1)</f>
        <v>NA</v>
      </c>
      <c r="U101" s="200"/>
      <c r="V101" s="200"/>
      <c r="W101" s="200"/>
      <c r="X101" s="130"/>
      <c r="Y101" s="200"/>
      <c r="Z101" s="201"/>
    </row>
    <row r="102" spans="1:26" ht="18.75" customHeight="1" hidden="1">
      <c r="A102" s="140"/>
      <c r="B102" s="140"/>
      <c r="D102" s="198" t="s">
        <v>273</v>
      </c>
      <c r="E102" s="200"/>
      <c r="F102" s="200"/>
      <c r="G102" s="200"/>
      <c r="H102" s="200"/>
      <c r="I102" s="200"/>
      <c r="J102" s="201"/>
      <c r="K102"/>
      <c r="L102" s="198"/>
      <c r="M102" s="200"/>
      <c r="N102" s="200"/>
      <c r="O102" s="200"/>
      <c r="P102" s="200"/>
      <c r="Q102" s="200"/>
      <c r="R102" s="201"/>
      <c r="T102" s="198"/>
      <c r="U102" s="200"/>
      <c r="V102" s="200"/>
      <c r="W102" s="200"/>
      <c r="X102" s="200"/>
      <c r="Y102" s="200"/>
      <c r="Z102" s="201"/>
    </row>
    <row r="103" spans="1:26" ht="18.75" customHeight="1" hidden="1">
      <c r="A103" s="140"/>
      <c r="B103" s="140"/>
      <c r="D103" s="210"/>
      <c r="E103" s="211"/>
      <c r="F103" s="211"/>
      <c r="G103" s="211"/>
      <c r="H103" s="211"/>
      <c r="I103" s="211"/>
      <c r="J103" s="212"/>
      <c r="K103"/>
      <c r="L103" s="210"/>
      <c r="M103" s="211"/>
      <c r="N103" s="211"/>
      <c r="O103" s="211"/>
      <c r="P103" s="211"/>
      <c r="Q103" s="211"/>
      <c r="R103" s="212"/>
      <c r="T103" s="210"/>
      <c r="U103" s="211"/>
      <c r="V103" s="211"/>
      <c r="W103" s="211"/>
      <c r="X103" s="211"/>
      <c r="Y103" s="211"/>
      <c r="Z103" s="212"/>
    </row>
    <row r="104" spans="1:26" ht="18.75" customHeight="1" hidden="1">
      <c r="A104" s="140"/>
      <c r="B104" s="140"/>
      <c r="D104" s="219" t="s">
        <v>274</v>
      </c>
      <c r="E104" s="220"/>
      <c r="F104" s="220"/>
      <c r="G104" s="220"/>
      <c r="H104" s="220"/>
      <c r="I104" s="220"/>
      <c r="J104" s="221"/>
      <c r="K104"/>
      <c r="L104" s="222"/>
      <c r="M104" s="220"/>
      <c r="N104" s="220"/>
      <c r="O104" s="220"/>
      <c r="P104" s="220"/>
      <c r="Q104" s="220"/>
      <c r="R104" s="221"/>
      <c r="T104" s="222"/>
      <c r="U104" s="220"/>
      <c r="V104" s="220"/>
      <c r="W104" s="220"/>
      <c r="X104" s="220"/>
      <c r="Y104" s="220"/>
      <c r="Z104" s="221"/>
    </row>
    <row r="105" spans="1:26" ht="18.75" customHeight="1" hidden="1">
      <c r="A105" s="140"/>
      <c r="B105" s="140"/>
      <c r="D105" s="223" t="s">
        <v>250</v>
      </c>
      <c r="E105" s="205"/>
      <c r="F105" s="205"/>
      <c r="G105" s="205"/>
      <c r="H105" s="205"/>
      <c r="I105" s="205"/>
      <c r="J105" s="206"/>
      <c r="K105"/>
      <c r="L105" s="203"/>
      <c r="M105" s="205"/>
      <c r="N105" s="205"/>
      <c r="O105" s="205"/>
      <c r="P105" s="205"/>
      <c r="Q105" s="205"/>
      <c r="R105" s="206"/>
      <c r="T105" s="203"/>
      <c r="U105" s="205"/>
      <c r="V105" s="205"/>
      <c r="W105" s="205"/>
      <c r="X105" s="205"/>
      <c r="Y105" s="205"/>
      <c r="Z105" s="206"/>
    </row>
    <row r="106" spans="1:26" ht="18.75" customHeight="1" hidden="1">
      <c r="A106" s="140"/>
      <c r="B106" s="140"/>
      <c r="D106" s="198" t="s">
        <v>251</v>
      </c>
      <c r="E106" s="130" t="str">
        <f>_xlfn.XLOOKUP(E75,CurrentPlans!B:B,CurrentPlans!AP:AP,"NA",0,1)</f>
        <v>NA</v>
      </c>
      <c r="F106" s="200"/>
      <c r="G106" s="200"/>
      <c r="H106" s="200"/>
      <c r="I106" s="130"/>
      <c r="J106" s="201"/>
      <c r="K106"/>
      <c r="L106" s="131" t="str">
        <f ca="1">_xlfn.XLOOKUP(L75,RenewalPlans!B:B,RenewalPlans!AS:AS,"NA",0,1)</f>
        <v>NA</v>
      </c>
      <c r="M106" s="200"/>
      <c r="N106" s="200"/>
      <c r="O106" s="200"/>
      <c r="P106" s="130"/>
      <c r="Q106" s="200"/>
      <c r="R106" s="201"/>
      <c r="T106" s="131" t="str">
        <f>_xlfn.XLOOKUP(T75,RenewalPlans!B:B,RenewalPlans!AS:AS,"NA",0,1)</f>
        <v>NA</v>
      </c>
      <c r="U106" s="200"/>
      <c r="V106" s="200"/>
      <c r="W106" s="200"/>
      <c r="X106" s="130"/>
      <c r="Y106" s="200"/>
      <c r="Z106" s="201"/>
    </row>
    <row r="107" spans="1:26" ht="18.75" customHeight="1" hidden="1">
      <c r="A107" s="140"/>
      <c r="B107" s="140"/>
      <c r="D107" s="198" t="s">
        <v>252</v>
      </c>
      <c r="E107" s="130" t="str">
        <f>_xlfn.XLOOKUP(E75,CurrentPlans!B:B,CurrentPlans!AQ:AQ,"NA",0,1)</f>
        <v>NA</v>
      </c>
      <c r="F107" s="200"/>
      <c r="G107" s="200"/>
      <c r="H107" s="200"/>
      <c r="I107" s="130"/>
      <c r="J107" s="201"/>
      <c r="K107"/>
      <c r="L107" s="131" t="str">
        <f ca="1">_xlfn.XLOOKUP(L75,RenewalPlans!B:B,RenewalPlans!AT:AT,"NA",0,1)</f>
        <v>NA</v>
      </c>
      <c r="M107" s="200"/>
      <c r="N107" s="200"/>
      <c r="O107" s="200"/>
      <c r="P107" s="130"/>
      <c r="Q107" s="200"/>
      <c r="R107" s="201"/>
      <c r="T107" s="131" t="str">
        <f>_xlfn.XLOOKUP(T75,RenewalPlans!B:B,RenewalPlans!AT:AT,"NA",0,1)</f>
        <v>NA</v>
      </c>
      <c r="U107" s="200"/>
      <c r="V107" s="200"/>
      <c r="W107" s="200"/>
      <c r="X107" s="130"/>
      <c r="Y107" s="200"/>
      <c r="Z107" s="201"/>
    </row>
    <row r="108" spans="1:26" ht="18.75" customHeight="1" hidden="1">
      <c r="A108" s="140"/>
      <c r="B108" s="140"/>
      <c r="D108" s="120" t="s">
        <v>253</v>
      </c>
      <c r="E108" s="133" t="str">
        <f>_xlfn.XLOOKUP(E75,CurrentPlans!B:B,CurrentPlans!AO:AO,"NA",0,1)</f>
        <v>NA</v>
      </c>
      <c r="F108" s="122"/>
      <c r="G108" s="122"/>
      <c r="H108" s="122"/>
      <c r="I108" s="133"/>
      <c r="J108" s="123"/>
      <c r="K108"/>
      <c r="L108" s="136" t="str">
        <f ca="1">_xlfn.XLOOKUP(L75,RenewalPlans!B:B,RenewalPlans!AR:AR,"NA",0,1)</f>
        <v>NA</v>
      </c>
      <c r="M108" s="122"/>
      <c r="N108" s="122"/>
      <c r="O108" s="122"/>
      <c r="P108" s="133"/>
      <c r="Q108" s="122"/>
      <c r="R108" s="123"/>
      <c r="T108" s="136" t="str">
        <f>_xlfn.XLOOKUP(T75,RenewalPlans!B:B,RenewalPlans!AR:AR,"NA",0,1)</f>
        <v>NA</v>
      </c>
      <c r="U108" s="122"/>
      <c r="V108" s="122"/>
      <c r="W108" s="122"/>
      <c r="X108" s="133"/>
      <c r="Y108" s="122"/>
      <c r="Z108" s="123"/>
    </row>
    <row r="109" spans="1:26" ht="18.75" customHeight="1" hidden="1">
      <c r="A109" s="140"/>
      <c r="B109" s="140"/>
      <c r="D109" s="223" t="s">
        <v>254</v>
      </c>
      <c r="E109" s="205"/>
      <c r="F109" s="205"/>
      <c r="G109" s="205"/>
      <c r="H109" s="205"/>
      <c r="I109" s="205"/>
      <c r="J109" s="206"/>
      <c r="K109"/>
      <c r="L109" s="203"/>
      <c r="M109" s="205"/>
      <c r="N109" s="205"/>
      <c r="O109" s="205"/>
      <c r="P109" s="205"/>
      <c r="Q109" s="205"/>
      <c r="R109" s="206"/>
      <c r="T109" s="203"/>
      <c r="U109" s="205"/>
      <c r="V109" s="205"/>
      <c r="W109" s="205"/>
      <c r="X109" s="205"/>
      <c r="Y109" s="205"/>
      <c r="Z109" s="206"/>
    </row>
    <row r="110" spans="1:26" ht="18.75" customHeight="1" hidden="1">
      <c r="A110" s="140"/>
      <c r="B110" s="140"/>
      <c r="D110" s="198" t="s">
        <v>255</v>
      </c>
      <c r="E110" s="130" t="str">
        <f>_xlfn.XLOOKUP(E75,CurrentPlans!B:B,CurrentPlans!AR:AR,"NA",0,1)</f>
        <v>NA</v>
      </c>
      <c r="F110" s="200"/>
      <c r="G110" s="200"/>
      <c r="H110" s="200"/>
      <c r="I110" s="130"/>
      <c r="J110" s="201"/>
      <c r="K110"/>
      <c r="L110" s="131" t="str">
        <f ca="1">_xlfn.XLOOKUP(L75,RenewalPlans!B:B,RenewalPlans!AU:AU,"NA",0,1)</f>
        <v>NA</v>
      </c>
      <c r="M110" s="200"/>
      <c r="N110" s="200"/>
      <c r="O110" s="200"/>
      <c r="P110" s="130"/>
      <c r="Q110" s="200"/>
      <c r="R110" s="201"/>
      <c r="T110" s="131" t="str">
        <f>_xlfn.XLOOKUP(T75,RenewalPlans!B:B,RenewalPlans!AU:AU,"NA",0,1)</f>
        <v>NA</v>
      </c>
      <c r="U110" s="200"/>
      <c r="V110" s="200"/>
      <c r="W110" s="200"/>
      <c r="X110" s="130"/>
      <c r="Y110" s="200"/>
      <c r="Z110" s="201"/>
    </row>
    <row r="111" spans="1:26" ht="18" customHeight="1" hidden="1" thickBot="1">
      <c r="A111" s="140"/>
      <c r="B111" s="140"/>
      <c r="D111" s="224" t="s">
        <v>256</v>
      </c>
      <c r="E111" s="137" t="str">
        <f>_xlfn.XLOOKUP(E75,CurrentPlans!B:B,CurrentPlans!AS:AS,"NA",0,1)</f>
        <v>NA</v>
      </c>
      <c r="F111" s="225"/>
      <c r="G111" s="225"/>
      <c r="H111" s="225"/>
      <c r="I111" s="137"/>
      <c r="J111" s="226"/>
      <c r="K111"/>
      <c r="L111" s="138" t="str">
        <f ca="1">_xlfn.XLOOKUP(L75,RenewalPlans!B:B,RenewalPlans!AV:AV,"NA",0,1)</f>
        <v>NA</v>
      </c>
      <c r="M111" s="225"/>
      <c r="N111" s="225"/>
      <c r="O111" s="225"/>
      <c r="P111" s="137"/>
      <c r="Q111" s="225"/>
      <c r="R111" s="226"/>
      <c r="T111" s="138" t="str">
        <f>_xlfn.XLOOKUP(T75,RenewalPlans!B:B,RenewalPlans!AV:AV,"NA",0,1)</f>
        <v>NA</v>
      </c>
      <c r="U111" s="225"/>
      <c r="V111" s="225"/>
      <c r="W111" s="225"/>
      <c r="X111" s="137"/>
      <c r="Y111" s="225"/>
      <c r="Z111" s="226"/>
    </row>
    <row r="112" spans="1:26" ht="18" customHeight="1">
      <c r="A112" s="140"/>
      <c r="B112" s="140"/>
      <c r="D112" s="227"/>
      <c r="E112" s="176"/>
      <c r="F112" s="178"/>
      <c r="G112" s="179"/>
      <c r="H112" s="178"/>
      <c r="I112" s="176"/>
      <c r="J112" s="228"/>
      <c r="K112"/>
      <c r="L112" s="178"/>
      <c r="M112" s="176"/>
      <c r="N112" s="139"/>
      <c r="O112" s="178"/>
      <c r="P112" s="178"/>
      <c r="Q112" s="178"/>
      <c r="R112" s="228"/>
      <c r="T112" s="178"/>
      <c r="U112" s="176"/>
      <c r="V112" s="139"/>
      <c r="W112" s="178"/>
      <c r="X112" s="178"/>
      <c r="Y112" s="178"/>
      <c r="Z112" s="228"/>
    </row>
    <row r="113" spans="1:26" ht="5.25" customHeight="1" thickBot="1">
      <c r="A113" s="140"/>
      <c r="B113" s="140"/>
      <c r="D113" s="229"/>
      <c r="E113" s="229"/>
      <c r="F113" s="230"/>
      <c r="G113" s="231"/>
      <c r="H113" s="232"/>
      <c r="I113" s="233"/>
      <c r="J113" s="233"/>
      <c r="K113"/>
      <c r="L113" s="233"/>
      <c r="M113" s="233"/>
      <c r="N113" s="233"/>
      <c r="O113" s="233"/>
      <c r="P113" s="233"/>
      <c r="Q113" s="233"/>
      <c r="R113" s="233"/>
      <c r="T113" s="233"/>
      <c r="U113" s="233"/>
      <c r="V113" s="233"/>
      <c r="W113" s="233"/>
      <c r="X113" s="233"/>
      <c r="Y113" s="233"/>
      <c r="Z113" s="233"/>
    </row>
    <row r="114" spans="1:26" ht="50.15" customHeight="1">
      <c r="A114" s="140">
        <v>3</v>
      </c>
      <c r="B114" s="140" t="str">
        <f>IF(A114&gt;Class7_CurrentHealthCount,"DELETE",Class7_CurrentHealthStart+A114)</f>
        <v>DELETE</v>
      </c>
      <c r="C114" s="164" t="s">
        <v>276</v>
      </c>
      <c r="D114" s="273" t="str">
        <f>IF(B114="Delete","",VLOOKUP(F114,BEGIN_CURRENT_HEALTH:END_CURRENT_HEALTH,3,FALSE))</f>
        <v/>
      </c>
      <c r="E114" s="165"/>
      <c r="F114" s="272" t="str" cm="1">
        <f t="array" ca="1" aca="1" ref="F114">IF(B114="Delete","",INDIRECT("CurrentPlans!A"&amp;B114,TRUE))</f>
        <v/>
      </c>
      <c r="G114" s="166"/>
      <c r="H114" s="167"/>
      <c r="I114" s="168"/>
      <c r="J114" s="169"/>
      <c r="K114"/>
      <c r="L114" s="274" t="str">
        <f ca="1">_xlfn.IFNA(VLOOKUP(F114,BEGIN_RENEWEDFROM_HEALTH:ROW_RenewHealth_PlanID,3,FALSE),"SELECT PLAN")</f>
        <v>SELECT PLAN</v>
      </c>
      <c r="M114" s="170"/>
      <c r="N114" s="274" t="s">
        <v>237</v>
      </c>
      <c r="O114" s="171"/>
      <c r="P114" s="171"/>
      <c r="Q114" s="171"/>
      <c r="R114" s="169"/>
      <c r="T114" s="274" t="s">
        <v>38</v>
      </c>
      <c r="U114" s="170"/>
      <c r="V114" s="274" t="s">
        <v>237</v>
      </c>
      <c r="W114" s="171"/>
      <c r="X114" s="171"/>
      <c r="Y114" s="171"/>
      <c r="Z114" s="169"/>
    </row>
    <row r="115" spans="1:26" ht="18.75" customHeight="1">
      <c r="A115" s="140"/>
      <c r="B115" s="140"/>
      <c r="D115" s="172" t="s">
        <v>238</v>
      </c>
      <c r="E115" s="407" t="str">
        <f ca="1">_xlfn.IFNA(VLOOKUP(F114,BEGIN_CURRENT_HEALTH:END_CURRENT_HEALTH,CURRENT_COL_EO_count,FALSE),"")</f>
        <v/>
      </c>
      <c r="F115" s="408" t="str">
        <f ca="1">_xlfn.IFNA(VLOOKUP(F114,BEGIN_CURRENT_HEALTH:END_CURRENT_HEALTH,CURRENT_COL_EO,FALSE),"")</f>
        <v/>
      </c>
      <c r="G115" s="468" t="str">
        <f ca="1" t="shared" si="10" ref="G115:G118">IF(F115="","",H115/F115)</f>
        <v/>
      </c>
      <c r="H115" s="408" t="str">
        <f ca="1">_xlfn.IFNA(VLOOKUP(F114,BEGIN_CURRENT_HEALTH:END_CURRENT_HEALTH,CURRENT_COL_EOContrib,FALSE),"")</f>
        <v/>
      </c>
      <c r="I115" s="409" t="str">
        <f ca="1">IFERROR(F115-H115,"")</f>
        <v/>
      </c>
      <c r="J115" s="410" t="str">
        <f ca="1">IF(F115="","",H115*E115)</f>
        <v/>
      </c>
      <c r="K115" s="411"/>
      <c r="L115" s="408" t="str" cm="1">
        <f t="array" ca="1" aca="1" ref="L115">_xlfn.IFNA(VLOOKUP(INDIRECT("L"&amp;ROW()-1)&amp;"_"&amp;$D$12,BEGIN_RENEW_HEALTH:END_RENEW_HEALTH,RENEW_COL_EO,FALSE),"")</f>
        <v/>
      </c>
      <c r="M115" s="412" t="str">
        <f ca="1">IF(E115="","",E115)</f>
        <v/>
      </c>
      <c r="N115" s="413"/>
      <c r="O115" s="414"/>
      <c r="P115" s="415" t="str">
        <f>IFERROR(IF($N114="Keep Contribution Same",H115,IF($N114="Enter Percentages",IF(N115="","",N115*L115),IF($N114="Keep Percentage Same",IF(G115="","",G115*L115),IF($N114="Enter Dollar Amount",IF(O115="","",O115),"")))),"")</f>
        <v/>
      </c>
      <c r="Q115" s="408" t="str">
        <f ca="1">IFERROR(L115-P115,"")</f>
        <v/>
      </c>
      <c r="R115" s="410" t="str">
        <f>IFERROR(IF(P115="","",M115*P115),"")</f>
        <v/>
      </c>
      <c r="S115" s="411"/>
      <c r="T115" s="408" t="str" cm="1">
        <f t="array" ca="1" aca="1" ref="T115">_xlfn.IFNA(VLOOKUP(INDIRECT("T"&amp;ROW()-1)&amp;"_"&amp;$D$12,BEGIN_RENEW_HEALTH:END_RENEW_HEALTH,RENEW_COL_EO,FALSE),"")</f>
        <v/>
      </c>
      <c r="U115" s="412" t="str">
        <f ca="1">IF(E115="","",E115)</f>
        <v/>
      </c>
      <c r="V115" s="413"/>
      <c r="W115" s="414"/>
      <c r="X115" s="415" t="str">
        <f>IFERROR(IF($V114="Keep Contribution Same",H115,IF($V114="Enter Percentages",IF(V115="","",V115*T115),IF($V114="Keep Percentage Same",IF(G115="","",G115*T115),IF($V114="Enter Dollar Amount",IF(W115="","",W115),"")))),"")</f>
        <v/>
      </c>
      <c r="Y115" s="408" t="str">
        <f ca="1">IFERROR(T115-X115,"")</f>
        <v/>
      </c>
      <c r="Z115" s="410" t="str">
        <f>IFERROR(IF(X115="","",U115*X115),"")</f>
        <v/>
      </c>
    </row>
    <row r="116" spans="1:26" ht="18.75" customHeight="1">
      <c r="A116" s="140"/>
      <c r="B116" s="140"/>
      <c r="D116" s="172" t="s">
        <v>239</v>
      </c>
      <c r="E116" s="407" t="str">
        <f ca="1">_xlfn.IFNA(VLOOKUP(F114,BEGIN_CURRENT_HEALTH:END_CURRENT_HEALTH,CURRENT_COL_ES_count,FALSE),"")</f>
        <v/>
      </c>
      <c r="F116" s="408" t="str">
        <f ca="1">_xlfn.IFNA(VLOOKUP(F114,BEGIN_CURRENT_HEALTH:END_CURRENT_HEALTH,CURRENT_COL_ES,FALSE),"")</f>
        <v/>
      </c>
      <c r="G116" s="468" t="str">
        <f t="shared" ca="1" si="10"/>
        <v/>
      </c>
      <c r="H116" s="408" t="str">
        <f ca="1">_xlfn.IFNA(VLOOKUP(F114,BEGIN_CURRENT_HEALTH:END_CURRENT_HEALTH,CURRENT_COL_ESContrib,FALSE),"")</f>
        <v/>
      </c>
      <c r="I116" s="409" t="str">
        <f ca="1" t="shared" si="11" ref="I116:I118">IFERROR(F116-H116,"")</f>
        <v/>
      </c>
      <c r="J116" s="410" t="str">
        <f ca="1">IF(F116="","",H116*E116)</f>
        <v/>
      </c>
      <c r="K116" s="411"/>
      <c r="L116" s="408" t="str" cm="1">
        <f t="array" ca="1" aca="1" ref="L116">_xlfn.IFNA(VLOOKUP(INDIRECT("L"&amp;ROW()-2)&amp;"_"&amp;$D$12,BEGIN_RENEW_HEALTH:END_RENEW_HEALTH,RENEW_COL_ES,FALSE),"")</f>
        <v/>
      </c>
      <c r="M116" s="412" t="str">
        <f ca="1">IF(E116="","",E116)</f>
        <v/>
      </c>
      <c r="N116" s="413"/>
      <c r="O116" s="414"/>
      <c r="P116" s="415" t="str">
        <f>IFERROR(IF($N114="Keep Contribution Same",H116,IF($N114="Enter Percentages",IF(N116="","",N116*L116),IF($N114="Keep Percentage Same",IF(G116="","",G116*L116),IF($N114="Enter Dollar Amount",IF(O116="","",O116),"")))),"")</f>
        <v/>
      </c>
      <c r="Q116" s="408" t="str">
        <f ca="1">IFERROR(L116-P116,"")</f>
        <v/>
      </c>
      <c r="R116" s="410" t="str">
        <f>IFERROR(IF(P116="","",M116*P116),"")</f>
        <v/>
      </c>
      <c r="S116" s="411"/>
      <c r="T116" s="408" t="str" cm="1">
        <f t="array" ca="1" aca="1" ref="T116">_xlfn.IFNA(VLOOKUP(INDIRECT("T"&amp;ROW()-2)&amp;"_"&amp;$D$12,BEGIN_RENEW_HEALTH:END_RENEW_HEALTH,RENEW_COL_ES,FALSE),"")</f>
        <v/>
      </c>
      <c r="U116" s="412" t="str">
        <f ca="1" t="shared" si="12" ref="U116:U118">IF(E116="","",E116)</f>
        <v/>
      </c>
      <c r="V116" s="413"/>
      <c r="W116" s="414"/>
      <c r="X116" s="415" t="str">
        <f>IFERROR(IF($V114="Keep Contribution Same",H116,IF($V114="Enter Percentages",IF(V116="","",V116*T116),IF($V114="Keep Percentage Same",IF(G116="","",G116*T116),IF($V114="Enter Dollar Amount",IF(W116="","",W116),"")))),"")</f>
        <v/>
      </c>
      <c r="Y116" s="408" t="str">
        <f ca="1" t="shared" si="13" ref="Y116:Y118">IFERROR(T116-X116,"")</f>
        <v/>
      </c>
      <c r="Z116" s="410" t="str">
        <f t="shared" si="14" ref="Z116:Z118">IFERROR(IF(X116="","",U116*X116),"")</f>
        <v/>
      </c>
    </row>
    <row r="117" spans="1:26" ht="18.75" customHeight="1">
      <c r="A117" s="140"/>
      <c r="B117" s="140"/>
      <c r="D117" s="172" t="s">
        <v>240</v>
      </c>
      <c r="E117" s="407" t="str">
        <f ca="1">_xlfn.IFNA(VLOOKUP(F114,BEGIN_CURRENT_HEALTH:END_CURRENT_HEALTH,CURRENT_COL_EC_count,FALSE),"")</f>
        <v/>
      </c>
      <c r="F117" s="408" t="str">
        <f ca="1">_xlfn.IFNA(VLOOKUP(F114,BEGIN_CURRENT_HEALTH:END_CURRENT_HEALTH,CURRENT_COL_EC,FALSE),"")</f>
        <v/>
      </c>
      <c r="G117" s="468" t="str">
        <f t="shared" ca="1" si="10"/>
        <v/>
      </c>
      <c r="H117" s="408" t="str">
        <f ca="1">_xlfn.IFNA(VLOOKUP(F114,BEGIN_CURRENT_HEALTH:END_CURRENT_HEALTH,CURRENT_COL_ECContrib,FALSE),"")</f>
        <v/>
      </c>
      <c r="I117" s="409" t="str">
        <f t="shared" ca="1" si="11"/>
        <v/>
      </c>
      <c r="J117" s="410" t="str">
        <f ca="1">IF(F117="","",H117*E117)</f>
        <v/>
      </c>
      <c r="K117" s="411"/>
      <c r="L117" s="408" t="str" cm="1">
        <f t="array" ca="1" aca="1" ref="L117">_xlfn.IFNA(VLOOKUP(INDIRECT("L"&amp;ROW()-3)&amp;"_"&amp;$D$12,BEGIN_RENEW_HEALTH:END_RENEW_HEALTH,RENEW_COL_EC,FALSE),"")</f>
        <v/>
      </c>
      <c r="M117" s="412" t="str">
        <f ca="1">IF(E117="","",E117)</f>
        <v/>
      </c>
      <c r="N117" s="413"/>
      <c r="O117" s="414"/>
      <c r="P117" s="415" t="str">
        <f>IFERROR(IF($N114="Keep Contribution Same",H117,IF($N114="Enter Percentages",IF(N117="","",N117*L117),IF($N114="Keep Percentage Same",IF(G117="","",G117*L117),IF($N114="Enter Dollar Amount",IF(O117="","",O117),"")))),"")</f>
        <v/>
      </c>
      <c r="Q117" s="408" t="str">
        <f ca="1">IFERROR(L117-P117,"")</f>
        <v/>
      </c>
      <c r="R117" s="410" t="str">
        <f>IFERROR(IF(P117="","",M117*P117),"")</f>
        <v/>
      </c>
      <c r="S117" s="411"/>
      <c r="T117" s="408" t="str" cm="1">
        <f t="array" ca="1" aca="1" ref="T117">_xlfn.IFNA(VLOOKUP(INDIRECT("T"&amp;ROW()-3)&amp;"_"&amp;$D$12,BEGIN_RENEW_HEALTH:END_RENEW_HEALTH,RENEW_COL_EC,FALSE),"")</f>
        <v/>
      </c>
      <c r="U117" s="412" t="str">
        <f t="shared" ca="1" si="12"/>
        <v/>
      </c>
      <c r="V117" s="413"/>
      <c r="W117" s="414"/>
      <c r="X117" s="415" t="str">
        <f>IFERROR(IF($V114="Keep Contribution Same",H117,IF($V114="Enter Percentages",IF(V117="","",V117*T117),IF($V114="Keep Percentage Same",IF(G117="","",G117*T117),IF($V114="Enter Dollar Amount",IF(W117="","",W117),"")))),"")</f>
        <v/>
      </c>
      <c r="Y117" s="408" t="str">
        <f t="shared" ca="1" si="13"/>
        <v/>
      </c>
      <c r="Z117" s="410" t="str">
        <f t="shared" si="14"/>
        <v/>
      </c>
    </row>
    <row r="118" spans="1:26" ht="18.75" customHeight="1" thickBot="1">
      <c r="A118" s="140"/>
      <c r="B118" s="140"/>
      <c r="D118" s="174" t="s">
        <v>241</v>
      </c>
      <c r="E118" s="416" t="str">
        <f ca="1">_xlfn.IFNA(VLOOKUP(F114,BEGIN_CURRENT_HEALTH:END_CURRENT_HEALTH,CURRENT_COL_FAM_count,FALSE),"")</f>
        <v/>
      </c>
      <c r="F118" s="417" t="str">
        <f ca="1">_xlfn.IFNA(VLOOKUP(F114,BEGIN_CURRENT_HEALTH:END_CURRENT_HEALTH,CURRENT_COL_FAM,FALSE),"")</f>
        <v/>
      </c>
      <c r="G118" s="469" t="str">
        <f t="shared" ca="1" si="10"/>
        <v/>
      </c>
      <c r="H118" s="417" t="str">
        <f ca="1">_xlfn.IFNA(VLOOKUP(F114,BEGIN_CURRENT_HEALTH:END_CURRENT_HEALTH,CURRENT_COL_FAMContrib,FALSE),"")</f>
        <v/>
      </c>
      <c r="I118" s="418" t="str">
        <f t="shared" ca="1" si="11"/>
        <v/>
      </c>
      <c r="J118" s="419" t="str">
        <f ca="1">IF(F118="","",H118*E118)</f>
        <v/>
      </c>
      <c r="K118" s="411"/>
      <c r="L118" s="417" t="str" cm="1">
        <f t="array" ca="1" aca="1" ref="L118">_xlfn.IFNA(VLOOKUP(INDIRECT("L"&amp;ROW()-4)&amp;"_"&amp;$D$12,BEGIN_RENEW_HEALTH:END_RENEW_HEALTH,RENEW_COL_FAM,FALSE),"")</f>
        <v/>
      </c>
      <c r="M118" s="423" t="str">
        <f ca="1">IF(E118="","",E118)</f>
        <v/>
      </c>
      <c r="N118" s="420"/>
      <c r="O118" s="421"/>
      <c r="P118" s="422" t="str">
        <f>IFERROR(IF($N114="Keep Contribution Same",H118,IF($N114="Enter Percentages",IF(N118="","",N118*L118),IF($N114="Keep Percentage Same",IF(G118="","",G118*L118),IF($N114="Enter Dollar Amount",IF(O118="","",O118),"")))),"")</f>
        <v/>
      </c>
      <c r="Q118" s="417" t="str">
        <f ca="1">IFERROR(L118-P118,"")</f>
        <v/>
      </c>
      <c r="R118" s="419" t="str">
        <f>IFERROR(IF(P118="","",M118*P118),"")</f>
        <v/>
      </c>
      <c r="S118" s="411"/>
      <c r="T118" s="417" t="str" cm="1">
        <f t="array" ca="1" aca="1" ref="T118">_xlfn.IFNA(VLOOKUP(INDIRECT("T"&amp;ROW()-4)&amp;"_"&amp;$D$12,BEGIN_RENEW_HEALTH:END_RENEW_HEALTH,RENEW_COL_FAM,FALSE),"")</f>
        <v/>
      </c>
      <c r="U118" s="423" t="str">
        <f t="shared" ca="1" si="12"/>
        <v/>
      </c>
      <c r="V118" s="420"/>
      <c r="W118" s="421"/>
      <c r="X118" s="422" t="str">
        <f>IFERROR(IF($V114="Keep Contribution Same",H118,IF($V114="Enter Percentages",IF(V118="","",V118*T118),IF($V114="Keep Percentage Same",IF(G118="","",G118*T118),IF($V114="Enter Dollar Amount",IF(W118="","",W118),"")))),"")</f>
        <v/>
      </c>
      <c r="Y118" s="417" t="str">
        <f t="shared" ca="1" si="13"/>
        <v/>
      </c>
      <c r="Z118" s="419" t="str">
        <f t="shared" si="14"/>
        <v/>
      </c>
    </row>
    <row r="119" spans="1:26" ht="18.75" customHeight="1" thickTop="1">
      <c r="A119" s="140"/>
      <c r="B119" s="140"/>
      <c r="D119" s="175" t="s">
        <v>242</v>
      </c>
      <c r="E119" s="424"/>
      <c r="F119" s="447" t="str">
        <f ca="1">IFERROR((F115*E115)+(F116*E116)+(F117*E117)+(F118*E118),"")</f>
        <v/>
      </c>
      <c r="G119" s="426"/>
      <c r="H119" s="427"/>
      <c r="I119" s="428"/>
      <c r="J119" s="429" t="str">
        <f ca="1">IFERROR(IF(J115="","",SUM(J115:J118)),0)</f>
        <v/>
      </c>
      <c r="K119" s="1"/>
      <c r="L119" s="430" t="str">
        <f ca="1">IFERROR((M115*L115)+(M116*L116)+(M117*L117)+(M118*L118),"")</f>
        <v/>
      </c>
      <c r="M119" s="427"/>
      <c r="N119" s="426"/>
      <c r="O119" s="427"/>
      <c r="P119" s="431"/>
      <c r="Q119" s="432"/>
      <c r="R119" s="429" t="str">
        <f>IFERROR(IF(R115="","",SUM(R115:R118)),0)</f>
        <v/>
      </c>
      <c r="T119" s="430" t="str">
        <f ca="1">IFERROR((U115*T115)+(U116*T116)+(U117*T117)+(U118*T118),"")</f>
        <v/>
      </c>
      <c r="U119" s="427"/>
      <c r="V119" s="426"/>
      <c r="W119" s="427"/>
      <c r="X119" s="431"/>
      <c r="Y119" s="432"/>
      <c r="Z119" s="429" t="str">
        <f>IFERROR(IF(Z115="","",SUM(Z115:Z118)),0)</f>
        <v/>
      </c>
    </row>
    <row r="120" spans="1:26" ht="18.75" customHeight="1">
      <c r="A120" s="140"/>
      <c r="B120" s="140"/>
      <c r="D120" s="177" t="s">
        <v>243</v>
      </c>
      <c r="E120" s="433"/>
      <c r="F120" s="448" t="str">
        <f ca="1">IFERROR(F119*12,"")</f>
        <v/>
      </c>
      <c r="G120" s="435"/>
      <c r="H120" s="436"/>
      <c r="I120" s="432"/>
      <c r="J120" s="437" t="str">
        <f ca="1">IF(J119="","",J119*12)</f>
        <v/>
      </c>
      <c r="K120" s="1"/>
      <c r="L120" s="438" t="str">
        <f ca="1">IFERROR(L119*12,"")</f>
        <v/>
      </c>
      <c r="M120" s="436"/>
      <c r="N120" s="435"/>
      <c r="O120" s="436"/>
      <c r="P120" s="432"/>
      <c r="Q120" s="432"/>
      <c r="R120" s="437" t="str">
        <f>IF(R119="","",R119*12)</f>
        <v/>
      </c>
      <c r="T120" s="438" t="str">
        <f ca="1">IFERROR(T119*12,"")</f>
        <v/>
      </c>
      <c r="U120" s="436"/>
      <c r="V120" s="435"/>
      <c r="W120" s="436"/>
      <c r="X120" s="432"/>
      <c r="Y120" s="432"/>
      <c r="Z120" s="437" t="str">
        <f>IF(Z119="","",Z119*12)</f>
        <v/>
      </c>
    </row>
    <row r="121" spans="1:26" ht="18" customHeight="1">
      <c r="A121" s="140"/>
      <c r="B121" s="140"/>
      <c r="D121" s="177" t="s">
        <v>244</v>
      </c>
      <c r="E121" s="433"/>
      <c r="F121" s="436"/>
      <c r="G121" s="435"/>
      <c r="H121" s="436"/>
      <c r="I121" s="432"/>
      <c r="J121" s="437"/>
      <c r="K121" s="1"/>
      <c r="L121" s="434" t="str">
        <f ca="1">IFERROR(L120-F120,"")</f>
        <v/>
      </c>
      <c r="M121" s="436"/>
      <c r="N121" s="435"/>
      <c r="O121" s="436"/>
      <c r="P121" s="432"/>
      <c r="Q121" s="432"/>
      <c r="R121" s="437" t="str">
        <f ca="1">IFERROR(IF(J120="","",R120-J120),0)</f>
        <v/>
      </c>
      <c r="T121" s="434" t="str">
        <f ca="1">IFERROR(T120-F120,"")</f>
        <v/>
      </c>
      <c r="U121" s="436"/>
      <c r="V121" s="435"/>
      <c r="W121" s="436"/>
      <c r="X121" s="432"/>
      <c r="Y121" s="432"/>
      <c r="Z121" s="437" t="str">
        <f>IFERROR(IF(R120="","",Z120-R120),0)</f>
        <v/>
      </c>
    </row>
    <row r="122" spans="1:26" ht="18" customHeight="1" thickBot="1">
      <c r="A122" s="140"/>
      <c r="B122" s="140"/>
      <c r="D122" s="180" t="s">
        <v>245</v>
      </c>
      <c r="E122" s="439"/>
      <c r="F122" s="440"/>
      <c r="G122" s="441"/>
      <c r="H122" s="440"/>
      <c r="I122" s="442"/>
      <c r="J122" s="443"/>
      <c r="K122" s="1"/>
      <c r="L122" s="444" t="str">
        <f ca="1">IFERROR(L120/F120-1,"")</f>
        <v/>
      </c>
      <c r="M122" s="440"/>
      <c r="N122" s="441"/>
      <c r="O122" s="440"/>
      <c r="P122" s="445"/>
      <c r="Q122" s="445"/>
      <c r="R122" s="446" t="str">
        <f ca="1">IFERROR(IF(J120="","",(R120/J120)-1),0)</f>
        <v/>
      </c>
      <c r="T122" s="444" t="str">
        <f ca="1">IFERROR(T120/F120-1,"")</f>
        <v/>
      </c>
      <c r="U122" s="440"/>
      <c r="V122" s="441"/>
      <c r="W122" s="440"/>
      <c r="X122" s="445"/>
      <c r="Y122" s="445"/>
      <c r="Z122" s="446" t="str">
        <f>IFERROR(IF(R120="","",(Z120/R120)-1),0)</f>
        <v/>
      </c>
    </row>
    <row r="123" spans="1:26" ht="18" customHeight="1">
      <c r="A123" s="140"/>
      <c r="B123" s="140"/>
      <c r="D123" s="181" t="s">
        <v>246</v>
      </c>
      <c r="E123" s="182"/>
      <c r="F123" s="182"/>
      <c r="G123" s="182"/>
      <c r="H123" s="182"/>
      <c r="I123" s="182"/>
      <c r="J123" s="183"/>
      <c r="K123"/>
      <c r="L123" s="184"/>
      <c r="M123" s="182"/>
      <c r="N123" s="182"/>
      <c r="O123" s="182"/>
      <c r="P123" s="182"/>
      <c r="Q123" s="182"/>
      <c r="R123" s="183"/>
      <c r="T123" s="184"/>
      <c r="U123" s="182"/>
      <c r="V123" s="182"/>
      <c r="W123" s="182"/>
      <c r="X123" s="182"/>
      <c r="Y123" s="182"/>
      <c r="Z123" s="183"/>
    </row>
    <row r="124" spans="1:26" ht="18" customHeight="1" hidden="1">
      <c r="A124" s="140"/>
      <c r="B124" s="140"/>
      <c r="D124" s="185" t="s">
        <v>247</v>
      </c>
      <c r="E124" s="186"/>
      <c r="F124" s="186"/>
      <c r="G124" s="186"/>
      <c r="H124" s="186"/>
      <c r="I124" s="186"/>
      <c r="J124" s="187"/>
      <c r="K124"/>
      <c r="L124" s="188"/>
      <c r="M124" s="186"/>
      <c r="N124" s="186"/>
      <c r="O124" s="186"/>
      <c r="P124" s="186"/>
      <c r="Q124" s="186"/>
      <c r="R124" s="187"/>
      <c r="T124" s="188"/>
      <c r="U124" s="186"/>
      <c r="V124" s="186"/>
      <c r="W124" s="186"/>
      <c r="X124" s="186"/>
      <c r="Y124" s="186"/>
      <c r="Z124" s="187"/>
    </row>
    <row r="125" spans="1:26" ht="18" customHeight="1" hidden="1">
      <c r="A125" s="140"/>
      <c r="B125" s="140"/>
      <c r="D125" s="189" t="s">
        <v>248</v>
      </c>
      <c r="E125" s="190" t="str">
        <f>D114&amp;"_"&amp;D12</f>
        <v>_</v>
      </c>
      <c r="F125" s="191"/>
      <c r="G125" s="191"/>
      <c r="H125" s="191"/>
      <c r="I125" s="190"/>
      <c r="J125" s="192"/>
      <c r="K125"/>
      <c r="L125" s="193" t="str">
        <f ca="1">L114&amp;"_"&amp;D12</f>
        <v>SELECT PLAN_</v>
      </c>
      <c r="M125" s="191"/>
      <c r="N125" s="191"/>
      <c r="O125" s="191"/>
      <c r="P125" s="190"/>
      <c r="Q125" s="191"/>
      <c r="R125" s="192"/>
      <c r="T125" s="193" t="str">
        <f>T114&amp;"_"&amp;D12</f>
        <v>SELECT PLAN_</v>
      </c>
      <c r="U125" s="191"/>
      <c r="V125" s="191"/>
      <c r="W125" s="191"/>
      <c r="X125" s="190"/>
      <c r="Y125" s="191"/>
      <c r="Z125" s="192"/>
    </row>
    <row r="126" spans="1:26" ht="18" customHeight="1" hidden="1">
      <c r="A126" s="140"/>
      <c r="B126" s="140"/>
      <c r="D126" s="189" t="s">
        <v>249</v>
      </c>
      <c r="E126" s="191"/>
      <c r="F126" s="191"/>
      <c r="G126" s="191"/>
      <c r="H126" s="191"/>
      <c r="I126" s="191"/>
      <c r="J126" s="192"/>
      <c r="K126"/>
      <c r="L126" s="189"/>
      <c r="M126" s="191"/>
      <c r="N126" s="191"/>
      <c r="O126" s="191"/>
      <c r="P126" s="191"/>
      <c r="Q126" s="191"/>
      <c r="R126" s="192"/>
      <c r="T126" s="189"/>
      <c r="U126" s="191"/>
      <c r="V126" s="191"/>
      <c r="W126" s="191"/>
      <c r="X126" s="191"/>
      <c r="Y126" s="191"/>
      <c r="Z126" s="192"/>
    </row>
    <row r="127" spans="1:26" ht="18" customHeight="1" hidden="1">
      <c r="A127" s="140"/>
      <c r="B127" s="140"/>
      <c r="D127" s="194" t="s">
        <v>250</v>
      </c>
      <c r="E127" s="195"/>
      <c r="F127" s="195"/>
      <c r="G127" s="195"/>
      <c r="H127" s="195"/>
      <c r="I127" s="195"/>
      <c r="J127" s="196"/>
      <c r="K127"/>
      <c r="L127" s="197"/>
      <c r="M127" s="195"/>
      <c r="N127" s="195"/>
      <c r="O127" s="195"/>
      <c r="P127" s="195"/>
      <c r="Q127" s="195"/>
      <c r="R127" s="196"/>
      <c r="T127" s="197"/>
      <c r="U127" s="195"/>
      <c r="V127" s="195"/>
      <c r="W127" s="195"/>
      <c r="X127" s="195"/>
      <c r="Y127" s="195"/>
      <c r="Z127" s="196"/>
    </row>
    <row r="128" spans="1:26" ht="18" customHeight="1" hidden="1">
      <c r="A128" s="140"/>
      <c r="B128" s="140"/>
      <c r="D128" s="198" t="s">
        <v>251</v>
      </c>
      <c r="E128" s="199" t="str">
        <f>_xlfn.XLOOKUP(E125,CurrentPlans!B:B,CurrentPlans!X:X,"NA",0,1)</f>
        <v>NA</v>
      </c>
      <c r="F128" s="200"/>
      <c r="G128" s="200"/>
      <c r="H128" s="200"/>
      <c r="I128" s="199"/>
      <c r="J128" s="201"/>
      <c r="K128"/>
      <c r="L128" s="202" t="str">
        <f ca="1">_xlfn.XLOOKUP(L125,RenewalPlans!B:B,RenewalPlans!AA:AA,"NA",0,1)</f>
        <v>NA</v>
      </c>
      <c r="M128" s="200"/>
      <c r="N128" s="200"/>
      <c r="O128" s="200"/>
      <c r="P128" s="199"/>
      <c r="Q128" s="200"/>
      <c r="R128" s="201"/>
      <c r="T128" s="202" t="str">
        <f>_xlfn.XLOOKUP(T125,RenewalPlans!B:B,RenewalPlans!AA:AA,"NA",0,1)</f>
        <v>NA</v>
      </c>
      <c r="U128" s="200"/>
      <c r="V128" s="200"/>
      <c r="W128" s="200"/>
      <c r="X128" s="199"/>
      <c r="Y128" s="200"/>
      <c r="Z128" s="201"/>
    </row>
    <row r="129" spans="1:26" ht="18" customHeight="1" hidden="1">
      <c r="A129" s="140"/>
      <c r="B129" s="140"/>
      <c r="D129" s="198" t="s">
        <v>252</v>
      </c>
      <c r="E129" s="199" t="str">
        <f>_xlfn.XLOOKUP(E125,CurrentPlans!B:B,CurrentPlans!Y:Y,"NA",0,1)</f>
        <v>NA</v>
      </c>
      <c r="F129" s="200"/>
      <c r="G129" s="200"/>
      <c r="H129" s="200"/>
      <c r="I129" s="199"/>
      <c r="J129" s="201"/>
      <c r="K129"/>
      <c r="L129" s="202" t="str">
        <f ca="1">_xlfn.XLOOKUP(L125,RenewalPlans!B:B,RenewalPlans!AB:AB,"NA",0,1)</f>
        <v>NA</v>
      </c>
      <c r="M129" s="200"/>
      <c r="N129" s="200"/>
      <c r="O129" s="200"/>
      <c r="P129" s="199"/>
      <c r="Q129" s="200"/>
      <c r="R129" s="201"/>
      <c r="T129" s="202" t="str">
        <f>_xlfn.XLOOKUP(T125,RenewalPlans!B:B,RenewalPlans!AB:AB,"NA",0,1)</f>
        <v>NA</v>
      </c>
      <c r="U129" s="200"/>
      <c r="V129" s="200"/>
      <c r="W129" s="200"/>
      <c r="X129" s="199"/>
      <c r="Y129" s="200"/>
      <c r="Z129" s="201"/>
    </row>
    <row r="130" spans="1:26" ht="18" customHeight="1" hidden="1">
      <c r="A130" s="140"/>
      <c r="B130" s="140"/>
      <c r="D130" s="120" t="s">
        <v>253</v>
      </c>
      <c r="E130" s="121" t="str">
        <f>_xlfn.XLOOKUP(E125,CurrentPlans!B:B,CurrentPlans!W:W,"NA",0,1)</f>
        <v>NA</v>
      </c>
      <c r="F130" s="122"/>
      <c r="G130" s="122"/>
      <c r="H130" s="122"/>
      <c r="I130" s="121"/>
      <c r="J130" s="123"/>
      <c r="K130"/>
      <c r="L130" s="124" t="str">
        <f ca="1">_xlfn.XLOOKUP(L125,RenewalPlans!B:B,RenewalPlans!Z:Z,"NA",0,1)</f>
        <v>NA</v>
      </c>
      <c r="M130" s="122"/>
      <c r="N130" s="122"/>
      <c r="O130" s="122"/>
      <c r="P130" s="121"/>
      <c r="Q130" s="122"/>
      <c r="R130" s="123"/>
      <c r="T130" s="124" t="str">
        <f>_xlfn.XLOOKUP(T125,RenewalPlans!B:B,RenewalPlans!Z:Z,"NA",0,1)</f>
        <v>NA</v>
      </c>
      <c r="U130" s="122"/>
      <c r="V130" s="122"/>
      <c r="W130" s="122"/>
      <c r="X130" s="121"/>
      <c r="Y130" s="122"/>
      <c r="Z130" s="123"/>
    </row>
    <row r="131" spans="1:26" ht="18" customHeight="1" hidden="1">
      <c r="A131" s="140"/>
      <c r="B131" s="140"/>
      <c r="D131" s="203" t="s">
        <v>254</v>
      </c>
      <c r="E131" s="204"/>
      <c r="F131" s="205"/>
      <c r="G131" s="205"/>
      <c r="H131" s="205"/>
      <c r="I131" s="204"/>
      <c r="J131" s="206"/>
      <c r="K131"/>
      <c r="L131" s="207"/>
      <c r="M131" s="205"/>
      <c r="N131" s="205"/>
      <c r="O131" s="205"/>
      <c r="P131" s="204"/>
      <c r="Q131" s="205"/>
      <c r="R131" s="206"/>
      <c r="T131" s="207"/>
      <c r="U131" s="205"/>
      <c r="V131" s="205"/>
      <c r="W131" s="205"/>
      <c r="X131" s="204"/>
      <c r="Y131" s="205"/>
      <c r="Z131" s="206"/>
    </row>
    <row r="132" spans="1:26" ht="18" customHeight="1" hidden="1">
      <c r="A132" s="140"/>
      <c r="B132" s="140"/>
      <c r="D132" s="125" t="s">
        <v>255</v>
      </c>
      <c r="E132" s="126" t="str">
        <f>_xlfn.XLOOKUP(E125,CurrentPlans!B:B,CurrentPlans!Z:Z,"NA",0,1)</f>
        <v>NA</v>
      </c>
      <c r="F132" s="127"/>
      <c r="G132" s="127"/>
      <c r="H132" s="127"/>
      <c r="I132" s="126"/>
      <c r="J132" s="128"/>
      <c r="K132"/>
      <c r="L132" s="129" t="str">
        <f ca="1">_xlfn.XLOOKUP(L125,RenewalPlans!B:B,RenewalPlans!AC:AC,"NA",0,1)</f>
        <v>NA</v>
      </c>
      <c r="M132" s="127"/>
      <c r="N132" s="127"/>
      <c r="O132" s="127"/>
      <c r="P132" s="126"/>
      <c r="Q132" s="127"/>
      <c r="R132" s="128"/>
      <c r="T132" s="129" t="str">
        <f>_xlfn.XLOOKUP(T125,RenewalPlans!B:B,RenewalPlans!AC:AC,"NA",0,1)</f>
        <v>NA</v>
      </c>
      <c r="U132" s="127"/>
      <c r="V132" s="127"/>
      <c r="W132" s="127"/>
      <c r="X132" s="126"/>
      <c r="Y132" s="127"/>
      <c r="Z132" s="128"/>
    </row>
    <row r="133" spans="1:26" ht="18" customHeight="1" hidden="1">
      <c r="A133" s="140"/>
      <c r="B133" s="140"/>
      <c r="D133" s="198" t="s">
        <v>256</v>
      </c>
      <c r="E133" s="208" t="str">
        <f>_xlfn.XLOOKUP(E125,CurrentPlans!B:B,CurrentPlans!AA:AA,"NA",0,1)</f>
        <v>NA</v>
      </c>
      <c r="F133" s="200"/>
      <c r="G133" s="200"/>
      <c r="H133" s="200"/>
      <c r="I133" s="208"/>
      <c r="J133" s="201"/>
      <c r="K133"/>
      <c r="L133" s="209" t="str">
        <f ca="1">_xlfn.XLOOKUP(L125,RenewalPlans!B:B,RenewalPlans!AD:AD,"NA",0,1)</f>
        <v>NA</v>
      </c>
      <c r="M133" s="200"/>
      <c r="N133" s="200"/>
      <c r="O133" s="200"/>
      <c r="P133" s="208"/>
      <c r="Q133" s="200"/>
      <c r="R133" s="201"/>
      <c r="T133" s="209" t="str">
        <f>_xlfn.XLOOKUP(T125,RenewalPlans!B:B,RenewalPlans!AD:AD,"NA",0,1)</f>
        <v>NA</v>
      </c>
      <c r="U133" s="200"/>
      <c r="V133" s="200"/>
      <c r="W133" s="200"/>
      <c r="X133" s="208"/>
      <c r="Y133" s="200"/>
      <c r="Z133" s="201"/>
    </row>
    <row r="134" spans="1:26" ht="18" customHeight="1" hidden="1">
      <c r="A134" s="140"/>
      <c r="B134" s="140"/>
      <c r="D134" s="203" t="s">
        <v>257</v>
      </c>
      <c r="E134" s="204"/>
      <c r="F134" s="205"/>
      <c r="G134" s="205"/>
      <c r="H134" s="205"/>
      <c r="I134" s="204"/>
      <c r="J134" s="206"/>
      <c r="K134"/>
      <c r="L134" s="207"/>
      <c r="M134" s="205"/>
      <c r="N134" s="205"/>
      <c r="O134" s="205"/>
      <c r="P134" s="204"/>
      <c r="Q134" s="205"/>
      <c r="R134" s="206"/>
      <c r="T134" s="207"/>
      <c r="U134" s="205"/>
      <c r="V134" s="205"/>
      <c r="W134" s="205"/>
      <c r="X134" s="204"/>
      <c r="Y134" s="205"/>
      <c r="Z134" s="206"/>
    </row>
    <row r="135" spans="1:26" ht="18" customHeight="1" hidden="1">
      <c r="A135" s="140"/>
      <c r="B135" s="140"/>
      <c r="D135" s="198" t="s">
        <v>258</v>
      </c>
      <c r="E135" s="208" t="str">
        <f>_xlfn.XLOOKUP(E125,CurrentPlans!B:B,CurrentPlans!AB:AB,"NA",0,1)</f>
        <v>NA</v>
      </c>
      <c r="F135" s="200"/>
      <c r="G135" s="200"/>
      <c r="H135" s="200"/>
      <c r="I135" s="208"/>
      <c r="J135" s="201"/>
      <c r="K135"/>
      <c r="L135" s="209" t="str">
        <f ca="1">_xlfn.XLOOKUP(L125,RenewalPlans!B:B,RenewalPlans!AE:AE,"NA",0,1)</f>
        <v>NA</v>
      </c>
      <c r="M135" s="200"/>
      <c r="N135" s="200"/>
      <c r="O135" s="200"/>
      <c r="P135" s="208"/>
      <c r="Q135" s="200"/>
      <c r="R135" s="201"/>
      <c r="T135" s="209" t="str">
        <f>_xlfn.XLOOKUP(T125,RenewalPlans!B:B,RenewalPlans!AE:AE,"NA",0,1)</f>
        <v>NA</v>
      </c>
      <c r="U135" s="200"/>
      <c r="V135" s="200"/>
      <c r="W135" s="200"/>
      <c r="X135" s="208"/>
      <c r="Y135" s="200"/>
      <c r="Z135" s="201"/>
    </row>
    <row r="136" spans="1:26" ht="18" customHeight="1" hidden="1">
      <c r="A136" s="140"/>
      <c r="B136" s="140"/>
      <c r="D136" s="198" t="s">
        <v>259</v>
      </c>
      <c r="E136" s="208" t="str">
        <f>_xlfn.XLOOKUP(E125,CurrentPlans!B:B,CurrentPlans!AC:AC,"NA",0,1)</f>
        <v>NA</v>
      </c>
      <c r="F136" s="200"/>
      <c r="G136" s="200"/>
      <c r="H136" s="200"/>
      <c r="I136" s="208"/>
      <c r="J136" s="201"/>
      <c r="K136"/>
      <c r="L136" s="209" t="str">
        <f ca="1">_xlfn.XLOOKUP(L125,RenewalPlans!B:B,RenewalPlans!AF:AF,"NA",0,1)</f>
        <v>NA</v>
      </c>
      <c r="M136" s="200"/>
      <c r="N136" s="200"/>
      <c r="O136" s="200"/>
      <c r="P136" s="208"/>
      <c r="Q136" s="200"/>
      <c r="R136" s="201"/>
      <c r="T136" s="209" t="str">
        <f>_xlfn.XLOOKUP(T125,RenewalPlans!B:B,RenewalPlans!AF:AF,"NA",0,1)</f>
        <v>NA</v>
      </c>
      <c r="U136" s="200"/>
      <c r="V136" s="200"/>
      <c r="W136" s="200"/>
      <c r="X136" s="208"/>
      <c r="Y136" s="200"/>
      <c r="Z136" s="201"/>
    </row>
    <row r="137" spans="1:26" ht="18" customHeight="1" hidden="1">
      <c r="A137" s="140"/>
      <c r="B137" s="140"/>
      <c r="D137" s="210"/>
      <c r="E137" s="211"/>
      <c r="F137" s="211"/>
      <c r="G137" s="211"/>
      <c r="H137" s="211"/>
      <c r="I137" s="211"/>
      <c r="J137" s="212"/>
      <c r="K137"/>
      <c r="L137" s="210"/>
      <c r="M137" s="211"/>
      <c r="N137" s="211"/>
      <c r="O137" s="211"/>
      <c r="P137" s="211"/>
      <c r="Q137" s="211"/>
      <c r="R137" s="212"/>
      <c r="T137" s="210"/>
      <c r="U137" s="211"/>
      <c r="V137" s="211"/>
      <c r="W137" s="211"/>
      <c r="X137" s="211"/>
      <c r="Y137" s="211"/>
      <c r="Z137" s="212"/>
    </row>
    <row r="138" spans="1:26" ht="18" customHeight="1" hidden="1">
      <c r="A138" s="140"/>
      <c r="B138" s="140"/>
      <c r="D138" s="185" t="s">
        <v>260</v>
      </c>
      <c r="E138" s="186"/>
      <c r="F138" s="186"/>
      <c r="G138" s="186"/>
      <c r="H138" s="186"/>
      <c r="I138" s="186"/>
      <c r="J138" s="187"/>
      <c r="K138"/>
      <c r="L138" s="188"/>
      <c r="M138" s="186"/>
      <c r="N138" s="186"/>
      <c r="O138" s="186"/>
      <c r="P138" s="186"/>
      <c r="Q138" s="186"/>
      <c r="R138" s="187"/>
      <c r="T138" s="188"/>
      <c r="U138" s="186"/>
      <c r="V138" s="186"/>
      <c r="W138" s="186"/>
      <c r="X138" s="186"/>
      <c r="Y138" s="186"/>
      <c r="Z138" s="187"/>
    </row>
    <row r="139" spans="1:26" ht="18" customHeight="1" hidden="1">
      <c r="A139" s="140"/>
      <c r="B139" s="140"/>
      <c r="D139" s="213" t="s">
        <v>261</v>
      </c>
      <c r="E139" s="130" t="str">
        <f>_xlfn.XLOOKUP(E125,CurrentPlans!B:B,CurrentPlans!AJ:AJ,"NA",0,1)</f>
        <v>NA</v>
      </c>
      <c r="F139" s="214"/>
      <c r="G139" s="214"/>
      <c r="H139" s="214"/>
      <c r="I139" s="130"/>
      <c r="J139" s="215"/>
      <c r="K139"/>
      <c r="L139" s="131" t="str">
        <f ca="1">_xlfn.XLOOKUP(L125,RenewalPlans!B:B,RenewalPlans!AM:AM,"NA",0,1)</f>
        <v>NA</v>
      </c>
      <c r="M139" s="214"/>
      <c r="N139" s="214"/>
      <c r="O139" s="214"/>
      <c r="P139" s="130"/>
      <c r="Q139" s="214"/>
      <c r="R139" s="215"/>
      <c r="T139" s="131" t="str">
        <f>_xlfn.XLOOKUP(T125,RenewalPlans!B:B,RenewalPlans!AM:AM,"NA",0,1)</f>
        <v>NA</v>
      </c>
      <c r="U139" s="214"/>
      <c r="V139" s="214"/>
      <c r="W139" s="214"/>
      <c r="X139" s="130"/>
      <c r="Y139" s="214"/>
      <c r="Z139" s="215"/>
    </row>
    <row r="140" spans="1:26" ht="18" customHeight="1" hidden="1">
      <c r="A140" s="140"/>
      <c r="B140" s="140"/>
      <c r="D140" s="198" t="s">
        <v>262</v>
      </c>
      <c r="E140" s="130" t="str">
        <f>_xlfn.XLOOKUP(E125,CurrentPlans!B:B,CurrentPlans!AM:AM,"NA",0,1)</f>
        <v>NA</v>
      </c>
      <c r="F140" s="200"/>
      <c r="G140" s="200"/>
      <c r="H140" s="200"/>
      <c r="I140" s="130"/>
      <c r="J140" s="201"/>
      <c r="K140"/>
      <c r="L140" s="131" t="str">
        <f ca="1">_xlfn.XLOOKUP(L125,RenewalPlans!B:B,RenewalPlans!AP:AP,"NA",0,1)</f>
        <v>NA</v>
      </c>
      <c r="M140" s="200"/>
      <c r="N140" s="200"/>
      <c r="O140" s="200"/>
      <c r="P140" s="130"/>
      <c r="Q140" s="200"/>
      <c r="R140" s="201"/>
      <c r="T140" s="131" t="str">
        <f>_xlfn.XLOOKUP(T125,RenewalPlans!B:B,RenewalPlans!AP:AP,"NA",0,1)</f>
        <v>NA</v>
      </c>
      <c r="U140" s="200"/>
      <c r="V140" s="200"/>
      <c r="W140" s="200"/>
      <c r="X140" s="130"/>
      <c r="Y140" s="200"/>
      <c r="Z140" s="201"/>
    </row>
    <row r="141" spans="1:26" ht="18" customHeight="1" hidden="1">
      <c r="A141" s="140"/>
      <c r="B141" s="140"/>
      <c r="D141" s="198" t="s">
        <v>263</v>
      </c>
      <c r="E141" s="130" t="str">
        <f>_xlfn.XLOOKUP(E125,CurrentPlans!B:B,CurrentPlans!AI:AI,"NA",0,1)</f>
        <v>NA</v>
      </c>
      <c r="F141" s="200"/>
      <c r="G141" s="200"/>
      <c r="H141" s="200"/>
      <c r="I141" s="130"/>
      <c r="J141" s="201"/>
      <c r="K141"/>
      <c r="L141" s="131" t="str">
        <f ca="1">_xlfn.XLOOKUP(L125,RenewalPlans!B:B,RenewalPlans!AL:AL,"NA",0,1)</f>
        <v>NA</v>
      </c>
      <c r="M141" s="200"/>
      <c r="N141" s="200"/>
      <c r="O141" s="200"/>
      <c r="P141" s="130"/>
      <c r="Q141" s="200"/>
      <c r="R141" s="201"/>
      <c r="T141" s="131" t="str">
        <f>_xlfn.XLOOKUP(T125,RenewalPlans!B:B,RenewalPlans!AL:AL,"NA",0,1)</f>
        <v>NA</v>
      </c>
      <c r="U141" s="200"/>
      <c r="V141" s="200"/>
      <c r="W141" s="200"/>
      <c r="X141" s="130"/>
      <c r="Y141" s="200"/>
      <c r="Z141" s="201"/>
    </row>
    <row r="142" spans="1:26" ht="18" customHeight="1" hidden="1">
      <c r="A142" s="140"/>
      <c r="B142" s="140"/>
      <c r="D142" s="198" t="s">
        <v>264</v>
      </c>
      <c r="E142" s="208" t="str">
        <f>_xlfn.XLOOKUP(E125,CurrentPlans!B:B,CurrentPlans!AN:AN,"NA",0,1)</f>
        <v>NA</v>
      </c>
      <c r="F142" s="200"/>
      <c r="G142" s="200"/>
      <c r="H142" s="200"/>
      <c r="I142" s="208"/>
      <c r="J142" s="201"/>
      <c r="K142"/>
      <c r="L142" s="209" t="str">
        <f ca="1">_xlfn.XLOOKUP(L125,RenewalPlans!B:B,RenewalPlans!AQ:AQ,"NA",0,1)</f>
        <v>NA</v>
      </c>
      <c r="M142" s="200"/>
      <c r="N142" s="200"/>
      <c r="O142" s="200"/>
      <c r="P142" s="208"/>
      <c r="Q142" s="200"/>
      <c r="R142" s="201"/>
      <c r="T142" s="209" t="str">
        <f>_xlfn.XLOOKUP(T125,RenewalPlans!B:B,RenewalPlans!AQ:AQ,"NA",0,1)</f>
        <v>NA</v>
      </c>
      <c r="U142" s="200"/>
      <c r="V142" s="200"/>
      <c r="W142" s="200"/>
      <c r="X142" s="208"/>
      <c r="Y142" s="200"/>
      <c r="Z142" s="201"/>
    </row>
    <row r="143" spans="1:26" ht="18" customHeight="1" hidden="1">
      <c r="A143" s="140"/>
      <c r="B143" s="140"/>
      <c r="D143" s="210"/>
      <c r="E143" s="211"/>
      <c r="F143" s="211"/>
      <c r="G143" s="211"/>
      <c r="H143" s="211"/>
      <c r="I143" s="211"/>
      <c r="J143" s="212"/>
      <c r="K143"/>
      <c r="L143" s="210"/>
      <c r="M143" s="211"/>
      <c r="N143" s="211"/>
      <c r="O143" s="211"/>
      <c r="P143" s="211"/>
      <c r="Q143" s="211"/>
      <c r="R143" s="212"/>
      <c r="T143" s="210"/>
      <c r="U143" s="211"/>
      <c r="V143" s="211"/>
      <c r="W143" s="211"/>
      <c r="X143" s="211"/>
      <c r="Y143" s="211"/>
      <c r="Z143" s="212"/>
    </row>
    <row r="144" spans="1:26" ht="18" customHeight="1" hidden="1">
      <c r="A144" s="140"/>
      <c r="B144" s="140"/>
      <c r="D144" s="185" t="s">
        <v>265</v>
      </c>
      <c r="E144" s="186"/>
      <c r="F144" s="186"/>
      <c r="G144" s="186"/>
      <c r="H144" s="186"/>
      <c r="I144" s="186"/>
      <c r="J144" s="187"/>
      <c r="K144"/>
      <c r="L144" s="188"/>
      <c r="M144" s="186"/>
      <c r="N144" s="186"/>
      <c r="O144" s="186"/>
      <c r="P144" s="186"/>
      <c r="Q144" s="186"/>
      <c r="R144" s="187"/>
      <c r="T144" s="188"/>
      <c r="U144" s="186"/>
      <c r="V144" s="186"/>
      <c r="W144" s="186"/>
      <c r="X144" s="186"/>
      <c r="Y144" s="186"/>
      <c r="Z144" s="187"/>
    </row>
    <row r="145" spans="1:26" ht="18" customHeight="1" hidden="1">
      <c r="A145" s="140"/>
      <c r="B145" s="140"/>
      <c r="D145" s="132" t="s">
        <v>266</v>
      </c>
      <c r="E145" s="133" t="str">
        <f>_xlfn.XLOOKUP(E125,CurrentPlans!B:B,CurrentPlans!AE:AE,"NA",0,1)</f>
        <v>NA</v>
      </c>
      <c r="F145" s="134"/>
      <c r="G145" s="134"/>
      <c r="H145" s="134"/>
      <c r="I145" s="133"/>
      <c r="J145" s="135"/>
      <c r="K145"/>
      <c r="L145" s="136" t="str">
        <f ca="1">_xlfn.XLOOKUP(L125,RenewalPlans!B:B,RenewalPlans!AH:AH,"NA",0,1)</f>
        <v>NA</v>
      </c>
      <c r="M145" s="134"/>
      <c r="N145" s="134"/>
      <c r="O145" s="134"/>
      <c r="P145" s="133"/>
      <c r="Q145" s="134"/>
      <c r="R145" s="135"/>
      <c r="T145" s="136" t="str">
        <f>_xlfn.XLOOKUP(T125,RenewalPlans!B:B,RenewalPlans!AH:AH,"NA",0,1)</f>
        <v>NA</v>
      </c>
      <c r="U145" s="134"/>
      <c r="V145" s="134"/>
      <c r="W145" s="134"/>
      <c r="X145" s="133"/>
      <c r="Y145" s="134"/>
      <c r="Z145" s="135"/>
    </row>
    <row r="146" spans="1:26" ht="18" customHeight="1" hidden="1">
      <c r="A146" s="140"/>
      <c r="B146" s="140"/>
      <c r="D146" s="120" t="s">
        <v>267</v>
      </c>
      <c r="E146" s="130" t="str">
        <f>_xlfn.XLOOKUP(E125,CurrentPlans!B:B,CurrentPlans!AF:AF,"NA",0,1)</f>
        <v>NA</v>
      </c>
      <c r="F146" s="122"/>
      <c r="G146" s="122"/>
      <c r="H146" s="122"/>
      <c r="I146" s="130"/>
      <c r="J146" s="123"/>
      <c r="K146"/>
      <c r="L146" s="131" t="str">
        <f ca="1">_xlfn.XLOOKUP(L125,RenewalPlans!B:B,RenewalPlans!AI:AI,"NA",0,1)</f>
        <v>NA</v>
      </c>
      <c r="M146" s="122"/>
      <c r="N146" s="122"/>
      <c r="O146" s="122"/>
      <c r="P146" s="130"/>
      <c r="Q146" s="122"/>
      <c r="R146" s="123"/>
      <c r="T146" s="131" t="str">
        <f>_xlfn.XLOOKUP(T125,RenewalPlans!B:B,RenewalPlans!AI:AI,"NA",0,1)</f>
        <v>NA</v>
      </c>
      <c r="U146" s="122"/>
      <c r="V146" s="122"/>
      <c r="W146" s="122"/>
      <c r="X146" s="130"/>
      <c r="Y146" s="122"/>
      <c r="Z146" s="123"/>
    </row>
    <row r="147" spans="1:26" ht="18" customHeight="1" hidden="1">
      <c r="A147" s="140"/>
      <c r="B147" s="140"/>
      <c r="D147" s="198" t="s">
        <v>268</v>
      </c>
      <c r="E147" s="130" t="str">
        <f>_xlfn.XLOOKUP(E125,CurrentPlans!B:B,CurrentPlans!AH:AH,"NA",0,1)</f>
        <v>NA</v>
      </c>
      <c r="F147" s="200"/>
      <c r="G147" s="200"/>
      <c r="H147" s="200"/>
      <c r="I147" s="130"/>
      <c r="J147" s="201"/>
      <c r="K147"/>
      <c r="L147" s="131" t="str">
        <f ca="1">_xlfn.XLOOKUP(L125,RenewalPlans!B:B,RenewalPlans!AK:AK,"NA",0,1)</f>
        <v>NA</v>
      </c>
      <c r="M147" s="200"/>
      <c r="N147" s="200"/>
      <c r="O147" s="200"/>
      <c r="P147" s="130"/>
      <c r="Q147" s="200"/>
      <c r="R147" s="201"/>
      <c r="T147" s="131" t="str">
        <f>_xlfn.XLOOKUP(T125,RenewalPlans!B:B,RenewalPlans!AK:AK,"NA",0,1)</f>
        <v>NA</v>
      </c>
      <c r="U147" s="200"/>
      <c r="V147" s="200"/>
      <c r="W147" s="200"/>
      <c r="X147" s="130"/>
      <c r="Y147" s="200"/>
      <c r="Z147" s="201"/>
    </row>
    <row r="148" spans="1:26" ht="18" customHeight="1" hidden="1">
      <c r="A148" s="140"/>
      <c r="B148" s="140"/>
      <c r="D148" s="198" t="s">
        <v>269</v>
      </c>
      <c r="E148" s="130" t="str">
        <f>_xlfn.XLOOKUP(E125,CurrentPlans!B:B,CurrentPlans!AG:AG,"NA",0,1)</f>
        <v>NA</v>
      </c>
      <c r="F148" s="200"/>
      <c r="G148" s="200"/>
      <c r="H148" s="200"/>
      <c r="I148" s="130"/>
      <c r="J148" s="201"/>
      <c r="K148"/>
      <c r="L148" s="131" t="str">
        <f ca="1">_xlfn.XLOOKUP(L125,RenewalPlans!B:B,RenewalPlans!AJ:AJ,"NA",0,1)</f>
        <v>NA</v>
      </c>
      <c r="M148" s="200"/>
      <c r="N148" s="200"/>
      <c r="O148" s="200"/>
      <c r="P148" s="130"/>
      <c r="Q148" s="200"/>
      <c r="R148" s="201"/>
      <c r="T148" s="131" t="str">
        <f>_xlfn.XLOOKUP(T125,RenewalPlans!B:B,RenewalPlans!AJ:AJ,"NA",0,1)</f>
        <v>NA</v>
      </c>
      <c r="U148" s="200"/>
      <c r="V148" s="200"/>
      <c r="W148" s="200"/>
      <c r="X148" s="130"/>
      <c r="Y148" s="200"/>
      <c r="Z148" s="201"/>
    </row>
    <row r="149" spans="1:26" ht="18" customHeight="1" hidden="1">
      <c r="A149" s="140"/>
      <c r="B149" s="140"/>
      <c r="D149" s="213" t="s">
        <v>270</v>
      </c>
      <c r="E149" s="216" t="str">
        <f>_xlfn.XLOOKUP(E125,CurrentPlans!B:B,CurrentPlans!AU:AU,"NA",0,1)</f>
        <v>NA</v>
      </c>
      <c r="F149" s="214"/>
      <c r="G149" s="214"/>
      <c r="H149" s="214"/>
      <c r="I149" s="217"/>
      <c r="J149" s="215"/>
      <c r="K149"/>
      <c r="L149" s="218" t="str">
        <f ca="1">_xlfn.XLOOKUP(L125,RenewalPlans!B:B,RenewalPlans!AX:AX,"NA",0,1)</f>
        <v>NA</v>
      </c>
      <c r="M149" s="214"/>
      <c r="N149" s="214"/>
      <c r="O149" s="214"/>
      <c r="P149" s="217"/>
      <c r="Q149" s="214"/>
      <c r="R149" s="215"/>
      <c r="T149" s="218" t="str">
        <f>_xlfn.XLOOKUP(T125,RenewalPlans!B:B,RenewalPlans!AX:AX,"NA",0,1)</f>
        <v>NA</v>
      </c>
      <c r="U149" s="214"/>
      <c r="V149" s="214"/>
      <c r="W149" s="214"/>
      <c r="X149" s="217"/>
      <c r="Y149" s="214"/>
      <c r="Z149" s="215"/>
    </row>
    <row r="150" spans="1:26" ht="18" customHeight="1" hidden="1">
      <c r="A150" s="140"/>
      <c r="B150" s="140"/>
      <c r="D150" s="213" t="s">
        <v>271</v>
      </c>
      <c r="E150" s="216" t="str">
        <f>_xlfn.XLOOKUP(E125,CurrentPlans!B:B,CurrentPlans!AT:AT,"NA",0,1)</f>
        <v>NA</v>
      </c>
      <c r="F150" s="214"/>
      <c r="G150" s="214"/>
      <c r="H150" s="214"/>
      <c r="I150" s="217"/>
      <c r="J150" s="215"/>
      <c r="K150"/>
      <c r="L150" s="218" t="str">
        <f ca="1">_xlfn.XLOOKUP(L125,RenewalPlans!B:B,RenewalPlans!AW:AW,"NA",0,1)</f>
        <v>NA</v>
      </c>
      <c r="M150" s="214"/>
      <c r="N150" s="214"/>
      <c r="O150" s="214"/>
      <c r="P150" s="217"/>
      <c r="Q150" s="214"/>
      <c r="R150" s="215"/>
      <c r="T150" s="218" t="str">
        <f>_xlfn.XLOOKUP(T125,RenewalPlans!B:B,RenewalPlans!AW:AW,"NA",0,1)</f>
        <v>NA</v>
      </c>
      <c r="U150" s="214"/>
      <c r="V150" s="214"/>
      <c r="W150" s="214"/>
      <c r="X150" s="217"/>
      <c r="Y150" s="214"/>
      <c r="Z150" s="215"/>
    </row>
    <row r="151" spans="1:26" ht="18" customHeight="1" hidden="1">
      <c r="A151" s="140"/>
      <c r="B151" s="140"/>
      <c r="D151" s="198" t="s">
        <v>272</v>
      </c>
      <c r="E151" s="130" t="str">
        <f>_xlfn.XLOOKUP(E125,CurrentPlans!B:B,CurrentPlans!AD:AD,"NA",0,1)</f>
        <v>NA</v>
      </c>
      <c r="F151" s="200"/>
      <c r="G151" s="200"/>
      <c r="H151" s="200"/>
      <c r="I151" s="130"/>
      <c r="J151" s="201"/>
      <c r="K151"/>
      <c r="L151" s="131" t="str">
        <f ca="1">_xlfn.XLOOKUP(L125,RenewalPlans!B:B,RenewalPlans!AG:AG,"NA",0,1)</f>
        <v>NA</v>
      </c>
      <c r="M151" s="200"/>
      <c r="N151" s="200"/>
      <c r="O151" s="200"/>
      <c r="P151" s="130"/>
      <c r="Q151" s="200"/>
      <c r="R151" s="201"/>
      <c r="T151" s="131" t="str">
        <f>_xlfn.XLOOKUP(T125,RenewalPlans!B:B,RenewalPlans!AG:AG,"NA",0,1)</f>
        <v>NA</v>
      </c>
      <c r="U151" s="200"/>
      <c r="V151" s="200"/>
      <c r="W151" s="200"/>
      <c r="X151" s="130"/>
      <c r="Y151" s="200"/>
      <c r="Z151" s="201"/>
    </row>
    <row r="152" spans="1:26" ht="18" customHeight="1" hidden="1">
      <c r="A152" s="140"/>
      <c r="B152" s="140"/>
      <c r="D152" s="198" t="s">
        <v>273</v>
      </c>
      <c r="E152" s="200"/>
      <c r="F152" s="200"/>
      <c r="G152" s="200"/>
      <c r="H152" s="200"/>
      <c r="I152" s="200"/>
      <c r="J152" s="201"/>
      <c r="K152"/>
      <c r="L152" s="198"/>
      <c r="M152" s="200"/>
      <c r="N152" s="200"/>
      <c r="O152" s="200"/>
      <c r="P152" s="200"/>
      <c r="Q152" s="200"/>
      <c r="R152" s="201"/>
      <c r="T152" s="198"/>
      <c r="U152" s="200"/>
      <c r="V152" s="200"/>
      <c r="W152" s="200"/>
      <c r="X152" s="200"/>
      <c r="Y152" s="200"/>
      <c r="Z152" s="201"/>
    </row>
    <row r="153" spans="1:26" ht="18" customHeight="1" hidden="1">
      <c r="A153" s="140"/>
      <c r="B153" s="140"/>
      <c r="D153" s="210"/>
      <c r="E153" s="211"/>
      <c r="F153" s="211"/>
      <c r="G153" s="211"/>
      <c r="H153" s="211"/>
      <c r="I153" s="211"/>
      <c r="J153" s="212"/>
      <c r="K153"/>
      <c r="L153" s="210"/>
      <c r="M153" s="211"/>
      <c r="N153" s="211"/>
      <c r="O153" s="211"/>
      <c r="P153" s="211"/>
      <c r="Q153" s="211"/>
      <c r="R153" s="212"/>
      <c r="T153" s="210"/>
      <c r="U153" s="211"/>
      <c r="V153" s="211"/>
      <c r="W153" s="211"/>
      <c r="X153" s="211"/>
      <c r="Y153" s="211"/>
      <c r="Z153" s="212"/>
    </row>
    <row r="154" spans="1:26" ht="18" customHeight="1" hidden="1">
      <c r="A154" s="140"/>
      <c r="B154" s="140"/>
      <c r="D154" s="219" t="s">
        <v>274</v>
      </c>
      <c r="E154" s="220"/>
      <c r="F154" s="220"/>
      <c r="G154" s="220"/>
      <c r="H154" s="220"/>
      <c r="I154" s="220"/>
      <c r="J154" s="221"/>
      <c r="K154"/>
      <c r="L154" s="222"/>
      <c r="M154" s="220"/>
      <c r="N154" s="220"/>
      <c r="O154" s="220"/>
      <c r="P154" s="220"/>
      <c r="Q154" s="220"/>
      <c r="R154" s="221"/>
      <c r="T154" s="222"/>
      <c r="U154" s="220"/>
      <c r="V154" s="220"/>
      <c r="W154" s="220"/>
      <c r="X154" s="220"/>
      <c r="Y154" s="220"/>
      <c r="Z154" s="221"/>
    </row>
    <row r="155" spans="1:26" ht="18" customHeight="1" hidden="1">
      <c r="A155" s="140"/>
      <c r="B155" s="140"/>
      <c r="D155" s="223" t="s">
        <v>250</v>
      </c>
      <c r="E155" s="205"/>
      <c r="F155" s="205"/>
      <c r="G155" s="205"/>
      <c r="H155" s="205"/>
      <c r="I155" s="205"/>
      <c r="J155" s="206"/>
      <c r="K155"/>
      <c r="L155" s="203"/>
      <c r="M155" s="205"/>
      <c r="N155" s="205"/>
      <c r="O155" s="205"/>
      <c r="P155" s="205"/>
      <c r="Q155" s="205"/>
      <c r="R155" s="206"/>
      <c r="T155" s="203"/>
      <c r="U155" s="205"/>
      <c r="V155" s="205"/>
      <c r="W155" s="205"/>
      <c r="X155" s="205"/>
      <c r="Y155" s="205"/>
      <c r="Z155" s="206"/>
    </row>
    <row r="156" spans="1:26" ht="18" customHeight="1" hidden="1">
      <c r="A156" s="140"/>
      <c r="B156" s="140"/>
      <c r="D156" s="198" t="s">
        <v>251</v>
      </c>
      <c r="E156" s="130" t="str">
        <f>_xlfn.XLOOKUP(E125,CurrentPlans!B:B,CurrentPlans!AP:AP,"NA",0,1)</f>
        <v>NA</v>
      </c>
      <c r="F156" s="200"/>
      <c r="G156" s="200"/>
      <c r="H156" s="200"/>
      <c r="I156" s="130"/>
      <c r="J156" s="201"/>
      <c r="K156"/>
      <c r="L156" s="131" t="str">
        <f ca="1">_xlfn.XLOOKUP(L125,RenewalPlans!B:B,RenewalPlans!AS:AS,"NA",0,1)</f>
        <v>NA</v>
      </c>
      <c r="M156" s="200"/>
      <c r="N156" s="200"/>
      <c r="O156" s="200"/>
      <c r="P156" s="130"/>
      <c r="Q156" s="200"/>
      <c r="R156" s="201"/>
      <c r="T156" s="131" t="str">
        <f>_xlfn.XLOOKUP(T125,RenewalPlans!B:B,RenewalPlans!AS:AS,"NA",0,1)</f>
        <v>NA</v>
      </c>
      <c r="U156" s="200"/>
      <c r="V156" s="200"/>
      <c r="W156" s="200"/>
      <c r="X156" s="130"/>
      <c r="Y156" s="200"/>
      <c r="Z156" s="201"/>
    </row>
    <row r="157" spans="1:26" ht="18" customHeight="1" hidden="1">
      <c r="A157" s="140"/>
      <c r="B157" s="140"/>
      <c r="D157" s="198" t="s">
        <v>252</v>
      </c>
      <c r="E157" s="130" t="str">
        <f>_xlfn.XLOOKUP(E125,CurrentPlans!B:B,CurrentPlans!AQ:AQ,"NA",0,1)</f>
        <v>NA</v>
      </c>
      <c r="F157" s="200"/>
      <c r="G157" s="200"/>
      <c r="H157" s="200"/>
      <c r="I157" s="130"/>
      <c r="J157" s="201"/>
      <c r="K157"/>
      <c r="L157" s="131" t="str">
        <f ca="1">_xlfn.XLOOKUP(L125,RenewalPlans!B:B,RenewalPlans!AT:AT,"NA",0,1)</f>
        <v>NA</v>
      </c>
      <c r="M157" s="200"/>
      <c r="N157" s="200"/>
      <c r="O157" s="200"/>
      <c r="P157" s="130"/>
      <c r="Q157" s="200"/>
      <c r="R157" s="201"/>
      <c r="T157" s="131" t="str">
        <f>_xlfn.XLOOKUP(T125,RenewalPlans!B:B,RenewalPlans!AT:AT,"NA",0,1)</f>
        <v>NA</v>
      </c>
      <c r="U157" s="200"/>
      <c r="V157" s="200"/>
      <c r="W157" s="200"/>
      <c r="X157" s="130"/>
      <c r="Y157" s="200"/>
      <c r="Z157" s="201"/>
    </row>
    <row r="158" spans="1:26" ht="18" customHeight="1" hidden="1">
      <c r="A158" s="140"/>
      <c r="B158" s="140"/>
      <c r="D158" s="120" t="s">
        <v>253</v>
      </c>
      <c r="E158" s="133" t="str">
        <f>_xlfn.XLOOKUP(E125,CurrentPlans!B:B,CurrentPlans!AO:AO,"NA",0,1)</f>
        <v>NA</v>
      </c>
      <c r="F158" s="122"/>
      <c r="G158" s="122"/>
      <c r="H158" s="122"/>
      <c r="I158" s="133"/>
      <c r="J158" s="123"/>
      <c r="K158"/>
      <c r="L158" s="136" t="str">
        <f ca="1">_xlfn.XLOOKUP(L125,RenewalPlans!B:B,RenewalPlans!AR:AR,"NA",0,1)</f>
        <v>NA</v>
      </c>
      <c r="M158" s="122"/>
      <c r="N158" s="122"/>
      <c r="O158" s="122"/>
      <c r="P158" s="133"/>
      <c r="Q158" s="122"/>
      <c r="R158" s="123"/>
      <c r="T158" s="136" t="str">
        <f>_xlfn.XLOOKUP(T125,RenewalPlans!B:B,RenewalPlans!AR:AR,"NA",0,1)</f>
        <v>NA</v>
      </c>
      <c r="U158" s="122"/>
      <c r="V158" s="122"/>
      <c r="W158" s="122"/>
      <c r="X158" s="133"/>
      <c r="Y158" s="122"/>
      <c r="Z158" s="123"/>
    </row>
    <row r="159" spans="1:26" ht="18" customHeight="1" hidden="1">
      <c r="A159" s="140"/>
      <c r="B159" s="140"/>
      <c r="D159" s="223" t="s">
        <v>254</v>
      </c>
      <c r="E159" s="205"/>
      <c r="F159" s="205"/>
      <c r="G159" s="205"/>
      <c r="H159" s="205"/>
      <c r="I159" s="205"/>
      <c r="J159" s="206"/>
      <c r="K159"/>
      <c r="L159" s="203"/>
      <c r="M159" s="205"/>
      <c r="N159" s="205"/>
      <c r="O159" s="205"/>
      <c r="P159" s="205"/>
      <c r="Q159" s="205"/>
      <c r="R159" s="206"/>
      <c r="T159" s="203"/>
      <c r="U159" s="205"/>
      <c r="V159" s="205"/>
      <c r="W159" s="205"/>
      <c r="X159" s="205"/>
      <c r="Y159" s="205"/>
      <c r="Z159" s="206"/>
    </row>
    <row r="160" spans="1:26" ht="18" customHeight="1" hidden="1">
      <c r="A160" s="140"/>
      <c r="B160" s="140"/>
      <c r="D160" s="198" t="s">
        <v>255</v>
      </c>
      <c r="E160" s="130" t="str">
        <f>_xlfn.XLOOKUP(E125,CurrentPlans!B:B,CurrentPlans!AR:AR,"NA",0,1)</f>
        <v>NA</v>
      </c>
      <c r="F160" s="200"/>
      <c r="G160" s="200"/>
      <c r="H160" s="200"/>
      <c r="I160" s="130"/>
      <c r="J160" s="201"/>
      <c r="K160"/>
      <c r="L160" s="131" t="str">
        <f ca="1">_xlfn.XLOOKUP(L125,RenewalPlans!B:B,RenewalPlans!AU:AU,"NA",0,1)</f>
        <v>NA</v>
      </c>
      <c r="M160" s="200"/>
      <c r="N160" s="200"/>
      <c r="O160" s="200"/>
      <c r="P160" s="130"/>
      <c r="Q160" s="200"/>
      <c r="R160" s="201"/>
      <c r="T160" s="131" t="str">
        <f>_xlfn.XLOOKUP(T125,RenewalPlans!B:B,RenewalPlans!AU:AU,"NA",0,1)</f>
        <v>NA</v>
      </c>
      <c r="U160" s="200"/>
      <c r="V160" s="200"/>
      <c r="W160" s="200"/>
      <c r="X160" s="130"/>
      <c r="Y160" s="200"/>
      <c r="Z160" s="201"/>
    </row>
    <row r="161" spans="1:26" ht="18" customHeight="1" hidden="1" thickBot="1">
      <c r="A161" s="140"/>
      <c r="B161" s="140"/>
      <c r="D161" s="224" t="s">
        <v>256</v>
      </c>
      <c r="E161" s="137" t="str">
        <f>_xlfn.XLOOKUP(E125,CurrentPlans!B:B,CurrentPlans!AS:AS,"NA",0,1)</f>
        <v>NA</v>
      </c>
      <c r="F161" s="225"/>
      <c r="G161" s="225"/>
      <c r="H161" s="225"/>
      <c r="I161" s="137"/>
      <c r="J161" s="226"/>
      <c r="K161"/>
      <c r="L161" s="138" t="str">
        <f ca="1">_xlfn.XLOOKUP(L125,RenewalPlans!B:B,RenewalPlans!AV:AV,"NA",0,1)</f>
        <v>NA</v>
      </c>
      <c r="M161" s="225"/>
      <c r="N161" s="225"/>
      <c r="O161" s="225"/>
      <c r="P161" s="137"/>
      <c r="Q161" s="225"/>
      <c r="R161" s="226"/>
      <c r="T161" s="138" t="str">
        <f>_xlfn.XLOOKUP(T125,RenewalPlans!B:B,RenewalPlans!AV:AV,"NA",0,1)</f>
        <v>NA</v>
      </c>
      <c r="U161" s="225"/>
      <c r="V161" s="225"/>
      <c r="W161" s="225"/>
      <c r="X161" s="137"/>
      <c r="Y161" s="225"/>
      <c r="Z161" s="226"/>
    </row>
    <row r="162" spans="1:26" ht="18" customHeight="1">
      <c r="A162" s="140"/>
      <c r="B162" s="140"/>
      <c r="D162" s="227"/>
      <c r="E162" s="176"/>
      <c r="F162" s="178"/>
      <c r="G162" s="179"/>
      <c r="H162" s="178"/>
      <c r="I162" s="176"/>
      <c r="J162" s="228"/>
      <c r="K162"/>
      <c r="L162" s="178"/>
      <c r="M162" s="176"/>
      <c r="N162" s="139"/>
      <c r="O162" s="178"/>
      <c r="P162" s="178"/>
      <c r="Q162" s="178"/>
      <c r="R162" s="228"/>
      <c r="T162" s="178"/>
      <c r="U162" s="176"/>
      <c r="V162" s="139"/>
      <c r="W162" s="178"/>
      <c r="X162" s="178"/>
      <c r="Y162" s="178"/>
      <c r="Z162" s="228"/>
    </row>
    <row r="163" spans="1:26" ht="5.25" customHeight="1" thickBot="1">
      <c r="A163" s="140"/>
      <c r="B163" s="140"/>
      <c r="D163" s="229"/>
      <c r="E163" s="229"/>
      <c r="F163" s="230"/>
      <c r="G163" s="231"/>
      <c r="H163" s="232"/>
      <c r="I163" s="233"/>
      <c r="J163" s="233"/>
      <c r="K163"/>
      <c r="L163" s="233"/>
      <c r="M163" s="233"/>
      <c r="N163" s="233"/>
      <c r="O163" s="233"/>
      <c r="P163" s="233"/>
      <c r="Q163" s="233"/>
      <c r="R163" s="233"/>
      <c r="T163" s="233"/>
      <c r="U163" s="233"/>
      <c r="V163" s="233"/>
      <c r="W163" s="233"/>
      <c r="X163" s="233"/>
      <c r="Y163" s="233"/>
      <c r="Z163" s="233"/>
    </row>
    <row r="164" spans="1:26" ht="50.15" customHeight="1">
      <c r="A164" s="140">
        <v>4</v>
      </c>
      <c r="B164" s="140" t="str">
        <f>IF(A164&gt;Class7_CurrentHealthCount,"DELETE",Class7_CurrentHealthStart+A164)</f>
        <v>DELETE</v>
      </c>
      <c r="C164" s="164" t="s">
        <v>277</v>
      </c>
      <c r="D164" s="273" t="str">
        <f>IF(B164="Delete","",VLOOKUP(F164,BEGIN_CURRENT_HEALTH:END_CURRENT_HEALTH,3,FALSE))</f>
        <v/>
      </c>
      <c r="E164" s="165"/>
      <c r="F164" s="272" t="str" cm="1">
        <f t="array" ca="1" aca="1" ref="F164">IF(B164="Delete","",INDIRECT("CurrentPlans!A"&amp;B164,TRUE))</f>
        <v/>
      </c>
      <c r="G164" s="166"/>
      <c r="H164" s="167"/>
      <c r="I164" s="168"/>
      <c r="J164" s="169"/>
      <c r="K164"/>
      <c r="L164" s="274" t="str">
        <f ca="1">_xlfn.IFNA(VLOOKUP(F164,BEGIN_RENEWEDFROM_HEALTH:ROW_RenewHealth_PlanID,3,FALSE),"SELECT PLAN")</f>
        <v>SELECT PLAN</v>
      </c>
      <c r="M164" s="170"/>
      <c r="N164" s="274" t="s">
        <v>237</v>
      </c>
      <c r="O164" s="171"/>
      <c r="P164" s="171"/>
      <c r="Q164" s="171"/>
      <c r="R164" s="169"/>
      <c r="T164" s="274" t="s">
        <v>38</v>
      </c>
      <c r="U164" s="170"/>
      <c r="V164" s="274" t="s">
        <v>237</v>
      </c>
      <c r="W164" s="171"/>
      <c r="X164" s="171"/>
      <c r="Y164" s="171"/>
      <c r="Z164" s="169"/>
    </row>
    <row r="165" spans="1:26" ht="18.75" customHeight="1">
      <c r="A165" s="140"/>
      <c r="B165" s="140"/>
      <c r="D165" s="172" t="s">
        <v>238</v>
      </c>
      <c r="E165" s="407" t="str">
        <f ca="1">_xlfn.IFNA(VLOOKUP(F164,BEGIN_CURRENT_HEALTH:END_CURRENT_HEALTH,CURRENT_COL_EO_count,FALSE),"")</f>
        <v/>
      </c>
      <c r="F165" s="408" t="str">
        <f ca="1">_xlfn.IFNA(VLOOKUP(F164,BEGIN_CURRENT_HEALTH:END_CURRENT_HEALTH,CURRENT_COL_EO,FALSE),"")</f>
        <v/>
      </c>
      <c r="G165" s="468" t="str">
        <f ca="1" t="shared" si="15" ref="G165:G168">IF(F165="","",H165/F165)</f>
        <v/>
      </c>
      <c r="H165" s="408" t="str">
        <f ca="1">_xlfn.IFNA(VLOOKUP(F164,BEGIN_CURRENT_HEALTH:END_CURRENT_HEALTH,CURRENT_COL_EOContrib,FALSE),"")</f>
        <v/>
      </c>
      <c r="I165" s="409" t="str">
        <f ca="1">IFERROR(F165-H165,"")</f>
        <v/>
      </c>
      <c r="J165" s="410" t="str">
        <f ca="1">IF(F165="","",H165*E165)</f>
        <v/>
      </c>
      <c r="K165" s="411"/>
      <c r="L165" s="408" t="str" cm="1">
        <f t="array" ca="1" aca="1" ref="L165">_xlfn.IFNA(VLOOKUP(INDIRECT("L"&amp;ROW()-1)&amp;"_"&amp;$D$12,BEGIN_RENEW_HEALTH:END_RENEW_HEALTH,RENEW_COL_EO,FALSE),"")</f>
        <v/>
      </c>
      <c r="M165" s="412" t="str">
        <f ca="1">IF(E165="","",E165)</f>
        <v/>
      </c>
      <c r="N165" s="413"/>
      <c r="O165" s="414"/>
      <c r="P165" s="415" t="str">
        <f>IFERROR(IF($N164="Keep Contribution Same",H165,IF($N164="Enter Percentages",IF(N165="","",N165*L165),IF($N164="Keep Percentage Same",IF(G165="","",G165*L165),IF($N164="Enter Dollar Amount",IF(O165="","",O165),"")))),"")</f>
        <v/>
      </c>
      <c r="Q165" s="408" t="str">
        <f ca="1">IFERROR(L165-P165,"")</f>
        <v/>
      </c>
      <c r="R165" s="410" t="str">
        <f>IFERROR(IF(P165="","",M165*P165),"")</f>
        <v/>
      </c>
      <c r="S165" s="411"/>
      <c r="T165" s="408" t="str" cm="1">
        <f t="array" ca="1" aca="1" ref="T165">_xlfn.IFNA(VLOOKUP(INDIRECT("T"&amp;ROW()-1)&amp;"_"&amp;$D$12,BEGIN_RENEW_HEALTH:END_RENEW_HEALTH,RENEW_COL_EO,FALSE),"")</f>
        <v/>
      </c>
      <c r="U165" s="412" t="str">
        <f ca="1">IF(E165="","",E165)</f>
        <v/>
      </c>
      <c r="V165" s="413"/>
      <c r="W165" s="414"/>
      <c r="X165" s="415" t="str">
        <f>IFERROR(IF($V164="Keep Contribution Same",H165,IF($V164="Enter Percentages",IF(V165="","",V165*T165),IF($V164="Keep Percentage Same",IF(G165="","",G165*T165),IF($V164="Enter Dollar Amount",IF(W165="","",W165),"")))),"")</f>
        <v/>
      </c>
      <c r="Y165" s="408" t="str">
        <f ca="1">IFERROR(T165-X165,"")</f>
        <v/>
      </c>
      <c r="Z165" s="410" t="str">
        <f>IFERROR(IF(X165="","",U165*X165),"")</f>
        <v/>
      </c>
    </row>
    <row r="166" spans="1:26" ht="18.75" customHeight="1">
      <c r="A166" s="140"/>
      <c r="B166" s="140"/>
      <c r="D166" s="172" t="s">
        <v>239</v>
      </c>
      <c r="E166" s="407" t="str">
        <f ca="1">_xlfn.IFNA(VLOOKUP(F164,BEGIN_CURRENT_HEALTH:END_CURRENT_HEALTH,CURRENT_COL_ES_count,FALSE),"")</f>
        <v/>
      </c>
      <c r="F166" s="408" t="str">
        <f ca="1">_xlfn.IFNA(VLOOKUP(F164,BEGIN_CURRENT_HEALTH:END_CURRENT_HEALTH,CURRENT_COL_ES,FALSE),"")</f>
        <v/>
      </c>
      <c r="G166" s="468" t="str">
        <f t="shared" ca="1" si="15"/>
        <v/>
      </c>
      <c r="H166" s="408" t="str">
        <f ca="1">_xlfn.IFNA(VLOOKUP(F164,BEGIN_CURRENT_HEALTH:END_CURRENT_HEALTH,CURRENT_COL_ESContrib,FALSE),"")</f>
        <v/>
      </c>
      <c r="I166" s="409" t="str">
        <f ca="1" t="shared" si="16" ref="I166:I168">IFERROR(F166-H166,"")</f>
        <v/>
      </c>
      <c r="J166" s="410" t="str">
        <f ca="1">IF(F166="","",H166*E166)</f>
        <v/>
      </c>
      <c r="K166" s="411"/>
      <c r="L166" s="408" t="str" cm="1">
        <f t="array" ca="1" aca="1" ref="L166">_xlfn.IFNA(VLOOKUP(INDIRECT("L"&amp;ROW()-2)&amp;"_"&amp;$D$12,BEGIN_RENEW_HEALTH:END_RENEW_HEALTH,RENEW_COL_ES,FALSE),"")</f>
        <v/>
      </c>
      <c r="M166" s="412" t="str">
        <f ca="1">IF(E166="","",E166)</f>
        <v/>
      </c>
      <c r="N166" s="413"/>
      <c r="O166" s="414"/>
      <c r="P166" s="415" t="str">
        <f>IFERROR(IF($N164="Keep Contribution Same",H166,IF($N164="Enter Percentages",IF(N166="","",N166*L166),IF($N164="Keep Percentage Same",IF(G166="","",G166*L166),IF($N164="Enter Dollar Amount",IF(O166="","",O166),"")))),"")</f>
        <v/>
      </c>
      <c r="Q166" s="408" t="str">
        <f ca="1">IFERROR(L166-P166,"")</f>
        <v/>
      </c>
      <c r="R166" s="410" t="str">
        <f>IFERROR(IF(P166="","",M166*P166),"")</f>
        <v/>
      </c>
      <c r="S166" s="411"/>
      <c r="T166" s="408" t="str" cm="1">
        <f t="array" ca="1" aca="1" ref="T166">_xlfn.IFNA(VLOOKUP(INDIRECT("T"&amp;ROW()-2)&amp;"_"&amp;$D$12,BEGIN_RENEW_HEALTH:END_RENEW_HEALTH,RENEW_COL_ES,FALSE),"")</f>
        <v/>
      </c>
      <c r="U166" s="412" t="str">
        <f ca="1" t="shared" si="17" ref="U166:U168">IF(E166="","",E166)</f>
        <v/>
      </c>
      <c r="V166" s="413"/>
      <c r="W166" s="414"/>
      <c r="X166" s="415" t="str">
        <f>IFERROR(IF($V164="Keep Contribution Same",H166,IF($V164="Enter Percentages",IF(V166="","",V166*T166),IF($V164="Keep Percentage Same",IF(G166="","",G166*T166),IF($V164="Enter Dollar Amount",IF(W166="","",W166),"")))),"")</f>
        <v/>
      </c>
      <c r="Y166" s="408" t="str">
        <f ca="1" t="shared" si="18" ref="Y166:Y168">IFERROR(T166-X166,"")</f>
        <v/>
      </c>
      <c r="Z166" s="410" t="str">
        <f t="shared" si="19" ref="Z166:Z168">IFERROR(IF(X166="","",U166*X166),"")</f>
        <v/>
      </c>
    </row>
    <row r="167" spans="1:26" ht="18.75" customHeight="1">
      <c r="A167" s="140"/>
      <c r="B167" s="140"/>
      <c r="D167" s="172" t="s">
        <v>240</v>
      </c>
      <c r="E167" s="407" t="str">
        <f ca="1">_xlfn.IFNA(VLOOKUP(F164,BEGIN_CURRENT_HEALTH:END_CURRENT_HEALTH,CURRENT_COL_EC_count,FALSE),"")</f>
        <v/>
      </c>
      <c r="F167" s="408" t="str">
        <f ca="1">_xlfn.IFNA(VLOOKUP(F164,BEGIN_CURRENT_HEALTH:END_CURRENT_HEALTH,CURRENT_COL_EC,FALSE),"")</f>
        <v/>
      </c>
      <c r="G167" s="468" t="str">
        <f t="shared" ca="1" si="15"/>
        <v/>
      </c>
      <c r="H167" s="408" t="str">
        <f ca="1">_xlfn.IFNA(VLOOKUP(F164,BEGIN_CURRENT_HEALTH:END_CURRENT_HEALTH,CURRENT_COL_ECContrib,FALSE),"")</f>
        <v/>
      </c>
      <c r="I167" s="409" t="str">
        <f t="shared" ca="1" si="16"/>
        <v/>
      </c>
      <c r="J167" s="410" t="str">
        <f ca="1">IF(F167="","",H167*E167)</f>
        <v/>
      </c>
      <c r="K167" s="411"/>
      <c r="L167" s="408" t="str" cm="1">
        <f t="array" ca="1" aca="1" ref="L167">_xlfn.IFNA(VLOOKUP(INDIRECT("L"&amp;ROW()-3)&amp;"_"&amp;$D$12,BEGIN_RENEW_HEALTH:END_RENEW_HEALTH,RENEW_COL_EC,FALSE),"")</f>
        <v/>
      </c>
      <c r="M167" s="412" t="str">
        <f ca="1">IF(E167="","",E167)</f>
        <v/>
      </c>
      <c r="N167" s="413"/>
      <c r="O167" s="414"/>
      <c r="P167" s="415" t="str">
        <f>IFERROR(IF($N164="Keep Contribution Same",H167,IF($N164="Enter Percentages",IF(N167="","",N167*L167),IF($N164="Keep Percentage Same",IF(G167="","",G167*L167),IF($N164="Enter Dollar Amount",IF(O167="","",O167),"")))),"")</f>
        <v/>
      </c>
      <c r="Q167" s="408" t="str">
        <f ca="1">IFERROR(L167-P167,"")</f>
        <v/>
      </c>
      <c r="R167" s="410" t="str">
        <f>IFERROR(IF(P167="","",M167*P167),"")</f>
        <v/>
      </c>
      <c r="S167" s="411"/>
      <c r="T167" s="408" t="str" cm="1">
        <f t="array" ca="1" aca="1" ref="T167">_xlfn.IFNA(VLOOKUP(INDIRECT("T"&amp;ROW()-3)&amp;"_"&amp;$D$12,BEGIN_RENEW_HEALTH:END_RENEW_HEALTH,RENEW_COL_EC,FALSE),"")</f>
        <v/>
      </c>
      <c r="U167" s="412" t="str">
        <f t="shared" ca="1" si="17"/>
        <v/>
      </c>
      <c r="V167" s="413"/>
      <c r="W167" s="414"/>
      <c r="X167" s="415" t="str">
        <f>IFERROR(IF($V164="Keep Contribution Same",H167,IF($V164="Enter Percentages",IF(V167="","",V167*T167),IF($V164="Keep Percentage Same",IF(G167="","",G167*T167),IF($V164="Enter Dollar Amount",IF(W167="","",W167),"")))),"")</f>
        <v/>
      </c>
      <c r="Y167" s="408" t="str">
        <f t="shared" ca="1" si="18"/>
        <v/>
      </c>
      <c r="Z167" s="410" t="str">
        <f t="shared" si="19"/>
        <v/>
      </c>
    </row>
    <row r="168" spans="1:26" ht="18.75" customHeight="1" thickBot="1">
      <c r="A168" s="140"/>
      <c r="B168" s="140"/>
      <c r="D168" s="174" t="s">
        <v>241</v>
      </c>
      <c r="E168" s="416" t="str">
        <f ca="1">_xlfn.IFNA(VLOOKUP(F164,BEGIN_CURRENT_HEALTH:END_CURRENT_HEALTH,CURRENT_COL_FAM_count,FALSE),"")</f>
        <v/>
      </c>
      <c r="F168" s="417" t="str">
        <f ca="1">_xlfn.IFNA(VLOOKUP(F164,BEGIN_CURRENT_HEALTH:END_CURRENT_HEALTH,CURRENT_COL_FAM,FALSE),"")</f>
        <v/>
      </c>
      <c r="G168" s="469" t="str">
        <f t="shared" ca="1" si="15"/>
        <v/>
      </c>
      <c r="H168" s="417" t="str">
        <f ca="1">_xlfn.IFNA(VLOOKUP(F164,BEGIN_CURRENT_HEALTH:END_CURRENT_HEALTH,CURRENT_COL_FAMContrib,FALSE),"")</f>
        <v/>
      </c>
      <c r="I168" s="418" t="str">
        <f t="shared" ca="1" si="16"/>
        <v/>
      </c>
      <c r="J168" s="419" t="str">
        <f ca="1">IF(F168="","",H168*E168)</f>
        <v/>
      </c>
      <c r="K168" s="411"/>
      <c r="L168" s="417" t="str" cm="1">
        <f t="array" ca="1" aca="1" ref="L168">_xlfn.IFNA(VLOOKUP(INDIRECT("L"&amp;ROW()-4)&amp;"_"&amp;$D$12,BEGIN_RENEW_HEALTH:END_RENEW_HEALTH,RENEW_COL_FAM,FALSE),"")</f>
        <v/>
      </c>
      <c r="M168" s="423" t="str">
        <f ca="1">IF(E168="","",E168)</f>
        <v/>
      </c>
      <c r="N168" s="420"/>
      <c r="O168" s="421"/>
      <c r="P168" s="422" t="str">
        <f>IFERROR(IF($N164="Keep Contribution Same",H168,IF($N164="Enter Percentages",IF(N168="","",N168*L168),IF($N164="Keep Percentage Same",IF(G168="","",G168*L168),IF($N164="Enter Dollar Amount",IF(O168="","",O168),"")))),"")</f>
        <v/>
      </c>
      <c r="Q168" s="417" t="str">
        <f ca="1">IFERROR(L168-P168,"")</f>
        <v/>
      </c>
      <c r="R168" s="419" t="str">
        <f>IFERROR(IF(P168="","",M168*P168),"")</f>
        <v/>
      </c>
      <c r="S168" s="411"/>
      <c r="T168" s="417" t="str" cm="1">
        <f t="array" ca="1" aca="1" ref="T168">_xlfn.IFNA(VLOOKUP(INDIRECT("T"&amp;ROW()-4)&amp;"_"&amp;$D$12,BEGIN_RENEW_HEALTH:END_RENEW_HEALTH,RENEW_COL_FAM,FALSE),"")</f>
        <v/>
      </c>
      <c r="U168" s="423" t="str">
        <f t="shared" ca="1" si="17"/>
        <v/>
      </c>
      <c r="V168" s="420"/>
      <c r="W168" s="421"/>
      <c r="X168" s="422" t="str">
        <f>IFERROR(IF($V164="Keep Contribution Same",H168,IF($V164="Enter Percentages",IF(V168="","",V168*T168),IF($V164="Keep Percentage Same",IF(G168="","",G168*T168),IF($V164="Enter Dollar Amount",IF(W168="","",W168),"")))),"")</f>
        <v/>
      </c>
      <c r="Y168" s="417" t="str">
        <f t="shared" ca="1" si="18"/>
        <v/>
      </c>
      <c r="Z168" s="419" t="str">
        <f t="shared" si="19"/>
        <v/>
      </c>
    </row>
    <row r="169" spans="1:26" ht="18.75" customHeight="1" thickTop="1">
      <c r="A169" s="140"/>
      <c r="B169" s="140"/>
      <c r="D169" s="175" t="s">
        <v>242</v>
      </c>
      <c r="E169" s="424"/>
      <c r="F169" s="447" t="str">
        <f ca="1">IFERROR((F165*E165)+(F166*E166)+(F167*E167)+(F168*E168),"")</f>
        <v/>
      </c>
      <c r="G169" s="426"/>
      <c r="H169" s="427"/>
      <c r="I169" s="428"/>
      <c r="J169" s="429" t="str">
        <f ca="1">IFERROR(IF(J165="","",SUM(J165:J168)),0)</f>
        <v/>
      </c>
      <c r="K169" s="1"/>
      <c r="L169" s="430" t="str">
        <f ca="1">IFERROR((M165*L165)+(M166*L166)+(M167*L167)+(M168*L168),"")</f>
        <v/>
      </c>
      <c r="M169" s="427"/>
      <c r="N169" s="426"/>
      <c r="O169" s="427"/>
      <c r="P169" s="431"/>
      <c r="Q169" s="432"/>
      <c r="R169" s="429" t="str">
        <f>IFERROR(IF(R165="","",SUM(R165:R168)),0)</f>
        <v/>
      </c>
      <c r="T169" s="430" t="str">
        <f ca="1">IFERROR((U165*T165)+(U166*T166)+(U167*T167)+(U168*T168),"")</f>
        <v/>
      </c>
      <c r="U169" s="427"/>
      <c r="V169" s="426"/>
      <c r="W169" s="427"/>
      <c r="X169" s="431"/>
      <c r="Y169" s="432"/>
      <c r="Z169" s="429" t="str">
        <f>IFERROR(IF(Z165="","",SUM(Z165:Z168)),0)</f>
        <v/>
      </c>
    </row>
    <row r="170" spans="1:26" ht="18.75" customHeight="1">
      <c r="A170" s="140"/>
      <c r="B170" s="140"/>
      <c r="D170" s="177" t="s">
        <v>243</v>
      </c>
      <c r="E170" s="433"/>
      <c r="F170" s="448" t="str">
        <f ca="1">IFERROR(F169*12,"")</f>
        <v/>
      </c>
      <c r="G170" s="435"/>
      <c r="H170" s="436"/>
      <c r="I170" s="432"/>
      <c r="J170" s="437" t="str">
        <f ca="1">IF(J169="","",J169*12)</f>
        <v/>
      </c>
      <c r="K170" s="1"/>
      <c r="L170" s="438" t="str">
        <f ca="1">IFERROR(L169*12,"")</f>
        <v/>
      </c>
      <c r="M170" s="436"/>
      <c r="N170" s="435"/>
      <c r="O170" s="436"/>
      <c r="P170" s="432"/>
      <c r="Q170" s="432"/>
      <c r="R170" s="437" t="str">
        <f>IF(R169="","",R169*12)</f>
        <v/>
      </c>
      <c r="T170" s="438" t="str">
        <f ca="1">IFERROR(T169*12,"")</f>
        <v/>
      </c>
      <c r="U170" s="436"/>
      <c r="V170" s="435"/>
      <c r="W170" s="436"/>
      <c r="X170" s="432"/>
      <c r="Y170" s="432"/>
      <c r="Z170" s="437" t="str">
        <f>IF(Z169="","",Z169*12)</f>
        <v/>
      </c>
    </row>
    <row r="171" spans="1:26" ht="18" customHeight="1">
      <c r="A171" s="140"/>
      <c r="B171" s="140"/>
      <c r="D171" s="177" t="s">
        <v>244</v>
      </c>
      <c r="E171" s="433"/>
      <c r="F171" s="436"/>
      <c r="G171" s="435"/>
      <c r="H171" s="436"/>
      <c r="I171" s="432"/>
      <c r="J171" s="437"/>
      <c r="K171" s="1"/>
      <c r="L171" s="434" t="str">
        <f ca="1">IFERROR(L170-F170,"")</f>
        <v/>
      </c>
      <c r="M171" s="436"/>
      <c r="N171" s="435"/>
      <c r="O171" s="436"/>
      <c r="P171" s="432"/>
      <c r="Q171" s="432"/>
      <c r="R171" s="437" t="str">
        <f ca="1">IFERROR(IF(J170="","",R170-J170),0)</f>
        <v/>
      </c>
      <c r="T171" s="434" t="str">
        <f ca="1">IFERROR(T170-F170,"")</f>
        <v/>
      </c>
      <c r="U171" s="436"/>
      <c r="V171" s="435"/>
      <c r="W171" s="436"/>
      <c r="X171" s="432"/>
      <c r="Y171" s="432"/>
      <c r="Z171" s="437" t="str">
        <f>IFERROR(IF(R170="","",Z170-R170),0)</f>
        <v/>
      </c>
    </row>
    <row r="172" spans="1:26" ht="18" customHeight="1" thickBot="1">
      <c r="A172" s="140"/>
      <c r="B172" s="140"/>
      <c r="D172" s="180" t="s">
        <v>245</v>
      </c>
      <c r="E172" s="439"/>
      <c r="F172" s="440"/>
      <c r="G172" s="441"/>
      <c r="H172" s="440"/>
      <c r="I172" s="442"/>
      <c r="J172" s="443"/>
      <c r="K172" s="1"/>
      <c r="L172" s="444" t="str">
        <f ca="1">IFERROR(L170/F170-1,"")</f>
        <v/>
      </c>
      <c r="M172" s="440"/>
      <c r="N172" s="441"/>
      <c r="O172" s="440"/>
      <c r="P172" s="445"/>
      <c r="Q172" s="445"/>
      <c r="R172" s="446" t="str">
        <f ca="1">IFERROR(IF(J170="","",(R170/J170)-1),0)</f>
        <v/>
      </c>
      <c r="T172" s="444" t="str">
        <f ca="1">IFERROR(T170/F170-1,"")</f>
        <v/>
      </c>
      <c r="U172" s="440"/>
      <c r="V172" s="441"/>
      <c r="W172" s="440"/>
      <c r="X172" s="445"/>
      <c r="Y172" s="445"/>
      <c r="Z172" s="446" t="str">
        <f>IFERROR(IF(R170="","",(Z170/R170)-1),0)</f>
        <v/>
      </c>
    </row>
    <row r="173" spans="4:26" ht="18" customHeight="1">
      <c r="D173" s="181" t="s">
        <v>246</v>
      </c>
      <c r="E173" s="182"/>
      <c r="F173" s="182"/>
      <c r="G173" s="182"/>
      <c r="H173" s="182"/>
      <c r="I173" s="182"/>
      <c r="J173" s="183"/>
      <c r="K173"/>
      <c r="L173" s="184"/>
      <c r="M173" s="182"/>
      <c r="N173" s="182"/>
      <c r="O173" s="182"/>
      <c r="P173" s="182"/>
      <c r="Q173" s="182"/>
      <c r="R173" s="183"/>
      <c r="T173" s="184"/>
      <c r="U173" s="182"/>
      <c r="V173" s="182"/>
      <c r="W173" s="182"/>
      <c r="X173" s="182"/>
      <c r="Y173" s="182"/>
      <c r="Z173" s="183"/>
    </row>
    <row r="174" spans="4:26" ht="18" customHeight="1" hidden="1">
      <c r="D174" s="185" t="s">
        <v>247</v>
      </c>
      <c r="E174" s="186"/>
      <c r="F174" s="186"/>
      <c r="G174" s="186"/>
      <c r="H174" s="186"/>
      <c r="I174" s="186"/>
      <c r="J174" s="187"/>
      <c r="K174"/>
      <c r="L174" s="188"/>
      <c r="M174" s="186"/>
      <c r="N174" s="186"/>
      <c r="O174" s="186"/>
      <c r="P174" s="186"/>
      <c r="Q174" s="186"/>
      <c r="R174" s="187"/>
      <c r="T174" s="188"/>
      <c r="U174" s="186"/>
      <c r="V174" s="186"/>
      <c r="W174" s="186"/>
      <c r="X174" s="186"/>
      <c r="Y174" s="186"/>
      <c r="Z174" s="187"/>
    </row>
    <row r="175" spans="4:26" ht="18" customHeight="1" hidden="1">
      <c r="D175" s="189" t="s">
        <v>248</v>
      </c>
      <c r="E175" s="190" t="str">
        <f>D164&amp;"_"&amp;D12</f>
        <v>_</v>
      </c>
      <c r="F175" s="191"/>
      <c r="G175" s="191"/>
      <c r="H175" s="191"/>
      <c r="I175" s="190"/>
      <c r="J175" s="192"/>
      <c r="K175"/>
      <c r="L175" s="193" t="str">
        <f ca="1">L164&amp;"_"&amp;D12</f>
        <v>SELECT PLAN_</v>
      </c>
      <c r="M175" s="191"/>
      <c r="N175" s="191"/>
      <c r="O175" s="191"/>
      <c r="P175" s="190"/>
      <c r="Q175" s="191"/>
      <c r="R175" s="192"/>
      <c r="T175" s="193" t="str">
        <f>T164&amp;"_"&amp;D12</f>
        <v>SELECT PLAN_</v>
      </c>
      <c r="U175" s="191"/>
      <c r="V175" s="191"/>
      <c r="W175" s="191"/>
      <c r="X175" s="190"/>
      <c r="Y175" s="191"/>
      <c r="Z175" s="192"/>
    </row>
    <row r="176" spans="4:26" ht="18" customHeight="1" hidden="1">
      <c r="D176" s="189" t="s">
        <v>249</v>
      </c>
      <c r="E176" s="191"/>
      <c r="F176" s="191"/>
      <c r="G176" s="191"/>
      <c r="H176" s="191"/>
      <c r="I176" s="191"/>
      <c r="J176" s="192"/>
      <c r="K176"/>
      <c r="L176" s="189"/>
      <c r="M176" s="191"/>
      <c r="N176" s="191"/>
      <c r="O176" s="191"/>
      <c r="P176" s="191"/>
      <c r="Q176" s="191"/>
      <c r="R176" s="192"/>
      <c r="T176" s="189"/>
      <c r="U176" s="191"/>
      <c r="V176" s="191"/>
      <c r="W176" s="191"/>
      <c r="X176" s="191"/>
      <c r="Y176" s="191"/>
      <c r="Z176" s="192"/>
    </row>
    <row r="177" spans="4:26" ht="18" customHeight="1" hidden="1">
      <c r="D177" s="194" t="s">
        <v>250</v>
      </c>
      <c r="E177" s="195"/>
      <c r="F177" s="195"/>
      <c r="G177" s="195"/>
      <c r="H177" s="195"/>
      <c r="I177" s="195"/>
      <c r="J177" s="196"/>
      <c r="K177"/>
      <c r="L177" s="197"/>
      <c r="M177" s="195"/>
      <c r="N177" s="195"/>
      <c r="O177" s="195"/>
      <c r="P177" s="195"/>
      <c r="Q177" s="195"/>
      <c r="R177" s="196"/>
      <c r="T177" s="197"/>
      <c r="U177" s="195"/>
      <c r="V177" s="195"/>
      <c r="W177" s="195"/>
      <c r="X177" s="195"/>
      <c r="Y177" s="195"/>
      <c r="Z177" s="196"/>
    </row>
    <row r="178" spans="4:26" ht="18" customHeight="1" hidden="1">
      <c r="D178" s="198" t="s">
        <v>251</v>
      </c>
      <c r="E178" s="199" t="str">
        <f>_xlfn.XLOOKUP(E175,CurrentPlans!B:B,CurrentPlans!X:X,"NA",0,1)</f>
        <v>NA</v>
      </c>
      <c r="F178" s="200"/>
      <c r="G178" s="200"/>
      <c r="H178" s="200"/>
      <c r="I178" s="199"/>
      <c r="J178" s="201"/>
      <c r="K178"/>
      <c r="L178" s="202" t="str">
        <f ca="1">_xlfn.XLOOKUP(L175,RenewalPlans!B:B,RenewalPlans!AA:AA,"NA",0,1)</f>
        <v>NA</v>
      </c>
      <c r="M178" s="200"/>
      <c r="N178" s="200"/>
      <c r="O178" s="200"/>
      <c r="P178" s="199"/>
      <c r="Q178" s="200"/>
      <c r="R178" s="201"/>
      <c r="T178" s="202" t="str">
        <f>_xlfn.XLOOKUP(T175,RenewalPlans!B:B,RenewalPlans!AA:AA,"NA",0,1)</f>
        <v>NA</v>
      </c>
      <c r="U178" s="200"/>
      <c r="V178" s="200"/>
      <c r="W178" s="200"/>
      <c r="X178" s="199"/>
      <c r="Y178" s="200"/>
      <c r="Z178" s="201"/>
    </row>
    <row r="179" spans="4:26" ht="18" customHeight="1" hidden="1">
      <c r="D179" s="198" t="s">
        <v>252</v>
      </c>
      <c r="E179" s="199" t="str">
        <f>_xlfn.XLOOKUP(E175,CurrentPlans!B:B,CurrentPlans!Y:Y,"NA",0,1)</f>
        <v>NA</v>
      </c>
      <c r="F179" s="200"/>
      <c r="G179" s="200"/>
      <c r="H179" s="200"/>
      <c r="I179" s="199"/>
      <c r="J179" s="201"/>
      <c r="K179"/>
      <c r="L179" s="202" t="str">
        <f ca="1">_xlfn.XLOOKUP(L175,RenewalPlans!B:B,RenewalPlans!AB:AB,"NA",0,1)</f>
        <v>NA</v>
      </c>
      <c r="M179" s="200"/>
      <c r="N179" s="200"/>
      <c r="O179" s="200"/>
      <c r="P179" s="199"/>
      <c r="Q179" s="200"/>
      <c r="R179" s="201"/>
      <c r="T179" s="202" t="str">
        <f>_xlfn.XLOOKUP(T175,RenewalPlans!B:B,RenewalPlans!AB:AB,"NA",0,1)</f>
        <v>NA</v>
      </c>
      <c r="U179" s="200"/>
      <c r="V179" s="200"/>
      <c r="W179" s="200"/>
      <c r="X179" s="199"/>
      <c r="Y179" s="200"/>
      <c r="Z179" s="201"/>
    </row>
    <row r="180" spans="4:26" ht="18" customHeight="1" hidden="1">
      <c r="D180" s="120" t="s">
        <v>253</v>
      </c>
      <c r="E180" s="121" t="str">
        <f>_xlfn.XLOOKUP(E175,CurrentPlans!B:B,CurrentPlans!W:W,"NA",0,1)</f>
        <v>NA</v>
      </c>
      <c r="F180" s="122"/>
      <c r="G180" s="122"/>
      <c r="H180" s="122"/>
      <c r="I180" s="121"/>
      <c r="J180" s="123"/>
      <c r="K180"/>
      <c r="L180" s="124" t="str">
        <f ca="1">_xlfn.XLOOKUP(L175,RenewalPlans!B:B,RenewalPlans!Z:Z,"NA",0,1)</f>
        <v>NA</v>
      </c>
      <c r="M180" s="122"/>
      <c r="N180" s="122"/>
      <c r="O180" s="122"/>
      <c r="P180" s="121"/>
      <c r="Q180" s="122"/>
      <c r="R180" s="123"/>
      <c r="T180" s="124" t="str">
        <f>_xlfn.XLOOKUP(T175,RenewalPlans!B:B,RenewalPlans!Z:Z,"NA",0,1)</f>
        <v>NA</v>
      </c>
      <c r="U180" s="122"/>
      <c r="V180" s="122"/>
      <c r="W180" s="122"/>
      <c r="X180" s="121"/>
      <c r="Y180" s="122"/>
      <c r="Z180" s="123"/>
    </row>
    <row r="181" spans="4:26" ht="18" customHeight="1" hidden="1">
      <c r="D181" s="203" t="s">
        <v>254</v>
      </c>
      <c r="E181" s="204"/>
      <c r="F181" s="205"/>
      <c r="G181" s="205"/>
      <c r="H181" s="205"/>
      <c r="I181" s="204"/>
      <c r="J181" s="206"/>
      <c r="K181"/>
      <c r="L181" s="207"/>
      <c r="M181" s="205"/>
      <c r="N181" s="205"/>
      <c r="O181" s="205"/>
      <c r="P181" s="204"/>
      <c r="Q181" s="205"/>
      <c r="R181" s="206"/>
      <c r="T181" s="207"/>
      <c r="U181" s="205"/>
      <c r="V181" s="205"/>
      <c r="W181" s="205"/>
      <c r="X181" s="204"/>
      <c r="Y181" s="205"/>
      <c r="Z181" s="206"/>
    </row>
    <row r="182" spans="4:26" ht="18" customHeight="1" hidden="1">
      <c r="D182" s="125" t="s">
        <v>255</v>
      </c>
      <c r="E182" s="126" t="str">
        <f>_xlfn.XLOOKUP(E175,CurrentPlans!B:B,CurrentPlans!Z:Z,"NA",0,1)</f>
        <v>NA</v>
      </c>
      <c r="F182" s="127"/>
      <c r="G182" s="127"/>
      <c r="H182" s="127"/>
      <c r="I182" s="126"/>
      <c r="J182" s="128"/>
      <c r="K182"/>
      <c r="L182" s="129" t="str">
        <f ca="1">_xlfn.XLOOKUP(L175,RenewalPlans!B:B,RenewalPlans!AC:AC,"NA",0,1)</f>
        <v>NA</v>
      </c>
      <c r="M182" s="127"/>
      <c r="N182" s="127"/>
      <c r="O182" s="127"/>
      <c r="P182" s="126"/>
      <c r="Q182" s="127"/>
      <c r="R182" s="128"/>
      <c r="T182" s="129" t="str">
        <f>_xlfn.XLOOKUP(T175,RenewalPlans!B:B,RenewalPlans!AC:AC,"NA",0,1)</f>
        <v>NA</v>
      </c>
      <c r="U182" s="127"/>
      <c r="V182" s="127"/>
      <c r="W182" s="127"/>
      <c r="X182" s="126"/>
      <c r="Y182" s="127"/>
      <c r="Z182" s="128"/>
    </row>
    <row r="183" spans="4:26" ht="18" customHeight="1" hidden="1">
      <c r="D183" s="198" t="s">
        <v>256</v>
      </c>
      <c r="E183" s="208" t="str">
        <f>_xlfn.XLOOKUP(E175,CurrentPlans!B:B,CurrentPlans!AA:AA,"NA",0,1)</f>
        <v>NA</v>
      </c>
      <c r="F183" s="200"/>
      <c r="G183" s="200"/>
      <c r="H183" s="200"/>
      <c r="I183" s="208"/>
      <c r="J183" s="201"/>
      <c r="K183"/>
      <c r="L183" s="209" t="str">
        <f ca="1">_xlfn.XLOOKUP(L175,RenewalPlans!B:B,RenewalPlans!AD:AD,"NA",0,1)</f>
        <v>NA</v>
      </c>
      <c r="M183" s="200"/>
      <c r="N183" s="200"/>
      <c r="O183" s="200"/>
      <c r="P183" s="208"/>
      <c r="Q183" s="200"/>
      <c r="R183" s="201"/>
      <c r="T183" s="209" t="str">
        <f>_xlfn.XLOOKUP(T175,RenewalPlans!B:B,RenewalPlans!AD:AD,"NA",0,1)</f>
        <v>NA</v>
      </c>
      <c r="U183" s="200"/>
      <c r="V183" s="200"/>
      <c r="W183" s="200"/>
      <c r="X183" s="208"/>
      <c r="Y183" s="200"/>
      <c r="Z183" s="201"/>
    </row>
    <row r="184" spans="4:26" ht="18" customHeight="1" hidden="1">
      <c r="D184" s="203" t="s">
        <v>257</v>
      </c>
      <c r="E184" s="204"/>
      <c r="F184" s="205"/>
      <c r="G184" s="205"/>
      <c r="H184" s="205"/>
      <c r="I184" s="204"/>
      <c r="J184" s="206"/>
      <c r="K184"/>
      <c r="L184" s="207"/>
      <c r="M184" s="205"/>
      <c r="N184" s="205"/>
      <c r="O184" s="205"/>
      <c r="P184" s="204"/>
      <c r="Q184" s="205"/>
      <c r="R184" s="206"/>
      <c r="T184" s="207"/>
      <c r="U184" s="205"/>
      <c r="V184" s="205"/>
      <c r="W184" s="205"/>
      <c r="X184" s="204"/>
      <c r="Y184" s="205"/>
      <c r="Z184" s="206"/>
    </row>
    <row r="185" spans="4:26" ht="18" customHeight="1" hidden="1">
      <c r="D185" s="198" t="s">
        <v>258</v>
      </c>
      <c r="E185" s="208" t="str">
        <f>_xlfn.XLOOKUP(E175,CurrentPlans!B:B,CurrentPlans!AB:AB,"NA",0,1)</f>
        <v>NA</v>
      </c>
      <c r="F185" s="200"/>
      <c r="G185" s="200"/>
      <c r="H185" s="200"/>
      <c r="I185" s="208"/>
      <c r="J185" s="201"/>
      <c r="K185"/>
      <c r="L185" s="209" t="str">
        <f ca="1">_xlfn.XLOOKUP(L175,RenewalPlans!B:B,RenewalPlans!AE:AE,"NA",0,1)</f>
        <v>NA</v>
      </c>
      <c r="M185" s="200"/>
      <c r="N185" s="200"/>
      <c r="O185" s="200"/>
      <c r="P185" s="208"/>
      <c r="Q185" s="200"/>
      <c r="R185" s="201"/>
      <c r="T185" s="209" t="str">
        <f>_xlfn.XLOOKUP(T175,RenewalPlans!B:B,RenewalPlans!AE:AE,"NA",0,1)</f>
        <v>NA</v>
      </c>
      <c r="U185" s="200"/>
      <c r="V185" s="200"/>
      <c r="W185" s="200"/>
      <c r="X185" s="208"/>
      <c r="Y185" s="200"/>
      <c r="Z185" s="201"/>
    </row>
    <row r="186" spans="4:26" ht="18" customHeight="1" hidden="1">
      <c r="D186" s="198" t="s">
        <v>259</v>
      </c>
      <c r="E186" s="208" t="str">
        <f>_xlfn.XLOOKUP(E175,CurrentPlans!B:B,CurrentPlans!AC:AC,"NA",0,1)</f>
        <v>NA</v>
      </c>
      <c r="F186" s="200"/>
      <c r="G186" s="200"/>
      <c r="H186" s="200"/>
      <c r="I186" s="208"/>
      <c r="J186" s="201"/>
      <c r="K186"/>
      <c r="L186" s="209" t="str">
        <f ca="1">_xlfn.XLOOKUP(L175,RenewalPlans!B:B,RenewalPlans!AF:AF,"NA",0,1)</f>
        <v>NA</v>
      </c>
      <c r="M186" s="200"/>
      <c r="N186" s="200"/>
      <c r="O186" s="200"/>
      <c r="P186" s="208"/>
      <c r="Q186" s="200"/>
      <c r="R186" s="201"/>
      <c r="T186" s="209" t="str">
        <f>_xlfn.XLOOKUP(T175,RenewalPlans!B:B,RenewalPlans!AF:AF,"NA",0,1)</f>
        <v>NA</v>
      </c>
      <c r="U186" s="200"/>
      <c r="V186" s="200"/>
      <c r="W186" s="200"/>
      <c r="X186" s="208"/>
      <c r="Y186" s="200"/>
      <c r="Z186" s="201"/>
    </row>
    <row r="187" spans="4:26" ht="18" customHeight="1" hidden="1">
      <c r="D187" s="210"/>
      <c r="E187" s="211"/>
      <c r="F187" s="211"/>
      <c r="G187" s="211"/>
      <c r="H187" s="211"/>
      <c r="I187" s="211"/>
      <c r="J187" s="212"/>
      <c r="K187"/>
      <c r="L187" s="210"/>
      <c r="M187" s="211"/>
      <c r="N187" s="211"/>
      <c r="O187" s="211"/>
      <c r="P187" s="211"/>
      <c r="Q187" s="211"/>
      <c r="R187" s="212"/>
      <c r="T187" s="210"/>
      <c r="U187" s="211"/>
      <c r="V187" s="211"/>
      <c r="W187" s="211"/>
      <c r="X187" s="211"/>
      <c r="Y187" s="211"/>
      <c r="Z187" s="212"/>
    </row>
    <row r="188" spans="4:26" ht="18" customHeight="1" hidden="1">
      <c r="D188" s="185" t="s">
        <v>260</v>
      </c>
      <c r="E188" s="186"/>
      <c r="F188" s="186"/>
      <c r="G188" s="186"/>
      <c r="H188" s="186"/>
      <c r="I188" s="186"/>
      <c r="J188" s="187"/>
      <c r="K188"/>
      <c r="L188" s="188"/>
      <c r="M188" s="186"/>
      <c r="N188" s="186"/>
      <c r="O188" s="186"/>
      <c r="P188" s="186"/>
      <c r="Q188" s="186"/>
      <c r="R188" s="187"/>
      <c r="T188" s="188"/>
      <c r="U188" s="186"/>
      <c r="V188" s="186"/>
      <c r="W188" s="186"/>
      <c r="X188" s="186"/>
      <c r="Y188" s="186"/>
      <c r="Z188" s="187"/>
    </row>
    <row r="189" spans="4:26" ht="18" customHeight="1" hidden="1">
      <c r="D189" s="213" t="s">
        <v>261</v>
      </c>
      <c r="E189" s="130" t="str">
        <f>_xlfn.XLOOKUP(E175,CurrentPlans!B:B,CurrentPlans!AJ:AJ,"NA",0,1)</f>
        <v>NA</v>
      </c>
      <c r="F189" s="214"/>
      <c r="G189" s="214"/>
      <c r="H189" s="214"/>
      <c r="I189" s="130"/>
      <c r="J189" s="215"/>
      <c r="K189"/>
      <c r="L189" s="131" t="str">
        <f ca="1">_xlfn.XLOOKUP(L175,RenewalPlans!B:B,RenewalPlans!AM:AM,"NA",0,1)</f>
        <v>NA</v>
      </c>
      <c r="M189" s="214"/>
      <c r="N189" s="214"/>
      <c r="O189" s="214"/>
      <c r="P189" s="130"/>
      <c r="Q189" s="214"/>
      <c r="R189" s="215"/>
      <c r="T189" s="131" t="str">
        <f>_xlfn.XLOOKUP(T175,RenewalPlans!B:B,RenewalPlans!AM:AM,"NA",0,1)</f>
        <v>NA</v>
      </c>
      <c r="U189" s="214"/>
      <c r="V189" s="214"/>
      <c r="W189" s="214"/>
      <c r="X189" s="130"/>
      <c r="Y189" s="214"/>
      <c r="Z189" s="215"/>
    </row>
    <row r="190" spans="4:26" ht="18" customHeight="1" hidden="1">
      <c r="D190" s="198" t="s">
        <v>262</v>
      </c>
      <c r="E190" s="130" t="str">
        <f>_xlfn.XLOOKUP(E175,CurrentPlans!B:B,CurrentPlans!AM:AM,"NA",0,1)</f>
        <v>NA</v>
      </c>
      <c r="F190" s="200"/>
      <c r="G190" s="200"/>
      <c r="H190" s="200"/>
      <c r="I190" s="130"/>
      <c r="J190" s="201"/>
      <c r="K190"/>
      <c r="L190" s="131" t="str">
        <f ca="1">_xlfn.XLOOKUP(L175,RenewalPlans!B:B,RenewalPlans!AP:AP,"NA",0,1)</f>
        <v>NA</v>
      </c>
      <c r="M190" s="200"/>
      <c r="N190" s="200"/>
      <c r="O190" s="200"/>
      <c r="P190" s="130"/>
      <c r="Q190" s="200"/>
      <c r="R190" s="201"/>
      <c r="T190" s="131" t="str">
        <f>_xlfn.XLOOKUP(T175,RenewalPlans!B:B,RenewalPlans!AP:AP,"NA",0,1)</f>
        <v>NA</v>
      </c>
      <c r="U190" s="200"/>
      <c r="V190" s="200"/>
      <c r="W190" s="200"/>
      <c r="X190" s="130"/>
      <c r="Y190" s="200"/>
      <c r="Z190" s="201"/>
    </row>
    <row r="191" spans="4:26" ht="18" customHeight="1" hidden="1">
      <c r="D191" s="198" t="s">
        <v>263</v>
      </c>
      <c r="E191" s="130" t="str">
        <f>_xlfn.XLOOKUP(E175,CurrentPlans!B:B,CurrentPlans!AI:AI,"NA",0,1)</f>
        <v>NA</v>
      </c>
      <c r="F191" s="200"/>
      <c r="G191" s="200"/>
      <c r="H191" s="200"/>
      <c r="I191" s="130"/>
      <c r="J191" s="201"/>
      <c r="K191"/>
      <c r="L191" s="131" t="str">
        <f ca="1">_xlfn.XLOOKUP(L175,RenewalPlans!B:B,RenewalPlans!AL:AL,"NA",0,1)</f>
        <v>NA</v>
      </c>
      <c r="M191" s="200"/>
      <c r="N191" s="200"/>
      <c r="O191" s="200"/>
      <c r="P191" s="130"/>
      <c r="Q191" s="200"/>
      <c r="R191" s="201"/>
      <c r="T191" s="131" t="str">
        <f>_xlfn.XLOOKUP(T175,RenewalPlans!B:B,RenewalPlans!AL:AL,"NA",0,1)</f>
        <v>NA</v>
      </c>
      <c r="U191" s="200"/>
      <c r="V191" s="200"/>
      <c r="W191" s="200"/>
      <c r="X191" s="130"/>
      <c r="Y191" s="200"/>
      <c r="Z191" s="201"/>
    </row>
    <row r="192" spans="4:26" ht="18" customHeight="1" hidden="1">
      <c r="D192" s="198" t="s">
        <v>264</v>
      </c>
      <c r="E192" s="208" t="str">
        <f>_xlfn.XLOOKUP(E175,CurrentPlans!B:B,CurrentPlans!AN:AN,"NA",0,1)</f>
        <v>NA</v>
      </c>
      <c r="F192" s="200"/>
      <c r="G192" s="200"/>
      <c r="H192" s="200"/>
      <c r="I192" s="208"/>
      <c r="J192" s="201"/>
      <c r="K192"/>
      <c r="L192" s="209" t="str">
        <f ca="1">_xlfn.XLOOKUP(L175,RenewalPlans!B:B,RenewalPlans!AQ:AQ,"NA",0,1)</f>
        <v>NA</v>
      </c>
      <c r="M192" s="200"/>
      <c r="N192" s="200"/>
      <c r="O192" s="200"/>
      <c r="P192" s="208"/>
      <c r="Q192" s="200"/>
      <c r="R192" s="201"/>
      <c r="T192" s="209" t="str">
        <f>_xlfn.XLOOKUP(T175,RenewalPlans!B:B,RenewalPlans!AQ:AQ,"NA",0,1)</f>
        <v>NA</v>
      </c>
      <c r="U192" s="200"/>
      <c r="V192" s="200"/>
      <c r="W192" s="200"/>
      <c r="X192" s="208"/>
      <c r="Y192" s="200"/>
      <c r="Z192" s="201"/>
    </row>
    <row r="193" spans="4:26" ht="18" customHeight="1" hidden="1">
      <c r="D193" s="210"/>
      <c r="E193" s="211"/>
      <c r="F193" s="211"/>
      <c r="G193" s="211"/>
      <c r="H193" s="211"/>
      <c r="I193" s="211"/>
      <c r="J193" s="212"/>
      <c r="K193"/>
      <c r="L193" s="210"/>
      <c r="M193" s="211"/>
      <c r="N193" s="211"/>
      <c r="O193" s="211"/>
      <c r="P193" s="211"/>
      <c r="Q193" s="211"/>
      <c r="R193" s="212"/>
      <c r="T193" s="210"/>
      <c r="U193" s="211"/>
      <c r="V193" s="211"/>
      <c r="W193" s="211"/>
      <c r="X193" s="211"/>
      <c r="Y193" s="211"/>
      <c r="Z193" s="212"/>
    </row>
    <row r="194" spans="4:26" ht="18" customHeight="1" hidden="1">
      <c r="D194" s="185" t="s">
        <v>265</v>
      </c>
      <c r="E194" s="186"/>
      <c r="F194" s="186"/>
      <c r="G194" s="186"/>
      <c r="H194" s="186"/>
      <c r="I194" s="186"/>
      <c r="J194" s="187"/>
      <c r="K194"/>
      <c r="L194" s="188"/>
      <c r="M194" s="186"/>
      <c r="N194" s="186"/>
      <c r="O194" s="186"/>
      <c r="P194" s="186"/>
      <c r="Q194" s="186"/>
      <c r="R194" s="187"/>
      <c r="T194" s="188"/>
      <c r="U194" s="186"/>
      <c r="V194" s="186"/>
      <c r="W194" s="186"/>
      <c r="X194" s="186"/>
      <c r="Y194" s="186"/>
      <c r="Z194" s="187"/>
    </row>
    <row r="195" spans="4:26" ht="18" customHeight="1" hidden="1">
      <c r="D195" s="132" t="s">
        <v>266</v>
      </c>
      <c r="E195" s="133" t="str">
        <f>_xlfn.XLOOKUP(E175,CurrentPlans!B:B,CurrentPlans!AE:AE,"NA",0,1)</f>
        <v>NA</v>
      </c>
      <c r="F195" s="134"/>
      <c r="G195" s="134"/>
      <c r="H195" s="134"/>
      <c r="I195" s="133"/>
      <c r="J195" s="135"/>
      <c r="K195"/>
      <c r="L195" s="136" t="str">
        <f ca="1">_xlfn.XLOOKUP(L175,RenewalPlans!B:B,RenewalPlans!AH:AH,"NA",0,1)</f>
        <v>NA</v>
      </c>
      <c r="M195" s="134"/>
      <c r="N195" s="134"/>
      <c r="O195" s="134"/>
      <c r="P195" s="133"/>
      <c r="Q195" s="134"/>
      <c r="R195" s="135"/>
      <c r="T195" s="136" t="str">
        <f>_xlfn.XLOOKUP(T175,RenewalPlans!B:B,RenewalPlans!AH:AH,"NA",0,1)</f>
        <v>NA</v>
      </c>
      <c r="U195" s="134"/>
      <c r="V195" s="134"/>
      <c r="W195" s="134"/>
      <c r="X195" s="133"/>
      <c r="Y195" s="134"/>
      <c r="Z195" s="135"/>
    </row>
    <row r="196" spans="4:26" ht="18" customHeight="1" hidden="1">
      <c r="D196" s="120" t="s">
        <v>267</v>
      </c>
      <c r="E196" s="130" t="str">
        <f>_xlfn.XLOOKUP(E175,CurrentPlans!B:B,CurrentPlans!AF:AF,"NA",0,1)</f>
        <v>NA</v>
      </c>
      <c r="F196" s="122"/>
      <c r="G196" s="122"/>
      <c r="H196" s="122"/>
      <c r="I196" s="130"/>
      <c r="J196" s="123"/>
      <c r="K196"/>
      <c r="L196" s="131" t="str">
        <f ca="1">_xlfn.XLOOKUP(L175,RenewalPlans!B:B,RenewalPlans!AI:AI,"NA",0,1)</f>
        <v>NA</v>
      </c>
      <c r="M196" s="122"/>
      <c r="N196" s="122"/>
      <c r="O196" s="122"/>
      <c r="P196" s="130"/>
      <c r="Q196" s="122"/>
      <c r="R196" s="123"/>
      <c r="T196" s="131" t="str">
        <f>_xlfn.XLOOKUP(T175,RenewalPlans!B:B,RenewalPlans!AI:AI,"NA",0,1)</f>
        <v>NA</v>
      </c>
      <c r="U196" s="122"/>
      <c r="V196" s="122"/>
      <c r="W196" s="122"/>
      <c r="X196" s="130"/>
      <c r="Y196" s="122"/>
      <c r="Z196" s="123"/>
    </row>
    <row r="197" spans="4:26" ht="18" customHeight="1" hidden="1">
      <c r="D197" s="198" t="s">
        <v>268</v>
      </c>
      <c r="E197" s="130" t="str">
        <f>_xlfn.XLOOKUP(E175,CurrentPlans!B:B,CurrentPlans!AH:AH,"NA",0,1)</f>
        <v>NA</v>
      </c>
      <c r="F197" s="200"/>
      <c r="G197" s="200"/>
      <c r="H197" s="200"/>
      <c r="I197" s="130"/>
      <c r="J197" s="201"/>
      <c r="K197"/>
      <c r="L197" s="131" t="str">
        <f ca="1">_xlfn.XLOOKUP(L175,RenewalPlans!B:B,RenewalPlans!AK:AK,"NA",0,1)</f>
        <v>NA</v>
      </c>
      <c r="M197" s="200"/>
      <c r="N197" s="200"/>
      <c r="O197" s="200"/>
      <c r="P197" s="130"/>
      <c r="Q197" s="200"/>
      <c r="R197" s="201"/>
      <c r="T197" s="131" t="str">
        <f>_xlfn.XLOOKUP(T175,RenewalPlans!B:B,RenewalPlans!AK:AK,"NA",0,1)</f>
        <v>NA</v>
      </c>
      <c r="U197" s="200"/>
      <c r="V197" s="200"/>
      <c r="W197" s="200"/>
      <c r="X197" s="130"/>
      <c r="Y197" s="200"/>
      <c r="Z197" s="201"/>
    </row>
    <row r="198" spans="4:26" ht="18" customHeight="1" hidden="1">
      <c r="D198" s="198" t="s">
        <v>269</v>
      </c>
      <c r="E198" s="130" t="str">
        <f>_xlfn.XLOOKUP(E175,CurrentPlans!B:B,CurrentPlans!AG:AG,"NA",0,1)</f>
        <v>NA</v>
      </c>
      <c r="F198" s="200"/>
      <c r="G198" s="200"/>
      <c r="H198" s="200"/>
      <c r="I198" s="130"/>
      <c r="J198" s="201"/>
      <c r="K198"/>
      <c r="L198" s="131" t="str">
        <f ca="1">_xlfn.XLOOKUP(L175,RenewalPlans!B:B,RenewalPlans!AJ:AJ,"NA",0,1)</f>
        <v>NA</v>
      </c>
      <c r="M198" s="200"/>
      <c r="N198" s="200"/>
      <c r="O198" s="200"/>
      <c r="P198" s="130"/>
      <c r="Q198" s="200"/>
      <c r="R198" s="201"/>
      <c r="T198" s="131" t="str">
        <f>_xlfn.XLOOKUP(T175,RenewalPlans!B:B,RenewalPlans!AJ:AJ,"NA",0,1)</f>
        <v>NA</v>
      </c>
      <c r="U198" s="200"/>
      <c r="V198" s="200"/>
      <c r="W198" s="200"/>
      <c r="X198" s="130"/>
      <c r="Y198" s="200"/>
      <c r="Z198" s="201"/>
    </row>
    <row r="199" spans="4:26" ht="18" customHeight="1" hidden="1">
      <c r="D199" s="213" t="s">
        <v>270</v>
      </c>
      <c r="E199" s="216" t="str">
        <f>_xlfn.XLOOKUP(E175,CurrentPlans!B:B,CurrentPlans!AU:AU,"NA",0,1)</f>
        <v>NA</v>
      </c>
      <c r="F199" s="214"/>
      <c r="G199" s="214"/>
      <c r="H199" s="214"/>
      <c r="I199" s="217"/>
      <c r="J199" s="215"/>
      <c r="K199"/>
      <c r="L199" s="218" t="str">
        <f ca="1">_xlfn.XLOOKUP(L175,RenewalPlans!B:B,RenewalPlans!AX:AX,"NA",0,1)</f>
        <v>NA</v>
      </c>
      <c r="M199" s="214"/>
      <c r="N199" s="214"/>
      <c r="O199" s="214"/>
      <c r="P199" s="217"/>
      <c r="Q199" s="214"/>
      <c r="R199" s="215"/>
      <c r="T199" s="218" t="str">
        <f>_xlfn.XLOOKUP(T175,RenewalPlans!B:B,RenewalPlans!AX:AX,"NA",0,1)</f>
        <v>NA</v>
      </c>
      <c r="U199" s="214"/>
      <c r="V199" s="214"/>
      <c r="W199" s="214"/>
      <c r="X199" s="217"/>
      <c r="Y199" s="214"/>
      <c r="Z199" s="215"/>
    </row>
    <row r="200" spans="4:26" ht="18" customHeight="1" hidden="1">
      <c r="D200" s="213" t="s">
        <v>271</v>
      </c>
      <c r="E200" s="216" t="str">
        <f>_xlfn.XLOOKUP(E175,CurrentPlans!B:B,CurrentPlans!AT:AT,"NA",0,1)</f>
        <v>NA</v>
      </c>
      <c r="F200" s="214"/>
      <c r="G200" s="214"/>
      <c r="H200" s="214"/>
      <c r="I200" s="217"/>
      <c r="J200" s="215"/>
      <c r="K200"/>
      <c r="L200" s="218" t="str">
        <f ca="1">_xlfn.XLOOKUP(L175,RenewalPlans!B:B,RenewalPlans!AW:AW,"NA",0,1)</f>
        <v>NA</v>
      </c>
      <c r="M200" s="214"/>
      <c r="N200" s="214"/>
      <c r="O200" s="214"/>
      <c r="P200" s="217"/>
      <c r="Q200" s="214"/>
      <c r="R200" s="215"/>
      <c r="T200" s="218" t="str">
        <f>_xlfn.XLOOKUP(T175,RenewalPlans!B:B,RenewalPlans!AW:AW,"NA",0,1)</f>
        <v>NA</v>
      </c>
      <c r="U200" s="214"/>
      <c r="V200" s="214"/>
      <c r="W200" s="214"/>
      <c r="X200" s="217"/>
      <c r="Y200" s="214"/>
      <c r="Z200" s="215"/>
    </row>
    <row r="201" spans="4:26" ht="18" customHeight="1" hidden="1">
      <c r="D201" s="198" t="s">
        <v>272</v>
      </c>
      <c r="E201" s="130" t="str">
        <f>_xlfn.XLOOKUP(E175,CurrentPlans!B:B,CurrentPlans!AD:AD,"NA",0,1)</f>
        <v>NA</v>
      </c>
      <c r="F201" s="200"/>
      <c r="G201" s="200"/>
      <c r="H201" s="200"/>
      <c r="I201" s="130"/>
      <c r="J201" s="201"/>
      <c r="K201"/>
      <c r="L201" s="131" t="str">
        <f ca="1">_xlfn.XLOOKUP(L175,RenewalPlans!B:B,RenewalPlans!AG:AG,"NA",0,1)</f>
        <v>NA</v>
      </c>
      <c r="M201" s="200"/>
      <c r="N201" s="200"/>
      <c r="O201" s="200"/>
      <c r="P201" s="130"/>
      <c r="Q201" s="200"/>
      <c r="R201" s="201"/>
      <c r="T201" s="131" t="str">
        <f>_xlfn.XLOOKUP(T175,RenewalPlans!B:B,RenewalPlans!AG:AG,"NA",0,1)</f>
        <v>NA</v>
      </c>
      <c r="U201" s="200"/>
      <c r="V201" s="200"/>
      <c r="W201" s="200"/>
      <c r="X201" s="130"/>
      <c r="Y201" s="200"/>
      <c r="Z201" s="201"/>
    </row>
    <row r="202" spans="4:26" ht="18" customHeight="1" hidden="1">
      <c r="D202" s="198" t="s">
        <v>273</v>
      </c>
      <c r="E202" s="200"/>
      <c r="F202" s="200"/>
      <c r="G202" s="200"/>
      <c r="H202" s="200"/>
      <c r="I202" s="200"/>
      <c r="J202" s="201"/>
      <c r="K202"/>
      <c r="L202" s="198"/>
      <c r="M202" s="200"/>
      <c r="N202" s="200"/>
      <c r="O202" s="200"/>
      <c r="P202" s="200"/>
      <c r="Q202" s="200"/>
      <c r="R202" s="201"/>
      <c r="T202" s="198"/>
      <c r="U202" s="200"/>
      <c r="V202" s="200"/>
      <c r="W202" s="200"/>
      <c r="X202" s="200"/>
      <c r="Y202" s="200"/>
      <c r="Z202" s="201"/>
    </row>
    <row r="203" spans="4:26" ht="18" customHeight="1" hidden="1">
      <c r="D203" s="210"/>
      <c r="E203" s="211"/>
      <c r="F203" s="211"/>
      <c r="G203" s="211"/>
      <c r="H203" s="211"/>
      <c r="I203" s="211"/>
      <c r="J203" s="212"/>
      <c r="K203"/>
      <c r="L203" s="210"/>
      <c r="M203" s="211"/>
      <c r="N203" s="211"/>
      <c r="O203" s="211"/>
      <c r="P203" s="211"/>
      <c r="Q203" s="211"/>
      <c r="R203" s="212"/>
      <c r="T203" s="210"/>
      <c r="U203" s="211"/>
      <c r="V203" s="211"/>
      <c r="W203" s="211"/>
      <c r="X203" s="211"/>
      <c r="Y203" s="211"/>
      <c r="Z203" s="212"/>
    </row>
    <row r="204" spans="4:26" ht="18" customHeight="1" hidden="1">
      <c r="D204" s="219" t="s">
        <v>274</v>
      </c>
      <c r="E204" s="220"/>
      <c r="F204" s="220"/>
      <c r="G204" s="220"/>
      <c r="H204" s="220"/>
      <c r="I204" s="220"/>
      <c r="J204" s="221"/>
      <c r="K204"/>
      <c r="L204" s="222"/>
      <c r="M204" s="220"/>
      <c r="N204" s="220"/>
      <c r="O204" s="220"/>
      <c r="P204" s="220"/>
      <c r="Q204" s="220"/>
      <c r="R204" s="221"/>
      <c r="T204" s="222"/>
      <c r="U204" s="220"/>
      <c r="V204" s="220"/>
      <c r="W204" s="220"/>
      <c r="X204" s="220"/>
      <c r="Y204" s="220"/>
      <c r="Z204" s="221"/>
    </row>
    <row r="205" spans="4:26" ht="18" customHeight="1" hidden="1">
      <c r="D205" s="223" t="s">
        <v>250</v>
      </c>
      <c r="E205" s="205"/>
      <c r="F205" s="205"/>
      <c r="G205" s="205"/>
      <c r="H205" s="205"/>
      <c r="I205" s="205"/>
      <c r="J205" s="206"/>
      <c r="K205"/>
      <c r="L205" s="203"/>
      <c r="M205" s="205"/>
      <c r="N205" s="205"/>
      <c r="O205" s="205"/>
      <c r="P205" s="205"/>
      <c r="Q205" s="205"/>
      <c r="R205" s="206"/>
      <c r="T205" s="203"/>
      <c r="U205" s="205"/>
      <c r="V205" s="205"/>
      <c r="W205" s="205"/>
      <c r="X205" s="205"/>
      <c r="Y205" s="205"/>
      <c r="Z205" s="206"/>
    </row>
    <row r="206" spans="4:26" ht="18" customHeight="1" hidden="1">
      <c r="D206" s="198" t="s">
        <v>251</v>
      </c>
      <c r="E206" s="130" t="str">
        <f>_xlfn.XLOOKUP(E175,CurrentPlans!B:B,CurrentPlans!AP:AP,"NA",0,1)</f>
        <v>NA</v>
      </c>
      <c r="F206" s="200"/>
      <c r="G206" s="200"/>
      <c r="H206" s="200"/>
      <c r="I206" s="130"/>
      <c r="J206" s="201"/>
      <c r="K206"/>
      <c r="L206" s="131" t="str">
        <f ca="1">_xlfn.XLOOKUP(L175,RenewalPlans!B:B,RenewalPlans!AS:AS,"NA",0,1)</f>
        <v>NA</v>
      </c>
      <c r="M206" s="200"/>
      <c r="N206" s="200"/>
      <c r="O206" s="200"/>
      <c r="P206" s="130"/>
      <c r="Q206" s="200"/>
      <c r="R206" s="201"/>
      <c r="T206" s="131" t="str">
        <f>_xlfn.XLOOKUP(T175,RenewalPlans!B:B,RenewalPlans!AS:AS,"NA",0,1)</f>
        <v>NA</v>
      </c>
      <c r="U206" s="200"/>
      <c r="V206" s="200"/>
      <c r="W206" s="200"/>
      <c r="X206" s="130"/>
      <c r="Y206" s="200"/>
      <c r="Z206" s="201"/>
    </row>
    <row r="207" spans="4:26" ht="18" customHeight="1" hidden="1">
      <c r="D207" s="198" t="s">
        <v>252</v>
      </c>
      <c r="E207" s="130" t="str">
        <f>_xlfn.XLOOKUP(E175,CurrentPlans!B:B,CurrentPlans!AQ:AQ,"NA",0,1)</f>
        <v>NA</v>
      </c>
      <c r="F207" s="200"/>
      <c r="G207" s="200"/>
      <c r="H207" s="200"/>
      <c r="I207" s="130"/>
      <c r="J207" s="201"/>
      <c r="K207"/>
      <c r="L207" s="131" t="str">
        <f ca="1">_xlfn.XLOOKUP(L175,RenewalPlans!B:B,RenewalPlans!AT:AT,"NA",0,1)</f>
        <v>NA</v>
      </c>
      <c r="M207" s="200"/>
      <c r="N207" s="200"/>
      <c r="O207" s="200"/>
      <c r="P207" s="130"/>
      <c r="Q207" s="200"/>
      <c r="R207" s="201"/>
      <c r="T207" s="131" t="str">
        <f>_xlfn.XLOOKUP(T175,RenewalPlans!B:B,RenewalPlans!AT:AT,"NA",0,1)</f>
        <v>NA</v>
      </c>
      <c r="U207" s="200"/>
      <c r="V207" s="200"/>
      <c r="W207" s="200"/>
      <c r="X207" s="130"/>
      <c r="Y207" s="200"/>
      <c r="Z207" s="201"/>
    </row>
    <row r="208" spans="4:26" ht="18" customHeight="1" hidden="1">
      <c r="D208" s="120" t="s">
        <v>253</v>
      </c>
      <c r="E208" s="133" t="str">
        <f>_xlfn.XLOOKUP(E175,CurrentPlans!B:B,CurrentPlans!AO:AO,"NA",0,1)</f>
        <v>NA</v>
      </c>
      <c r="F208" s="122"/>
      <c r="G208" s="122"/>
      <c r="H208" s="122"/>
      <c r="I208" s="133"/>
      <c r="J208" s="123"/>
      <c r="K208"/>
      <c r="L208" s="136" t="str">
        <f ca="1">_xlfn.XLOOKUP(L175,RenewalPlans!B:B,RenewalPlans!AR:AR,"NA",0,1)</f>
        <v>NA</v>
      </c>
      <c r="M208" s="122"/>
      <c r="N208" s="122"/>
      <c r="O208" s="122"/>
      <c r="P208" s="133"/>
      <c r="Q208" s="122"/>
      <c r="R208" s="123"/>
      <c r="T208" s="136" t="str">
        <f>_xlfn.XLOOKUP(T175,RenewalPlans!B:B,RenewalPlans!AR:AR,"NA",0,1)</f>
        <v>NA</v>
      </c>
      <c r="U208" s="122"/>
      <c r="V208" s="122"/>
      <c r="W208" s="122"/>
      <c r="X208" s="133"/>
      <c r="Y208" s="122"/>
      <c r="Z208" s="123"/>
    </row>
    <row r="209" spans="4:26" ht="18" customHeight="1" hidden="1">
      <c r="D209" s="223" t="s">
        <v>254</v>
      </c>
      <c r="E209" s="205"/>
      <c r="F209" s="205"/>
      <c r="G209" s="205"/>
      <c r="H209" s="205"/>
      <c r="I209" s="205"/>
      <c r="J209" s="206"/>
      <c r="K209"/>
      <c r="L209" s="203"/>
      <c r="M209" s="205"/>
      <c r="N209" s="205"/>
      <c r="O209" s="205"/>
      <c r="P209" s="205"/>
      <c r="Q209" s="205"/>
      <c r="R209" s="206"/>
      <c r="T209" s="203"/>
      <c r="U209" s="205"/>
      <c r="V209" s="205"/>
      <c r="W209" s="205"/>
      <c r="X209" s="205"/>
      <c r="Y209" s="205"/>
      <c r="Z209" s="206"/>
    </row>
    <row r="210" spans="4:26" ht="18" customHeight="1" hidden="1">
      <c r="D210" s="198" t="s">
        <v>255</v>
      </c>
      <c r="E210" s="130" t="str">
        <f>_xlfn.XLOOKUP(E175,CurrentPlans!B:B,CurrentPlans!AR:AR,"NA",0,1)</f>
        <v>NA</v>
      </c>
      <c r="F210" s="200"/>
      <c r="G210" s="200"/>
      <c r="H210" s="200"/>
      <c r="I210" s="130"/>
      <c r="J210" s="201"/>
      <c r="K210"/>
      <c r="L210" s="131" t="str">
        <f ca="1">_xlfn.XLOOKUP(L175,RenewalPlans!B:B,RenewalPlans!AU:AU,"NA",0,1)</f>
        <v>NA</v>
      </c>
      <c r="M210" s="200"/>
      <c r="N210" s="200"/>
      <c r="O210" s="200"/>
      <c r="P210" s="130"/>
      <c r="Q210" s="200"/>
      <c r="R210" s="201"/>
      <c r="T210" s="131" t="str">
        <f>_xlfn.XLOOKUP(T175,RenewalPlans!B:B,RenewalPlans!AU:AU,"NA",0,1)</f>
        <v>NA</v>
      </c>
      <c r="U210" s="200"/>
      <c r="V210" s="200"/>
      <c r="W210" s="200"/>
      <c r="X210" s="130"/>
      <c r="Y210" s="200"/>
      <c r="Z210" s="201"/>
    </row>
    <row r="211" spans="4:26" ht="18" customHeight="1" hidden="1" thickBot="1">
      <c r="D211" s="224" t="s">
        <v>256</v>
      </c>
      <c r="E211" s="137" t="str">
        <f>_xlfn.XLOOKUP(E175,CurrentPlans!B:B,CurrentPlans!AS:AS,"NA",0,1)</f>
        <v>NA</v>
      </c>
      <c r="F211" s="225"/>
      <c r="G211" s="225"/>
      <c r="H211" s="225"/>
      <c r="I211" s="137"/>
      <c r="J211" s="226"/>
      <c r="K211"/>
      <c r="L211" s="138" t="str">
        <f ca="1">_xlfn.XLOOKUP(L175,RenewalPlans!B:B,RenewalPlans!AV:AV,"NA",0,1)</f>
        <v>NA</v>
      </c>
      <c r="M211" s="225"/>
      <c r="N211" s="225"/>
      <c r="O211" s="225"/>
      <c r="P211" s="137"/>
      <c r="Q211" s="225"/>
      <c r="R211" s="226"/>
      <c r="T211" s="138" t="str">
        <f>_xlfn.XLOOKUP(T175,RenewalPlans!B:B,RenewalPlans!AV:AV,"NA",0,1)</f>
        <v>NA</v>
      </c>
      <c r="U211" s="225"/>
      <c r="V211" s="225"/>
      <c r="W211" s="225"/>
      <c r="X211" s="137"/>
      <c r="Y211" s="225"/>
      <c r="Z211" s="226"/>
    </row>
    <row r="212" spans="1:26" ht="18" customHeight="1">
      <c r="A212" s="140"/>
      <c r="B212" s="140"/>
      <c r="D212" s="227"/>
      <c r="E212" s="176"/>
      <c r="F212" s="178"/>
      <c r="G212" s="179"/>
      <c r="H212" s="178"/>
      <c r="I212" s="176"/>
      <c r="J212" s="228"/>
      <c r="K212"/>
      <c r="L212" s="178"/>
      <c r="M212" s="176"/>
      <c r="N212" s="139"/>
      <c r="O212" s="178"/>
      <c r="P212" s="178"/>
      <c r="Q212" s="178"/>
      <c r="R212" s="228"/>
      <c r="T212" s="178"/>
      <c r="U212" s="176"/>
      <c r="V212" s="139"/>
      <c r="W212" s="178"/>
      <c r="X212" s="178"/>
      <c r="Y212" s="178"/>
      <c r="Z212" s="228"/>
    </row>
    <row r="213" spans="1:26" ht="5.25" customHeight="1" thickBot="1">
      <c r="A213" s="140"/>
      <c r="B213" s="140"/>
      <c r="D213" s="229"/>
      <c r="E213" s="229"/>
      <c r="F213" s="230"/>
      <c r="G213" s="231"/>
      <c r="H213" s="232"/>
      <c r="I213" s="233"/>
      <c r="J213" s="233"/>
      <c r="K213"/>
      <c r="L213" s="233"/>
      <c r="M213" s="233"/>
      <c r="N213" s="233"/>
      <c r="O213" s="233"/>
      <c r="P213" s="233"/>
      <c r="Q213" s="233"/>
      <c r="R213" s="233"/>
      <c r="T213" s="233"/>
      <c r="U213" s="233"/>
      <c r="V213" s="233"/>
      <c r="W213" s="233"/>
      <c r="X213" s="233"/>
      <c r="Y213" s="233"/>
      <c r="Z213" s="233"/>
    </row>
    <row r="214" spans="1:26" ht="50.15" customHeight="1">
      <c r="A214" s="140">
        <v>5</v>
      </c>
      <c r="B214" s="140" t="str">
        <f>IF(A214&gt;Class7_CurrentHealthCount,"DELETE",Class7_CurrentHealthStart+A214)</f>
        <v>DELETE</v>
      </c>
      <c r="C214" s="164" t="s">
        <v>278</v>
      </c>
      <c r="D214" s="273" t="str">
        <f>IF(B214="Delete","",VLOOKUP(F214,BEGIN_CURRENT_HEALTH:END_CURRENT_HEALTH,3,FALSE))</f>
        <v/>
      </c>
      <c r="E214" s="165"/>
      <c r="F214" s="272" t="str" cm="1">
        <f t="array" ca="1" aca="1" ref="F214">IF(B214="Delete","",INDIRECT("CurrentPlans!A"&amp;B214,TRUE))</f>
        <v/>
      </c>
      <c r="G214" s="166"/>
      <c r="H214" s="167"/>
      <c r="I214" s="168"/>
      <c r="J214" s="169"/>
      <c r="K214"/>
      <c r="L214" s="274" t="str">
        <f ca="1">_xlfn.IFNA(VLOOKUP(F214,BEGIN_RENEWEDFROM_HEALTH:ROW_RenewHealth_PlanID,3,FALSE),"SELECT PLAN")</f>
        <v>SELECT PLAN</v>
      </c>
      <c r="M214" s="170"/>
      <c r="N214" s="274" t="s">
        <v>237</v>
      </c>
      <c r="O214" s="171"/>
      <c r="P214" s="171"/>
      <c r="Q214" s="171"/>
      <c r="R214" s="169"/>
      <c r="T214" s="274" t="s">
        <v>38</v>
      </c>
      <c r="U214" s="170"/>
      <c r="V214" s="274" t="s">
        <v>237</v>
      </c>
      <c r="W214" s="171"/>
      <c r="X214" s="171"/>
      <c r="Y214" s="171"/>
      <c r="Z214" s="169"/>
    </row>
    <row r="215" spans="1:26" ht="18.75" customHeight="1">
      <c r="A215" s="140"/>
      <c r="B215" s="140"/>
      <c r="D215" s="172" t="s">
        <v>238</v>
      </c>
      <c r="E215" s="407" t="str">
        <f ca="1">_xlfn.IFNA(VLOOKUP(F214,BEGIN_CURRENT_HEALTH:END_CURRENT_HEALTH,CURRENT_COL_EO_count,FALSE),"")</f>
        <v/>
      </c>
      <c r="F215" s="408" t="str">
        <f ca="1">_xlfn.IFNA(VLOOKUP(F214,BEGIN_CURRENT_HEALTH:END_CURRENT_HEALTH,CURRENT_COL_EO,FALSE),"")</f>
        <v/>
      </c>
      <c r="G215" s="468" t="str">
        <f ca="1" t="shared" si="20" ref="G215:G218">IF(F215="","",H215/F215)</f>
        <v/>
      </c>
      <c r="H215" s="408" t="str">
        <f ca="1">_xlfn.IFNA(VLOOKUP(F214,BEGIN_CURRENT_HEALTH:END_CURRENT_HEALTH,CURRENT_COL_EOContrib,FALSE),"")</f>
        <v/>
      </c>
      <c r="I215" s="409" t="str">
        <f ca="1">IFERROR(F215-H215,"")</f>
        <v/>
      </c>
      <c r="J215" s="410" t="str">
        <f ca="1">IF(F215="","",H215*E215)</f>
        <v/>
      </c>
      <c r="K215" s="411"/>
      <c r="L215" s="408" t="str" cm="1">
        <f t="array" ca="1" aca="1" ref="L215">_xlfn.IFNA(VLOOKUP(INDIRECT("L"&amp;ROW()-1)&amp;"_"&amp;$D$12,BEGIN_RENEW_HEALTH:END_RENEW_HEALTH,RENEW_COL_EO,FALSE),"")</f>
        <v/>
      </c>
      <c r="M215" s="412" t="str">
        <f ca="1">IF(E215="","",E215)</f>
        <v/>
      </c>
      <c r="N215" s="413"/>
      <c r="O215" s="414"/>
      <c r="P215" s="415" t="str">
        <f>IFERROR(IF($N214="Keep Contribution Same",H215,IF($N214="Enter Percentages",IF(N215="","",N215*L215),IF($N214="Keep Percentage Same",IF(G215="","",G215*L215),IF($N214="Enter Dollar Amount",IF(O215="","",O215),"")))),"")</f>
        <v/>
      </c>
      <c r="Q215" s="408" t="str">
        <f ca="1">IFERROR(L215-P215,"")</f>
        <v/>
      </c>
      <c r="R215" s="410" t="str">
        <f>IFERROR(IF(P215="","",M215*P215),"")</f>
        <v/>
      </c>
      <c r="S215" s="411"/>
      <c r="T215" s="408" t="str" cm="1">
        <f t="array" ca="1" aca="1" ref="T215">_xlfn.IFNA(VLOOKUP(INDIRECT("T"&amp;ROW()-1)&amp;"_"&amp;$D$12,BEGIN_RENEW_HEALTH:END_RENEW_HEALTH,RENEW_COL_EO,FALSE),"")</f>
        <v/>
      </c>
      <c r="U215" s="412" t="str">
        <f ca="1">IF(E215="","",E215)</f>
        <v/>
      </c>
      <c r="V215" s="413"/>
      <c r="W215" s="414"/>
      <c r="X215" s="415" t="str">
        <f>IFERROR(IF($V214="Keep Contribution Same",H215,IF($V214="Enter Percentages",IF(V215="","",V215*T215),IF($V214="Keep Percentage Same",IF(G215="","",G215*T215),IF($V214="Enter Dollar Amount",IF(W215="","",W215),"")))),"")</f>
        <v/>
      </c>
      <c r="Y215" s="408" t="str">
        <f ca="1">IFERROR(T215-X215,"")</f>
        <v/>
      </c>
      <c r="Z215" s="410" t="str">
        <f>IFERROR(IF(X215="","",U215*X215),"")</f>
        <v/>
      </c>
    </row>
    <row r="216" spans="1:26" ht="18.75" customHeight="1">
      <c r="A216" s="140"/>
      <c r="B216" s="140"/>
      <c r="D216" s="172" t="s">
        <v>239</v>
      </c>
      <c r="E216" s="407" t="str">
        <f ca="1">_xlfn.IFNA(VLOOKUP(F214,BEGIN_CURRENT_HEALTH:END_CURRENT_HEALTH,CURRENT_COL_ES_count,FALSE),"")</f>
        <v/>
      </c>
      <c r="F216" s="408" t="str">
        <f ca="1">_xlfn.IFNA(VLOOKUP(F214,BEGIN_CURRENT_HEALTH:END_CURRENT_HEALTH,CURRENT_COL_ES,FALSE),"")</f>
        <v/>
      </c>
      <c r="G216" s="468" t="str">
        <f t="shared" ca="1" si="20"/>
        <v/>
      </c>
      <c r="H216" s="408" t="str">
        <f ca="1">_xlfn.IFNA(VLOOKUP(F214,BEGIN_CURRENT_HEALTH:END_CURRENT_HEALTH,CURRENT_COL_ESContrib,FALSE),"")</f>
        <v/>
      </c>
      <c r="I216" s="409" t="str">
        <f ca="1" t="shared" si="21" ref="I216:I218">IFERROR(F216-H216,"")</f>
        <v/>
      </c>
      <c r="J216" s="410" t="str">
        <f ca="1">IF(F216="","",H216*E216)</f>
        <v/>
      </c>
      <c r="K216" s="411"/>
      <c r="L216" s="408" t="str" cm="1">
        <f t="array" ca="1" aca="1" ref="L216">_xlfn.IFNA(VLOOKUP(INDIRECT("L"&amp;ROW()-2)&amp;"_"&amp;$D$12,BEGIN_RENEW_HEALTH:END_RENEW_HEALTH,RENEW_COL_ES,FALSE),"")</f>
        <v/>
      </c>
      <c r="M216" s="412" t="str">
        <f ca="1">IF(E216="","",E216)</f>
        <v/>
      </c>
      <c r="N216" s="413"/>
      <c r="O216" s="414"/>
      <c r="P216" s="415" t="str">
        <f>IFERROR(IF($N214="Keep Contribution Same",H216,IF($N214="Enter Percentages",IF(N216="","",N216*L216),IF($N214="Keep Percentage Same",IF(G216="","",G216*L216),IF($N214="Enter Dollar Amount",IF(O216="","",O216),"")))),"")</f>
        <v/>
      </c>
      <c r="Q216" s="408" t="str">
        <f ca="1">IFERROR(L216-P216,"")</f>
        <v/>
      </c>
      <c r="R216" s="410" t="str">
        <f>IFERROR(IF(P216="","",M216*P216),"")</f>
        <v/>
      </c>
      <c r="S216" s="411"/>
      <c r="T216" s="408" t="str" cm="1">
        <f t="array" ca="1" aca="1" ref="T216">_xlfn.IFNA(VLOOKUP(INDIRECT("T"&amp;ROW()-2)&amp;"_"&amp;$D$12,BEGIN_RENEW_HEALTH:END_RENEW_HEALTH,RENEW_COL_ES,FALSE),"")</f>
        <v/>
      </c>
      <c r="U216" s="412" t="str">
        <f ca="1" t="shared" si="22" ref="U216:U218">IF(E216="","",E216)</f>
        <v/>
      </c>
      <c r="V216" s="413"/>
      <c r="W216" s="414"/>
      <c r="X216" s="415" t="str">
        <f>IFERROR(IF($V214="Keep Contribution Same",H216,IF($V214="Enter Percentages",IF(V216="","",V216*T216),IF($V214="Keep Percentage Same",IF(G216="","",G216*T216),IF($V214="Enter Dollar Amount",IF(W216="","",W216),"")))),"")</f>
        <v/>
      </c>
      <c r="Y216" s="408" t="str">
        <f ca="1" t="shared" si="23" ref="Y216:Y218">IFERROR(T216-X216,"")</f>
        <v/>
      </c>
      <c r="Z216" s="410" t="str">
        <f t="shared" si="24" ref="Z216:Z218">IFERROR(IF(X216="","",U216*X216),"")</f>
        <v/>
      </c>
    </row>
    <row r="217" spans="1:26" ht="18.75" customHeight="1">
      <c r="A217" s="140"/>
      <c r="B217" s="140"/>
      <c r="D217" s="172" t="s">
        <v>240</v>
      </c>
      <c r="E217" s="407" t="str">
        <f ca="1">_xlfn.IFNA(VLOOKUP(F214,BEGIN_CURRENT_HEALTH:END_CURRENT_HEALTH,CURRENT_COL_EC_count,FALSE),"")</f>
        <v/>
      </c>
      <c r="F217" s="408" t="str">
        <f ca="1">_xlfn.IFNA(VLOOKUP(F214,BEGIN_CURRENT_HEALTH:END_CURRENT_HEALTH,CURRENT_COL_EC,FALSE),"")</f>
        <v/>
      </c>
      <c r="G217" s="468" t="str">
        <f t="shared" ca="1" si="20"/>
        <v/>
      </c>
      <c r="H217" s="408" t="str">
        <f ca="1">_xlfn.IFNA(VLOOKUP(F214,BEGIN_CURRENT_HEALTH:END_CURRENT_HEALTH,CURRENT_COL_ECContrib,FALSE),"")</f>
        <v/>
      </c>
      <c r="I217" s="409" t="str">
        <f t="shared" ca="1" si="21"/>
        <v/>
      </c>
      <c r="J217" s="410" t="str">
        <f ca="1">IF(F217="","",H217*E217)</f>
        <v/>
      </c>
      <c r="K217" s="411"/>
      <c r="L217" s="408" t="str" cm="1">
        <f t="array" ca="1" aca="1" ref="L217">_xlfn.IFNA(VLOOKUP(INDIRECT("L"&amp;ROW()-3)&amp;"_"&amp;$D$12,BEGIN_RENEW_HEALTH:END_RENEW_HEALTH,RENEW_COL_EC,FALSE),"")</f>
        <v/>
      </c>
      <c r="M217" s="412" t="str">
        <f ca="1">IF(E217="","",E217)</f>
        <v/>
      </c>
      <c r="N217" s="413"/>
      <c r="O217" s="414"/>
      <c r="P217" s="415" t="str">
        <f>IFERROR(IF($N214="Keep Contribution Same",H217,IF($N214="Enter Percentages",IF(N217="","",N217*L217),IF($N214="Keep Percentage Same",IF(G217="","",G217*L217),IF($N214="Enter Dollar Amount",IF(O217="","",O217),"")))),"")</f>
        <v/>
      </c>
      <c r="Q217" s="408" t="str">
        <f ca="1">IFERROR(L217-P217,"")</f>
        <v/>
      </c>
      <c r="R217" s="410" t="str">
        <f>IFERROR(IF(P217="","",M217*P217),"")</f>
        <v/>
      </c>
      <c r="S217" s="411"/>
      <c r="T217" s="408" t="str" cm="1">
        <f t="array" ca="1" aca="1" ref="T217">_xlfn.IFNA(VLOOKUP(INDIRECT("T"&amp;ROW()-3)&amp;"_"&amp;$D$12,BEGIN_RENEW_HEALTH:END_RENEW_HEALTH,RENEW_COL_EC,FALSE),"")</f>
        <v/>
      </c>
      <c r="U217" s="412" t="str">
        <f t="shared" ca="1" si="22"/>
        <v/>
      </c>
      <c r="V217" s="413"/>
      <c r="W217" s="414"/>
      <c r="X217" s="415" t="str">
        <f>IFERROR(IF($V214="Keep Contribution Same",H217,IF($V214="Enter Percentages",IF(V217="","",V217*T217),IF($V214="Keep Percentage Same",IF(G217="","",G217*T217),IF($V214="Enter Dollar Amount",IF(W217="","",W217),"")))),"")</f>
        <v/>
      </c>
      <c r="Y217" s="408" t="str">
        <f t="shared" ca="1" si="23"/>
        <v/>
      </c>
      <c r="Z217" s="410" t="str">
        <f t="shared" si="24"/>
        <v/>
      </c>
    </row>
    <row r="218" spans="1:26" ht="18.75" customHeight="1" thickBot="1">
      <c r="A218" s="140"/>
      <c r="B218" s="140"/>
      <c r="D218" s="174" t="s">
        <v>241</v>
      </c>
      <c r="E218" s="416" t="str">
        <f ca="1">_xlfn.IFNA(VLOOKUP(F214,BEGIN_CURRENT_HEALTH:END_CURRENT_HEALTH,CURRENT_COL_FAM_count,FALSE),"")</f>
        <v/>
      </c>
      <c r="F218" s="417" t="str">
        <f ca="1">_xlfn.IFNA(VLOOKUP(F214,BEGIN_CURRENT_HEALTH:END_CURRENT_HEALTH,CURRENT_COL_FAM,FALSE),"")</f>
        <v/>
      </c>
      <c r="G218" s="469" t="str">
        <f t="shared" ca="1" si="20"/>
        <v/>
      </c>
      <c r="H218" s="417" t="str">
        <f ca="1">_xlfn.IFNA(VLOOKUP(F214,BEGIN_CURRENT_HEALTH:END_CURRENT_HEALTH,CURRENT_COL_FAMContrib,FALSE),"")</f>
        <v/>
      </c>
      <c r="I218" s="418" t="str">
        <f t="shared" ca="1" si="21"/>
        <v/>
      </c>
      <c r="J218" s="419" t="str">
        <f ca="1">IF(F218="","",H218*E218)</f>
        <v/>
      </c>
      <c r="K218" s="411"/>
      <c r="L218" s="417" t="str" cm="1">
        <f t="array" ca="1" aca="1" ref="L218">_xlfn.IFNA(VLOOKUP(INDIRECT("L"&amp;ROW()-4)&amp;"_"&amp;$D$12,BEGIN_RENEW_HEALTH:END_RENEW_HEALTH,RENEW_COL_FAM,FALSE),"")</f>
        <v/>
      </c>
      <c r="M218" s="423" t="str">
        <f ca="1">IF(E218="","",E218)</f>
        <v/>
      </c>
      <c r="N218" s="420"/>
      <c r="O218" s="421"/>
      <c r="P218" s="422" t="str">
        <f>IFERROR(IF($N214="Keep Contribution Same",H218,IF($N214="Enter Percentages",IF(N218="","",N218*L218),IF($N214="Keep Percentage Same",IF(G218="","",G218*L218),IF($N214="Enter Dollar Amount",IF(O218="","",O218),"")))),"")</f>
        <v/>
      </c>
      <c r="Q218" s="417" t="str">
        <f ca="1">IFERROR(L218-P218,"")</f>
        <v/>
      </c>
      <c r="R218" s="419" t="str">
        <f>IFERROR(IF(P218="","",M218*P218),"")</f>
        <v/>
      </c>
      <c r="S218" s="411"/>
      <c r="T218" s="417" t="str" cm="1">
        <f t="array" ca="1" aca="1" ref="T218">_xlfn.IFNA(VLOOKUP(INDIRECT("T"&amp;ROW()-4)&amp;"_"&amp;$D$12,BEGIN_RENEW_HEALTH:END_RENEW_HEALTH,RENEW_COL_FAM,FALSE),"")</f>
        <v/>
      </c>
      <c r="U218" s="423" t="str">
        <f t="shared" ca="1" si="22"/>
        <v/>
      </c>
      <c r="V218" s="420"/>
      <c r="W218" s="421"/>
      <c r="X218" s="422" t="str">
        <f>IFERROR(IF($V214="Keep Contribution Same",H218,IF($V214="Enter Percentages",IF(V218="","",V218*T218),IF($V214="Keep Percentage Same",IF(G218="","",G218*T218),IF($V214="Enter Dollar Amount",IF(W218="","",W218),"")))),"")</f>
        <v/>
      </c>
      <c r="Y218" s="417" t="str">
        <f t="shared" ca="1" si="23"/>
        <v/>
      </c>
      <c r="Z218" s="419" t="str">
        <f t="shared" si="24"/>
        <v/>
      </c>
    </row>
    <row r="219" spans="1:26" ht="18.75" customHeight="1" thickTop="1">
      <c r="A219" s="140"/>
      <c r="B219" s="140"/>
      <c r="D219" s="175" t="s">
        <v>242</v>
      </c>
      <c r="E219" s="424"/>
      <c r="F219" s="447" t="str">
        <f ca="1">IFERROR((F215*E215)+(F216*E216)+(F217*E217)+(F218*E218),"")</f>
        <v/>
      </c>
      <c r="G219" s="426"/>
      <c r="H219" s="427"/>
      <c r="I219" s="428"/>
      <c r="J219" s="429" t="str">
        <f ca="1">IFERROR(IF(J215="","",SUM(J215:J218)),0)</f>
        <v/>
      </c>
      <c r="K219" s="1"/>
      <c r="L219" s="430" t="str">
        <f ca="1">IFERROR((M215*L215)+(M216*L216)+(M217*L217)+(M218*L218),"")</f>
        <v/>
      </c>
      <c r="M219" s="427"/>
      <c r="N219" s="426"/>
      <c r="O219" s="427"/>
      <c r="P219" s="431"/>
      <c r="Q219" s="432"/>
      <c r="R219" s="429" t="str">
        <f>IFERROR(IF(R215="","",SUM(R215:R218)),0)</f>
        <v/>
      </c>
      <c r="T219" s="430" t="str">
        <f ca="1">IFERROR((U215*T215)+(U216*T216)+(U217*T217)+(U218*T218),"")</f>
        <v/>
      </c>
      <c r="U219" s="427"/>
      <c r="V219" s="426"/>
      <c r="W219" s="427"/>
      <c r="X219" s="431"/>
      <c r="Y219" s="432"/>
      <c r="Z219" s="429" t="str">
        <f>IFERROR(IF(Z215="","",SUM(Z215:Z218)),0)</f>
        <v/>
      </c>
    </row>
    <row r="220" spans="1:26" ht="18.75" customHeight="1">
      <c r="A220" s="140"/>
      <c r="B220" s="140"/>
      <c r="D220" s="177" t="s">
        <v>243</v>
      </c>
      <c r="E220" s="433"/>
      <c r="F220" s="448" t="str">
        <f ca="1">IFERROR(F219*12,"")</f>
        <v/>
      </c>
      <c r="G220" s="435"/>
      <c r="H220" s="436"/>
      <c r="I220" s="432"/>
      <c r="J220" s="437" t="str">
        <f ca="1">IF(J219="","",J219*12)</f>
        <v/>
      </c>
      <c r="K220" s="1"/>
      <c r="L220" s="438" t="str">
        <f ca="1">IFERROR(L219*12,"")</f>
        <v/>
      </c>
      <c r="M220" s="436"/>
      <c r="N220" s="435"/>
      <c r="O220" s="436"/>
      <c r="P220" s="432"/>
      <c r="Q220" s="432"/>
      <c r="R220" s="437" t="str">
        <f>IF(R219="","",R219*12)</f>
        <v/>
      </c>
      <c r="T220" s="438" t="str">
        <f ca="1">IFERROR(T219*12,"")</f>
        <v/>
      </c>
      <c r="U220" s="436"/>
      <c r="V220" s="435"/>
      <c r="W220" s="436"/>
      <c r="X220" s="432"/>
      <c r="Y220" s="432"/>
      <c r="Z220" s="437" t="str">
        <f>IF(Z219="","",Z219*12)</f>
        <v/>
      </c>
    </row>
    <row r="221" spans="1:26" ht="18" customHeight="1">
      <c r="A221" s="140"/>
      <c r="B221" s="140"/>
      <c r="D221" s="177" t="s">
        <v>244</v>
      </c>
      <c r="E221" s="433"/>
      <c r="F221" s="436"/>
      <c r="G221" s="435"/>
      <c r="H221" s="436"/>
      <c r="I221" s="432"/>
      <c r="J221" s="437"/>
      <c r="K221" s="1"/>
      <c r="L221" s="434" t="str">
        <f ca="1">IFERROR(L220-F220,"")</f>
        <v/>
      </c>
      <c r="M221" s="436"/>
      <c r="N221" s="435"/>
      <c r="O221" s="436"/>
      <c r="P221" s="432"/>
      <c r="Q221" s="432"/>
      <c r="R221" s="437" t="str">
        <f ca="1">IFERROR(IF(J220="","",R220-J220),0)</f>
        <v/>
      </c>
      <c r="T221" s="434" t="str">
        <f ca="1">IFERROR(T220-F220,"")</f>
        <v/>
      </c>
      <c r="U221" s="436"/>
      <c r="V221" s="435"/>
      <c r="W221" s="436"/>
      <c r="X221" s="432"/>
      <c r="Y221" s="432"/>
      <c r="Z221" s="437" t="str">
        <f>IFERROR(IF(R220="","",Z220-R220),0)</f>
        <v/>
      </c>
    </row>
    <row r="222" spans="1:26" ht="18" customHeight="1" thickBot="1">
      <c r="A222" s="140"/>
      <c r="B222" s="140"/>
      <c r="D222" s="180" t="s">
        <v>245</v>
      </c>
      <c r="E222" s="439"/>
      <c r="F222" s="440"/>
      <c r="G222" s="441"/>
      <c r="H222" s="440"/>
      <c r="I222" s="442"/>
      <c r="J222" s="443"/>
      <c r="K222" s="1"/>
      <c r="L222" s="444" t="str">
        <f ca="1">IFERROR(L220/F220-1,"")</f>
        <v/>
      </c>
      <c r="M222" s="440"/>
      <c r="N222" s="441"/>
      <c r="O222" s="440"/>
      <c r="P222" s="445"/>
      <c r="Q222" s="445"/>
      <c r="R222" s="446" t="str">
        <f ca="1">IFERROR(IF(J220="","",(R220/J220)-1),0)</f>
        <v/>
      </c>
      <c r="T222" s="444" t="str">
        <f ca="1">IFERROR(T220/F220-1,"")</f>
        <v/>
      </c>
      <c r="U222" s="440"/>
      <c r="V222" s="441"/>
      <c r="W222" s="440"/>
      <c r="X222" s="445"/>
      <c r="Y222" s="445"/>
      <c r="Z222" s="446" t="str">
        <f>IFERROR(IF(R220="","",(Z220/R220)-1),0)</f>
        <v/>
      </c>
    </row>
    <row r="223" spans="4:26" ht="18" customHeight="1">
      <c r="D223" s="181" t="s">
        <v>246</v>
      </c>
      <c r="E223" s="182"/>
      <c r="F223" s="182"/>
      <c r="G223" s="182"/>
      <c r="H223" s="182"/>
      <c r="I223" s="182"/>
      <c r="J223" s="183"/>
      <c r="K223"/>
      <c r="L223" s="184"/>
      <c r="M223" s="182"/>
      <c r="N223" s="182"/>
      <c r="O223" s="182"/>
      <c r="P223" s="182"/>
      <c r="Q223" s="182"/>
      <c r="R223" s="183"/>
      <c r="T223" s="184"/>
      <c r="U223" s="182"/>
      <c r="V223" s="182"/>
      <c r="W223" s="182"/>
      <c r="X223" s="182"/>
      <c r="Y223" s="182"/>
      <c r="Z223" s="183"/>
    </row>
    <row r="224" spans="4:26" ht="18" customHeight="1" hidden="1">
      <c r="D224" s="185" t="s">
        <v>247</v>
      </c>
      <c r="E224" s="186"/>
      <c r="F224" s="186"/>
      <c r="G224" s="186"/>
      <c r="H224" s="186"/>
      <c r="I224" s="186"/>
      <c r="J224" s="187"/>
      <c r="K224"/>
      <c r="L224" s="188"/>
      <c r="M224" s="186"/>
      <c r="N224" s="186"/>
      <c r="O224" s="186"/>
      <c r="P224" s="186"/>
      <c r="Q224" s="186"/>
      <c r="R224" s="187"/>
      <c r="T224" s="188"/>
      <c r="U224" s="186"/>
      <c r="V224" s="186"/>
      <c r="W224" s="186"/>
      <c r="X224" s="186"/>
      <c r="Y224" s="186"/>
      <c r="Z224" s="187"/>
    </row>
    <row r="225" spans="4:26" ht="18" customHeight="1" hidden="1">
      <c r="D225" s="189" t="s">
        <v>248</v>
      </c>
      <c r="E225" s="190" t="str">
        <f>D214&amp;"_"&amp;D12</f>
        <v>_</v>
      </c>
      <c r="F225" s="191"/>
      <c r="G225" s="191"/>
      <c r="H225" s="191"/>
      <c r="I225" s="190"/>
      <c r="J225" s="192"/>
      <c r="K225"/>
      <c r="L225" s="193" t="str">
        <f ca="1">L214&amp;"_"&amp;D12</f>
        <v>SELECT PLAN_</v>
      </c>
      <c r="M225" s="191"/>
      <c r="N225" s="191"/>
      <c r="O225" s="191"/>
      <c r="P225" s="190"/>
      <c r="Q225" s="191"/>
      <c r="R225" s="192"/>
      <c r="T225" s="193" t="str">
        <f>T214&amp;"_"&amp;D12</f>
        <v>SELECT PLAN_</v>
      </c>
      <c r="U225" s="191"/>
      <c r="V225" s="191"/>
      <c r="W225" s="191"/>
      <c r="X225" s="190"/>
      <c r="Y225" s="191"/>
      <c r="Z225" s="192"/>
    </row>
    <row r="226" spans="4:26" ht="18" customHeight="1" hidden="1">
      <c r="D226" s="189" t="s">
        <v>249</v>
      </c>
      <c r="E226" s="191"/>
      <c r="F226" s="191"/>
      <c r="G226" s="191"/>
      <c r="H226" s="191"/>
      <c r="I226" s="191"/>
      <c r="J226" s="192"/>
      <c r="K226"/>
      <c r="L226" s="189"/>
      <c r="M226" s="191"/>
      <c r="N226" s="191"/>
      <c r="O226" s="191"/>
      <c r="P226" s="191"/>
      <c r="Q226" s="191"/>
      <c r="R226" s="192"/>
      <c r="T226" s="189"/>
      <c r="U226" s="191"/>
      <c r="V226" s="191"/>
      <c r="W226" s="191"/>
      <c r="X226" s="191"/>
      <c r="Y226" s="191"/>
      <c r="Z226" s="192"/>
    </row>
    <row r="227" spans="4:26" ht="18" customHeight="1" hidden="1">
      <c r="D227" s="194" t="s">
        <v>250</v>
      </c>
      <c r="E227" s="195"/>
      <c r="F227" s="195"/>
      <c r="G227" s="195"/>
      <c r="H227" s="195"/>
      <c r="I227" s="195"/>
      <c r="J227" s="196"/>
      <c r="K227"/>
      <c r="L227" s="197"/>
      <c r="M227" s="195"/>
      <c r="N227" s="195"/>
      <c r="O227" s="195"/>
      <c r="P227" s="195"/>
      <c r="Q227" s="195"/>
      <c r="R227" s="196"/>
      <c r="T227" s="197"/>
      <c r="U227" s="195"/>
      <c r="V227" s="195"/>
      <c r="W227" s="195"/>
      <c r="X227" s="195"/>
      <c r="Y227" s="195"/>
      <c r="Z227" s="196"/>
    </row>
    <row r="228" spans="4:26" ht="18" customHeight="1" hidden="1">
      <c r="D228" s="198" t="s">
        <v>251</v>
      </c>
      <c r="E228" s="199" t="str">
        <f>_xlfn.XLOOKUP(E225,CurrentPlans!B:B,CurrentPlans!X:X,"NA",0,1)</f>
        <v>NA</v>
      </c>
      <c r="F228" s="200"/>
      <c r="G228" s="200"/>
      <c r="H228" s="200"/>
      <c r="I228" s="199"/>
      <c r="J228" s="201"/>
      <c r="K228"/>
      <c r="L228" s="202" t="str">
        <f ca="1">_xlfn.XLOOKUP(L225,RenewalPlans!B:B,RenewalPlans!AA:AA,"NA",0,1)</f>
        <v>NA</v>
      </c>
      <c r="M228" s="200"/>
      <c r="N228" s="200"/>
      <c r="O228" s="200"/>
      <c r="P228" s="199"/>
      <c r="Q228" s="200"/>
      <c r="R228" s="201"/>
      <c r="T228" s="202" t="str">
        <f>_xlfn.XLOOKUP(T225,RenewalPlans!B:B,RenewalPlans!AA:AA,"NA",0,1)</f>
        <v>NA</v>
      </c>
      <c r="U228" s="200"/>
      <c r="V228" s="200"/>
      <c r="W228" s="200"/>
      <c r="X228" s="199"/>
      <c r="Y228" s="200"/>
      <c r="Z228" s="201"/>
    </row>
    <row r="229" spans="4:26" ht="18" customHeight="1" hidden="1">
      <c r="D229" s="198" t="s">
        <v>252</v>
      </c>
      <c r="E229" s="199" t="str">
        <f>_xlfn.XLOOKUP(E225,CurrentPlans!B:B,CurrentPlans!Y:Y,"NA",0,1)</f>
        <v>NA</v>
      </c>
      <c r="F229" s="200"/>
      <c r="G229" s="200"/>
      <c r="H229" s="200"/>
      <c r="I229" s="199"/>
      <c r="J229" s="201"/>
      <c r="K229"/>
      <c r="L229" s="202" t="str">
        <f ca="1">_xlfn.XLOOKUP(L225,RenewalPlans!B:B,RenewalPlans!AB:AB,"NA",0,1)</f>
        <v>NA</v>
      </c>
      <c r="M229" s="200"/>
      <c r="N229" s="200"/>
      <c r="O229" s="200"/>
      <c r="P229" s="199"/>
      <c r="Q229" s="200"/>
      <c r="R229" s="201"/>
      <c r="T229" s="202" t="str">
        <f>_xlfn.XLOOKUP(T225,RenewalPlans!B:B,RenewalPlans!AB:AB,"NA",0,1)</f>
        <v>NA</v>
      </c>
      <c r="U229" s="200"/>
      <c r="V229" s="200"/>
      <c r="W229" s="200"/>
      <c r="X229" s="199"/>
      <c r="Y229" s="200"/>
      <c r="Z229" s="201"/>
    </row>
    <row r="230" spans="4:26" ht="18" customHeight="1" hidden="1">
      <c r="D230" s="120" t="s">
        <v>253</v>
      </c>
      <c r="E230" s="121" t="str">
        <f>_xlfn.XLOOKUP(E225,CurrentPlans!B:B,CurrentPlans!W:W,"NA",0,1)</f>
        <v>NA</v>
      </c>
      <c r="F230" s="122"/>
      <c r="G230" s="122"/>
      <c r="H230" s="122"/>
      <c r="I230" s="121"/>
      <c r="J230" s="123"/>
      <c r="K230"/>
      <c r="L230" s="124" t="str">
        <f ca="1">_xlfn.XLOOKUP(L225,RenewalPlans!B:B,RenewalPlans!Z:Z,"NA",0,1)</f>
        <v>NA</v>
      </c>
      <c r="M230" s="122"/>
      <c r="N230" s="122"/>
      <c r="O230" s="122"/>
      <c r="P230" s="121"/>
      <c r="Q230" s="122"/>
      <c r="R230" s="123"/>
      <c r="T230" s="124" t="str">
        <f>_xlfn.XLOOKUP(T225,RenewalPlans!B:B,RenewalPlans!Z:Z,"NA",0,1)</f>
        <v>NA</v>
      </c>
      <c r="U230" s="122"/>
      <c r="V230" s="122"/>
      <c r="W230" s="122"/>
      <c r="X230" s="121"/>
      <c r="Y230" s="122"/>
      <c r="Z230" s="123"/>
    </row>
    <row r="231" spans="4:26" ht="18" customHeight="1" hidden="1">
      <c r="D231" s="203" t="s">
        <v>254</v>
      </c>
      <c r="E231" s="204"/>
      <c r="F231" s="205"/>
      <c r="G231" s="205"/>
      <c r="H231" s="205"/>
      <c r="I231" s="204"/>
      <c r="J231" s="206"/>
      <c r="K231"/>
      <c r="L231" s="207"/>
      <c r="M231" s="205"/>
      <c r="N231" s="205"/>
      <c r="O231" s="205"/>
      <c r="P231" s="204"/>
      <c r="Q231" s="205"/>
      <c r="R231" s="206"/>
      <c r="T231" s="207"/>
      <c r="U231" s="205"/>
      <c r="V231" s="205"/>
      <c r="W231" s="205"/>
      <c r="X231" s="204"/>
      <c r="Y231" s="205"/>
      <c r="Z231" s="206"/>
    </row>
    <row r="232" spans="4:26" ht="18" customHeight="1" hidden="1">
      <c r="D232" s="125" t="s">
        <v>255</v>
      </c>
      <c r="E232" s="126" t="str">
        <f>_xlfn.XLOOKUP(E225,CurrentPlans!B:B,CurrentPlans!Z:Z,"NA",0,1)</f>
        <v>NA</v>
      </c>
      <c r="F232" s="127"/>
      <c r="G232" s="127"/>
      <c r="H232" s="127"/>
      <c r="I232" s="126"/>
      <c r="J232" s="128"/>
      <c r="K232"/>
      <c r="L232" s="129" t="str">
        <f ca="1">_xlfn.XLOOKUP(L225,RenewalPlans!B:B,RenewalPlans!AC:AC,"NA",0,1)</f>
        <v>NA</v>
      </c>
      <c r="M232" s="127"/>
      <c r="N232" s="127"/>
      <c r="O232" s="127"/>
      <c r="P232" s="126"/>
      <c r="Q232" s="127"/>
      <c r="R232" s="128"/>
      <c r="T232" s="129" t="str">
        <f>_xlfn.XLOOKUP(T225,RenewalPlans!B:B,RenewalPlans!AC:AC,"NA",0,1)</f>
        <v>NA</v>
      </c>
      <c r="U232" s="127"/>
      <c r="V232" s="127"/>
      <c r="W232" s="127"/>
      <c r="X232" s="126"/>
      <c r="Y232" s="127"/>
      <c r="Z232" s="128"/>
    </row>
    <row r="233" spans="4:26" ht="18" customHeight="1" hidden="1">
      <c r="D233" s="198" t="s">
        <v>256</v>
      </c>
      <c r="E233" s="208" t="str">
        <f>_xlfn.XLOOKUP(E225,CurrentPlans!B:B,CurrentPlans!AA:AA,"NA",0,1)</f>
        <v>NA</v>
      </c>
      <c r="F233" s="200"/>
      <c r="G233" s="200"/>
      <c r="H233" s="200"/>
      <c r="I233" s="208"/>
      <c r="J233" s="201"/>
      <c r="K233"/>
      <c r="L233" s="209" t="str">
        <f ca="1">_xlfn.XLOOKUP(L225,RenewalPlans!B:B,RenewalPlans!AD:AD,"NA",0,1)</f>
        <v>NA</v>
      </c>
      <c r="M233" s="200"/>
      <c r="N233" s="200"/>
      <c r="O233" s="200"/>
      <c r="P233" s="208"/>
      <c r="Q233" s="200"/>
      <c r="R233" s="201"/>
      <c r="T233" s="209" t="str">
        <f>_xlfn.XLOOKUP(T225,RenewalPlans!B:B,RenewalPlans!AD:AD,"NA",0,1)</f>
        <v>NA</v>
      </c>
      <c r="U233" s="200"/>
      <c r="V233" s="200"/>
      <c r="W233" s="200"/>
      <c r="X233" s="208"/>
      <c r="Y233" s="200"/>
      <c r="Z233" s="201"/>
    </row>
    <row r="234" spans="4:26" ht="18" customHeight="1" hidden="1">
      <c r="D234" s="203" t="s">
        <v>257</v>
      </c>
      <c r="E234" s="204"/>
      <c r="F234" s="205"/>
      <c r="G234" s="205"/>
      <c r="H234" s="205"/>
      <c r="I234" s="204"/>
      <c r="J234" s="206"/>
      <c r="K234"/>
      <c r="L234" s="207"/>
      <c r="M234" s="205"/>
      <c r="N234" s="205"/>
      <c r="O234" s="205"/>
      <c r="P234" s="204"/>
      <c r="Q234" s="205"/>
      <c r="R234" s="206"/>
      <c r="T234" s="207"/>
      <c r="U234" s="205"/>
      <c r="V234" s="205"/>
      <c r="W234" s="205"/>
      <c r="X234" s="204"/>
      <c r="Y234" s="205"/>
      <c r="Z234" s="206"/>
    </row>
    <row r="235" spans="4:26" ht="18" customHeight="1" hidden="1">
      <c r="D235" s="198" t="s">
        <v>258</v>
      </c>
      <c r="E235" s="208" t="str">
        <f>_xlfn.XLOOKUP(E225,CurrentPlans!B:B,CurrentPlans!AB:AB,"NA",0,1)</f>
        <v>NA</v>
      </c>
      <c r="F235" s="200"/>
      <c r="G235" s="200"/>
      <c r="H235" s="200"/>
      <c r="I235" s="208"/>
      <c r="J235" s="201"/>
      <c r="K235"/>
      <c r="L235" s="209" t="str">
        <f ca="1">_xlfn.XLOOKUP(L225,RenewalPlans!B:B,RenewalPlans!AE:AE,"NA",0,1)</f>
        <v>NA</v>
      </c>
      <c r="M235" s="200"/>
      <c r="N235" s="200"/>
      <c r="O235" s="200"/>
      <c r="P235" s="208"/>
      <c r="Q235" s="200"/>
      <c r="R235" s="201"/>
      <c r="T235" s="209" t="str">
        <f>_xlfn.XLOOKUP(T225,RenewalPlans!B:B,RenewalPlans!AE:AE,"NA",0,1)</f>
        <v>NA</v>
      </c>
      <c r="U235" s="200"/>
      <c r="V235" s="200"/>
      <c r="W235" s="200"/>
      <c r="X235" s="208"/>
      <c r="Y235" s="200"/>
      <c r="Z235" s="201"/>
    </row>
    <row r="236" spans="4:26" ht="18" customHeight="1" hidden="1">
      <c r="D236" s="198" t="s">
        <v>259</v>
      </c>
      <c r="E236" s="208" t="str">
        <f>_xlfn.XLOOKUP(E225,CurrentPlans!B:B,CurrentPlans!AC:AC,"NA",0,1)</f>
        <v>NA</v>
      </c>
      <c r="F236" s="200"/>
      <c r="G236" s="200"/>
      <c r="H236" s="200"/>
      <c r="I236" s="208"/>
      <c r="J236" s="201"/>
      <c r="K236"/>
      <c r="L236" s="209" t="str">
        <f ca="1">_xlfn.XLOOKUP(L225,RenewalPlans!B:B,RenewalPlans!AF:AF,"NA",0,1)</f>
        <v>NA</v>
      </c>
      <c r="M236" s="200"/>
      <c r="N236" s="200"/>
      <c r="O236" s="200"/>
      <c r="P236" s="208"/>
      <c r="Q236" s="200"/>
      <c r="R236" s="201"/>
      <c r="T236" s="209" t="str">
        <f>_xlfn.XLOOKUP(T225,RenewalPlans!B:B,RenewalPlans!AF:AF,"NA",0,1)</f>
        <v>NA</v>
      </c>
      <c r="U236" s="200"/>
      <c r="V236" s="200"/>
      <c r="W236" s="200"/>
      <c r="X236" s="208"/>
      <c r="Y236" s="200"/>
      <c r="Z236" s="201"/>
    </row>
    <row r="237" spans="4:26" ht="18" customHeight="1" hidden="1">
      <c r="D237" s="210"/>
      <c r="E237" s="211"/>
      <c r="F237" s="211"/>
      <c r="G237" s="211"/>
      <c r="H237" s="211"/>
      <c r="I237" s="211"/>
      <c r="J237" s="212"/>
      <c r="K237"/>
      <c r="L237" s="210"/>
      <c r="M237" s="211"/>
      <c r="N237" s="211"/>
      <c r="O237" s="211"/>
      <c r="P237" s="211"/>
      <c r="Q237" s="211"/>
      <c r="R237" s="212"/>
      <c r="T237" s="210"/>
      <c r="U237" s="211"/>
      <c r="V237" s="211"/>
      <c r="W237" s="211"/>
      <c r="X237" s="211"/>
      <c r="Y237" s="211"/>
      <c r="Z237" s="212"/>
    </row>
    <row r="238" spans="4:26" ht="18" customHeight="1" hidden="1">
      <c r="D238" s="185" t="s">
        <v>260</v>
      </c>
      <c r="E238" s="186"/>
      <c r="F238" s="186"/>
      <c r="G238" s="186"/>
      <c r="H238" s="186"/>
      <c r="I238" s="186"/>
      <c r="J238" s="187"/>
      <c r="K238"/>
      <c r="L238" s="188"/>
      <c r="M238" s="186"/>
      <c r="N238" s="186"/>
      <c r="O238" s="186"/>
      <c r="P238" s="186"/>
      <c r="Q238" s="186"/>
      <c r="R238" s="187"/>
      <c r="T238" s="188"/>
      <c r="U238" s="186"/>
      <c r="V238" s="186"/>
      <c r="W238" s="186"/>
      <c r="X238" s="186"/>
      <c r="Y238" s="186"/>
      <c r="Z238" s="187"/>
    </row>
    <row r="239" spans="4:26" ht="18" customHeight="1" hidden="1">
      <c r="D239" s="213" t="s">
        <v>261</v>
      </c>
      <c r="E239" s="130" t="str">
        <f>_xlfn.XLOOKUP(E225,CurrentPlans!B:B,CurrentPlans!AJ:AJ,"NA",0,1)</f>
        <v>NA</v>
      </c>
      <c r="F239" s="214"/>
      <c r="G239" s="214"/>
      <c r="H239" s="214"/>
      <c r="I239" s="130"/>
      <c r="J239" s="215"/>
      <c r="K239"/>
      <c r="L239" s="131" t="str">
        <f ca="1">_xlfn.XLOOKUP(L225,RenewalPlans!B:B,RenewalPlans!AM:AM,"NA",0,1)</f>
        <v>NA</v>
      </c>
      <c r="M239" s="214"/>
      <c r="N239" s="214"/>
      <c r="O239" s="214"/>
      <c r="P239" s="130"/>
      <c r="Q239" s="214"/>
      <c r="R239" s="215"/>
      <c r="T239" s="131" t="str">
        <f>_xlfn.XLOOKUP(T225,RenewalPlans!B:B,RenewalPlans!AM:AM,"NA",0,1)</f>
        <v>NA</v>
      </c>
      <c r="U239" s="214"/>
      <c r="V239" s="214"/>
      <c r="W239" s="214"/>
      <c r="X239" s="130"/>
      <c r="Y239" s="214"/>
      <c r="Z239" s="215"/>
    </row>
    <row r="240" spans="4:26" ht="18" customHeight="1" hidden="1">
      <c r="D240" s="198" t="s">
        <v>262</v>
      </c>
      <c r="E240" s="130" t="str">
        <f>_xlfn.XLOOKUP(E225,CurrentPlans!B:B,CurrentPlans!AM:AM,"NA",0,1)</f>
        <v>NA</v>
      </c>
      <c r="F240" s="200"/>
      <c r="G240" s="200"/>
      <c r="H240" s="200"/>
      <c r="I240" s="130"/>
      <c r="J240" s="201"/>
      <c r="K240"/>
      <c r="L240" s="131" t="str">
        <f ca="1">_xlfn.XLOOKUP(L225,RenewalPlans!B:B,RenewalPlans!AP:AP,"NA",0,1)</f>
        <v>NA</v>
      </c>
      <c r="M240" s="200"/>
      <c r="N240" s="200"/>
      <c r="O240" s="200"/>
      <c r="P240" s="130"/>
      <c r="Q240" s="200"/>
      <c r="R240" s="201"/>
      <c r="T240" s="131" t="str">
        <f>_xlfn.XLOOKUP(T225,RenewalPlans!B:B,RenewalPlans!AP:AP,"NA",0,1)</f>
        <v>NA</v>
      </c>
      <c r="U240" s="200"/>
      <c r="V240" s="200"/>
      <c r="W240" s="200"/>
      <c r="X240" s="130"/>
      <c r="Y240" s="200"/>
      <c r="Z240" s="201"/>
    </row>
    <row r="241" spans="4:26" ht="18" customHeight="1" hidden="1">
      <c r="D241" s="198" t="s">
        <v>263</v>
      </c>
      <c r="E241" s="130" t="str">
        <f>_xlfn.XLOOKUP(E225,CurrentPlans!B:B,CurrentPlans!AI:AI,"NA",0,1)</f>
        <v>NA</v>
      </c>
      <c r="F241" s="200"/>
      <c r="G241" s="200"/>
      <c r="H241" s="200"/>
      <c r="I241" s="130"/>
      <c r="J241" s="201"/>
      <c r="K241"/>
      <c r="L241" s="131" t="str">
        <f ca="1">_xlfn.XLOOKUP(L225,RenewalPlans!B:B,RenewalPlans!AL:AL,"NA",0,1)</f>
        <v>NA</v>
      </c>
      <c r="M241" s="200"/>
      <c r="N241" s="200"/>
      <c r="O241" s="200"/>
      <c r="P241" s="130"/>
      <c r="Q241" s="200"/>
      <c r="R241" s="201"/>
      <c r="T241" s="131" t="str">
        <f>_xlfn.XLOOKUP(T225,RenewalPlans!B:B,RenewalPlans!AL:AL,"NA",0,1)</f>
        <v>NA</v>
      </c>
      <c r="U241" s="200"/>
      <c r="V241" s="200"/>
      <c r="W241" s="200"/>
      <c r="X241" s="130"/>
      <c r="Y241" s="200"/>
      <c r="Z241" s="201"/>
    </row>
    <row r="242" spans="4:26" ht="18" customHeight="1" hidden="1">
      <c r="D242" s="198" t="s">
        <v>264</v>
      </c>
      <c r="E242" s="208" t="str">
        <f>_xlfn.XLOOKUP(E225,CurrentPlans!B:B,CurrentPlans!AN:AN,"NA",0,1)</f>
        <v>NA</v>
      </c>
      <c r="F242" s="200"/>
      <c r="G242" s="200"/>
      <c r="H242" s="200"/>
      <c r="I242" s="208"/>
      <c r="J242" s="201"/>
      <c r="K242"/>
      <c r="L242" s="209" t="str">
        <f ca="1">_xlfn.XLOOKUP(L225,RenewalPlans!B:B,RenewalPlans!AQ:AQ,"NA",0,1)</f>
        <v>NA</v>
      </c>
      <c r="M242" s="200"/>
      <c r="N242" s="200"/>
      <c r="O242" s="200"/>
      <c r="P242" s="208"/>
      <c r="Q242" s="200"/>
      <c r="R242" s="201"/>
      <c r="T242" s="209" t="str">
        <f>_xlfn.XLOOKUP(T225,RenewalPlans!B:B,RenewalPlans!AQ:AQ,"NA",0,1)</f>
        <v>NA</v>
      </c>
      <c r="U242" s="200"/>
      <c r="V242" s="200"/>
      <c r="W242" s="200"/>
      <c r="X242" s="208"/>
      <c r="Y242" s="200"/>
      <c r="Z242" s="201"/>
    </row>
    <row r="243" spans="4:26" ht="18" customHeight="1" hidden="1">
      <c r="D243" s="210"/>
      <c r="E243" s="211"/>
      <c r="F243" s="211"/>
      <c r="G243" s="211"/>
      <c r="H243" s="211"/>
      <c r="I243" s="211"/>
      <c r="J243" s="212"/>
      <c r="K243"/>
      <c r="L243" s="210"/>
      <c r="M243" s="211"/>
      <c r="N243" s="211"/>
      <c r="O243" s="211"/>
      <c r="P243" s="211"/>
      <c r="Q243" s="211"/>
      <c r="R243" s="212"/>
      <c r="T243" s="210"/>
      <c r="U243" s="211"/>
      <c r="V243" s="211"/>
      <c r="W243" s="211"/>
      <c r="X243" s="211"/>
      <c r="Y243" s="211"/>
      <c r="Z243" s="212"/>
    </row>
    <row r="244" spans="4:26" ht="18" customHeight="1" hidden="1">
      <c r="D244" s="185" t="s">
        <v>265</v>
      </c>
      <c r="E244" s="186"/>
      <c r="F244" s="186"/>
      <c r="G244" s="186"/>
      <c r="H244" s="186"/>
      <c r="I244" s="186"/>
      <c r="J244" s="187"/>
      <c r="K244"/>
      <c r="L244" s="188"/>
      <c r="M244" s="186"/>
      <c r="N244" s="186"/>
      <c r="O244" s="186"/>
      <c r="P244" s="186"/>
      <c r="Q244" s="186"/>
      <c r="R244" s="187"/>
      <c r="T244" s="188"/>
      <c r="U244" s="186"/>
      <c r="V244" s="186"/>
      <c r="W244" s="186"/>
      <c r="X244" s="186"/>
      <c r="Y244" s="186"/>
      <c r="Z244" s="187"/>
    </row>
    <row r="245" spans="4:26" ht="18" customHeight="1" hidden="1">
      <c r="D245" s="132" t="s">
        <v>266</v>
      </c>
      <c r="E245" s="133" t="str">
        <f>_xlfn.XLOOKUP(E225,CurrentPlans!B:B,CurrentPlans!AE:AE,"NA",0,1)</f>
        <v>NA</v>
      </c>
      <c r="F245" s="134"/>
      <c r="G245" s="134"/>
      <c r="H245" s="134"/>
      <c r="I245" s="133"/>
      <c r="J245" s="135"/>
      <c r="K245"/>
      <c r="L245" s="136" t="str">
        <f ca="1">_xlfn.XLOOKUP(L225,RenewalPlans!B:B,RenewalPlans!AH:AH,"NA",0,1)</f>
        <v>NA</v>
      </c>
      <c r="M245" s="134"/>
      <c r="N245" s="134"/>
      <c r="O245" s="134"/>
      <c r="P245" s="133"/>
      <c r="Q245" s="134"/>
      <c r="R245" s="135"/>
      <c r="T245" s="136" t="str">
        <f>_xlfn.XLOOKUP(T225,RenewalPlans!B:B,RenewalPlans!AH:AH,"NA",0,1)</f>
        <v>NA</v>
      </c>
      <c r="U245" s="134"/>
      <c r="V245" s="134"/>
      <c r="W245" s="134"/>
      <c r="X245" s="133"/>
      <c r="Y245" s="134"/>
      <c r="Z245" s="135"/>
    </row>
    <row r="246" spans="4:26" ht="18" customHeight="1" hidden="1">
      <c r="D246" s="120" t="s">
        <v>267</v>
      </c>
      <c r="E246" s="130" t="str">
        <f>_xlfn.XLOOKUP(E225,CurrentPlans!B:B,CurrentPlans!AF:AF,"NA",0,1)</f>
        <v>NA</v>
      </c>
      <c r="F246" s="122"/>
      <c r="G246" s="122"/>
      <c r="H246" s="122"/>
      <c r="I246" s="130"/>
      <c r="J246" s="123"/>
      <c r="K246"/>
      <c r="L246" s="131" t="str">
        <f ca="1">_xlfn.XLOOKUP(L225,RenewalPlans!B:B,RenewalPlans!AI:AI,"NA",0,1)</f>
        <v>NA</v>
      </c>
      <c r="M246" s="122"/>
      <c r="N246" s="122"/>
      <c r="O246" s="122"/>
      <c r="P246" s="130"/>
      <c r="Q246" s="122"/>
      <c r="R246" s="123"/>
      <c r="T246" s="131" t="str">
        <f>_xlfn.XLOOKUP(T225,RenewalPlans!B:B,RenewalPlans!AI:AI,"NA",0,1)</f>
        <v>NA</v>
      </c>
      <c r="U246" s="122"/>
      <c r="V246" s="122"/>
      <c r="W246" s="122"/>
      <c r="X246" s="130"/>
      <c r="Y246" s="122"/>
      <c r="Z246" s="123"/>
    </row>
    <row r="247" spans="4:26" ht="18" customHeight="1" hidden="1">
      <c r="D247" s="198" t="s">
        <v>268</v>
      </c>
      <c r="E247" s="130" t="str">
        <f>_xlfn.XLOOKUP(E225,CurrentPlans!B:B,CurrentPlans!AH:AH,"NA",0,1)</f>
        <v>NA</v>
      </c>
      <c r="F247" s="200"/>
      <c r="G247" s="200"/>
      <c r="H247" s="200"/>
      <c r="I247" s="130"/>
      <c r="J247" s="201"/>
      <c r="K247"/>
      <c r="L247" s="131" t="str">
        <f ca="1">_xlfn.XLOOKUP(L225,RenewalPlans!B:B,RenewalPlans!AK:AK,"NA",0,1)</f>
        <v>NA</v>
      </c>
      <c r="M247" s="200"/>
      <c r="N247" s="200"/>
      <c r="O247" s="200"/>
      <c r="P247" s="130"/>
      <c r="Q247" s="200"/>
      <c r="R247" s="201"/>
      <c r="T247" s="131" t="str">
        <f>_xlfn.XLOOKUP(T225,RenewalPlans!B:B,RenewalPlans!AK:AK,"NA",0,1)</f>
        <v>NA</v>
      </c>
      <c r="U247" s="200"/>
      <c r="V247" s="200"/>
      <c r="W247" s="200"/>
      <c r="X247" s="130"/>
      <c r="Y247" s="200"/>
      <c r="Z247" s="201"/>
    </row>
    <row r="248" spans="4:26" ht="18" customHeight="1" hidden="1">
      <c r="D248" s="198" t="s">
        <v>269</v>
      </c>
      <c r="E248" s="130" t="str">
        <f>_xlfn.XLOOKUP(E225,CurrentPlans!B:B,CurrentPlans!AG:AG,"NA",0,1)</f>
        <v>NA</v>
      </c>
      <c r="F248" s="200"/>
      <c r="G248" s="200"/>
      <c r="H248" s="200"/>
      <c r="I248" s="130"/>
      <c r="J248" s="201"/>
      <c r="K248"/>
      <c r="L248" s="131" t="str">
        <f ca="1">_xlfn.XLOOKUP(L225,RenewalPlans!B:B,RenewalPlans!AJ:AJ,"NA",0,1)</f>
        <v>NA</v>
      </c>
      <c r="M248" s="200"/>
      <c r="N248" s="200"/>
      <c r="O248" s="200"/>
      <c r="P248" s="130"/>
      <c r="Q248" s="200"/>
      <c r="R248" s="201"/>
      <c r="T248" s="131" t="str">
        <f>_xlfn.XLOOKUP(T225,RenewalPlans!B:B,RenewalPlans!AJ:AJ,"NA",0,1)</f>
        <v>NA</v>
      </c>
      <c r="U248" s="200"/>
      <c r="V248" s="200"/>
      <c r="W248" s="200"/>
      <c r="X248" s="130"/>
      <c r="Y248" s="200"/>
      <c r="Z248" s="201"/>
    </row>
    <row r="249" spans="4:26" ht="18" customHeight="1" hidden="1">
      <c r="D249" s="213" t="s">
        <v>270</v>
      </c>
      <c r="E249" s="216" t="str">
        <f>_xlfn.XLOOKUP(E225,CurrentPlans!B:B,CurrentPlans!AU:AU,"NA",0,1)</f>
        <v>NA</v>
      </c>
      <c r="F249" s="214"/>
      <c r="G249" s="214"/>
      <c r="H249" s="214"/>
      <c r="I249" s="217"/>
      <c r="J249" s="215"/>
      <c r="K249"/>
      <c r="L249" s="218" t="str">
        <f ca="1">_xlfn.XLOOKUP(L225,RenewalPlans!B:B,RenewalPlans!AX:AX,"NA",0,1)</f>
        <v>NA</v>
      </c>
      <c r="M249" s="214"/>
      <c r="N249" s="214"/>
      <c r="O249" s="214"/>
      <c r="P249" s="217"/>
      <c r="Q249" s="214"/>
      <c r="R249" s="215"/>
      <c r="T249" s="218" t="str">
        <f>_xlfn.XLOOKUP(T225,RenewalPlans!B:B,RenewalPlans!AX:AX,"NA",0,1)</f>
        <v>NA</v>
      </c>
      <c r="U249" s="214"/>
      <c r="V249" s="214"/>
      <c r="W249" s="214"/>
      <c r="X249" s="217"/>
      <c r="Y249" s="214"/>
      <c r="Z249" s="215"/>
    </row>
    <row r="250" spans="4:26" ht="18" customHeight="1" hidden="1">
      <c r="D250" s="213" t="s">
        <v>271</v>
      </c>
      <c r="E250" s="216" t="str">
        <f>_xlfn.XLOOKUP(E225,CurrentPlans!B:B,CurrentPlans!AT:AT,"NA",0,1)</f>
        <v>NA</v>
      </c>
      <c r="F250" s="214"/>
      <c r="G250" s="214"/>
      <c r="H250" s="214"/>
      <c r="I250" s="217"/>
      <c r="J250" s="215"/>
      <c r="K250"/>
      <c r="L250" s="218" t="str">
        <f ca="1">_xlfn.XLOOKUP(L225,RenewalPlans!B:B,RenewalPlans!AW:AW,"NA",0,1)</f>
        <v>NA</v>
      </c>
      <c r="M250" s="214"/>
      <c r="N250" s="214"/>
      <c r="O250" s="214"/>
      <c r="P250" s="217"/>
      <c r="Q250" s="214"/>
      <c r="R250" s="215"/>
      <c r="T250" s="218" t="str">
        <f>_xlfn.XLOOKUP(T225,RenewalPlans!B:B,RenewalPlans!AW:AW,"NA",0,1)</f>
        <v>NA</v>
      </c>
      <c r="U250" s="214"/>
      <c r="V250" s="214"/>
      <c r="W250" s="214"/>
      <c r="X250" s="217"/>
      <c r="Y250" s="214"/>
      <c r="Z250" s="215"/>
    </row>
    <row r="251" spans="4:26" ht="18" customHeight="1" hidden="1">
      <c r="D251" s="198" t="s">
        <v>272</v>
      </c>
      <c r="E251" s="130" t="str">
        <f>_xlfn.XLOOKUP(E225,CurrentPlans!B:B,CurrentPlans!AD:AD,"NA",0,1)</f>
        <v>NA</v>
      </c>
      <c r="F251" s="200"/>
      <c r="G251" s="200"/>
      <c r="H251" s="200"/>
      <c r="I251" s="130"/>
      <c r="J251" s="201"/>
      <c r="K251"/>
      <c r="L251" s="131" t="str">
        <f ca="1">_xlfn.XLOOKUP(L225,RenewalPlans!B:B,RenewalPlans!AG:AG,"NA",0,1)</f>
        <v>NA</v>
      </c>
      <c r="M251" s="200"/>
      <c r="N251" s="200"/>
      <c r="O251" s="200"/>
      <c r="P251" s="130"/>
      <c r="Q251" s="200"/>
      <c r="R251" s="201"/>
      <c r="T251" s="131" t="str">
        <f>_xlfn.XLOOKUP(T225,RenewalPlans!B:B,RenewalPlans!AG:AG,"NA",0,1)</f>
        <v>NA</v>
      </c>
      <c r="U251" s="200"/>
      <c r="V251" s="200"/>
      <c r="W251" s="200"/>
      <c r="X251" s="130"/>
      <c r="Y251" s="200"/>
      <c r="Z251" s="201"/>
    </row>
    <row r="252" spans="4:26" ht="18" customHeight="1" hidden="1">
      <c r="D252" s="198" t="s">
        <v>273</v>
      </c>
      <c r="E252" s="200"/>
      <c r="F252" s="200"/>
      <c r="G252" s="200"/>
      <c r="H252" s="200"/>
      <c r="I252" s="200"/>
      <c r="J252" s="201"/>
      <c r="K252"/>
      <c r="L252" s="198"/>
      <c r="M252" s="200"/>
      <c r="N252" s="200"/>
      <c r="O252" s="200"/>
      <c r="P252" s="200"/>
      <c r="Q252" s="200"/>
      <c r="R252" s="201"/>
      <c r="T252" s="198"/>
      <c r="U252" s="200"/>
      <c r="V252" s="200"/>
      <c r="W252" s="200"/>
      <c r="X252" s="200"/>
      <c r="Y252" s="200"/>
      <c r="Z252" s="201"/>
    </row>
    <row r="253" spans="4:26" ht="18" customHeight="1" hidden="1">
      <c r="D253" s="210"/>
      <c r="E253" s="211"/>
      <c r="F253" s="211"/>
      <c r="G253" s="211"/>
      <c r="H253" s="211"/>
      <c r="I253" s="211"/>
      <c r="J253" s="212"/>
      <c r="K253"/>
      <c r="L253" s="210"/>
      <c r="M253" s="211"/>
      <c r="N253" s="211"/>
      <c r="O253" s="211"/>
      <c r="P253" s="211"/>
      <c r="Q253" s="211"/>
      <c r="R253" s="212"/>
      <c r="T253" s="210"/>
      <c r="U253" s="211"/>
      <c r="V253" s="211"/>
      <c r="W253" s="211"/>
      <c r="X253" s="211"/>
      <c r="Y253" s="211"/>
      <c r="Z253" s="212"/>
    </row>
    <row r="254" spans="4:26" ht="18" customHeight="1" hidden="1">
      <c r="D254" s="219" t="s">
        <v>274</v>
      </c>
      <c r="E254" s="220"/>
      <c r="F254" s="220"/>
      <c r="G254" s="220"/>
      <c r="H254" s="220"/>
      <c r="I254" s="220"/>
      <c r="J254" s="221"/>
      <c r="K254"/>
      <c r="L254" s="222"/>
      <c r="M254" s="220"/>
      <c r="N254" s="220"/>
      <c r="O254" s="220"/>
      <c r="P254" s="220"/>
      <c r="Q254" s="220"/>
      <c r="R254" s="221"/>
      <c r="T254" s="222"/>
      <c r="U254" s="220"/>
      <c r="V254" s="220"/>
      <c r="W254" s="220"/>
      <c r="X254" s="220"/>
      <c r="Y254" s="220"/>
      <c r="Z254" s="221"/>
    </row>
    <row r="255" spans="4:26" ht="18" customHeight="1" hidden="1">
      <c r="D255" s="223" t="s">
        <v>250</v>
      </c>
      <c r="E255" s="205"/>
      <c r="F255" s="205"/>
      <c r="G255" s="205"/>
      <c r="H255" s="205"/>
      <c r="I255" s="205"/>
      <c r="J255" s="206"/>
      <c r="K255"/>
      <c r="L255" s="203"/>
      <c r="M255" s="205"/>
      <c r="N255" s="205"/>
      <c r="O255" s="205"/>
      <c r="P255" s="205"/>
      <c r="Q255" s="205"/>
      <c r="R255" s="206"/>
      <c r="T255" s="203"/>
      <c r="U255" s="205"/>
      <c r="V255" s="205"/>
      <c r="W255" s="205"/>
      <c r="X255" s="205"/>
      <c r="Y255" s="205"/>
      <c r="Z255" s="206"/>
    </row>
    <row r="256" spans="4:26" ht="18" customHeight="1" hidden="1">
      <c r="D256" s="198" t="s">
        <v>251</v>
      </c>
      <c r="E256" s="130" t="str">
        <f>_xlfn.XLOOKUP(E225,CurrentPlans!B:B,CurrentPlans!AP:AP,"NA",0,1)</f>
        <v>NA</v>
      </c>
      <c r="F256" s="200"/>
      <c r="G256" s="200"/>
      <c r="H256" s="200"/>
      <c r="I256" s="130"/>
      <c r="J256" s="201"/>
      <c r="K256"/>
      <c r="L256" s="131" t="str">
        <f ca="1">_xlfn.XLOOKUP(L225,RenewalPlans!B:B,RenewalPlans!AS:AS,"NA",0,1)</f>
        <v>NA</v>
      </c>
      <c r="M256" s="200"/>
      <c r="N256" s="200"/>
      <c r="O256" s="200"/>
      <c r="P256" s="130"/>
      <c r="Q256" s="200"/>
      <c r="R256" s="201"/>
      <c r="T256" s="131" t="str">
        <f>_xlfn.XLOOKUP(T225,RenewalPlans!B:B,RenewalPlans!AS:AS,"NA",0,1)</f>
        <v>NA</v>
      </c>
      <c r="U256" s="200"/>
      <c r="V256" s="200"/>
      <c r="W256" s="200"/>
      <c r="X256" s="130"/>
      <c r="Y256" s="200"/>
      <c r="Z256" s="201"/>
    </row>
    <row r="257" spans="4:26" ht="18" customHeight="1" hidden="1">
      <c r="D257" s="198" t="s">
        <v>252</v>
      </c>
      <c r="E257" s="130" t="str">
        <f>_xlfn.XLOOKUP(E225,CurrentPlans!B:B,CurrentPlans!AQ:AQ,"NA",0,1)</f>
        <v>NA</v>
      </c>
      <c r="F257" s="200"/>
      <c r="G257" s="200"/>
      <c r="H257" s="200"/>
      <c r="I257" s="130"/>
      <c r="J257" s="201"/>
      <c r="K257"/>
      <c r="L257" s="131" t="str">
        <f ca="1">_xlfn.XLOOKUP(L225,RenewalPlans!B:B,RenewalPlans!AT:AT,"NA",0,1)</f>
        <v>NA</v>
      </c>
      <c r="M257" s="200"/>
      <c r="N257" s="200"/>
      <c r="O257" s="200"/>
      <c r="P257" s="130"/>
      <c r="Q257" s="200"/>
      <c r="R257" s="201"/>
      <c r="T257" s="131" t="str">
        <f>_xlfn.XLOOKUP(T225,RenewalPlans!B:B,RenewalPlans!AT:AT,"NA",0,1)</f>
        <v>NA</v>
      </c>
      <c r="U257" s="200"/>
      <c r="V257" s="200"/>
      <c r="W257" s="200"/>
      <c r="X257" s="130"/>
      <c r="Y257" s="200"/>
      <c r="Z257" s="201"/>
    </row>
    <row r="258" spans="4:26" ht="18" customHeight="1" hidden="1">
      <c r="D258" s="120" t="s">
        <v>253</v>
      </c>
      <c r="E258" s="133" t="str">
        <f>_xlfn.XLOOKUP(E225,CurrentPlans!B:B,CurrentPlans!AO:AO,"NA",0,1)</f>
        <v>NA</v>
      </c>
      <c r="F258" s="122"/>
      <c r="G258" s="122"/>
      <c r="H258" s="122"/>
      <c r="I258" s="133"/>
      <c r="J258" s="123"/>
      <c r="K258"/>
      <c r="L258" s="136" t="str">
        <f ca="1">_xlfn.XLOOKUP(L225,RenewalPlans!B:B,RenewalPlans!AR:AR,"NA",0,1)</f>
        <v>NA</v>
      </c>
      <c r="M258" s="122"/>
      <c r="N258" s="122"/>
      <c r="O258" s="122"/>
      <c r="P258" s="133"/>
      <c r="Q258" s="122"/>
      <c r="R258" s="123"/>
      <c r="T258" s="136" t="str">
        <f>_xlfn.XLOOKUP(T225,RenewalPlans!B:B,RenewalPlans!AR:AR,"NA",0,1)</f>
        <v>NA</v>
      </c>
      <c r="U258" s="122"/>
      <c r="V258" s="122"/>
      <c r="W258" s="122"/>
      <c r="X258" s="133"/>
      <c r="Y258" s="122"/>
      <c r="Z258" s="123"/>
    </row>
    <row r="259" spans="4:26" ht="18" customHeight="1" hidden="1">
      <c r="D259" s="223" t="s">
        <v>254</v>
      </c>
      <c r="E259" s="205"/>
      <c r="F259" s="205"/>
      <c r="G259" s="205"/>
      <c r="H259" s="205"/>
      <c r="I259" s="205"/>
      <c r="J259" s="206"/>
      <c r="K259"/>
      <c r="L259" s="203"/>
      <c r="M259" s="205"/>
      <c r="N259" s="205"/>
      <c r="O259" s="205"/>
      <c r="P259" s="205"/>
      <c r="Q259" s="205"/>
      <c r="R259" s="206"/>
      <c r="T259" s="203"/>
      <c r="U259" s="205"/>
      <c r="V259" s="205"/>
      <c r="W259" s="205"/>
      <c r="X259" s="205"/>
      <c r="Y259" s="205"/>
      <c r="Z259" s="206"/>
    </row>
    <row r="260" spans="4:26" ht="18" customHeight="1" hidden="1">
      <c r="D260" s="198" t="s">
        <v>255</v>
      </c>
      <c r="E260" s="130" t="str">
        <f>_xlfn.XLOOKUP(E225,CurrentPlans!B:B,CurrentPlans!AR:AR,"NA",0,1)</f>
        <v>NA</v>
      </c>
      <c r="F260" s="200"/>
      <c r="G260" s="200"/>
      <c r="H260" s="200"/>
      <c r="I260" s="130"/>
      <c r="J260" s="201"/>
      <c r="K260"/>
      <c r="L260" s="131" t="str">
        <f ca="1">_xlfn.XLOOKUP(L225,RenewalPlans!B:B,RenewalPlans!AU:AU,"NA",0,1)</f>
        <v>NA</v>
      </c>
      <c r="M260" s="200"/>
      <c r="N260" s="200"/>
      <c r="O260" s="200"/>
      <c r="P260" s="130"/>
      <c r="Q260" s="200"/>
      <c r="R260" s="201"/>
      <c r="T260" s="131" t="str">
        <f>_xlfn.XLOOKUP(T225,RenewalPlans!B:B,RenewalPlans!AU:AU,"NA",0,1)</f>
        <v>NA</v>
      </c>
      <c r="U260" s="200"/>
      <c r="V260" s="200"/>
      <c r="W260" s="200"/>
      <c r="X260" s="130"/>
      <c r="Y260" s="200"/>
      <c r="Z260" s="201"/>
    </row>
    <row r="261" spans="4:26" ht="18" customHeight="1" hidden="1" thickBot="1">
      <c r="D261" s="224" t="s">
        <v>256</v>
      </c>
      <c r="E261" s="137" t="str">
        <f>_xlfn.XLOOKUP(E225,CurrentPlans!B:B,CurrentPlans!AS:AS,"NA",0,1)</f>
        <v>NA</v>
      </c>
      <c r="F261" s="225"/>
      <c r="G261" s="225"/>
      <c r="H261" s="225"/>
      <c r="I261" s="137"/>
      <c r="J261" s="226"/>
      <c r="K261"/>
      <c r="L261" s="138" t="str">
        <f ca="1">_xlfn.XLOOKUP(L225,RenewalPlans!B:B,RenewalPlans!AV:AV,"NA",0,1)</f>
        <v>NA</v>
      </c>
      <c r="M261" s="225"/>
      <c r="N261" s="225"/>
      <c r="O261" s="225"/>
      <c r="P261" s="137"/>
      <c r="Q261" s="225"/>
      <c r="R261" s="226"/>
      <c r="T261" s="138" t="str">
        <f>_xlfn.XLOOKUP(T225,RenewalPlans!B:B,RenewalPlans!AV:AV,"NA",0,1)</f>
        <v>NA</v>
      </c>
      <c r="U261" s="225"/>
      <c r="V261" s="225"/>
      <c r="W261" s="225"/>
      <c r="X261" s="137"/>
      <c r="Y261" s="225"/>
      <c r="Z261" s="226"/>
    </row>
    <row r="262" spans="4:26" ht="18" customHeight="1">
      <c r="D262" s="227"/>
      <c r="E262" s="176"/>
      <c r="F262" s="178"/>
      <c r="G262" s="179"/>
      <c r="H262" s="178"/>
      <c r="I262" s="176"/>
      <c r="J262" s="228"/>
      <c r="K262"/>
      <c r="L262" s="178"/>
      <c r="M262" s="176"/>
      <c r="N262" s="139"/>
      <c r="O262" s="178"/>
      <c r="P262" s="178"/>
      <c r="Q262" s="178"/>
      <c r="R262" s="228"/>
      <c r="T262" s="178"/>
      <c r="U262" s="176"/>
      <c r="V262" s="139"/>
      <c r="W262" s="178"/>
      <c r="X262" s="178"/>
      <c r="Y262" s="178"/>
      <c r="Z262" s="228"/>
    </row>
    <row r="263" spans="1:26" ht="5.25" customHeight="1" thickBot="1">
      <c r="A263" s="140"/>
      <c r="B263" s="140"/>
      <c r="D263" s="229"/>
      <c r="E263" s="229"/>
      <c r="F263" s="230"/>
      <c r="G263" s="231"/>
      <c r="H263" s="232"/>
      <c r="I263" s="233"/>
      <c r="J263" s="233"/>
      <c r="K263"/>
      <c r="L263" s="233"/>
      <c r="M263" s="233"/>
      <c r="N263" s="233"/>
      <c r="O263" s="233"/>
      <c r="P263" s="233"/>
      <c r="Q263" s="233"/>
      <c r="R263" s="233"/>
      <c r="T263" s="233"/>
      <c r="U263" s="233"/>
      <c r="V263" s="233"/>
      <c r="W263" s="233"/>
      <c r="X263" s="233"/>
      <c r="Y263" s="233"/>
      <c r="Z263" s="233"/>
    </row>
    <row r="264" spans="1:26" ht="50.15" customHeight="1">
      <c r="A264" s="140">
        <v>6</v>
      </c>
      <c r="B264" s="140" t="str">
        <f>IF(A264&gt;Class7_CurrentHealthCount,"DELETE",Class7_CurrentHealthStart+A264)</f>
        <v>DELETE</v>
      </c>
      <c r="C264" s="164" t="s">
        <v>279</v>
      </c>
      <c r="D264" s="273" t="str">
        <f>IF(B264="Delete","",VLOOKUP(F264,BEGIN_CURRENT_HEALTH:END_CURRENT_HEALTH,3,FALSE))</f>
        <v/>
      </c>
      <c r="E264" s="165"/>
      <c r="F264" s="272" t="str" cm="1">
        <f t="array" ca="1" aca="1" ref="F264">IF(B264="Delete","",INDIRECT("CurrentPlans!A"&amp;B264,TRUE))</f>
        <v/>
      </c>
      <c r="G264" s="166"/>
      <c r="H264" s="167"/>
      <c r="I264" s="168"/>
      <c r="J264" s="169"/>
      <c r="K264"/>
      <c r="L264" s="274" t="str">
        <f ca="1">_xlfn.IFNA(VLOOKUP(F264,BEGIN_RENEWEDFROM_HEALTH:ROW_RenewHealth_PlanID,3,FALSE),"SELECT PLAN")</f>
        <v>SELECT PLAN</v>
      </c>
      <c r="M264" s="170"/>
      <c r="N264" s="274" t="s">
        <v>237</v>
      </c>
      <c r="O264" s="171"/>
      <c r="P264" s="171"/>
      <c r="Q264" s="171"/>
      <c r="R264" s="169"/>
      <c r="T264" s="274" t="s">
        <v>38</v>
      </c>
      <c r="U264" s="170"/>
      <c r="V264" s="274" t="s">
        <v>237</v>
      </c>
      <c r="W264" s="171"/>
      <c r="X264" s="171"/>
      <c r="Y264" s="171"/>
      <c r="Z264" s="169"/>
    </row>
    <row r="265" spans="1:26" ht="18.75" customHeight="1">
      <c r="A265" s="140"/>
      <c r="B265" s="140"/>
      <c r="D265" s="172" t="s">
        <v>238</v>
      </c>
      <c r="E265" s="407" t="str">
        <f ca="1">_xlfn.IFNA(VLOOKUP(F264,BEGIN_CURRENT_HEALTH:END_CURRENT_HEALTH,CURRENT_COL_EO_count,FALSE),"")</f>
        <v/>
      </c>
      <c r="F265" s="408" t="str">
        <f ca="1">_xlfn.IFNA(VLOOKUP(F264,BEGIN_CURRENT_HEALTH:END_CURRENT_HEALTH,CURRENT_COL_EO,FALSE),"")</f>
        <v/>
      </c>
      <c r="G265" s="468" t="str">
        <f ca="1" t="shared" si="25" ref="G265:G268">IF(F265="","",H265/F265)</f>
        <v/>
      </c>
      <c r="H265" s="408" t="str">
        <f ca="1">_xlfn.IFNA(VLOOKUP(F264,BEGIN_CURRENT_HEALTH:END_CURRENT_HEALTH,CURRENT_COL_EOContrib,FALSE),"")</f>
        <v/>
      </c>
      <c r="I265" s="409" t="str">
        <f ca="1">IFERROR(F265-H265,"")</f>
        <v/>
      </c>
      <c r="J265" s="410" t="str">
        <f ca="1">IF(F265="","",H265*E265)</f>
        <v/>
      </c>
      <c r="K265" s="411"/>
      <c r="L265" s="408" t="str" cm="1">
        <f t="array" ca="1" aca="1" ref="L265">_xlfn.IFNA(VLOOKUP(INDIRECT("L"&amp;ROW()-1)&amp;"_"&amp;$D$12,BEGIN_RENEW_HEALTH:END_RENEW_HEALTH,RENEW_COL_EO,FALSE),"")</f>
        <v/>
      </c>
      <c r="M265" s="412" t="str">
        <f ca="1">IF(E265="","",E265)</f>
        <v/>
      </c>
      <c r="N265" s="413"/>
      <c r="O265" s="414"/>
      <c r="P265" s="415" t="str">
        <f>IFERROR(IF($N264="Keep Contribution Same",H265,IF($N264="Enter Percentages",IF(N265="","",N265*L265),IF($N264="Keep Percentage Same",IF(G265="","",G265*L265),IF($N264="Enter Dollar Amount",IF(O265="","",O265),"")))),"")</f>
        <v/>
      </c>
      <c r="Q265" s="408" t="str">
        <f ca="1">IFERROR(L265-P265,"")</f>
        <v/>
      </c>
      <c r="R265" s="410" t="str">
        <f>IFERROR(IF(P265="","",M265*P265),"")</f>
        <v/>
      </c>
      <c r="S265" s="411"/>
      <c r="T265" s="408" t="str" cm="1">
        <f t="array" ca="1" aca="1" ref="T265">_xlfn.IFNA(VLOOKUP(INDIRECT("T"&amp;ROW()-1)&amp;"_"&amp;$D$12,BEGIN_RENEW_HEALTH:END_RENEW_HEALTH,RENEW_COL_EO,FALSE),"")</f>
        <v/>
      </c>
      <c r="U265" s="412" t="str">
        <f ca="1">IF(E265="","",E265)</f>
        <v/>
      </c>
      <c r="V265" s="413"/>
      <c r="W265" s="414"/>
      <c r="X265" s="415" t="str">
        <f>IFERROR(IF($V264="Keep Contribution Same",H265,IF($V264="Enter Percentages",IF(V265="","",V265*T265),IF($V264="Keep Percentage Same",IF(G265="","",G265*T265),IF($V264="Enter Dollar Amount",IF(W265="","",W265),"")))),"")</f>
        <v/>
      </c>
      <c r="Y265" s="408" t="str">
        <f ca="1">IFERROR(T265-X265,"")</f>
        <v/>
      </c>
      <c r="Z265" s="410" t="str">
        <f>IFERROR(IF(X265="","",U265*X265),"")</f>
        <v/>
      </c>
    </row>
    <row r="266" spans="1:26" ht="18.75" customHeight="1">
      <c r="A266" s="140"/>
      <c r="B266" s="140"/>
      <c r="D266" s="172" t="s">
        <v>239</v>
      </c>
      <c r="E266" s="407" t="str">
        <f ca="1">_xlfn.IFNA(VLOOKUP(F264,BEGIN_CURRENT_HEALTH:END_CURRENT_HEALTH,CURRENT_COL_ES_count,FALSE),"")</f>
        <v/>
      </c>
      <c r="F266" s="408" t="str">
        <f ca="1">_xlfn.IFNA(VLOOKUP(F264,BEGIN_CURRENT_HEALTH:END_CURRENT_HEALTH,CURRENT_COL_ES,FALSE),"")</f>
        <v/>
      </c>
      <c r="G266" s="468" t="str">
        <f t="shared" ca="1" si="25"/>
        <v/>
      </c>
      <c r="H266" s="408" t="str">
        <f ca="1">_xlfn.IFNA(VLOOKUP(F264,BEGIN_CURRENT_HEALTH:END_CURRENT_HEALTH,CURRENT_COL_ESContrib,FALSE),"")</f>
        <v/>
      </c>
      <c r="I266" s="409" t="str">
        <f ca="1" t="shared" si="26" ref="I266:I268">IFERROR(F266-H266,"")</f>
        <v/>
      </c>
      <c r="J266" s="410" t="str">
        <f ca="1">IF(F266="","",H266*E266)</f>
        <v/>
      </c>
      <c r="K266" s="411"/>
      <c r="L266" s="408" t="str" cm="1">
        <f t="array" ca="1" aca="1" ref="L266">_xlfn.IFNA(VLOOKUP(INDIRECT("L"&amp;ROW()-2)&amp;"_"&amp;$D$12,BEGIN_RENEW_HEALTH:END_RENEW_HEALTH,RENEW_COL_ES,FALSE),"")</f>
        <v/>
      </c>
      <c r="M266" s="412" t="str">
        <f ca="1">IF(E266="","",E266)</f>
        <v/>
      </c>
      <c r="N266" s="413"/>
      <c r="O266" s="414"/>
      <c r="P266" s="415" t="str">
        <f>IFERROR(IF($N264="Keep Contribution Same",H266,IF($N264="Enter Percentages",IF(N266="","",N266*L266),IF($N264="Keep Percentage Same",IF(G266="","",G266*L266),IF($N264="Enter Dollar Amount",IF(O266="","",O266),"")))),"")</f>
        <v/>
      </c>
      <c r="Q266" s="408" t="str">
        <f ca="1">IFERROR(L266-P266,"")</f>
        <v/>
      </c>
      <c r="R266" s="410" t="str">
        <f>IFERROR(IF(P266="","",M266*P266),"")</f>
        <v/>
      </c>
      <c r="S266" s="411"/>
      <c r="T266" s="408" t="str" cm="1">
        <f t="array" ca="1" aca="1" ref="T266">_xlfn.IFNA(VLOOKUP(INDIRECT("T"&amp;ROW()-2)&amp;"_"&amp;$D$12,BEGIN_RENEW_HEALTH:END_RENEW_HEALTH,RENEW_COL_ES,FALSE),"")</f>
        <v/>
      </c>
      <c r="U266" s="412" t="str">
        <f ca="1" t="shared" si="27" ref="U266:U268">IF(E266="","",E266)</f>
        <v/>
      </c>
      <c r="V266" s="413"/>
      <c r="W266" s="414"/>
      <c r="X266" s="415" t="str">
        <f>IFERROR(IF($V264="Keep Contribution Same",H266,IF($V264="Enter Percentages",IF(V266="","",V266*T266),IF($V264="Keep Percentage Same",IF(G266="","",G266*T266),IF($V264="Enter Dollar Amount",IF(W266="","",W266),"")))),"")</f>
        <v/>
      </c>
      <c r="Y266" s="408" t="str">
        <f ca="1" t="shared" si="28" ref="Y266:Y268">IFERROR(T266-X266,"")</f>
        <v/>
      </c>
      <c r="Z266" s="410" t="str">
        <f t="shared" si="29" ref="Z266:Z268">IFERROR(IF(X266="","",U266*X266),"")</f>
        <v/>
      </c>
    </row>
    <row r="267" spans="1:26" ht="18.75" customHeight="1">
      <c r="A267" s="140"/>
      <c r="B267" s="140"/>
      <c r="D267" s="172" t="s">
        <v>240</v>
      </c>
      <c r="E267" s="407" t="str">
        <f ca="1">_xlfn.IFNA(VLOOKUP(F264,BEGIN_CURRENT_HEALTH:END_CURRENT_HEALTH,CURRENT_COL_EC_count,FALSE),"")</f>
        <v/>
      </c>
      <c r="F267" s="408" t="str">
        <f ca="1">_xlfn.IFNA(VLOOKUP(F264,BEGIN_CURRENT_HEALTH:END_CURRENT_HEALTH,CURRENT_COL_EC,FALSE),"")</f>
        <v/>
      </c>
      <c r="G267" s="468" t="str">
        <f t="shared" ca="1" si="25"/>
        <v/>
      </c>
      <c r="H267" s="408" t="str">
        <f ca="1">_xlfn.IFNA(VLOOKUP(F264,BEGIN_CURRENT_HEALTH:END_CURRENT_HEALTH,CURRENT_COL_ECContrib,FALSE),"")</f>
        <v/>
      </c>
      <c r="I267" s="409" t="str">
        <f t="shared" ca="1" si="26"/>
        <v/>
      </c>
      <c r="J267" s="410" t="str">
        <f ca="1">IF(F267="","",H267*E267)</f>
        <v/>
      </c>
      <c r="K267" s="411"/>
      <c r="L267" s="408" t="str" cm="1">
        <f t="array" ca="1" aca="1" ref="L267">_xlfn.IFNA(VLOOKUP(INDIRECT("L"&amp;ROW()-3)&amp;"_"&amp;$D$12,BEGIN_RENEW_HEALTH:END_RENEW_HEALTH,RENEW_COL_EC,FALSE),"")</f>
        <v/>
      </c>
      <c r="M267" s="412" t="str">
        <f ca="1">IF(E267="","",E267)</f>
        <v/>
      </c>
      <c r="N267" s="413"/>
      <c r="O267" s="414"/>
      <c r="P267" s="415" t="str">
        <f>IFERROR(IF($N264="Keep Contribution Same",H267,IF($N264="Enter Percentages",IF(N267="","",N267*L267),IF($N264="Keep Percentage Same",IF(G267="","",G267*L267),IF($N264="Enter Dollar Amount",IF(O267="","",O267),"")))),"")</f>
        <v/>
      </c>
      <c r="Q267" s="408" t="str">
        <f ca="1">IFERROR(L267-P267,"")</f>
        <v/>
      </c>
      <c r="R267" s="410" t="str">
        <f>IFERROR(IF(P267="","",M267*P267),"")</f>
        <v/>
      </c>
      <c r="S267" s="411"/>
      <c r="T267" s="408" t="str" cm="1">
        <f t="array" ca="1" aca="1" ref="T267">_xlfn.IFNA(VLOOKUP(INDIRECT("T"&amp;ROW()-3)&amp;"_"&amp;$D$12,BEGIN_RENEW_HEALTH:END_RENEW_HEALTH,RENEW_COL_EC,FALSE),"")</f>
        <v/>
      </c>
      <c r="U267" s="412" t="str">
        <f t="shared" ca="1" si="27"/>
        <v/>
      </c>
      <c r="V267" s="413"/>
      <c r="W267" s="414"/>
      <c r="X267" s="415" t="str">
        <f>IFERROR(IF($V264="Keep Contribution Same",H267,IF($V264="Enter Percentages",IF(V267="","",V267*T267),IF($V264="Keep Percentage Same",IF(G267="","",G267*T267),IF($V264="Enter Dollar Amount",IF(W267="","",W267),"")))),"")</f>
        <v/>
      </c>
      <c r="Y267" s="408" t="str">
        <f t="shared" ca="1" si="28"/>
        <v/>
      </c>
      <c r="Z267" s="410" t="str">
        <f t="shared" si="29"/>
        <v/>
      </c>
    </row>
    <row r="268" spans="1:26" ht="18.75" customHeight="1" thickBot="1">
      <c r="A268" s="140"/>
      <c r="B268" s="140"/>
      <c r="D268" s="174" t="s">
        <v>241</v>
      </c>
      <c r="E268" s="416" t="str">
        <f ca="1">_xlfn.IFNA(VLOOKUP(F264,BEGIN_CURRENT_HEALTH:END_CURRENT_HEALTH,CURRENT_COL_FAM_count,FALSE),"")</f>
        <v/>
      </c>
      <c r="F268" s="417" t="str">
        <f ca="1">_xlfn.IFNA(VLOOKUP(F264,BEGIN_CURRENT_HEALTH:END_CURRENT_HEALTH,CURRENT_COL_FAM,FALSE),"")</f>
        <v/>
      </c>
      <c r="G268" s="469" t="str">
        <f t="shared" ca="1" si="25"/>
        <v/>
      </c>
      <c r="H268" s="417" t="str">
        <f ca="1">_xlfn.IFNA(VLOOKUP(F264,BEGIN_CURRENT_HEALTH:END_CURRENT_HEALTH,CURRENT_COL_FAMContrib,FALSE),"")</f>
        <v/>
      </c>
      <c r="I268" s="418" t="str">
        <f t="shared" ca="1" si="26"/>
        <v/>
      </c>
      <c r="J268" s="419" t="str">
        <f ca="1">IF(F268="","",H268*E268)</f>
        <v/>
      </c>
      <c r="K268" s="411"/>
      <c r="L268" s="417" t="str" cm="1">
        <f t="array" ca="1" aca="1" ref="L268">_xlfn.IFNA(VLOOKUP(INDIRECT("L"&amp;ROW()-4)&amp;"_"&amp;$D$12,BEGIN_RENEW_HEALTH:END_RENEW_HEALTH,RENEW_COL_FAM,FALSE),"")</f>
        <v/>
      </c>
      <c r="M268" s="423" t="str">
        <f ca="1">IF(E268="","",E268)</f>
        <v/>
      </c>
      <c r="N268" s="420"/>
      <c r="O268" s="421"/>
      <c r="P268" s="422" t="str">
        <f>IFERROR(IF($N264="Keep Contribution Same",H268,IF($N264="Enter Percentages",IF(N268="","",N268*L268),IF($N264="Keep Percentage Same",IF(G268="","",G268*L268),IF($N264="Enter Dollar Amount",IF(O268="","",O268),"")))),"")</f>
        <v/>
      </c>
      <c r="Q268" s="417" t="str">
        <f ca="1">IFERROR(L268-P268,"")</f>
        <v/>
      </c>
      <c r="R268" s="419" t="str">
        <f>IFERROR(IF(P268="","",M268*P268),"")</f>
        <v/>
      </c>
      <c r="S268" s="411"/>
      <c r="T268" s="417" t="str" cm="1">
        <f t="array" ca="1" aca="1" ref="T268">_xlfn.IFNA(VLOOKUP(INDIRECT("T"&amp;ROW()-4)&amp;"_"&amp;$D$12,BEGIN_RENEW_HEALTH:END_RENEW_HEALTH,RENEW_COL_FAM,FALSE),"")</f>
        <v/>
      </c>
      <c r="U268" s="423" t="str">
        <f t="shared" ca="1" si="27"/>
        <v/>
      </c>
      <c r="V268" s="420"/>
      <c r="W268" s="421"/>
      <c r="X268" s="422" t="str">
        <f>IFERROR(IF($V264="Keep Contribution Same",H268,IF($V264="Enter Percentages",IF(V268="","",V268*T268),IF($V264="Keep Percentage Same",IF(G268="","",G268*T268),IF($V264="Enter Dollar Amount",IF(W268="","",W268),"")))),"")</f>
        <v/>
      </c>
      <c r="Y268" s="417" t="str">
        <f t="shared" ca="1" si="28"/>
        <v/>
      </c>
      <c r="Z268" s="419" t="str">
        <f t="shared" si="29"/>
        <v/>
      </c>
    </row>
    <row r="269" spans="1:26" ht="18.75" customHeight="1" thickTop="1">
      <c r="A269" s="140"/>
      <c r="B269" s="140"/>
      <c r="D269" s="175" t="s">
        <v>242</v>
      </c>
      <c r="E269" s="424"/>
      <c r="F269" s="447" t="str">
        <f ca="1">IFERROR((F265*E265)+(F266*E266)+(F267*E267)+(F268*E268),"")</f>
        <v/>
      </c>
      <c r="G269" s="426"/>
      <c r="H269" s="427"/>
      <c r="I269" s="428"/>
      <c r="J269" s="429" t="str">
        <f ca="1">IFERROR(IF(J265="","",SUM(J265:J268)),0)</f>
        <v/>
      </c>
      <c r="K269" s="1"/>
      <c r="L269" s="430" t="str">
        <f ca="1">IFERROR((M265*L265)+(M266*L266)+(M267*L267)+(M268*L268),"")</f>
        <v/>
      </c>
      <c r="M269" s="427"/>
      <c r="N269" s="426"/>
      <c r="O269" s="427"/>
      <c r="P269" s="431"/>
      <c r="Q269" s="432"/>
      <c r="R269" s="429" t="str">
        <f>IFERROR(IF(R265="","",SUM(R265:R268)),0)</f>
        <v/>
      </c>
      <c r="T269" s="430" t="str">
        <f ca="1">IFERROR((U265*T265)+(U266*T266)+(U267*T267)+(U268*T268),"")</f>
        <v/>
      </c>
      <c r="U269" s="427"/>
      <c r="V269" s="426"/>
      <c r="W269" s="427"/>
      <c r="X269" s="431"/>
      <c r="Y269" s="432"/>
      <c r="Z269" s="429" t="str">
        <f>IFERROR(IF(Z265="","",SUM(Z265:Z268)),0)</f>
        <v/>
      </c>
    </row>
    <row r="270" spans="1:26" ht="18.75" customHeight="1">
      <c r="A270" s="140"/>
      <c r="B270" s="140"/>
      <c r="D270" s="177" t="s">
        <v>243</v>
      </c>
      <c r="E270" s="433"/>
      <c r="F270" s="448" t="str">
        <f ca="1">IFERROR(F269*12,"")</f>
        <v/>
      </c>
      <c r="G270" s="435"/>
      <c r="H270" s="436"/>
      <c r="I270" s="432"/>
      <c r="J270" s="437" t="str">
        <f ca="1">IF(J269="","",J269*12)</f>
        <v/>
      </c>
      <c r="K270" s="1"/>
      <c r="L270" s="438" t="str">
        <f ca="1">IFERROR(L269*12,"")</f>
        <v/>
      </c>
      <c r="M270" s="436"/>
      <c r="N270" s="435"/>
      <c r="O270" s="436"/>
      <c r="P270" s="432"/>
      <c r="Q270" s="432"/>
      <c r="R270" s="437" t="str">
        <f>IF(R269="","",R269*12)</f>
        <v/>
      </c>
      <c r="T270" s="438" t="str">
        <f ca="1">IFERROR(T269*12,"")</f>
        <v/>
      </c>
      <c r="U270" s="436"/>
      <c r="V270" s="435"/>
      <c r="W270" s="436"/>
      <c r="X270" s="432"/>
      <c r="Y270" s="432"/>
      <c r="Z270" s="437" t="str">
        <f>IF(Z269="","",Z269*12)</f>
        <v/>
      </c>
    </row>
    <row r="271" spans="1:26" ht="18" customHeight="1">
      <c r="A271" s="140"/>
      <c r="B271" s="140"/>
      <c r="D271" s="177" t="s">
        <v>244</v>
      </c>
      <c r="E271" s="433"/>
      <c r="F271" s="436"/>
      <c r="G271" s="435"/>
      <c r="H271" s="436"/>
      <c r="I271" s="432"/>
      <c r="J271" s="437"/>
      <c r="K271" s="1"/>
      <c r="L271" s="434" t="str">
        <f ca="1">IFERROR(L270-F270,"")</f>
        <v/>
      </c>
      <c r="M271" s="436"/>
      <c r="N271" s="435"/>
      <c r="O271" s="436"/>
      <c r="P271" s="432"/>
      <c r="Q271" s="432"/>
      <c r="R271" s="437" t="str">
        <f ca="1">IFERROR(IF(J270="","",R270-J270),0)</f>
        <v/>
      </c>
      <c r="T271" s="434" t="str">
        <f ca="1">IFERROR(T270-F270,"")</f>
        <v/>
      </c>
      <c r="U271" s="436"/>
      <c r="V271" s="435"/>
      <c r="W271" s="436"/>
      <c r="X271" s="432"/>
      <c r="Y271" s="432"/>
      <c r="Z271" s="437" t="str">
        <f>IFERROR(IF(R270="","",Z270-R270),0)</f>
        <v/>
      </c>
    </row>
    <row r="272" spans="1:26" ht="18" customHeight="1" thickBot="1">
      <c r="A272" s="140"/>
      <c r="B272" s="140"/>
      <c r="D272" s="180" t="s">
        <v>245</v>
      </c>
      <c r="E272" s="439"/>
      <c r="F272" s="440"/>
      <c r="G272" s="441"/>
      <c r="H272" s="440"/>
      <c r="I272" s="442"/>
      <c r="J272" s="443"/>
      <c r="K272" s="1"/>
      <c r="L272" s="444" t="str">
        <f ca="1">IFERROR(L270/F270-1,"")</f>
        <v/>
      </c>
      <c r="M272" s="440"/>
      <c r="N272" s="441"/>
      <c r="O272" s="440"/>
      <c r="P272" s="445"/>
      <c r="Q272" s="445"/>
      <c r="R272" s="446" t="str">
        <f ca="1">IFERROR(IF(J270="","",(R270/J270)-1),0)</f>
        <v/>
      </c>
      <c r="T272" s="444" t="str">
        <f ca="1">IFERROR(T270/F270-1,"")</f>
        <v/>
      </c>
      <c r="U272" s="440"/>
      <c r="V272" s="441"/>
      <c r="W272" s="440"/>
      <c r="X272" s="445"/>
      <c r="Y272" s="445"/>
      <c r="Z272" s="446" t="str">
        <f>IFERROR(IF(R270="","",(Z270/R270)-1),0)</f>
        <v/>
      </c>
    </row>
    <row r="273" spans="1:26" ht="18" customHeight="1">
      <c r="A273" s="140"/>
      <c r="B273" s="140"/>
      <c r="D273" s="181" t="s">
        <v>246</v>
      </c>
      <c r="E273" s="182"/>
      <c r="F273" s="182"/>
      <c r="G273" s="182"/>
      <c r="H273" s="182"/>
      <c r="I273" s="182"/>
      <c r="J273" s="183"/>
      <c r="K273"/>
      <c r="L273" s="184"/>
      <c r="M273" s="182"/>
      <c r="N273" s="182"/>
      <c r="O273" s="182"/>
      <c r="P273" s="182"/>
      <c r="Q273" s="182"/>
      <c r="R273" s="183"/>
      <c r="T273" s="184"/>
      <c r="U273" s="182"/>
      <c r="V273" s="182"/>
      <c r="W273" s="182"/>
      <c r="X273" s="182"/>
      <c r="Y273" s="182"/>
      <c r="Z273" s="183"/>
    </row>
    <row r="274" spans="1:26" ht="18" customHeight="1" hidden="1">
      <c r="A274" s="140"/>
      <c r="B274" s="140"/>
      <c r="D274" s="185" t="s">
        <v>247</v>
      </c>
      <c r="E274" s="186"/>
      <c r="F274" s="186"/>
      <c r="G274" s="186"/>
      <c r="H274" s="186"/>
      <c r="I274" s="186"/>
      <c r="J274" s="187"/>
      <c r="K274"/>
      <c r="L274" s="188"/>
      <c r="M274" s="186"/>
      <c r="N274" s="186"/>
      <c r="O274" s="186"/>
      <c r="P274" s="186"/>
      <c r="Q274" s="186"/>
      <c r="R274" s="187"/>
      <c r="T274" s="188"/>
      <c r="U274" s="186"/>
      <c r="V274" s="186"/>
      <c r="W274" s="186"/>
      <c r="X274" s="186"/>
      <c r="Y274" s="186"/>
      <c r="Z274" s="187"/>
    </row>
    <row r="275" spans="1:26" ht="18" customHeight="1" hidden="1">
      <c r="A275" s="140"/>
      <c r="B275" s="140"/>
      <c r="D275" s="189" t="s">
        <v>248</v>
      </c>
      <c r="E275" s="190" t="str">
        <f>D264&amp;"_"&amp;D12</f>
        <v>_</v>
      </c>
      <c r="F275" s="191"/>
      <c r="G275" s="191"/>
      <c r="H275" s="191"/>
      <c r="I275" s="190"/>
      <c r="J275" s="192"/>
      <c r="K275"/>
      <c r="L275" s="193" t="str">
        <f ca="1">L264&amp;"_"&amp;D12</f>
        <v>SELECT PLAN_</v>
      </c>
      <c r="M275" s="191"/>
      <c r="N275" s="191"/>
      <c r="O275" s="191"/>
      <c r="P275" s="190"/>
      <c r="Q275" s="191"/>
      <c r="R275" s="192"/>
      <c r="T275" s="193" t="str">
        <f>T264&amp;"_"&amp;D12</f>
        <v>SELECT PLAN_</v>
      </c>
      <c r="U275" s="191"/>
      <c r="V275" s="191"/>
      <c r="W275" s="191"/>
      <c r="X275" s="190"/>
      <c r="Y275" s="191"/>
      <c r="Z275" s="192"/>
    </row>
    <row r="276" spans="1:26" ht="18" customHeight="1" hidden="1">
      <c r="A276" s="140"/>
      <c r="B276" s="140"/>
      <c r="D276" s="189" t="s">
        <v>249</v>
      </c>
      <c r="E276" s="191"/>
      <c r="F276" s="191"/>
      <c r="G276" s="191"/>
      <c r="H276" s="191"/>
      <c r="I276" s="191"/>
      <c r="J276" s="192"/>
      <c r="K276"/>
      <c r="L276" s="189"/>
      <c r="M276" s="191"/>
      <c r="N276" s="191"/>
      <c r="O276" s="191"/>
      <c r="P276" s="191"/>
      <c r="Q276" s="191"/>
      <c r="R276" s="192"/>
      <c r="T276" s="189"/>
      <c r="U276" s="191"/>
      <c r="V276" s="191"/>
      <c r="W276" s="191"/>
      <c r="X276" s="191"/>
      <c r="Y276" s="191"/>
      <c r="Z276" s="192"/>
    </row>
    <row r="277" spans="1:26" ht="18" customHeight="1" hidden="1">
      <c r="A277" s="140"/>
      <c r="B277" s="140"/>
      <c r="D277" s="194" t="s">
        <v>250</v>
      </c>
      <c r="E277" s="195"/>
      <c r="F277" s="195"/>
      <c r="G277" s="195"/>
      <c r="H277" s="195"/>
      <c r="I277" s="195"/>
      <c r="J277" s="196"/>
      <c r="K277"/>
      <c r="L277" s="197"/>
      <c r="M277" s="195"/>
      <c r="N277" s="195"/>
      <c r="O277" s="195"/>
      <c r="P277" s="195"/>
      <c r="Q277" s="195"/>
      <c r="R277" s="196"/>
      <c r="T277" s="197"/>
      <c r="U277" s="195"/>
      <c r="V277" s="195"/>
      <c r="W277" s="195"/>
      <c r="X277" s="195"/>
      <c r="Y277" s="195"/>
      <c r="Z277" s="196"/>
    </row>
    <row r="278" spans="1:26" ht="18" customHeight="1" hidden="1">
      <c r="A278" s="140"/>
      <c r="B278" s="140"/>
      <c r="D278" s="198" t="s">
        <v>251</v>
      </c>
      <c r="E278" s="199" t="str">
        <f>_xlfn.XLOOKUP(E275,CurrentPlans!B:B,CurrentPlans!X:X,"NA",0,1)</f>
        <v>NA</v>
      </c>
      <c r="F278" s="200"/>
      <c r="G278" s="200"/>
      <c r="H278" s="200"/>
      <c r="I278" s="199"/>
      <c r="J278" s="201"/>
      <c r="K278"/>
      <c r="L278" s="202" t="str">
        <f ca="1">_xlfn.XLOOKUP(L275,RenewalPlans!B:B,RenewalPlans!AA:AA,"NA",0,1)</f>
        <v>NA</v>
      </c>
      <c r="M278" s="200"/>
      <c r="N278" s="200"/>
      <c r="O278" s="200"/>
      <c r="P278" s="199"/>
      <c r="Q278" s="200"/>
      <c r="R278" s="201"/>
      <c r="T278" s="202" t="str">
        <f>_xlfn.XLOOKUP(T275,RenewalPlans!B:B,RenewalPlans!AA:AA,"NA",0,1)</f>
        <v>NA</v>
      </c>
      <c r="U278" s="200"/>
      <c r="V278" s="200"/>
      <c r="W278" s="200"/>
      <c r="X278" s="199"/>
      <c r="Y278" s="200"/>
      <c r="Z278" s="201"/>
    </row>
    <row r="279" spans="1:26" ht="18" customHeight="1" hidden="1">
      <c r="A279" s="140"/>
      <c r="B279" s="140"/>
      <c r="D279" s="198" t="s">
        <v>252</v>
      </c>
      <c r="E279" s="199" t="str">
        <f>_xlfn.XLOOKUP(E275,CurrentPlans!B:B,CurrentPlans!Y:Y,"NA",0,1)</f>
        <v>NA</v>
      </c>
      <c r="F279" s="200"/>
      <c r="G279" s="200"/>
      <c r="H279" s="200"/>
      <c r="I279" s="199"/>
      <c r="J279" s="201"/>
      <c r="K279"/>
      <c r="L279" s="202" t="str">
        <f ca="1">_xlfn.XLOOKUP(L275,RenewalPlans!B:B,RenewalPlans!AB:AB,"NA",0,1)</f>
        <v>NA</v>
      </c>
      <c r="M279" s="200"/>
      <c r="N279" s="200"/>
      <c r="O279" s="200"/>
      <c r="P279" s="199"/>
      <c r="Q279" s="200"/>
      <c r="R279" s="201"/>
      <c r="T279" s="202" t="str">
        <f>_xlfn.XLOOKUP(T275,RenewalPlans!B:B,RenewalPlans!AB:AB,"NA",0,1)</f>
        <v>NA</v>
      </c>
      <c r="U279" s="200"/>
      <c r="V279" s="200"/>
      <c r="W279" s="200"/>
      <c r="X279" s="199"/>
      <c r="Y279" s="200"/>
      <c r="Z279" s="201"/>
    </row>
    <row r="280" spans="1:26" ht="18" customHeight="1" hidden="1">
      <c r="A280" s="140"/>
      <c r="B280" s="140"/>
      <c r="D280" s="120" t="s">
        <v>253</v>
      </c>
      <c r="E280" s="121" t="str">
        <f>_xlfn.XLOOKUP(E275,CurrentPlans!B:B,CurrentPlans!W:W,"NA",0,1)</f>
        <v>NA</v>
      </c>
      <c r="F280" s="122"/>
      <c r="G280" s="122"/>
      <c r="H280" s="122"/>
      <c r="I280" s="121"/>
      <c r="J280" s="123"/>
      <c r="K280"/>
      <c r="L280" s="124" t="str">
        <f ca="1">_xlfn.XLOOKUP(L275,RenewalPlans!B:B,RenewalPlans!Z:Z,"NA",0,1)</f>
        <v>NA</v>
      </c>
      <c r="M280" s="122"/>
      <c r="N280" s="122"/>
      <c r="O280" s="122"/>
      <c r="P280" s="121"/>
      <c r="Q280" s="122"/>
      <c r="R280" s="123"/>
      <c r="T280" s="124" t="str">
        <f>_xlfn.XLOOKUP(T275,RenewalPlans!B:B,RenewalPlans!Z:Z,"NA",0,1)</f>
        <v>NA</v>
      </c>
      <c r="U280" s="122"/>
      <c r="V280" s="122"/>
      <c r="W280" s="122"/>
      <c r="X280" s="121"/>
      <c r="Y280" s="122"/>
      <c r="Z280" s="123"/>
    </row>
    <row r="281" spans="1:26" ht="18" customHeight="1" hidden="1">
      <c r="A281" s="140"/>
      <c r="B281" s="140"/>
      <c r="D281" s="203" t="s">
        <v>254</v>
      </c>
      <c r="E281" s="204"/>
      <c r="F281" s="205"/>
      <c r="G281" s="205"/>
      <c r="H281" s="205"/>
      <c r="I281" s="204"/>
      <c r="J281" s="206"/>
      <c r="K281"/>
      <c r="L281" s="207"/>
      <c r="M281" s="205"/>
      <c r="N281" s="205"/>
      <c r="O281" s="205"/>
      <c r="P281" s="204"/>
      <c r="Q281" s="205"/>
      <c r="R281" s="206"/>
      <c r="T281" s="207"/>
      <c r="U281" s="205"/>
      <c r="V281" s="205"/>
      <c r="W281" s="205"/>
      <c r="X281" s="204"/>
      <c r="Y281" s="205"/>
      <c r="Z281" s="206"/>
    </row>
    <row r="282" spans="1:26" ht="18" customHeight="1" hidden="1">
      <c r="A282" s="140"/>
      <c r="B282" s="140"/>
      <c r="D282" s="125" t="s">
        <v>255</v>
      </c>
      <c r="E282" s="126" t="str">
        <f>_xlfn.XLOOKUP(E275,CurrentPlans!B:B,CurrentPlans!Z:Z,"NA",0,1)</f>
        <v>NA</v>
      </c>
      <c r="F282" s="127"/>
      <c r="G282" s="127"/>
      <c r="H282" s="127"/>
      <c r="I282" s="126"/>
      <c r="J282" s="128"/>
      <c r="K282"/>
      <c r="L282" s="129" t="str">
        <f ca="1">_xlfn.XLOOKUP(L275,RenewalPlans!B:B,RenewalPlans!AC:AC,"NA",0,1)</f>
        <v>NA</v>
      </c>
      <c r="M282" s="127"/>
      <c r="N282" s="127"/>
      <c r="O282" s="127"/>
      <c r="P282" s="126"/>
      <c r="Q282" s="127"/>
      <c r="R282" s="128"/>
      <c r="T282" s="129" t="str">
        <f>_xlfn.XLOOKUP(T275,RenewalPlans!B:B,RenewalPlans!AC:AC,"NA",0,1)</f>
        <v>NA</v>
      </c>
      <c r="U282" s="127"/>
      <c r="V282" s="127"/>
      <c r="W282" s="127"/>
      <c r="X282" s="126"/>
      <c r="Y282" s="127"/>
      <c r="Z282" s="128"/>
    </row>
    <row r="283" spans="1:26" ht="18" customHeight="1" hidden="1">
      <c r="A283" s="140"/>
      <c r="B283" s="140"/>
      <c r="D283" s="198" t="s">
        <v>256</v>
      </c>
      <c r="E283" s="208" t="str">
        <f>_xlfn.XLOOKUP(E275,CurrentPlans!B:B,CurrentPlans!AA:AA,"NA",0,1)</f>
        <v>NA</v>
      </c>
      <c r="F283" s="200"/>
      <c r="G283" s="200"/>
      <c r="H283" s="200"/>
      <c r="I283" s="208"/>
      <c r="J283" s="201"/>
      <c r="K283"/>
      <c r="L283" s="209" t="str">
        <f ca="1">_xlfn.XLOOKUP(L275,RenewalPlans!B:B,RenewalPlans!AD:AD,"NA",0,1)</f>
        <v>NA</v>
      </c>
      <c r="M283" s="200"/>
      <c r="N283" s="200"/>
      <c r="O283" s="200"/>
      <c r="P283" s="208"/>
      <c r="Q283" s="200"/>
      <c r="R283" s="201"/>
      <c r="T283" s="209" t="str">
        <f>_xlfn.XLOOKUP(T275,RenewalPlans!B:B,RenewalPlans!AD:AD,"NA",0,1)</f>
        <v>NA</v>
      </c>
      <c r="U283" s="200"/>
      <c r="V283" s="200"/>
      <c r="W283" s="200"/>
      <c r="X283" s="208"/>
      <c r="Y283" s="200"/>
      <c r="Z283" s="201"/>
    </row>
    <row r="284" spans="1:26" ht="18" customHeight="1" hidden="1">
      <c r="A284" s="140"/>
      <c r="B284" s="140"/>
      <c r="D284" s="203" t="s">
        <v>257</v>
      </c>
      <c r="E284" s="204"/>
      <c r="F284" s="205"/>
      <c r="G284" s="205"/>
      <c r="H284" s="205"/>
      <c r="I284" s="204"/>
      <c r="J284" s="206"/>
      <c r="K284"/>
      <c r="L284" s="207"/>
      <c r="M284" s="205"/>
      <c r="N284" s="205"/>
      <c r="O284" s="205"/>
      <c r="P284" s="204"/>
      <c r="Q284" s="205"/>
      <c r="R284" s="206"/>
      <c r="T284" s="207"/>
      <c r="U284" s="205"/>
      <c r="V284" s="205"/>
      <c r="W284" s="205"/>
      <c r="X284" s="204"/>
      <c r="Y284" s="205"/>
      <c r="Z284" s="206"/>
    </row>
    <row r="285" spans="1:26" ht="18" customHeight="1" hidden="1">
      <c r="A285" s="140"/>
      <c r="B285" s="140"/>
      <c r="D285" s="198" t="s">
        <v>258</v>
      </c>
      <c r="E285" s="208" t="str">
        <f>_xlfn.XLOOKUP(E275,CurrentPlans!B:B,CurrentPlans!AB:AB,"NA",0,1)</f>
        <v>NA</v>
      </c>
      <c r="F285" s="200"/>
      <c r="G285" s="200"/>
      <c r="H285" s="200"/>
      <c r="I285" s="208"/>
      <c r="J285" s="201"/>
      <c r="K285"/>
      <c r="L285" s="209" t="str">
        <f ca="1">_xlfn.XLOOKUP(L275,RenewalPlans!B:B,RenewalPlans!AE:AE,"NA",0,1)</f>
        <v>NA</v>
      </c>
      <c r="M285" s="200"/>
      <c r="N285" s="200"/>
      <c r="O285" s="200"/>
      <c r="P285" s="208"/>
      <c r="Q285" s="200"/>
      <c r="R285" s="201"/>
      <c r="T285" s="209" t="str">
        <f>_xlfn.XLOOKUP(T275,RenewalPlans!B:B,RenewalPlans!AE:AE,"NA",0,1)</f>
        <v>NA</v>
      </c>
      <c r="U285" s="200"/>
      <c r="V285" s="200"/>
      <c r="W285" s="200"/>
      <c r="X285" s="208"/>
      <c r="Y285" s="200"/>
      <c r="Z285" s="201"/>
    </row>
    <row r="286" spans="1:26" ht="18" customHeight="1" hidden="1">
      <c r="A286" s="140"/>
      <c r="B286" s="140"/>
      <c r="D286" s="198" t="s">
        <v>259</v>
      </c>
      <c r="E286" s="208" t="str">
        <f>_xlfn.XLOOKUP(E275,CurrentPlans!B:B,CurrentPlans!AC:AC,"NA",0,1)</f>
        <v>NA</v>
      </c>
      <c r="F286" s="200"/>
      <c r="G286" s="200"/>
      <c r="H286" s="200"/>
      <c r="I286" s="208"/>
      <c r="J286" s="201"/>
      <c r="K286"/>
      <c r="L286" s="209" t="str">
        <f ca="1">_xlfn.XLOOKUP(L275,RenewalPlans!B:B,RenewalPlans!AF:AF,"NA",0,1)</f>
        <v>NA</v>
      </c>
      <c r="M286" s="200"/>
      <c r="N286" s="200"/>
      <c r="O286" s="200"/>
      <c r="P286" s="208"/>
      <c r="Q286" s="200"/>
      <c r="R286" s="201"/>
      <c r="T286" s="209" t="str">
        <f>_xlfn.XLOOKUP(T275,RenewalPlans!B:B,RenewalPlans!AF:AF,"NA",0,1)</f>
        <v>NA</v>
      </c>
      <c r="U286" s="200"/>
      <c r="V286" s="200"/>
      <c r="W286" s="200"/>
      <c r="X286" s="208"/>
      <c r="Y286" s="200"/>
      <c r="Z286" s="201"/>
    </row>
    <row r="287" spans="1:26" ht="18" customHeight="1" hidden="1">
      <c r="A287" s="140"/>
      <c r="B287" s="140"/>
      <c r="D287" s="210"/>
      <c r="E287" s="211"/>
      <c r="F287" s="211"/>
      <c r="G287" s="211"/>
      <c r="H287" s="211"/>
      <c r="I287" s="211"/>
      <c r="J287" s="212"/>
      <c r="K287"/>
      <c r="L287" s="210"/>
      <c r="M287" s="211"/>
      <c r="N287" s="211"/>
      <c r="O287" s="211"/>
      <c r="P287" s="211"/>
      <c r="Q287" s="211"/>
      <c r="R287" s="212"/>
      <c r="T287" s="210"/>
      <c r="U287" s="211"/>
      <c r="V287" s="211"/>
      <c r="W287" s="211"/>
      <c r="X287" s="211"/>
      <c r="Y287" s="211"/>
      <c r="Z287" s="212"/>
    </row>
    <row r="288" spans="1:26" ht="18" customHeight="1" hidden="1">
      <c r="A288" s="140"/>
      <c r="B288" s="140"/>
      <c r="D288" s="185" t="s">
        <v>260</v>
      </c>
      <c r="E288" s="186"/>
      <c r="F288" s="186"/>
      <c r="G288" s="186"/>
      <c r="H288" s="186"/>
      <c r="I288" s="186"/>
      <c r="J288" s="187"/>
      <c r="K288"/>
      <c r="L288" s="188"/>
      <c r="M288" s="186"/>
      <c r="N288" s="186"/>
      <c r="O288" s="186"/>
      <c r="P288" s="186"/>
      <c r="Q288" s="186"/>
      <c r="R288" s="187"/>
      <c r="T288" s="188"/>
      <c r="U288" s="186"/>
      <c r="V288" s="186"/>
      <c r="W288" s="186"/>
      <c r="X288" s="186"/>
      <c r="Y288" s="186"/>
      <c r="Z288" s="187"/>
    </row>
    <row r="289" spans="1:26" ht="18" customHeight="1" hidden="1">
      <c r="A289" s="140"/>
      <c r="B289" s="140"/>
      <c r="D289" s="213" t="s">
        <v>261</v>
      </c>
      <c r="E289" s="130" t="str">
        <f>_xlfn.XLOOKUP(E275,CurrentPlans!B:B,CurrentPlans!AJ:AJ,"NA",0,1)</f>
        <v>NA</v>
      </c>
      <c r="F289" s="214"/>
      <c r="G289" s="214"/>
      <c r="H289" s="214"/>
      <c r="I289" s="130"/>
      <c r="J289" s="215"/>
      <c r="K289"/>
      <c r="L289" s="131" t="str">
        <f ca="1">_xlfn.XLOOKUP(L275,RenewalPlans!B:B,RenewalPlans!AM:AM,"NA",0,1)</f>
        <v>NA</v>
      </c>
      <c r="M289" s="214"/>
      <c r="N289" s="214"/>
      <c r="O289" s="214"/>
      <c r="P289" s="130"/>
      <c r="Q289" s="214"/>
      <c r="R289" s="215"/>
      <c r="T289" s="131" t="str">
        <f>_xlfn.XLOOKUP(T275,RenewalPlans!B:B,RenewalPlans!AM:AM,"NA",0,1)</f>
        <v>NA</v>
      </c>
      <c r="U289" s="214"/>
      <c r="V289" s="214"/>
      <c r="W289" s="214"/>
      <c r="X289" s="130"/>
      <c r="Y289" s="214"/>
      <c r="Z289" s="215"/>
    </row>
    <row r="290" spans="1:26" ht="18" customHeight="1" hidden="1">
      <c r="A290" s="140"/>
      <c r="B290" s="140"/>
      <c r="D290" s="198" t="s">
        <v>262</v>
      </c>
      <c r="E290" s="130" t="str">
        <f>_xlfn.XLOOKUP(E275,CurrentPlans!B:B,CurrentPlans!AM:AM,"NA",0,1)</f>
        <v>NA</v>
      </c>
      <c r="F290" s="200"/>
      <c r="G290" s="200"/>
      <c r="H290" s="200"/>
      <c r="I290" s="130"/>
      <c r="J290" s="201"/>
      <c r="K290"/>
      <c r="L290" s="131" t="str">
        <f ca="1">_xlfn.XLOOKUP(L275,RenewalPlans!B:B,RenewalPlans!AP:AP,"NA",0,1)</f>
        <v>NA</v>
      </c>
      <c r="M290" s="200"/>
      <c r="N290" s="200"/>
      <c r="O290" s="200"/>
      <c r="P290" s="130"/>
      <c r="Q290" s="200"/>
      <c r="R290" s="201"/>
      <c r="T290" s="131" t="str">
        <f>_xlfn.XLOOKUP(T275,RenewalPlans!B:B,RenewalPlans!AP:AP,"NA",0,1)</f>
        <v>NA</v>
      </c>
      <c r="U290" s="200"/>
      <c r="V290" s="200"/>
      <c r="W290" s="200"/>
      <c r="X290" s="130"/>
      <c r="Y290" s="200"/>
      <c r="Z290" s="201"/>
    </row>
    <row r="291" spans="1:26" ht="18" customHeight="1" hidden="1">
      <c r="A291" s="140"/>
      <c r="B291" s="140"/>
      <c r="D291" s="198" t="s">
        <v>263</v>
      </c>
      <c r="E291" s="130" t="str">
        <f>_xlfn.XLOOKUP(E275,CurrentPlans!B:B,CurrentPlans!AI:AI,"NA",0,1)</f>
        <v>NA</v>
      </c>
      <c r="F291" s="200"/>
      <c r="G291" s="200"/>
      <c r="H291" s="200"/>
      <c r="I291" s="130"/>
      <c r="J291" s="201"/>
      <c r="K291"/>
      <c r="L291" s="131" t="str">
        <f ca="1">_xlfn.XLOOKUP(L275,RenewalPlans!B:B,RenewalPlans!AL:AL,"NA",0,1)</f>
        <v>NA</v>
      </c>
      <c r="M291" s="200"/>
      <c r="N291" s="200"/>
      <c r="O291" s="200"/>
      <c r="P291" s="130"/>
      <c r="Q291" s="200"/>
      <c r="R291" s="201"/>
      <c r="T291" s="131" t="str">
        <f>_xlfn.XLOOKUP(T275,RenewalPlans!B:B,RenewalPlans!AL:AL,"NA",0,1)</f>
        <v>NA</v>
      </c>
      <c r="U291" s="200"/>
      <c r="V291" s="200"/>
      <c r="W291" s="200"/>
      <c r="X291" s="130"/>
      <c r="Y291" s="200"/>
      <c r="Z291" s="201"/>
    </row>
    <row r="292" spans="1:26" ht="18" customHeight="1" hidden="1">
      <c r="A292" s="140"/>
      <c r="B292" s="140"/>
      <c r="D292" s="198" t="s">
        <v>264</v>
      </c>
      <c r="E292" s="208" t="str">
        <f>_xlfn.XLOOKUP(E275,CurrentPlans!B:B,CurrentPlans!AN:AN,"NA",0,1)</f>
        <v>NA</v>
      </c>
      <c r="F292" s="200"/>
      <c r="G292" s="200"/>
      <c r="H292" s="200"/>
      <c r="I292" s="208"/>
      <c r="J292" s="201"/>
      <c r="K292"/>
      <c r="L292" s="209" t="str">
        <f ca="1">_xlfn.XLOOKUP(L275,RenewalPlans!B:B,RenewalPlans!AQ:AQ,"NA",0,1)</f>
        <v>NA</v>
      </c>
      <c r="M292" s="200"/>
      <c r="N292" s="200"/>
      <c r="O292" s="200"/>
      <c r="P292" s="208"/>
      <c r="Q292" s="200"/>
      <c r="R292" s="201"/>
      <c r="T292" s="209" t="str">
        <f>_xlfn.XLOOKUP(T275,RenewalPlans!B:B,RenewalPlans!AQ:AQ,"NA",0,1)</f>
        <v>NA</v>
      </c>
      <c r="U292" s="200"/>
      <c r="V292" s="200"/>
      <c r="W292" s="200"/>
      <c r="X292" s="208"/>
      <c r="Y292" s="200"/>
      <c r="Z292" s="201"/>
    </row>
    <row r="293" spans="1:26" ht="18" customHeight="1" hidden="1">
      <c r="A293" s="140"/>
      <c r="B293" s="140"/>
      <c r="D293" s="210"/>
      <c r="E293" s="211"/>
      <c r="F293" s="211"/>
      <c r="G293" s="211"/>
      <c r="H293" s="211"/>
      <c r="I293" s="211"/>
      <c r="J293" s="212"/>
      <c r="K293"/>
      <c r="L293" s="210"/>
      <c r="M293" s="211"/>
      <c r="N293" s="211"/>
      <c r="O293" s="211"/>
      <c r="P293" s="211"/>
      <c r="Q293" s="211"/>
      <c r="R293" s="212"/>
      <c r="T293" s="210"/>
      <c r="U293" s="211"/>
      <c r="V293" s="211"/>
      <c r="W293" s="211"/>
      <c r="X293" s="211"/>
      <c r="Y293" s="211"/>
      <c r="Z293" s="212"/>
    </row>
    <row r="294" spans="1:26" ht="18" customHeight="1" hidden="1">
      <c r="A294" s="140"/>
      <c r="B294" s="140"/>
      <c r="D294" s="185" t="s">
        <v>265</v>
      </c>
      <c r="E294" s="186"/>
      <c r="F294" s="186"/>
      <c r="G294" s="186"/>
      <c r="H294" s="186"/>
      <c r="I294" s="186"/>
      <c r="J294" s="187"/>
      <c r="K294"/>
      <c r="L294" s="188"/>
      <c r="M294" s="186"/>
      <c r="N294" s="186"/>
      <c r="O294" s="186"/>
      <c r="P294" s="186"/>
      <c r="Q294" s="186"/>
      <c r="R294" s="187"/>
      <c r="T294" s="188"/>
      <c r="U294" s="186"/>
      <c r="V294" s="186"/>
      <c r="W294" s="186"/>
      <c r="X294" s="186"/>
      <c r="Y294" s="186"/>
      <c r="Z294" s="187"/>
    </row>
    <row r="295" spans="1:26" ht="18" customHeight="1" hidden="1">
      <c r="A295" s="140"/>
      <c r="B295" s="140"/>
      <c r="D295" s="132" t="s">
        <v>266</v>
      </c>
      <c r="E295" s="133" t="str">
        <f>_xlfn.XLOOKUP(E275,CurrentPlans!B:B,CurrentPlans!AE:AE,"NA",0,1)</f>
        <v>NA</v>
      </c>
      <c r="F295" s="134"/>
      <c r="G295" s="134"/>
      <c r="H295" s="134"/>
      <c r="I295" s="133"/>
      <c r="J295" s="135"/>
      <c r="K295"/>
      <c r="L295" s="136" t="str">
        <f ca="1">_xlfn.XLOOKUP(L275,RenewalPlans!B:B,RenewalPlans!AH:AH,"NA",0,1)</f>
        <v>NA</v>
      </c>
      <c r="M295" s="134"/>
      <c r="N295" s="134"/>
      <c r="O295" s="134"/>
      <c r="P295" s="133"/>
      <c r="Q295" s="134"/>
      <c r="R295" s="135"/>
      <c r="T295" s="136" t="str">
        <f>_xlfn.XLOOKUP(T275,RenewalPlans!B:B,RenewalPlans!AH:AH,"NA",0,1)</f>
        <v>NA</v>
      </c>
      <c r="U295" s="134"/>
      <c r="V295" s="134"/>
      <c r="W295" s="134"/>
      <c r="X295" s="133"/>
      <c r="Y295" s="134"/>
      <c r="Z295" s="135"/>
    </row>
    <row r="296" spans="1:26" ht="18" customHeight="1" hidden="1">
      <c r="A296" s="140"/>
      <c r="B296" s="140"/>
      <c r="D296" s="120" t="s">
        <v>267</v>
      </c>
      <c r="E296" s="130" t="str">
        <f>_xlfn.XLOOKUP(E275,CurrentPlans!B:B,CurrentPlans!AF:AF,"NA",0,1)</f>
        <v>NA</v>
      </c>
      <c r="F296" s="122"/>
      <c r="G296" s="122"/>
      <c r="H296" s="122"/>
      <c r="I296" s="130"/>
      <c r="J296" s="123"/>
      <c r="K296"/>
      <c r="L296" s="131" t="str">
        <f ca="1">_xlfn.XLOOKUP(L275,RenewalPlans!B:B,RenewalPlans!AI:AI,"NA",0,1)</f>
        <v>NA</v>
      </c>
      <c r="M296" s="122"/>
      <c r="N296" s="122"/>
      <c r="O296" s="122"/>
      <c r="P296" s="130"/>
      <c r="Q296" s="122"/>
      <c r="R296" s="123"/>
      <c r="T296" s="131" t="str">
        <f>_xlfn.XLOOKUP(T275,RenewalPlans!B:B,RenewalPlans!AI:AI,"NA",0,1)</f>
        <v>NA</v>
      </c>
      <c r="U296" s="122"/>
      <c r="V296" s="122"/>
      <c r="W296" s="122"/>
      <c r="X296" s="130"/>
      <c r="Y296" s="122"/>
      <c r="Z296" s="123"/>
    </row>
    <row r="297" spans="1:26" ht="18" customHeight="1" hidden="1">
      <c r="A297" s="140"/>
      <c r="B297" s="140"/>
      <c r="D297" s="198" t="s">
        <v>268</v>
      </c>
      <c r="E297" s="130" t="str">
        <f>_xlfn.XLOOKUP(E275,CurrentPlans!B:B,CurrentPlans!AH:AH,"NA",0,1)</f>
        <v>NA</v>
      </c>
      <c r="F297" s="200"/>
      <c r="G297" s="200"/>
      <c r="H297" s="200"/>
      <c r="I297" s="130"/>
      <c r="J297" s="201"/>
      <c r="K297"/>
      <c r="L297" s="131" t="str">
        <f ca="1">_xlfn.XLOOKUP(L275,RenewalPlans!B:B,RenewalPlans!AK:AK,"NA",0,1)</f>
        <v>NA</v>
      </c>
      <c r="M297" s="200"/>
      <c r="N297" s="200"/>
      <c r="O297" s="200"/>
      <c r="P297" s="130"/>
      <c r="Q297" s="200"/>
      <c r="R297" s="201"/>
      <c r="T297" s="131" t="str">
        <f>_xlfn.XLOOKUP(T275,RenewalPlans!B:B,RenewalPlans!AK:AK,"NA",0,1)</f>
        <v>NA</v>
      </c>
      <c r="U297" s="200"/>
      <c r="V297" s="200"/>
      <c r="W297" s="200"/>
      <c r="X297" s="130"/>
      <c r="Y297" s="200"/>
      <c r="Z297" s="201"/>
    </row>
    <row r="298" spans="1:26" ht="18" customHeight="1" hidden="1">
      <c r="A298" s="140"/>
      <c r="B298" s="140"/>
      <c r="D298" s="198" t="s">
        <v>269</v>
      </c>
      <c r="E298" s="130" t="str">
        <f>_xlfn.XLOOKUP(E275,CurrentPlans!B:B,CurrentPlans!AG:AG,"NA",0,1)</f>
        <v>NA</v>
      </c>
      <c r="F298" s="200"/>
      <c r="G298" s="200"/>
      <c r="H298" s="200"/>
      <c r="I298" s="130"/>
      <c r="J298" s="201"/>
      <c r="K298"/>
      <c r="L298" s="131" t="str">
        <f ca="1">_xlfn.XLOOKUP(L275,RenewalPlans!B:B,RenewalPlans!AJ:AJ,"NA",0,1)</f>
        <v>NA</v>
      </c>
      <c r="M298" s="200"/>
      <c r="N298" s="200"/>
      <c r="O298" s="200"/>
      <c r="P298" s="130"/>
      <c r="Q298" s="200"/>
      <c r="R298" s="201"/>
      <c r="T298" s="131" t="str">
        <f>_xlfn.XLOOKUP(T275,RenewalPlans!B:B,RenewalPlans!AJ:AJ,"NA",0,1)</f>
        <v>NA</v>
      </c>
      <c r="U298" s="200"/>
      <c r="V298" s="200"/>
      <c r="W298" s="200"/>
      <c r="X298" s="130"/>
      <c r="Y298" s="200"/>
      <c r="Z298" s="201"/>
    </row>
    <row r="299" spans="1:26" ht="18" customHeight="1" hidden="1">
      <c r="A299" s="140"/>
      <c r="B299" s="140"/>
      <c r="D299" s="213" t="s">
        <v>270</v>
      </c>
      <c r="E299" s="216" t="str">
        <f>_xlfn.XLOOKUP(E275,CurrentPlans!B:B,CurrentPlans!AU:AU,"NA",0,1)</f>
        <v>NA</v>
      </c>
      <c r="F299" s="214"/>
      <c r="G299" s="214"/>
      <c r="H299" s="214"/>
      <c r="I299" s="217"/>
      <c r="J299" s="215"/>
      <c r="K299"/>
      <c r="L299" s="218" t="str">
        <f ca="1">_xlfn.XLOOKUP(L275,RenewalPlans!B:B,RenewalPlans!AX:AX,"NA",0,1)</f>
        <v>NA</v>
      </c>
      <c r="M299" s="214"/>
      <c r="N299" s="214"/>
      <c r="O299" s="214"/>
      <c r="P299" s="217"/>
      <c r="Q299" s="214"/>
      <c r="R299" s="215"/>
      <c r="T299" s="218" t="str">
        <f>_xlfn.XLOOKUP(T275,RenewalPlans!B:B,RenewalPlans!AX:AX,"NA",0,1)</f>
        <v>NA</v>
      </c>
      <c r="U299" s="214"/>
      <c r="V299" s="214"/>
      <c r="W299" s="214"/>
      <c r="X299" s="217"/>
      <c r="Y299" s="214"/>
      <c r="Z299" s="215"/>
    </row>
    <row r="300" spans="1:26" ht="18" customHeight="1" hidden="1">
      <c r="A300" s="140"/>
      <c r="B300" s="140"/>
      <c r="D300" s="213" t="s">
        <v>271</v>
      </c>
      <c r="E300" s="216" t="str">
        <f>_xlfn.XLOOKUP(E275,CurrentPlans!B:B,CurrentPlans!AT:AT,"NA",0,1)</f>
        <v>NA</v>
      </c>
      <c r="F300" s="214"/>
      <c r="G300" s="214"/>
      <c r="H300" s="214"/>
      <c r="I300" s="217"/>
      <c r="J300" s="215"/>
      <c r="K300"/>
      <c r="L300" s="218" t="str">
        <f ca="1">_xlfn.XLOOKUP(L275,RenewalPlans!B:B,RenewalPlans!AW:AW,"NA",0,1)</f>
        <v>NA</v>
      </c>
      <c r="M300" s="214"/>
      <c r="N300" s="214"/>
      <c r="O300" s="214"/>
      <c r="P300" s="217"/>
      <c r="Q300" s="214"/>
      <c r="R300" s="215"/>
      <c r="T300" s="218" t="str">
        <f>_xlfn.XLOOKUP(T275,RenewalPlans!B:B,RenewalPlans!AW:AW,"NA",0,1)</f>
        <v>NA</v>
      </c>
      <c r="U300" s="214"/>
      <c r="V300" s="214"/>
      <c r="W300" s="214"/>
      <c r="X300" s="217"/>
      <c r="Y300" s="214"/>
      <c r="Z300" s="215"/>
    </row>
    <row r="301" spans="1:26" ht="18" customHeight="1" hidden="1">
      <c r="A301" s="140"/>
      <c r="B301" s="140"/>
      <c r="D301" s="198" t="s">
        <v>272</v>
      </c>
      <c r="E301" s="130" t="str">
        <f>_xlfn.XLOOKUP(E275,CurrentPlans!B:B,CurrentPlans!AD:AD,"NA",0,1)</f>
        <v>NA</v>
      </c>
      <c r="F301" s="200"/>
      <c r="G301" s="200"/>
      <c r="H301" s="200"/>
      <c r="I301" s="130"/>
      <c r="J301" s="201"/>
      <c r="K301"/>
      <c r="L301" s="131" t="str">
        <f ca="1">_xlfn.XLOOKUP(L275,RenewalPlans!B:B,RenewalPlans!AG:AG,"NA",0,1)</f>
        <v>NA</v>
      </c>
      <c r="M301" s="200"/>
      <c r="N301" s="200"/>
      <c r="O301" s="200"/>
      <c r="P301" s="130"/>
      <c r="Q301" s="200"/>
      <c r="R301" s="201"/>
      <c r="T301" s="131" t="str">
        <f>_xlfn.XLOOKUP(T275,RenewalPlans!B:B,RenewalPlans!AG:AG,"NA",0,1)</f>
        <v>NA</v>
      </c>
      <c r="U301" s="200"/>
      <c r="V301" s="200"/>
      <c r="W301" s="200"/>
      <c r="X301" s="130"/>
      <c r="Y301" s="200"/>
      <c r="Z301" s="201"/>
    </row>
    <row r="302" spans="1:26" ht="18" customHeight="1" hidden="1">
      <c r="A302" s="140"/>
      <c r="B302" s="140"/>
      <c r="D302" s="198" t="s">
        <v>273</v>
      </c>
      <c r="E302" s="200"/>
      <c r="F302" s="200"/>
      <c r="G302" s="200"/>
      <c r="H302" s="200"/>
      <c r="I302" s="200"/>
      <c r="J302" s="201"/>
      <c r="K302"/>
      <c r="L302" s="198"/>
      <c r="M302" s="200"/>
      <c r="N302" s="200"/>
      <c r="O302" s="200"/>
      <c r="P302" s="200"/>
      <c r="Q302" s="200"/>
      <c r="R302" s="201"/>
      <c r="T302" s="198"/>
      <c r="U302" s="200"/>
      <c r="V302" s="200"/>
      <c r="W302" s="200"/>
      <c r="X302" s="200"/>
      <c r="Y302" s="200"/>
      <c r="Z302" s="201"/>
    </row>
    <row r="303" spans="1:26" ht="18" customHeight="1" hidden="1">
      <c r="A303" s="140"/>
      <c r="B303" s="140"/>
      <c r="D303" s="210"/>
      <c r="E303" s="211"/>
      <c r="F303" s="211"/>
      <c r="G303" s="211"/>
      <c r="H303" s="211"/>
      <c r="I303" s="211"/>
      <c r="J303" s="212"/>
      <c r="K303"/>
      <c r="L303" s="210"/>
      <c r="M303" s="211"/>
      <c r="N303" s="211"/>
      <c r="O303" s="211"/>
      <c r="P303" s="211"/>
      <c r="Q303" s="211"/>
      <c r="R303" s="212"/>
      <c r="T303" s="210"/>
      <c r="U303" s="211"/>
      <c r="V303" s="211"/>
      <c r="W303" s="211"/>
      <c r="X303" s="211"/>
      <c r="Y303" s="211"/>
      <c r="Z303" s="212"/>
    </row>
    <row r="304" spans="1:26" ht="18" customHeight="1" hidden="1">
      <c r="A304" s="140"/>
      <c r="B304" s="140"/>
      <c r="D304" s="219" t="s">
        <v>274</v>
      </c>
      <c r="E304" s="220"/>
      <c r="F304" s="220"/>
      <c r="G304" s="220"/>
      <c r="H304" s="220"/>
      <c r="I304" s="220"/>
      <c r="J304" s="221"/>
      <c r="K304"/>
      <c r="L304" s="222"/>
      <c r="M304" s="220"/>
      <c r="N304" s="220"/>
      <c r="O304" s="220"/>
      <c r="P304" s="220"/>
      <c r="Q304" s="220"/>
      <c r="R304" s="221"/>
      <c r="T304" s="222"/>
      <c r="U304" s="220"/>
      <c r="V304" s="220"/>
      <c r="W304" s="220"/>
      <c r="X304" s="220"/>
      <c r="Y304" s="220"/>
      <c r="Z304" s="221"/>
    </row>
    <row r="305" spans="1:26" ht="18" customHeight="1" hidden="1">
      <c r="A305" s="140"/>
      <c r="B305" s="140"/>
      <c r="D305" s="223" t="s">
        <v>250</v>
      </c>
      <c r="E305" s="205"/>
      <c r="F305" s="205"/>
      <c r="G305" s="205"/>
      <c r="H305" s="205"/>
      <c r="I305" s="205"/>
      <c r="J305" s="206"/>
      <c r="K305"/>
      <c r="L305" s="203"/>
      <c r="M305" s="205"/>
      <c r="N305" s="205"/>
      <c r="O305" s="205"/>
      <c r="P305" s="205"/>
      <c r="Q305" s="205"/>
      <c r="R305" s="206"/>
      <c r="T305" s="203"/>
      <c r="U305" s="205"/>
      <c r="V305" s="205"/>
      <c r="W305" s="205"/>
      <c r="X305" s="205"/>
      <c r="Y305" s="205"/>
      <c r="Z305" s="206"/>
    </row>
    <row r="306" spans="1:26" ht="18" customHeight="1" hidden="1">
      <c r="A306" s="140"/>
      <c r="B306" s="140"/>
      <c r="D306" s="198" t="s">
        <v>251</v>
      </c>
      <c r="E306" s="130" t="str">
        <f>_xlfn.XLOOKUP(E275,CurrentPlans!B:B,CurrentPlans!AP:AP,"NA",0,1)</f>
        <v>NA</v>
      </c>
      <c r="F306" s="200"/>
      <c r="G306" s="200"/>
      <c r="H306" s="200"/>
      <c r="I306" s="130"/>
      <c r="J306" s="201"/>
      <c r="K306"/>
      <c r="L306" s="131" t="str">
        <f ca="1">_xlfn.XLOOKUP(L275,RenewalPlans!B:B,RenewalPlans!AS:AS,"NA",0,1)</f>
        <v>NA</v>
      </c>
      <c r="M306" s="200"/>
      <c r="N306" s="200"/>
      <c r="O306" s="200"/>
      <c r="P306" s="130"/>
      <c r="Q306" s="200"/>
      <c r="R306" s="201"/>
      <c r="T306" s="131" t="str">
        <f>_xlfn.XLOOKUP(T275,RenewalPlans!B:B,RenewalPlans!AS:AS,"NA",0,1)</f>
        <v>NA</v>
      </c>
      <c r="U306" s="200"/>
      <c r="V306" s="200"/>
      <c r="W306" s="200"/>
      <c r="X306" s="130"/>
      <c r="Y306" s="200"/>
      <c r="Z306" s="201"/>
    </row>
    <row r="307" spans="1:26" ht="18" customHeight="1" hidden="1">
      <c r="A307" s="140"/>
      <c r="B307" s="140"/>
      <c r="D307" s="198" t="s">
        <v>252</v>
      </c>
      <c r="E307" s="130" t="str">
        <f>_xlfn.XLOOKUP(E275,CurrentPlans!B:B,CurrentPlans!AQ:AQ,"NA",0,1)</f>
        <v>NA</v>
      </c>
      <c r="F307" s="200"/>
      <c r="G307" s="200"/>
      <c r="H307" s="200"/>
      <c r="I307" s="130"/>
      <c r="J307" s="201"/>
      <c r="K307"/>
      <c r="L307" s="131" t="str">
        <f ca="1">_xlfn.XLOOKUP(L275,RenewalPlans!B:B,RenewalPlans!AT:AT,"NA",0,1)</f>
        <v>NA</v>
      </c>
      <c r="M307" s="200"/>
      <c r="N307" s="200"/>
      <c r="O307" s="200"/>
      <c r="P307" s="130"/>
      <c r="Q307" s="200"/>
      <c r="R307" s="201"/>
      <c r="T307" s="131" t="str">
        <f>_xlfn.XLOOKUP(T275,RenewalPlans!B:B,RenewalPlans!AT:AT,"NA",0,1)</f>
        <v>NA</v>
      </c>
      <c r="U307" s="200"/>
      <c r="V307" s="200"/>
      <c r="W307" s="200"/>
      <c r="X307" s="130"/>
      <c r="Y307" s="200"/>
      <c r="Z307" s="201"/>
    </row>
    <row r="308" spans="1:26" ht="18" customHeight="1" hidden="1">
      <c r="A308" s="140"/>
      <c r="B308" s="140"/>
      <c r="D308" s="120" t="s">
        <v>253</v>
      </c>
      <c r="E308" s="133" t="str">
        <f>_xlfn.XLOOKUP(E275,CurrentPlans!B:B,CurrentPlans!AO:AO,"NA",0,1)</f>
        <v>NA</v>
      </c>
      <c r="F308" s="122"/>
      <c r="G308" s="122"/>
      <c r="H308" s="122"/>
      <c r="I308" s="133"/>
      <c r="J308" s="123"/>
      <c r="K308"/>
      <c r="L308" s="136" t="str">
        <f ca="1">_xlfn.XLOOKUP(L275,RenewalPlans!B:B,RenewalPlans!AR:AR,"NA",0,1)</f>
        <v>NA</v>
      </c>
      <c r="M308" s="122"/>
      <c r="N308" s="122"/>
      <c r="O308" s="122"/>
      <c r="P308" s="133"/>
      <c r="Q308" s="122"/>
      <c r="R308" s="123"/>
      <c r="T308" s="136" t="str">
        <f>_xlfn.XLOOKUP(T275,RenewalPlans!B:B,RenewalPlans!AR:AR,"NA",0,1)</f>
        <v>NA</v>
      </c>
      <c r="U308" s="122"/>
      <c r="V308" s="122"/>
      <c r="W308" s="122"/>
      <c r="X308" s="133"/>
      <c r="Y308" s="122"/>
      <c r="Z308" s="123"/>
    </row>
    <row r="309" spans="1:26" ht="18" customHeight="1" hidden="1">
      <c r="A309" s="140"/>
      <c r="B309" s="140"/>
      <c r="D309" s="223" t="s">
        <v>254</v>
      </c>
      <c r="E309" s="205"/>
      <c r="F309" s="205"/>
      <c r="G309" s="205"/>
      <c r="H309" s="205"/>
      <c r="I309" s="205"/>
      <c r="J309" s="206"/>
      <c r="K309"/>
      <c r="L309" s="203"/>
      <c r="M309" s="205"/>
      <c r="N309" s="205"/>
      <c r="O309" s="205"/>
      <c r="P309" s="205"/>
      <c r="Q309" s="205"/>
      <c r="R309" s="206"/>
      <c r="T309" s="203"/>
      <c r="U309" s="205"/>
      <c r="V309" s="205"/>
      <c r="W309" s="205"/>
      <c r="X309" s="205"/>
      <c r="Y309" s="205"/>
      <c r="Z309" s="206"/>
    </row>
    <row r="310" spans="1:26" ht="18" customHeight="1" hidden="1">
      <c r="A310" s="140"/>
      <c r="B310" s="140"/>
      <c r="D310" s="198" t="s">
        <v>255</v>
      </c>
      <c r="E310" s="130" t="str">
        <f>_xlfn.XLOOKUP(E275,CurrentPlans!B:B,CurrentPlans!AR:AR,"NA",0,1)</f>
        <v>NA</v>
      </c>
      <c r="F310" s="200"/>
      <c r="G310" s="200"/>
      <c r="H310" s="200"/>
      <c r="I310" s="130"/>
      <c r="J310" s="201"/>
      <c r="K310"/>
      <c r="L310" s="131" t="str">
        <f ca="1">_xlfn.XLOOKUP(L275,RenewalPlans!B:B,RenewalPlans!AU:AU,"NA",0,1)</f>
        <v>NA</v>
      </c>
      <c r="M310" s="200"/>
      <c r="N310" s="200"/>
      <c r="O310" s="200"/>
      <c r="P310" s="130"/>
      <c r="Q310" s="200"/>
      <c r="R310" s="201"/>
      <c r="T310" s="131" t="str">
        <f>_xlfn.XLOOKUP(T275,RenewalPlans!B:B,RenewalPlans!AU:AU,"NA",0,1)</f>
        <v>NA</v>
      </c>
      <c r="U310" s="200"/>
      <c r="V310" s="200"/>
      <c r="W310" s="200"/>
      <c r="X310" s="130"/>
      <c r="Y310" s="200"/>
      <c r="Z310" s="201"/>
    </row>
    <row r="311" spans="1:26" ht="18" customHeight="1" hidden="1" thickBot="1">
      <c r="A311" s="140"/>
      <c r="B311" s="140"/>
      <c r="D311" s="224" t="s">
        <v>256</v>
      </c>
      <c r="E311" s="137" t="str">
        <f>_xlfn.XLOOKUP(E275,CurrentPlans!B:B,CurrentPlans!AS:AS,"NA",0,1)</f>
        <v>NA</v>
      </c>
      <c r="F311" s="225"/>
      <c r="G311" s="225"/>
      <c r="H311" s="225"/>
      <c r="I311" s="137"/>
      <c r="J311" s="226"/>
      <c r="K311"/>
      <c r="L311" s="138" t="str">
        <f ca="1">_xlfn.XLOOKUP(L275,RenewalPlans!B:B,RenewalPlans!AV:AV,"NA",0,1)</f>
        <v>NA</v>
      </c>
      <c r="M311" s="225"/>
      <c r="N311" s="225"/>
      <c r="O311" s="225"/>
      <c r="P311" s="137"/>
      <c r="Q311" s="225"/>
      <c r="R311" s="226"/>
      <c r="T311" s="138" t="str">
        <f>_xlfn.XLOOKUP(T275,RenewalPlans!B:B,RenewalPlans!AV:AV,"NA",0,1)</f>
        <v>NA</v>
      </c>
      <c r="U311" s="225"/>
      <c r="V311" s="225"/>
      <c r="W311" s="225"/>
      <c r="X311" s="137"/>
      <c r="Y311" s="225"/>
      <c r="Z311" s="226"/>
    </row>
    <row r="312" spans="1:26" ht="18" customHeight="1">
      <c r="A312" s="140"/>
      <c r="B312" s="140"/>
      <c r="D312" s="227"/>
      <c r="E312" s="176"/>
      <c r="F312" s="178"/>
      <c r="G312" s="179"/>
      <c r="H312" s="178"/>
      <c r="I312" s="176"/>
      <c r="J312" s="228"/>
      <c r="K312"/>
      <c r="L312" s="178"/>
      <c r="M312" s="176"/>
      <c r="N312" s="139"/>
      <c r="O312" s="178"/>
      <c r="P312" s="178"/>
      <c r="Q312" s="178"/>
      <c r="R312" s="228"/>
      <c r="T312" s="178"/>
      <c r="U312" s="176"/>
      <c r="V312" s="139"/>
      <c r="W312" s="178"/>
      <c r="X312" s="178"/>
      <c r="Y312" s="178"/>
      <c r="Z312" s="228"/>
    </row>
    <row r="313" spans="1:26" ht="5.25" customHeight="1" thickBot="1">
      <c r="A313" s="140"/>
      <c r="B313" s="140"/>
      <c r="D313" s="229"/>
      <c r="E313" s="229"/>
      <c r="F313" s="230"/>
      <c r="G313" s="231"/>
      <c r="H313" s="232"/>
      <c r="I313" s="233"/>
      <c r="J313" s="233"/>
      <c r="K313"/>
      <c r="L313" s="233"/>
      <c r="M313" s="233"/>
      <c r="N313" s="233"/>
      <c r="O313" s="233"/>
      <c r="P313" s="233"/>
      <c r="Q313" s="233"/>
      <c r="R313" s="233"/>
      <c r="T313" s="233"/>
      <c r="U313" s="233"/>
      <c r="V313" s="233"/>
      <c r="W313" s="233"/>
      <c r="X313" s="233"/>
      <c r="Y313" s="233"/>
      <c r="Z313" s="233"/>
    </row>
    <row r="314" spans="1:26" ht="50.15" customHeight="1">
      <c r="A314" s="140">
        <v>7</v>
      </c>
      <c r="B314" s="140" t="str">
        <f>IF(A314&gt;Class7_CurrentHealthCount,"DELETE",Class7_CurrentHealthStart+A314)</f>
        <v>DELETE</v>
      </c>
      <c r="C314" s="164" t="s">
        <v>280</v>
      </c>
      <c r="D314" s="273" t="str">
        <f>IF(B314="Delete","",VLOOKUP(F314,BEGIN_CURRENT_HEALTH:END_CURRENT_HEALTH,3,FALSE))</f>
        <v/>
      </c>
      <c r="E314" s="165"/>
      <c r="F314" s="272" t="str" cm="1">
        <f t="array" ca="1" aca="1" ref="F314">IF(B314="Delete","",INDIRECT("CurrentPlans!A"&amp;B314,TRUE))</f>
        <v/>
      </c>
      <c r="G314" s="166"/>
      <c r="H314" s="167"/>
      <c r="I314" s="168"/>
      <c r="J314" s="169"/>
      <c r="K314"/>
      <c r="L314" s="274" t="str">
        <f ca="1">_xlfn.IFNA(VLOOKUP(F314,BEGIN_RENEWEDFROM_HEALTH:ROW_RenewHealth_PlanID,3,FALSE),"SELECT PLAN")</f>
        <v>SELECT PLAN</v>
      </c>
      <c r="M314" s="170"/>
      <c r="N314" s="274" t="s">
        <v>237</v>
      </c>
      <c r="O314" s="171"/>
      <c r="P314" s="171"/>
      <c r="Q314" s="171"/>
      <c r="R314" s="169"/>
      <c r="T314" s="274" t="s">
        <v>38</v>
      </c>
      <c r="U314" s="170"/>
      <c r="V314" s="274" t="s">
        <v>237</v>
      </c>
      <c r="W314" s="171"/>
      <c r="X314" s="171"/>
      <c r="Y314" s="171"/>
      <c r="Z314" s="169"/>
    </row>
    <row r="315" spans="1:26" ht="18.75" customHeight="1">
      <c r="A315" s="140"/>
      <c r="B315" s="140"/>
      <c r="D315" s="172" t="s">
        <v>238</v>
      </c>
      <c r="E315" s="407" t="str">
        <f ca="1">_xlfn.IFNA(VLOOKUP(F314,BEGIN_CURRENT_HEALTH:END_CURRENT_HEALTH,CURRENT_COL_EO_count,FALSE),"")</f>
        <v/>
      </c>
      <c r="F315" s="408" t="str">
        <f ca="1">_xlfn.IFNA(VLOOKUP(F314,BEGIN_CURRENT_HEALTH:END_CURRENT_HEALTH,CURRENT_COL_EO,FALSE),"")</f>
        <v/>
      </c>
      <c r="G315" s="468" t="str">
        <f ca="1" t="shared" si="30" ref="G315:G318">IF(F315="","",H315/F315)</f>
        <v/>
      </c>
      <c r="H315" s="408" t="str">
        <f ca="1">_xlfn.IFNA(VLOOKUP(F314,BEGIN_CURRENT_HEALTH:END_CURRENT_HEALTH,CURRENT_COL_EOContrib,FALSE),"")</f>
        <v/>
      </c>
      <c r="I315" s="409" t="str">
        <f ca="1">IFERROR(F315-H315,"")</f>
        <v/>
      </c>
      <c r="J315" s="410" t="str">
        <f ca="1">IF(F315="","",H315*E315)</f>
        <v/>
      </c>
      <c r="K315" s="411"/>
      <c r="L315" s="408" t="str" cm="1">
        <f t="array" ca="1" aca="1" ref="L315">_xlfn.IFNA(VLOOKUP(INDIRECT("L"&amp;ROW()-1)&amp;"_"&amp;$D$12,BEGIN_RENEW_HEALTH:END_RENEW_HEALTH,RENEW_COL_EO,FALSE),"")</f>
        <v/>
      </c>
      <c r="M315" s="412" t="str">
        <f ca="1">IF(E315="","",E315)</f>
        <v/>
      </c>
      <c r="N315" s="413"/>
      <c r="O315" s="414"/>
      <c r="P315" s="415" t="str">
        <f>IFERROR(IF($N314="Keep Contribution Same",H315,IF($N314="Enter Percentages",IF(N315="","",N315*L315),IF($N314="Keep Percentage Same",IF(G315="","",G315*L315),IF($N314="Enter Dollar Amount",IF(O315="","",O315),"")))),"")</f>
        <v/>
      </c>
      <c r="Q315" s="408" t="str">
        <f ca="1">IFERROR(L315-P315,"")</f>
        <v/>
      </c>
      <c r="R315" s="410" t="str">
        <f>IFERROR(IF(P315="","",M315*P315),"")</f>
        <v/>
      </c>
      <c r="S315" s="411"/>
      <c r="T315" s="408" t="str" cm="1">
        <f t="array" ca="1" aca="1" ref="T315">_xlfn.IFNA(VLOOKUP(INDIRECT("T"&amp;ROW()-1)&amp;"_"&amp;$D$12,BEGIN_RENEW_HEALTH:END_RENEW_HEALTH,RENEW_COL_EO,FALSE),"")</f>
        <v/>
      </c>
      <c r="U315" s="412" t="str">
        <f ca="1">IF(E315="","",E315)</f>
        <v/>
      </c>
      <c r="V315" s="413"/>
      <c r="W315" s="414"/>
      <c r="X315" s="415" t="str">
        <f>IFERROR(IF($V314="Keep Contribution Same",H315,IF($V314="Enter Percentages",IF(V315="","",V315*T315),IF($V314="Keep Percentage Same",IF(G315="","",G315*T315),IF($V314="Enter Dollar Amount",IF(W315="","",W315),"")))),"")</f>
        <v/>
      </c>
      <c r="Y315" s="408" t="str">
        <f ca="1">IFERROR(T315-X315,"")</f>
        <v/>
      </c>
      <c r="Z315" s="410" t="str">
        <f>IFERROR(IF(X315="","",U315*X315),"")</f>
        <v/>
      </c>
    </row>
    <row r="316" spans="1:26" ht="18.75" customHeight="1">
      <c r="A316" s="140"/>
      <c r="B316" s="140"/>
      <c r="D316" s="172" t="s">
        <v>239</v>
      </c>
      <c r="E316" s="407" t="str">
        <f ca="1">_xlfn.IFNA(VLOOKUP(F314,BEGIN_CURRENT_HEALTH:END_CURRENT_HEALTH,CURRENT_COL_ES_count,FALSE),"")</f>
        <v/>
      </c>
      <c r="F316" s="408" t="str">
        <f ca="1">_xlfn.IFNA(VLOOKUP(F314,BEGIN_CURRENT_HEALTH:END_CURRENT_HEALTH,CURRENT_COL_ES,FALSE),"")</f>
        <v/>
      </c>
      <c r="G316" s="468" t="str">
        <f t="shared" ca="1" si="30"/>
        <v/>
      </c>
      <c r="H316" s="408" t="str">
        <f ca="1">_xlfn.IFNA(VLOOKUP(F314,BEGIN_CURRENT_HEALTH:END_CURRENT_HEALTH,CURRENT_COL_ESContrib,FALSE),"")</f>
        <v/>
      </c>
      <c r="I316" s="409" t="str">
        <f ca="1" t="shared" si="31" ref="I316:I318">IFERROR(F316-H316,"")</f>
        <v/>
      </c>
      <c r="J316" s="410" t="str">
        <f ca="1">IF(F316="","",H316*E316)</f>
        <v/>
      </c>
      <c r="K316" s="411"/>
      <c r="L316" s="408" t="str" cm="1">
        <f t="array" ca="1" aca="1" ref="L316">_xlfn.IFNA(VLOOKUP(INDIRECT("L"&amp;ROW()-2)&amp;"_"&amp;$D$12,BEGIN_RENEW_HEALTH:END_RENEW_HEALTH,RENEW_COL_ES,FALSE),"")</f>
        <v/>
      </c>
      <c r="M316" s="412" t="str">
        <f ca="1">IF(E316="","",E316)</f>
        <v/>
      </c>
      <c r="N316" s="413"/>
      <c r="O316" s="414"/>
      <c r="P316" s="415" t="str">
        <f>IFERROR(IF($N314="Keep Contribution Same",H316,IF($N314="Enter Percentages",IF(N316="","",N316*L316),IF($N314="Keep Percentage Same",IF(G316="","",G316*L316),IF($N314="Enter Dollar Amount",IF(O316="","",O316),"")))),"")</f>
        <v/>
      </c>
      <c r="Q316" s="408" t="str">
        <f ca="1">IFERROR(L316-P316,"")</f>
        <v/>
      </c>
      <c r="R316" s="410" t="str">
        <f>IFERROR(IF(P316="","",M316*P316),"")</f>
        <v/>
      </c>
      <c r="S316" s="411"/>
      <c r="T316" s="408" t="str" cm="1">
        <f t="array" ca="1" aca="1" ref="T316">_xlfn.IFNA(VLOOKUP(INDIRECT("T"&amp;ROW()-2)&amp;"_"&amp;$D$12,BEGIN_RENEW_HEALTH:END_RENEW_HEALTH,RENEW_COL_ES,FALSE),"")</f>
        <v/>
      </c>
      <c r="U316" s="412" t="str">
        <f ca="1" t="shared" si="32" ref="U316:U318">IF(E316="","",E316)</f>
        <v/>
      </c>
      <c r="V316" s="413"/>
      <c r="W316" s="414"/>
      <c r="X316" s="415" t="str">
        <f>IFERROR(IF($V314="Keep Contribution Same",H316,IF($V314="Enter Percentages",IF(V316="","",V316*T316),IF($V314="Keep Percentage Same",IF(G316="","",G316*T316),IF($V314="Enter Dollar Amount",IF(W316="","",W316),"")))),"")</f>
        <v/>
      </c>
      <c r="Y316" s="408" t="str">
        <f ca="1" t="shared" si="33" ref="Y316:Y318">IFERROR(T316-X316,"")</f>
        <v/>
      </c>
      <c r="Z316" s="410" t="str">
        <f t="shared" si="34" ref="Z316:Z318">IFERROR(IF(X316="","",U316*X316),"")</f>
        <v/>
      </c>
    </row>
    <row r="317" spans="1:26" ht="18.75" customHeight="1">
      <c r="A317" s="140"/>
      <c r="B317" s="140"/>
      <c r="D317" s="172" t="s">
        <v>240</v>
      </c>
      <c r="E317" s="407" t="str">
        <f ca="1">_xlfn.IFNA(VLOOKUP(F314,BEGIN_CURRENT_HEALTH:END_CURRENT_HEALTH,CURRENT_COL_EC_count,FALSE),"")</f>
        <v/>
      </c>
      <c r="F317" s="408" t="str">
        <f ca="1">_xlfn.IFNA(VLOOKUP(F314,BEGIN_CURRENT_HEALTH:END_CURRENT_HEALTH,CURRENT_COL_EC,FALSE),"")</f>
        <v/>
      </c>
      <c r="G317" s="468" t="str">
        <f t="shared" ca="1" si="30"/>
        <v/>
      </c>
      <c r="H317" s="408" t="str">
        <f ca="1">_xlfn.IFNA(VLOOKUP(F314,BEGIN_CURRENT_HEALTH:END_CURRENT_HEALTH,CURRENT_COL_ECContrib,FALSE),"")</f>
        <v/>
      </c>
      <c r="I317" s="409" t="str">
        <f t="shared" ca="1" si="31"/>
        <v/>
      </c>
      <c r="J317" s="410" t="str">
        <f ca="1">IF(F317="","",H317*E317)</f>
        <v/>
      </c>
      <c r="K317" s="411"/>
      <c r="L317" s="408" t="str" cm="1">
        <f t="array" ca="1" aca="1" ref="L317">_xlfn.IFNA(VLOOKUP(INDIRECT("L"&amp;ROW()-3)&amp;"_"&amp;$D$12,BEGIN_RENEW_HEALTH:END_RENEW_HEALTH,RENEW_COL_EC,FALSE),"")</f>
        <v/>
      </c>
      <c r="M317" s="412" t="str">
        <f ca="1">IF(E317="","",E317)</f>
        <v/>
      </c>
      <c r="N317" s="413"/>
      <c r="O317" s="414"/>
      <c r="P317" s="415" t="str">
        <f>IFERROR(IF($N314="Keep Contribution Same",H317,IF($N314="Enter Percentages",IF(N317="","",N317*L317),IF($N314="Keep Percentage Same",IF(G317="","",G317*L317),IF($N314="Enter Dollar Amount",IF(O317="","",O317),"")))),"")</f>
        <v/>
      </c>
      <c r="Q317" s="408" t="str">
        <f ca="1">IFERROR(L317-P317,"")</f>
        <v/>
      </c>
      <c r="R317" s="410" t="str">
        <f>IFERROR(IF(P317="","",M317*P317),"")</f>
        <v/>
      </c>
      <c r="S317" s="411"/>
      <c r="T317" s="408" t="str" cm="1">
        <f t="array" ca="1" aca="1" ref="T317">_xlfn.IFNA(VLOOKUP(INDIRECT("T"&amp;ROW()-3)&amp;"_"&amp;$D$12,BEGIN_RENEW_HEALTH:END_RENEW_HEALTH,RENEW_COL_EC,FALSE),"")</f>
        <v/>
      </c>
      <c r="U317" s="412" t="str">
        <f t="shared" ca="1" si="32"/>
        <v/>
      </c>
      <c r="V317" s="413"/>
      <c r="W317" s="414"/>
      <c r="X317" s="415" t="str">
        <f>IFERROR(IF($V314="Keep Contribution Same",H317,IF($V314="Enter Percentages",IF(V317="","",V317*T317),IF($V314="Keep Percentage Same",IF(G317="","",G317*T317),IF($V314="Enter Dollar Amount",IF(W317="","",W317),"")))),"")</f>
        <v/>
      </c>
      <c r="Y317" s="408" t="str">
        <f t="shared" ca="1" si="33"/>
        <v/>
      </c>
      <c r="Z317" s="410" t="str">
        <f t="shared" si="34"/>
        <v/>
      </c>
    </row>
    <row r="318" spans="1:26" ht="18.75" customHeight="1" thickBot="1">
      <c r="A318" s="140"/>
      <c r="B318" s="140"/>
      <c r="D318" s="174" t="s">
        <v>241</v>
      </c>
      <c r="E318" s="416" t="str">
        <f ca="1">_xlfn.IFNA(VLOOKUP(F314,BEGIN_CURRENT_HEALTH:END_CURRENT_HEALTH,CURRENT_COL_FAM_count,FALSE),"")</f>
        <v/>
      </c>
      <c r="F318" s="417" t="str">
        <f ca="1">_xlfn.IFNA(VLOOKUP(F314,BEGIN_CURRENT_HEALTH:END_CURRENT_HEALTH,CURRENT_COL_FAM,FALSE),"")</f>
        <v/>
      </c>
      <c r="G318" s="469" t="str">
        <f t="shared" ca="1" si="30"/>
        <v/>
      </c>
      <c r="H318" s="417" t="str">
        <f ca="1">_xlfn.IFNA(VLOOKUP(F314,BEGIN_CURRENT_HEALTH:END_CURRENT_HEALTH,CURRENT_COL_FAMContrib,FALSE),"")</f>
        <v/>
      </c>
      <c r="I318" s="418" t="str">
        <f t="shared" ca="1" si="31"/>
        <v/>
      </c>
      <c r="J318" s="419" t="str">
        <f ca="1">IF(F318="","",H318*E318)</f>
        <v/>
      </c>
      <c r="K318" s="411"/>
      <c r="L318" s="417" t="str" cm="1">
        <f t="array" ca="1" aca="1" ref="L318">_xlfn.IFNA(VLOOKUP(INDIRECT("L"&amp;ROW()-4)&amp;"_"&amp;$D$12,BEGIN_RENEW_HEALTH:END_RENEW_HEALTH,RENEW_COL_FAM,FALSE),"")</f>
        <v/>
      </c>
      <c r="M318" s="423" t="str">
        <f ca="1">IF(E318="","",E318)</f>
        <v/>
      </c>
      <c r="N318" s="420"/>
      <c r="O318" s="421"/>
      <c r="P318" s="422" t="str">
        <f>IFERROR(IF($N314="Keep Contribution Same",H318,IF($N314="Enter Percentages",IF(N318="","",N318*L318),IF($N314="Keep Percentage Same",IF(G318="","",G318*L318),IF($N314="Enter Dollar Amount",IF(O318="","",O318),"")))),"")</f>
        <v/>
      </c>
      <c r="Q318" s="417" t="str">
        <f ca="1">IFERROR(L318-P318,"")</f>
        <v/>
      </c>
      <c r="R318" s="419" t="str">
        <f>IFERROR(IF(P318="","",M318*P318),"")</f>
        <v/>
      </c>
      <c r="S318" s="411"/>
      <c r="T318" s="417" t="str" cm="1">
        <f t="array" ca="1" aca="1" ref="T318">_xlfn.IFNA(VLOOKUP(INDIRECT("T"&amp;ROW()-4)&amp;"_"&amp;$D$12,BEGIN_RENEW_HEALTH:END_RENEW_HEALTH,RENEW_COL_FAM,FALSE),"")</f>
        <v/>
      </c>
      <c r="U318" s="423" t="str">
        <f t="shared" ca="1" si="32"/>
        <v/>
      </c>
      <c r="V318" s="420"/>
      <c r="W318" s="421"/>
      <c r="X318" s="422" t="str">
        <f>IFERROR(IF($V314="Keep Contribution Same",H318,IF($V314="Enter Percentages",IF(V318="","",V318*T318),IF($V314="Keep Percentage Same",IF(G318="","",G318*T318),IF($V314="Enter Dollar Amount",IF(W318="","",W318),"")))),"")</f>
        <v/>
      </c>
      <c r="Y318" s="417" t="str">
        <f t="shared" ca="1" si="33"/>
        <v/>
      </c>
      <c r="Z318" s="419" t="str">
        <f t="shared" si="34"/>
        <v/>
      </c>
    </row>
    <row r="319" spans="1:26" ht="18.75" customHeight="1" thickTop="1">
      <c r="A319" s="140"/>
      <c r="B319" s="140"/>
      <c r="D319" s="175" t="s">
        <v>242</v>
      </c>
      <c r="E319" s="424"/>
      <c r="F319" s="447" t="str">
        <f ca="1">IFERROR((F315*E315)+(F316*E316)+(F317*E317)+(F318*E318),"")</f>
        <v/>
      </c>
      <c r="G319" s="426"/>
      <c r="H319" s="427"/>
      <c r="I319" s="428"/>
      <c r="J319" s="429" t="str">
        <f ca="1">IFERROR(IF(J315="","",SUM(J315:J318)),0)</f>
        <v/>
      </c>
      <c r="K319" s="1"/>
      <c r="L319" s="430" t="str">
        <f ca="1">IFERROR((M315*L315)+(M316*L316)+(M317*L317)+(M318*L318),"")</f>
        <v/>
      </c>
      <c r="M319" s="427"/>
      <c r="N319" s="426"/>
      <c r="O319" s="427"/>
      <c r="P319" s="431"/>
      <c r="Q319" s="432"/>
      <c r="R319" s="429" t="str">
        <f>IFERROR(IF(R315="","",SUM(R315:R318)),0)</f>
        <v/>
      </c>
      <c r="T319" s="430" t="str">
        <f ca="1">IFERROR((U315*T315)+(U316*T316)+(U317*T317)+(U318*T318),"")</f>
        <v/>
      </c>
      <c r="U319" s="427"/>
      <c r="V319" s="426"/>
      <c r="W319" s="427"/>
      <c r="X319" s="431"/>
      <c r="Y319" s="432"/>
      <c r="Z319" s="429" t="str">
        <f>IFERROR(IF(Z315="","",SUM(Z315:Z318)),0)</f>
        <v/>
      </c>
    </row>
    <row r="320" spans="1:26" ht="18.75" customHeight="1">
      <c r="A320" s="140"/>
      <c r="B320" s="140"/>
      <c r="D320" s="177" t="s">
        <v>243</v>
      </c>
      <c r="E320" s="433"/>
      <c r="F320" s="448" t="str">
        <f ca="1">IFERROR(F319*12,"")</f>
        <v/>
      </c>
      <c r="G320" s="435"/>
      <c r="H320" s="436"/>
      <c r="I320" s="432"/>
      <c r="J320" s="437" t="str">
        <f ca="1">IF(J319="","",J319*12)</f>
        <v/>
      </c>
      <c r="K320" s="1"/>
      <c r="L320" s="438" t="str">
        <f ca="1">IFERROR(L319*12,"")</f>
        <v/>
      </c>
      <c r="M320" s="436"/>
      <c r="N320" s="435"/>
      <c r="O320" s="436"/>
      <c r="P320" s="432"/>
      <c r="Q320" s="432"/>
      <c r="R320" s="437" t="str">
        <f>IF(R319="","",R319*12)</f>
        <v/>
      </c>
      <c r="T320" s="438" t="str">
        <f ca="1">IFERROR(T319*12,"")</f>
        <v/>
      </c>
      <c r="U320" s="436"/>
      <c r="V320" s="435"/>
      <c r="W320" s="436"/>
      <c r="X320" s="432"/>
      <c r="Y320" s="432"/>
      <c r="Z320" s="437" t="str">
        <f>IF(Z319="","",Z319*12)</f>
        <v/>
      </c>
    </row>
    <row r="321" spans="1:26" ht="18" customHeight="1">
      <c r="A321" s="140"/>
      <c r="B321" s="140"/>
      <c r="D321" s="177" t="s">
        <v>244</v>
      </c>
      <c r="E321" s="433"/>
      <c r="F321" s="436"/>
      <c r="G321" s="435"/>
      <c r="H321" s="436"/>
      <c r="I321" s="432"/>
      <c r="J321" s="437"/>
      <c r="K321" s="1"/>
      <c r="L321" s="434" t="str">
        <f ca="1">IFERROR(L320-F320,"")</f>
        <v/>
      </c>
      <c r="M321" s="436"/>
      <c r="N321" s="435"/>
      <c r="O321" s="436"/>
      <c r="P321" s="432"/>
      <c r="Q321" s="432"/>
      <c r="R321" s="437" t="str">
        <f ca="1">IFERROR(IF(J320="","",R320-J320),0)</f>
        <v/>
      </c>
      <c r="T321" s="434" t="str">
        <f ca="1">IFERROR(T320-F320,"")</f>
        <v/>
      </c>
      <c r="U321" s="436"/>
      <c r="V321" s="435"/>
      <c r="W321" s="436"/>
      <c r="X321" s="432"/>
      <c r="Y321" s="432"/>
      <c r="Z321" s="437" t="str">
        <f>IFERROR(IF(R320="","",Z320-R320),0)</f>
        <v/>
      </c>
    </row>
    <row r="322" spans="1:26" ht="18" customHeight="1" thickBot="1">
      <c r="A322" s="140"/>
      <c r="B322" s="140"/>
      <c r="D322" s="180" t="s">
        <v>245</v>
      </c>
      <c r="E322" s="439"/>
      <c r="F322" s="440"/>
      <c r="G322" s="441"/>
      <c r="H322" s="440"/>
      <c r="I322" s="442"/>
      <c r="J322" s="443"/>
      <c r="K322" s="1"/>
      <c r="L322" s="444" t="str">
        <f ca="1">IFERROR(L320/F320-1,"")</f>
        <v/>
      </c>
      <c r="M322" s="440"/>
      <c r="N322" s="441"/>
      <c r="O322" s="440"/>
      <c r="P322" s="445"/>
      <c r="Q322" s="445"/>
      <c r="R322" s="446" t="str">
        <f ca="1">IFERROR(IF(J320="","",(R320/J320)-1),0)</f>
        <v/>
      </c>
      <c r="T322" s="444" t="str">
        <f ca="1">IFERROR(T320/F320-1,"")</f>
        <v/>
      </c>
      <c r="U322" s="440"/>
      <c r="V322" s="441"/>
      <c r="W322" s="440"/>
      <c r="X322" s="445"/>
      <c r="Y322" s="445"/>
      <c r="Z322" s="446" t="str">
        <f>IFERROR(IF(R320="","",(Z320/R320)-1),0)</f>
        <v/>
      </c>
    </row>
    <row r="323" spans="1:26" ht="18" customHeight="1">
      <c r="A323" s="140"/>
      <c r="B323" s="140"/>
      <c r="D323" s="181" t="s">
        <v>246</v>
      </c>
      <c r="E323" s="182"/>
      <c r="F323" s="182"/>
      <c r="G323" s="182"/>
      <c r="H323" s="182"/>
      <c r="I323" s="182"/>
      <c r="J323" s="183"/>
      <c r="K323"/>
      <c r="L323" s="184"/>
      <c r="M323" s="182"/>
      <c r="N323" s="182"/>
      <c r="O323" s="182"/>
      <c r="P323" s="182"/>
      <c r="Q323" s="182"/>
      <c r="R323" s="183"/>
      <c r="T323" s="184"/>
      <c r="U323" s="182"/>
      <c r="V323" s="182"/>
      <c r="W323" s="182"/>
      <c r="X323" s="182"/>
      <c r="Y323" s="182"/>
      <c r="Z323" s="183"/>
    </row>
    <row r="324" spans="1:26" ht="18" customHeight="1" hidden="1">
      <c r="A324" s="140"/>
      <c r="B324" s="140"/>
      <c r="D324" s="185" t="s">
        <v>247</v>
      </c>
      <c r="E324" s="186"/>
      <c r="F324" s="186"/>
      <c r="G324" s="186"/>
      <c r="H324" s="186"/>
      <c r="I324" s="186"/>
      <c r="J324" s="187"/>
      <c r="K324"/>
      <c r="L324" s="188"/>
      <c r="M324" s="186"/>
      <c r="N324" s="186"/>
      <c r="O324" s="186"/>
      <c r="P324" s="186"/>
      <c r="Q324" s="186"/>
      <c r="R324" s="187"/>
      <c r="T324" s="188"/>
      <c r="U324" s="186"/>
      <c r="V324" s="186"/>
      <c r="W324" s="186"/>
      <c r="X324" s="186"/>
      <c r="Y324" s="186"/>
      <c r="Z324" s="187"/>
    </row>
    <row r="325" spans="1:26" ht="18" customHeight="1" hidden="1">
      <c r="A325" s="140"/>
      <c r="B325" s="140"/>
      <c r="D325" s="189" t="s">
        <v>248</v>
      </c>
      <c r="E325" s="190" t="str">
        <f>D314&amp;"_"&amp;D12</f>
        <v>_</v>
      </c>
      <c r="F325" s="191"/>
      <c r="G325" s="191"/>
      <c r="H325" s="191"/>
      <c r="I325" s="190"/>
      <c r="J325" s="192"/>
      <c r="K325"/>
      <c r="L325" s="193" t="str">
        <f ca="1">L314&amp;"_"&amp;D12</f>
        <v>SELECT PLAN_</v>
      </c>
      <c r="M325" s="191"/>
      <c r="N325" s="191"/>
      <c r="O325" s="191"/>
      <c r="P325" s="190"/>
      <c r="Q325" s="191"/>
      <c r="R325" s="192"/>
      <c r="T325" s="193" t="str">
        <f>T314&amp;"_"&amp;D12</f>
        <v>SELECT PLAN_</v>
      </c>
      <c r="U325" s="191"/>
      <c r="V325" s="191"/>
      <c r="W325" s="191"/>
      <c r="X325" s="190"/>
      <c r="Y325" s="191"/>
      <c r="Z325" s="192"/>
    </row>
    <row r="326" spans="1:26" ht="18" customHeight="1" hidden="1">
      <c r="A326" s="140"/>
      <c r="B326" s="140"/>
      <c r="D326" s="189" t="s">
        <v>249</v>
      </c>
      <c r="E326" s="191"/>
      <c r="F326" s="191"/>
      <c r="G326" s="191"/>
      <c r="H326" s="191"/>
      <c r="I326" s="191"/>
      <c r="J326" s="192"/>
      <c r="K326"/>
      <c r="L326" s="189"/>
      <c r="M326" s="191"/>
      <c r="N326" s="191"/>
      <c r="O326" s="191"/>
      <c r="P326" s="191"/>
      <c r="Q326" s="191"/>
      <c r="R326" s="192"/>
      <c r="T326" s="189"/>
      <c r="U326" s="191"/>
      <c r="V326" s="191"/>
      <c r="W326" s="191"/>
      <c r="X326" s="191"/>
      <c r="Y326" s="191"/>
      <c r="Z326" s="192"/>
    </row>
    <row r="327" spans="1:26" ht="18" customHeight="1" hidden="1">
      <c r="A327" s="140"/>
      <c r="B327" s="140"/>
      <c r="D327" s="194" t="s">
        <v>250</v>
      </c>
      <c r="E327" s="195"/>
      <c r="F327" s="195"/>
      <c r="G327" s="195"/>
      <c r="H327" s="195"/>
      <c r="I327" s="195"/>
      <c r="J327" s="196"/>
      <c r="K327"/>
      <c r="L327" s="197"/>
      <c r="M327" s="195"/>
      <c r="N327" s="195"/>
      <c r="O327" s="195"/>
      <c r="P327" s="195"/>
      <c r="Q327" s="195"/>
      <c r="R327" s="196"/>
      <c r="T327" s="197"/>
      <c r="U327" s="195"/>
      <c r="V327" s="195"/>
      <c r="W327" s="195"/>
      <c r="X327" s="195"/>
      <c r="Y327" s="195"/>
      <c r="Z327" s="196"/>
    </row>
    <row r="328" spans="1:26" ht="18" customHeight="1" hidden="1">
      <c r="A328" s="140"/>
      <c r="B328" s="140"/>
      <c r="D328" s="198" t="s">
        <v>251</v>
      </c>
      <c r="E328" s="199" t="str">
        <f>_xlfn.XLOOKUP(E325,CurrentPlans!B:B,CurrentPlans!X:X,"NA",0,1)</f>
        <v>NA</v>
      </c>
      <c r="F328" s="200"/>
      <c r="G328" s="200"/>
      <c r="H328" s="200"/>
      <c r="I328" s="199"/>
      <c r="J328" s="201"/>
      <c r="K328"/>
      <c r="L328" s="202" t="str">
        <f ca="1">_xlfn.XLOOKUP(L325,RenewalPlans!B:B,RenewalPlans!AA:AA,"NA",0,1)</f>
        <v>NA</v>
      </c>
      <c r="M328" s="200"/>
      <c r="N328" s="200"/>
      <c r="O328" s="200"/>
      <c r="P328" s="199"/>
      <c r="Q328" s="200"/>
      <c r="R328" s="201"/>
      <c r="T328" s="202" t="str">
        <f>_xlfn.XLOOKUP(T325,RenewalPlans!B:B,RenewalPlans!AA:AA,"NA",0,1)</f>
        <v>NA</v>
      </c>
      <c r="U328" s="200"/>
      <c r="V328" s="200"/>
      <c r="W328" s="200"/>
      <c r="X328" s="199"/>
      <c r="Y328" s="200"/>
      <c r="Z328" s="201"/>
    </row>
    <row r="329" spans="1:26" ht="18" customHeight="1" hidden="1">
      <c r="A329" s="140"/>
      <c r="B329" s="140"/>
      <c r="D329" s="198" t="s">
        <v>252</v>
      </c>
      <c r="E329" s="199" t="str">
        <f>_xlfn.XLOOKUP(E325,CurrentPlans!B:B,CurrentPlans!Y:Y,"NA",0,1)</f>
        <v>NA</v>
      </c>
      <c r="F329" s="200"/>
      <c r="G329" s="200"/>
      <c r="H329" s="200"/>
      <c r="I329" s="199"/>
      <c r="J329" s="201"/>
      <c r="K329"/>
      <c r="L329" s="202" t="str">
        <f ca="1">_xlfn.XLOOKUP(L325,RenewalPlans!B:B,RenewalPlans!AB:AB,"NA",0,1)</f>
        <v>NA</v>
      </c>
      <c r="M329" s="200"/>
      <c r="N329" s="200"/>
      <c r="O329" s="200"/>
      <c r="P329" s="199"/>
      <c r="Q329" s="200"/>
      <c r="R329" s="201"/>
      <c r="T329" s="202" t="str">
        <f>_xlfn.XLOOKUP(T325,RenewalPlans!B:B,RenewalPlans!AB:AB,"NA",0,1)</f>
        <v>NA</v>
      </c>
      <c r="U329" s="200"/>
      <c r="V329" s="200"/>
      <c r="W329" s="200"/>
      <c r="X329" s="199"/>
      <c r="Y329" s="200"/>
      <c r="Z329" s="201"/>
    </row>
    <row r="330" spans="1:26" ht="18" customHeight="1" hidden="1">
      <c r="A330" s="140"/>
      <c r="B330" s="140"/>
      <c r="D330" s="120" t="s">
        <v>253</v>
      </c>
      <c r="E330" s="121" t="str">
        <f>_xlfn.XLOOKUP(E325,CurrentPlans!B:B,CurrentPlans!W:W,"NA",0,1)</f>
        <v>NA</v>
      </c>
      <c r="F330" s="122"/>
      <c r="G330" s="122"/>
      <c r="H330" s="122"/>
      <c r="I330" s="121"/>
      <c r="J330" s="123"/>
      <c r="K330"/>
      <c r="L330" s="124" t="str">
        <f ca="1">_xlfn.XLOOKUP(L325,RenewalPlans!B:B,RenewalPlans!Z:Z,"NA",0,1)</f>
        <v>NA</v>
      </c>
      <c r="M330" s="122"/>
      <c r="N330" s="122"/>
      <c r="O330" s="122"/>
      <c r="P330" s="121"/>
      <c r="Q330" s="122"/>
      <c r="R330" s="123"/>
      <c r="T330" s="124" t="str">
        <f>_xlfn.XLOOKUP(T325,RenewalPlans!B:B,RenewalPlans!Z:Z,"NA",0,1)</f>
        <v>NA</v>
      </c>
      <c r="U330" s="122"/>
      <c r="V330" s="122"/>
      <c r="W330" s="122"/>
      <c r="X330" s="121"/>
      <c r="Y330" s="122"/>
      <c r="Z330" s="123"/>
    </row>
    <row r="331" spans="1:26" ht="18" customHeight="1" hidden="1">
      <c r="A331" s="140"/>
      <c r="B331" s="140"/>
      <c r="D331" s="203" t="s">
        <v>254</v>
      </c>
      <c r="E331" s="204"/>
      <c r="F331" s="205"/>
      <c r="G331" s="205"/>
      <c r="H331" s="205"/>
      <c r="I331" s="204"/>
      <c r="J331" s="206"/>
      <c r="K331"/>
      <c r="L331" s="207"/>
      <c r="M331" s="205"/>
      <c r="N331" s="205"/>
      <c r="O331" s="205"/>
      <c r="P331" s="204"/>
      <c r="Q331" s="205"/>
      <c r="R331" s="206"/>
      <c r="T331" s="207"/>
      <c r="U331" s="205"/>
      <c r="V331" s="205"/>
      <c r="W331" s="205"/>
      <c r="X331" s="204"/>
      <c r="Y331" s="205"/>
      <c r="Z331" s="206"/>
    </row>
    <row r="332" spans="1:26" ht="18" customHeight="1" hidden="1">
      <c r="A332" s="140"/>
      <c r="B332" s="140"/>
      <c r="D332" s="125" t="s">
        <v>255</v>
      </c>
      <c r="E332" s="126" t="str">
        <f>_xlfn.XLOOKUP(E325,CurrentPlans!B:B,CurrentPlans!Z:Z,"NA",0,1)</f>
        <v>NA</v>
      </c>
      <c r="F332" s="127"/>
      <c r="G332" s="127"/>
      <c r="H332" s="127"/>
      <c r="I332" s="126"/>
      <c r="J332" s="128"/>
      <c r="K332"/>
      <c r="L332" s="129" t="str">
        <f ca="1">_xlfn.XLOOKUP(L325,RenewalPlans!B:B,RenewalPlans!AC:AC,"NA",0,1)</f>
        <v>NA</v>
      </c>
      <c r="M332" s="127"/>
      <c r="N332" s="127"/>
      <c r="O332" s="127"/>
      <c r="P332" s="126"/>
      <c r="Q332" s="127"/>
      <c r="R332" s="128"/>
      <c r="T332" s="129" t="str">
        <f>_xlfn.XLOOKUP(T325,RenewalPlans!B:B,RenewalPlans!AC:AC,"NA",0,1)</f>
        <v>NA</v>
      </c>
      <c r="U332" s="127"/>
      <c r="V332" s="127"/>
      <c r="W332" s="127"/>
      <c r="X332" s="126"/>
      <c r="Y332" s="127"/>
      <c r="Z332" s="128"/>
    </row>
    <row r="333" spans="1:26" ht="18" customHeight="1" hidden="1">
      <c r="A333" s="140"/>
      <c r="B333" s="140"/>
      <c r="D333" s="198" t="s">
        <v>256</v>
      </c>
      <c r="E333" s="208" t="str">
        <f>_xlfn.XLOOKUP(E325,CurrentPlans!B:B,CurrentPlans!AA:AA,"NA",0,1)</f>
        <v>NA</v>
      </c>
      <c r="F333" s="200"/>
      <c r="G333" s="200"/>
      <c r="H333" s="200"/>
      <c r="I333" s="208"/>
      <c r="J333" s="201"/>
      <c r="K333"/>
      <c r="L333" s="209" t="str">
        <f ca="1">_xlfn.XLOOKUP(L325,RenewalPlans!B:B,RenewalPlans!AD:AD,"NA",0,1)</f>
        <v>NA</v>
      </c>
      <c r="M333" s="200"/>
      <c r="N333" s="200"/>
      <c r="O333" s="200"/>
      <c r="P333" s="208"/>
      <c r="Q333" s="200"/>
      <c r="R333" s="201"/>
      <c r="T333" s="209" t="str">
        <f>_xlfn.XLOOKUP(T325,RenewalPlans!B:B,RenewalPlans!AD:AD,"NA",0,1)</f>
        <v>NA</v>
      </c>
      <c r="U333" s="200"/>
      <c r="V333" s="200"/>
      <c r="W333" s="200"/>
      <c r="X333" s="208"/>
      <c r="Y333" s="200"/>
      <c r="Z333" s="201"/>
    </row>
    <row r="334" spans="1:26" ht="18" customHeight="1" hidden="1">
      <c r="A334" s="140"/>
      <c r="B334" s="140"/>
      <c r="D334" s="203" t="s">
        <v>257</v>
      </c>
      <c r="E334" s="204"/>
      <c r="F334" s="205"/>
      <c r="G334" s="205"/>
      <c r="H334" s="205"/>
      <c r="I334" s="204"/>
      <c r="J334" s="206"/>
      <c r="K334"/>
      <c r="L334" s="207"/>
      <c r="M334" s="205"/>
      <c r="N334" s="205"/>
      <c r="O334" s="205"/>
      <c r="P334" s="204"/>
      <c r="Q334" s="205"/>
      <c r="R334" s="206"/>
      <c r="T334" s="207"/>
      <c r="U334" s="205"/>
      <c r="V334" s="205"/>
      <c r="W334" s="205"/>
      <c r="X334" s="204"/>
      <c r="Y334" s="205"/>
      <c r="Z334" s="206"/>
    </row>
    <row r="335" spans="1:26" ht="18" customHeight="1" hidden="1">
      <c r="A335" s="140"/>
      <c r="B335" s="140"/>
      <c r="D335" s="198" t="s">
        <v>258</v>
      </c>
      <c r="E335" s="208" t="str">
        <f>_xlfn.XLOOKUP(E325,CurrentPlans!B:B,CurrentPlans!AB:AB,"NA",0,1)</f>
        <v>NA</v>
      </c>
      <c r="F335" s="200"/>
      <c r="G335" s="200"/>
      <c r="H335" s="200"/>
      <c r="I335" s="208"/>
      <c r="J335" s="201"/>
      <c r="K335"/>
      <c r="L335" s="209" t="str">
        <f ca="1">_xlfn.XLOOKUP(L325,RenewalPlans!B:B,RenewalPlans!AE:AE,"NA",0,1)</f>
        <v>NA</v>
      </c>
      <c r="M335" s="200"/>
      <c r="N335" s="200"/>
      <c r="O335" s="200"/>
      <c r="P335" s="208"/>
      <c r="Q335" s="200"/>
      <c r="R335" s="201"/>
      <c r="T335" s="209" t="str">
        <f>_xlfn.XLOOKUP(T325,RenewalPlans!B:B,RenewalPlans!AE:AE,"NA",0,1)</f>
        <v>NA</v>
      </c>
      <c r="U335" s="200"/>
      <c r="V335" s="200"/>
      <c r="W335" s="200"/>
      <c r="X335" s="208"/>
      <c r="Y335" s="200"/>
      <c r="Z335" s="201"/>
    </row>
    <row r="336" spans="1:26" ht="18" customHeight="1" hidden="1">
      <c r="A336" s="140"/>
      <c r="B336" s="140"/>
      <c r="D336" s="198" t="s">
        <v>259</v>
      </c>
      <c r="E336" s="208" t="str">
        <f>_xlfn.XLOOKUP(E325,CurrentPlans!B:B,CurrentPlans!AC:AC,"NA",0,1)</f>
        <v>NA</v>
      </c>
      <c r="F336" s="200"/>
      <c r="G336" s="200"/>
      <c r="H336" s="200"/>
      <c r="I336" s="208"/>
      <c r="J336" s="201"/>
      <c r="K336"/>
      <c r="L336" s="209" t="str">
        <f ca="1">_xlfn.XLOOKUP(L325,RenewalPlans!B:B,RenewalPlans!AF:AF,"NA",0,1)</f>
        <v>NA</v>
      </c>
      <c r="M336" s="200"/>
      <c r="N336" s="200"/>
      <c r="O336" s="200"/>
      <c r="P336" s="208"/>
      <c r="Q336" s="200"/>
      <c r="R336" s="201"/>
      <c r="T336" s="209" t="str">
        <f>_xlfn.XLOOKUP(T325,RenewalPlans!B:B,RenewalPlans!AF:AF,"NA",0,1)</f>
        <v>NA</v>
      </c>
      <c r="U336" s="200"/>
      <c r="V336" s="200"/>
      <c r="W336" s="200"/>
      <c r="X336" s="208"/>
      <c r="Y336" s="200"/>
      <c r="Z336" s="201"/>
    </row>
    <row r="337" spans="1:26" ht="18" customHeight="1" hidden="1">
      <c r="A337" s="140"/>
      <c r="B337" s="140"/>
      <c r="D337" s="210"/>
      <c r="E337" s="211"/>
      <c r="F337" s="211"/>
      <c r="G337" s="211"/>
      <c r="H337" s="211"/>
      <c r="I337" s="211"/>
      <c r="J337" s="212"/>
      <c r="K337"/>
      <c r="L337" s="210"/>
      <c r="M337" s="211"/>
      <c r="N337" s="211"/>
      <c r="O337" s="211"/>
      <c r="P337" s="211"/>
      <c r="Q337" s="211"/>
      <c r="R337" s="212"/>
      <c r="T337" s="210"/>
      <c r="U337" s="211"/>
      <c r="V337" s="211"/>
      <c r="W337" s="211"/>
      <c r="X337" s="211"/>
      <c r="Y337" s="211"/>
      <c r="Z337" s="212"/>
    </row>
    <row r="338" spans="1:26" ht="18" customHeight="1" hidden="1">
      <c r="A338" s="140"/>
      <c r="B338" s="140"/>
      <c r="D338" s="185" t="s">
        <v>260</v>
      </c>
      <c r="E338" s="186"/>
      <c r="F338" s="186"/>
      <c r="G338" s="186"/>
      <c r="H338" s="186"/>
      <c r="I338" s="186"/>
      <c r="J338" s="187"/>
      <c r="K338"/>
      <c r="L338" s="188"/>
      <c r="M338" s="186"/>
      <c r="N338" s="186"/>
      <c r="O338" s="186"/>
      <c r="P338" s="186"/>
      <c r="Q338" s="186"/>
      <c r="R338" s="187"/>
      <c r="T338" s="188"/>
      <c r="U338" s="186"/>
      <c r="V338" s="186"/>
      <c r="W338" s="186"/>
      <c r="X338" s="186"/>
      <c r="Y338" s="186"/>
      <c r="Z338" s="187"/>
    </row>
    <row r="339" spans="1:26" ht="18" customHeight="1" hidden="1">
      <c r="A339" s="140"/>
      <c r="B339" s="140"/>
      <c r="D339" s="213" t="s">
        <v>261</v>
      </c>
      <c r="E339" s="130" t="str">
        <f>_xlfn.XLOOKUP(E325,CurrentPlans!B:B,CurrentPlans!AJ:AJ,"NA",0,1)</f>
        <v>NA</v>
      </c>
      <c r="F339" s="214"/>
      <c r="G339" s="214"/>
      <c r="H339" s="214"/>
      <c r="I339" s="130"/>
      <c r="J339" s="215"/>
      <c r="K339"/>
      <c r="L339" s="131" t="str">
        <f ca="1">_xlfn.XLOOKUP(L325,RenewalPlans!B:B,RenewalPlans!AM:AM,"NA",0,1)</f>
        <v>NA</v>
      </c>
      <c r="M339" s="214"/>
      <c r="N339" s="214"/>
      <c r="O339" s="214"/>
      <c r="P339" s="130"/>
      <c r="Q339" s="214"/>
      <c r="R339" s="215"/>
      <c r="T339" s="131" t="str">
        <f>_xlfn.XLOOKUP(T325,RenewalPlans!B:B,RenewalPlans!AM:AM,"NA",0,1)</f>
        <v>NA</v>
      </c>
      <c r="U339" s="214"/>
      <c r="V339" s="214"/>
      <c r="W339" s="214"/>
      <c r="X339" s="130"/>
      <c r="Y339" s="214"/>
      <c r="Z339" s="215"/>
    </row>
    <row r="340" spans="1:26" ht="18" customHeight="1" hidden="1">
      <c r="A340" s="140"/>
      <c r="B340" s="140"/>
      <c r="D340" s="198" t="s">
        <v>262</v>
      </c>
      <c r="E340" s="130" t="str">
        <f>_xlfn.XLOOKUP(E325,CurrentPlans!B:B,CurrentPlans!AM:AM,"NA",0,1)</f>
        <v>NA</v>
      </c>
      <c r="F340" s="200"/>
      <c r="G340" s="200"/>
      <c r="H340" s="200"/>
      <c r="I340" s="130"/>
      <c r="J340" s="201"/>
      <c r="K340"/>
      <c r="L340" s="131" t="str">
        <f ca="1">_xlfn.XLOOKUP(L325,RenewalPlans!B:B,RenewalPlans!AP:AP,"NA",0,1)</f>
        <v>NA</v>
      </c>
      <c r="M340" s="200"/>
      <c r="N340" s="200"/>
      <c r="O340" s="200"/>
      <c r="P340" s="130"/>
      <c r="Q340" s="200"/>
      <c r="R340" s="201"/>
      <c r="T340" s="131" t="str">
        <f>_xlfn.XLOOKUP(T325,RenewalPlans!B:B,RenewalPlans!AP:AP,"NA",0,1)</f>
        <v>NA</v>
      </c>
      <c r="U340" s="200"/>
      <c r="V340" s="200"/>
      <c r="W340" s="200"/>
      <c r="X340" s="130"/>
      <c r="Y340" s="200"/>
      <c r="Z340" s="201"/>
    </row>
    <row r="341" spans="1:26" ht="18" customHeight="1" hidden="1">
      <c r="A341" s="140"/>
      <c r="B341" s="140"/>
      <c r="D341" s="198" t="s">
        <v>263</v>
      </c>
      <c r="E341" s="130" t="str">
        <f>_xlfn.XLOOKUP(E325,CurrentPlans!B:B,CurrentPlans!AI:AI,"NA",0,1)</f>
        <v>NA</v>
      </c>
      <c r="F341" s="200"/>
      <c r="G341" s="200"/>
      <c r="H341" s="200"/>
      <c r="I341" s="130"/>
      <c r="J341" s="201"/>
      <c r="K341"/>
      <c r="L341" s="131" t="str">
        <f ca="1">_xlfn.XLOOKUP(L325,RenewalPlans!B:B,RenewalPlans!AL:AL,"NA",0,1)</f>
        <v>NA</v>
      </c>
      <c r="M341" s="200"/>
      <c r="N341" s="200"/>
      <c r="O341" s="200"/>
      <c r="P341" s="130"/>
      <c r="Q341" s="200"/>
      <c r="R341" s="201"/>
      <c r="T341" s="131" t="str">
        <f>_xlfn.XLOOKUP(T325,RenewalPlans!B:B,RenewalPlans!AL:AL,"NA",0,1)</f>
        <v>NA</v>
      </c>
      <c r="U341" s="200"/>
      <c r="V341" s="200"/>
      <c r="W341" s="200"/>
      <c r="X341" s="130"/>
      <c r="Y341" s="200"/>
      <c r="Z341" s="201"/>
    </row>
    <row r="342" spans="1:26" ht="18" customHeight="1" hidden="1">
      <c r="A342" s="140"/>
      <c r="B342" s="140"/>
      <c r="D342" s="198" t="s">
        <v>264</v>
      </c>
      <c r="E342" s="208" t="str">
        <f>_xlfn.XLOOKUP(E325,CurrentPlans!B:B,CurrentPlans!AN:AN,"NA",0,1)</f>
        <v>NA</v>
      </c>
      <c r="F342" s="200"/>
      <c r="G342" s="200"/>
      <c r="H342" s="200"/>
      <c r="I342" s="208"/>
      <c r="J342" s="201"/>
      <c r="K342"/>
      <c r="L342" s="209" t="str">
        <f ca="1">_xlfn.XLOOKUP(L325,RenewalPlans!B:B,RenewalPlans!AQ:AQ,"NA",0,1)</f>
        <v>NA</v>
      </c>
      <c r="M342" s="200"/>
      <c r="N342" s="200"/>
      <c r="O342" s="200"/>
      <c r="P342" s="208"/>
      <c r="Q342" s="200"/>
      <c r="R342" s="201"/>
      <c r="T342" s="209" t="str">
        <f>_xlfn.XLOOKUP(T325,RenewalPlans!B:B,RenewalPlans!AQ:AQ,"NA",0,1)</f>
        <v>NA</v>
      </c>
      <c r="U342" s="200"/>
      <c r="V342" s="200"/>
      <c r="W342" s="200"/>
      <c r="X342" s="208"/>
      <c r="Y342" s="200"/>
      <c r="Z342" s="201"/>
    </row>
    <row r="343" spans="1:26" ht="18" customHeight="1" hidden="1">
      <c r="A343" s="140"/>
      <c r="B343" s="140"/>
      <c r="D343" s="210"/>
      <c r="E343" s="211"/>
      <c r="F343" s="211"/>
      <c r="G343" s="211"/>
      <c r="H343" s="211"/>
      <c r="I343" s="211"/>
      <c r="J343" s="212"/>
      <c r="K343"/>
      <c r="L343" s="210"/>
      <c r="M343" s="211"/>
      <c r="N343" s="211"/>
      <c r="O343" s="211"/>
      <c r="P343" s="211"/>
      <c r="Q343" s="211"/>
      <c r="R343" s="212"/>
      <c r="T343" s="210"/>
      <c r="U343" s="211"/>
      <c r="V343" s="211"/>
      <c r="W343" s="211"/>
      <c r="X343" s="211"/>
      <c r="Y343" s="211"/>
      <c r="Z343" s="212"/>
    </row>
    <row r="344" spans="1:26" ht="18" customHeight="1" hidden="1">
      <c r="A344" s="140"/>
      <c r="B344" s="140"/>
      <c r="D344" s="185" t="s">
        <v>265</v>
      </c>
      <c r="E344" s="186"/>
      <c r="F344" s="186"/>
      <c r="G344" s="186"/>
      <c r="H344" s="186"/>
      <c r="I344" s="186"/>
      <c r="J344" s="187"/>
      <c r="K344"/>
      <c r="L344" s="188"/>
      <c r="M344" s="186"/>
      <c r="N344" s="186"/>
      <c r="O344" s="186"/>
      <c r="P344" s="186"/>
      <c r="Q344" s="186"/>
      <c r="R344" s="187"/>
      <c r="T344" s="188"/>
      <c r="U344" s="186"/>
      <c r="V344" s="186"/>
      <c r="W344" s="186"/>
      <c r="X344" s="186"/>
      <c r="Y344" s="186"/>
      <c r="Z344" s="187"/>
    </row>
    <row r="345" spans="1:26" ht="18" customHeight="1" hidden="1">
      <c r="A345" s="140"/>
      <c r="B345" s="140"/>
      <c r="D345" s="132" t="s">
        <v>266</v>
      </c>
      <c r="E345" s="133" t="str">
        <f>_xlfn.XLOOKUP(E325,CurrentPlans!B:B,CurrentPlans!AE:AE,"NA",0,1)</f>
        <v>NA</v>
      </c>
      <c r="F345" s="134"/>
      <c r="G345" s="134"/>
      <c r="H345" s="134"/>
      <c r="I345" s="133"/>
      <c r="J345" s="135"/>
      <c r="K345"/>
      <c r="L345" s="136" t="str">
        <f ca="1">_xlfn.XLOOKUP(L325,RenewalPlans!B:B,RenewalPlans!AH:AH,"NA",0,1)</f>
        <v>NA</v>
      </c>
      <c r="M345" s="134"/>
      <c r="N345" s="134"/>
      <c r="O345" s="134"/>
      <c r="P345" s="133"/>
      <c r="Q345" s="134"/>
      <c r="R345" s="135"/>
      <c r="T345" s="136" t="str">
        <f>_xlfn.XLOOKUP(T325,RenewalPlans!B:B,RenewalPlans!AH:AH,"NA",0,1)</f>
        <v>NA</v>
      </c>
      <c r="U345" s="134"/>
      <c r="V345" s="134"/>
      <c r="W345" s="134"/>
      <c r="X345" s="133"/>
      <c r="Y345" s="134"/>
      <c r="Z345" s="135"/>
    </row>
    <row r="346" spans="1:26" ht="18" customHeight="1" hidden="1">
      <c r="A346" s="140"/>
      <c r="B346" s="140"/>
      <c r="D346" s="120" t="s">
        <v>267</v>
      </c>
      <c r="E346" s="130" t="str">
        <f>_xlfn.XLOOKUP(E325,CurrentPlans!B:B,CurrentPlans!AF:AF,"NA",0,1)</f>
        <v>NA</v>
      </c>
      <c r="F346" s="122"/>
      <c r="G346" s="122"/>
      <c r="H346" s="122"/>
      <c r="I346" s="130"/>
      <c r="J346" s="123"/>
      <c r="K346"/>
      <c r="L346" s="131" t="str">
        <f ca="1">_xlfn.XLOOKUP(L325,RenewalPlans!B:B,RenewalPlans!AI:AI,"NA",0,1)</f>
        <v>NA</v>
      </c>
      <c r="M346" s="122"/>
      <c r="N346" s="122"/>
      <c r="O346" s="122"/>
      <c r="P346" s="130"/>
      <c r="Q346" s="122"/>
      <c r="R346" s="123"/>
      <c r="T346" s="131" t="str">
        <f>_xlfn.XLOOKUP(T325,RenewalPlans!B:B,RenewalPlans!AI:AI,"NA",0,1)</f>
        <v>NA</v>
      </c>
      <c r="U346" s="122"/>
      <c r="V346" s="122"/>
      <c r="W346" s="122"/>
      <c r="X346" s="130"/>
      <c r="Y346" s="122"/>
      <c r="Z346" s="123"/>
    </row>
    <row r="347" spans="1:26" ht="18" customHeight="1" hidden="1">
      <c r="A347" s="140"/>
      <c r="B347" s="140"/>
      <c r="D347" s="198" t="s">
        <v>268</v>
      </c>
      <c r="E347" s="130" t="str">
        <f>_xlfn.XLOOKUP(E325,CurrentPlans!B:B,CurrentPlans!AH:AH,"NA",0,1)</f>
        <v>NA</v>
      </c>
      <c r="F347" s="200"/>
      <c r="G347" s="200"/>
      <c r="H347" s="200"/>
      <c r="I347" s="130"/>
      <c r="J347" s="201"/>
      <c r="K347"/>
      <c r="L347" s="131" t="str">
        <f ca="1">_xlfn.XLOOKUP(L325,RenewalPlans!B:B,RenewalPlans!AK:AK,"NA",0,1)</f>
        <v>NA</v>
      </c>
      <c r="M347" s="200"/>
      <c r="N347" s="200"/>
      <c r="O347" s="200"/>
      <c r="P347" s="130"/>
      <c r="Q347" s="200"/>
      <c r="R347" s="201"/>
      <c r="T347" s="131" t="str">
        <f>_xlfn.XLOOKUP(T325,RenewalPlans!B:B,RenewalPlans!AK:AK,"NA",0,1)</f>
        <v>NA</v>
      </c>
      <c r="U347" s="200"/>
      <c r="V347" s="200"/>
      <c r="W347" s="200"/>
      <c r="X347" s="130"/>
      <c r="Y347" s="200"/>
      <c r="Z347" s="201"/>
    </row>
    <row r="348" spans="1:26" ht="18" customHeight="1" hidden="1">
      <c r="A348" s="140"/>
      <c r="B348" s="140"/>
      <c r="D348" s="198" t="s">
        <v>269</v>
      </c>
      <c r="E348" s="130" t="str">
        <f>_xlfn.XLOOKUP(E325,CurrentPlans!B:B,CurrentPlans!AG:AG,"NA",0,1)</f>
        <v>NA</v>
      </c>
      <c r="F348" s="200"/>
      <c r="G348" s="200"/>
      <c r="H348" s="200"/>
      <c r="I348" s="130"/>
      <c r="J348" s="201"/>
      <c r="K348"/>
      <c r="L348" s="131" t="str">
        <f ca="1">_xlfn.XLOOKUP(L325,RenewalPlans!B:B,RenewalPlans!AJ:AJ,"NA",0,1)</f>
        <v>NA</v>
      </c>
      <c r="M348" s="200"/>
      <c r="N348" s="200"/>
      <c r="O348" s="200"/>
      <c r="P348" s="130"/>
      <c r="Q348" s="200"/>
      <c r="R348" s="201"/>
      <c r="T348" s="131" t="str">
        <f>_xlfn.XLOOKUP(T325,RenewalPlans!B:B,RenewalPlans!AJ:AJ,"NA",0,1)</f>
        <v>NA</v>
      </c>
      <c r="U348" s="200"/>
      <c r="V348" s="200"/>
      <c r="W348" s="200"/>
      <c r="X348" s="130"/>
      <c r="Y348" s="200"/>
      <c r="Z348" s="201"/>
    </row>
    <row r="349" spans="1:26" ht="18" customHeight="1" hidden="1">
      <c r="A349" s="140"/>
      <c r="B349" s="140"/>
      <c r="D349" s="213" t="s">
        <v>270</v>
      </c>
      <c r="E349" s="216" t="str">
        <f>_xlfn.XLOOKUP(E325,CurrentPlans!B:B,CurrentPlans!AU:AU,"NA",0,1)</f>
        <v>NA</v>
      </c>
      <c r="F349" s="214"/>
      <c r="G349" s="214"/>
      <c r="H349" s="214"/>
      <c r="I349" s="217"/>
      <c r="J349" s="215"/>
      <c r="K349"/>
      <c r="L349" s="218" t="str">
        <f ca="1">_xlfn.XLOOKUP(L325,RenewalPlans!B:B,RenewalPlans!AX:AX,"NA",0,1)</f>
        <v>NA</v>
      </c>
      <c r="M349" s="214"/>
      <c r="N349" s="214"/>
      <c r="O349" s="214"/>
      <c r="P349" s="217"/>
      <c r="Q349" s="214"/>
      <c r="R349" s="215"/>
      <c r="T349" s="218" t="str">
        <f>_xlfn.XLOOKUP(T325,RenewalPlans!B:B,RenewalPlans!AX:AX,"NA",0,1)</f>
        <v>NA</v>
      </c>
      <c r="U349" s="214"/>
      <c r="V349" s="214"/>
      <c r="W349" s="214"/>
      <c r="X349" s="217"/>
      <c r="Y349" s="214"/>
      <c r="Z349" s="215"/>
    </row>
    <row r="350" spans="1:26" ht="18" customHeight="1" hidden="1">
      <c r="A350" s="140"/>
      <c r="B350" s="140"/>
      <c r="D350" s="213" t="s">
        <v>271</v>
      </c>
      <c r="E350" s="216" t="str">
        <f>_xlfn.XLOOKUP(E325,CurrentPlans!B:B,CurrentPlans!AT:AT,"NA",0,1)</f>
        <v>NA</v>
      </c>
      <c r="F350" s="214"/>
      <c r="G350" s="214"/>
      <c r="H350" s="214"/>
      <c r="I350" s="217"/>
      <c r="J350" s="215"/>
      <c r="K350"/>
      <c r="L350" s="218" t="str">
        <f ca="1">_xlfn.XLOOKUP(L325,RenewalPlans!B:B,RenewalPlans!AW:AW,"NA",0,1)</f>
        <v>NA</v>
      </c>
      <c r="M350" s="214"/>
      <c r="N350" s="214"/>
      <c r="O350" s="214"/>
      <c r="P350" s="217"/>
      <c r="Q350" s="214"/>
      <c r="R350" s="215"/>
      <c r="T350" s="218" t="str">
        <f>_xlfn.XLOOKUP(T325,RenewalPlans!B:B,RenewalPlans!AW:AW,"NA",0,1)</f>
        <v>NA</v>
      </c>
      <c r="U350" s="214"/>
      <c r="V350" s="214"/>
      <c r="W350" s="214"/>
      <c r="X350" s="217"/>
      <c r="Y350" s="214"/>
      <c r="Z350" s="215"/>
    </row>
    <row r="351" spans="1:26" ht="18" customHeight="1" hidden="1">
      <c r="A351" s="140"/>
      <c r="B351" s="140"/>
      <c r="D351" s="198" t="s">
        <v>272</v>
      </c>
      <c r="E351" s="130" t="str">
        <f>_xlfn.XLOOKUP(E325,CurrentPlans!B:B,CurrentPlans!AD:AD,"NA",0,1)</f>
        <v>NA</v>
      </c>
      <c r="F351" s="200"/>
      <c r="G351" s="200"/>
      <c r="H351" s="200"/>
      <c r="I351" s="130"/>
      <c r="J351" s="201"/>
      <c r="K351"/>
      <c r="L351" s="131" t="str">
        <f ca="1">_xlfn.XLOOKUP(L325,RenewalPlans!B:B,RenewalPlans!AG:AG,"NA",0,1)</f>
        <v>NA</v>
      </c>
      <c r="M351" s="200"/>
      <c r="N351" s="200"/>
      <c r="O351" s="200"/>
      <c r="P351" s="130"/>
      <c r="Q351" s="200"/>
      <c r="R351" s="201"/>
      <c r="T351" s="131" t="str">
        <f>_xlfn.XLOOKUP(T325,RenewalPlans!B:B,RenewalPlans!AG:AG,"NA",0,1)</f>
        <v>NA</v>
      </c>
      <c r="U351" s="200"/>
      <c r="V351" s="200"/>
      <c r="W351" s="200"/>
      <c r="X351" s="130"/>
      <c r="Y351" s="200"/>
      <c r="Z351" s="201"/>
    </row>
    <row r="352" spans="1:26" ht="18" customHeight="1" hidden="1">
      <c r="A352" s="140"/>
      <c r="B352" s="140"/>
      <c r="D352" s="198" t="s">
        <v>273</v>
      </c>
      <c r="E352" s="200"/>
      <c r="F352" s="200"/>
      <c r="G352" s="200"/>
      <c r="H352" s="200"/>
      <c r="I352" s="200"/>
      <c r="J352" s="201"/>
      <c r="K352"/>
      <c r="L352" s="198"/>
      <c r="M352" s="200"/>
      <c r="N352" s="200"/>
      <c r="O352" s="200"/>
      <c r="P352" s="200"/>
      <c r="Q352" s="200"/>
      <c r="R352" s="201"/>
      <c r="T352" s="198"/>
      <c r="U352" s="200"/>
      <c r="V352" s="200"/>
      <c r="W352" s="200"/>
      <c r="X352" s="200"/>
      <c r="Y352" s="200"/>
      <c r="Z352" s="201"/>
    </row>
    <row r="353" spans="1:26" ht="18" customHeight="1" hidden="1">
      <c r="A353" s="140"/>
      <c r="B353" s="140"/>
      <c r="D353" s="210"/>
      <c r="E353" s="211"/>
      <c r="F353" s="211"/>
      <c r="G353" s="211"/>
      <c r="H353" s="211"/>
      <c r="I353" s="211"/>
      <c r="J353" s="212"/>
      <c r="K353"/>
      <c r="L353" s="210"/>
      <c r="M353" s="211"/>
      <c r="N353" s="211"/>
      <c r="O353" s="211"/>
      <c r="P353" s="211"/>
      <c r="Q353" s="211"/>
      <c r="R353" s="212"/>
      <c r="T353" s="210"/>
      <c r="U353" s="211"/>
      <c r="V353" s="211"/>
      <c r="W353" s="211"/>
      <c r="X353" s="211"/>
      <c r="Y353" s="211"/>
      <c r="Z353" s="212"/>
    </row>
    <row r="354" spans="1:26" ht="18" customHeight="1" hidden="1">
      <c r="A354" s="140"/>
      <c r="B354" s="140"/>
      <c r="D354" s="219" t="s">
        <v>274</v>
      </c>
      <c r="E354" s="220"/>
      <c r="F354" s="220"/>
      <c r="G354" s="220"/>
      <c r="H354" s="220"/>
      <c r="I354" s="220"/>
      <c r="J354" s="221"/>
      <c r="K354"/>
      <c r="L354" s="222"/>
      <c r="M354" s="220"/>
      <c r="N354" s="220"/>
      <c r="O354" s="220"/>
      <c r="P354" s="220"/>
      <c r="Q354" s="220"/>
      <c r="R354" s="221"/>
      <c r="T354" s="222"/>
      <c r="U354" s="220"/>
      <c r="V354" s="220"/>
      <c r="W354" s="220"/>
      <c r="X354" s="220"/>
      <c r="Y354" s="220"/>
      <c r="Z354" s="221"/>
    </row>
    <row r="355" spans="1:26" ht="18" customHeight="1" hidden="1">
      <c r="A355" s="140"/>
      <c r="B355" s="140"/>
      <c r="D355" s="223" t="s">
        <v>250</v>
      </c>
      <c r="E355" s="205"/>
      <c r="F355" s="205"/>
      <c r="G355" s="205"/>
      <c r="H355" s="205"/>
      <c r="I355" s="205"/>
      <c r="J355" s="206"/>
      <c r="K355"/>
      <c r="L355" s="203"/>
      <c r="M355" s="205"/>
      <c r="N355" s="205"/>
      <c r="O355" s="205"/>
      <c r="P355" s="205"/>
      <c r="Q355" s="205"/>
      <c r="R355" s="206"/>
      <c r="T355" s="203"/>
      <c r="U355" s="205"/>
      <c r="V355" s="205"/>
      <c r="W355" s="205"/>
      <c r="X355" s="205"/>
      <c r="Y355" s="205"/>
      <c r="Z355" s="206"/>
    </row>
    <row r="356" spans="1:26" ht="18" customHeight="1" hidden="1">
      <c r="A356" s="140"/>
      <c r="B356" s="140"/>
      <c r="D356" s="198" t="s">
        <v>251</v>
      </c>
      <c r="E356" s="130" t="str">
        <f>_xlfn.XLOOKUP(E325,CurrentPlans!B:B,CurrentPlans!AP:AP,"NA",0,1)</f>
        <v>NA</v>
      </c>
      <c r="F356" s="200"/>
      <c r="G356" s="200"/>
      <c r="H356" s="200"/>
      <c r="I356" s="130"/>
      <c r="J356" s="201"/>
      <c r="K356"/>
      <c r="L356" s="131" t="str">
        <f ca="1">_xlfn.XLOOKUP(L325,RenewalPlans!B:B,RenewalPlans!AS:AS,"NA",0,1)</f>
        <v>NA</v>
      </c>
      <c r="M356" s="200"/>
      <c r="N356" s="200"/>
      <c r="O356" s="200"/>
      <c r="P356" s="130"/>
      <c r="Q356" s="200"/>
      <c r="R356" s="201"/>
      <c r="T356" s="131" t="str">
        <f>_xlfn.XLOOKUP(T325,RenewalPlans!B:B,RenewalPlans!AS:AS,"NA",0,1)</f>
        <v>NA</v>
      </c>
      <c r="U356" s="200"/>
      <c r="V356" s="200"/>
      <c r="W356" s="200"/>
      <c r="X356" s="130"/>
      <c r="Y356" s="200"/>
      <c r="Z356" s="201"/>
    </row>
    <row r="357" spans="1:26" ht="18" customHeight="1" hidden="1">
      <c r="A357" s="140"/>
      <c r="B357" s="140"/>
      <c r="D357" s="198" t="s">
        <v>252</v>
      </c>
      <c r="E357" s="130" t="str">
        <f>_xlfn.XLOOKUP(E325,CurrentPlans!B:B,CurrentPlans!AQ:AQ,"NA",0,1)</f>
        <v>NA</v>
      </c>
      <c r="F357" s="200"/>
      <c r="G357" s="200"/>
      <c r="H357" s="200"/>
      <c r="I357" s="130"/>
      <c r="J357" s="201"/>
      <c r="K357"/>
      <c r="L357" s="131" t="str">
        <f ca="1">_xlfn.XLOOKUP(L325,RenewalPlans!B:B,RenewalPlans!AT:AT,"NA",0,1)</f>
        <v>NA</v>
      </c>
      <c r="M357" s="200"/>
      <c r="N357" s="200"/>
      <c r="O357" s="200"/>
      <c r="P357" s="130"/>
      <c r="Q357" s="200"/>
      <c r="R357" s="201"/>
      <c r="T357" s="131" t="str">
        <f>_xlfn.XLOOKUP(T325,RenewalPlans!B:B,RenewalPlans!AT:AT,"NA",0,1)</f>
        <v>NA</v>
      </c>
      <c r="U357" s="200"/>
      <c r="V357" s="200"/>
      <c r="W357" s="200"/>
      <c r="X357" s="130"/>
      <c r="Y357" s="200"/>
      <c r="Z357" s="201"/>
    </row>
    <row r="358" spans="1:26" ht="18" customHeight="1" hidden="1">
      <c r="A358" s="140"/>
      <c r="B358" s="140"/>
      <c r="D358" s="120" t="s">
        <v>253</v>
      </c>
      <c r="E358" s="133" t="str">
        <f>_xlfn.XLOOKUP(E325,CurrentPlans!B:B,CurrentPlans!AO:AO,"NA",0,1)</f>
        <v>NA</v>
      </c>
      <c r="F358" s="122"/>
      <c r="G358" s="122"/>
      <c r="H358" s="122"/>
      <c r="I358" s="133"/>
      <c r="J358" s="123"/>
      <c r="K358"/>
      <c r="L358" s="136" t="str">
        <f ca="1">_xlfn.XLOOKUP(L325,RenewalPlans!B:B,RenewalPlans!AR:AR,"NA",0,1)</f>
        <v>NA</v>
      </c>
      <c r="M358" s="122"/>
      <c r="N358" s="122"/>
      <c r="O358" s="122"/>
      <c r="P358" s="133"/>
      <c r="Q358" s="122"/>
      <c r="R358" s="123"/>
      <c r="T358" s="136" t="str">
        <f>_xlfn.XLOOKUP(T325,RenewalPlans!B:B,RenewalPlans!AR:AR,"NA",0,1)</f>
        <v>NA</v>
      </c>
      <c r="U358" s="122"/>
      <c r="V358" s="122"/>
      <c r="W358" s="122"/>
      <c r="X358" s="133"/>
      <c r="Y358" s="122"/>
      <c r="Z358" s="123"/>
    </row>
    <row r="359" spans="1:26" ht="18" customHeight="1" hidden="1">
      <c r="A359" s="140"/>
      <c r="B359" s="140"/>
      <c r="D359" s="223" t="s">
        <v>254</v>
      </c>
      <c r="E359" s="205"/>
      <c r="F359" s="205"/>
      <c r="G359" s="205"/>
      <c r="H359" s="205"/>
      <c r="I359" s="205"/>
      <c r="J359" s="206"/>
      <c r="K359"/>
      <c r="L359" s="203"/>
      <c r="M359" s="205"/>
      <c r="N359" s="205"/>
      <c r="O359" s="205"/>
      <c r="P359" s="205"/>
      <c r="Q359" s="205"/>
      <c r="R359" s="206"/>
      <c r="T359" s="203"/>
      <c r="U359" s="205"/>
      <c r="V359" s="205"/>
      <c r="W359" s="205"/>
      <c r="X359" s="205"/>
      <c r="Y359" s="205"/>
      <c r="Z359" s="206"/>
    </row>
    <row r="360" spans="1:26" ht="18" customHeight="1" hidden="1">
      <c r="A360" s="140"/>
      <c r="B360" s="140"/>
      <c r="D360" s="198" t="s">
        <v>255</v>
      </c>
      <c r="E360" s="130" t="str">
        <f>_xlfn.XLOOKUP(E325,CurrentPlans!B:B,CurrentPlans!AR:AR,"NA",0,1)</f>
        <v>NA</v>
      </c>
      <c r="F360" s="200"/>
      <c r="G360" s="200"/>
      <c r="H360" s="200"/>
      <c r="I360" s="130"/>
      <c r="J360" s="201"/>
      <c r="K360"/>
      <c r="L360" s="131" t="str">
        <f ca="1">_xlfn.XLOOKUP(L325,RenewalPlans!B:B,RenewalPlans!AU:AU,"NA",0,1)</f>
        <v>NA</v>
      </c>
      <c r="M360" s="200"/>
      <c r="N360" s="200"/>
      <c r="O360" s="200"/>
      <c r="P360" s="130"/>
      <c r="Q360" s="200"/>
      <c r="R360" s="201"/>
      <c r="T360" s="131" t="str">
        <f>_xlfn.XLOOKUP(T325,RenewalPlans!B:B,RenewalPlans!AU:AU,"NA",0,1)</f>
        <v>NA</v>
      </c>
      <c r="U360" s="200"/>
      <c r="V360" s="200"/>
      <c r="W360" s="200"/>
      <c r="X360" s="130"/>
      <c r="Y360" s="200"/>
      <c r="Z360" s="201"/>
    </row>
    <row r="361" spans="1:26" ht="18" customHeight="1" hidden="1" thickBot="1">
      <c r="A361" s="140"/>
      <c r="B361" s="140"/>
      <c r="D361" s="224" t="s">
        <v>256</v>
      </c>
      <c r="E361" s="137" t="str">
        <f>_xlfn.XLOOKUP(E325,CurrentPlans!B:B,CurrentPlans!AS:AS,"NA",0,1)</f>
        <v>NA</v>
      </c>
      <c r="F361" s="225"/>
      <c r="G361" s="225"/>
      <c r="H361" s="225"/>
      <c r="I361" s="137"/>
      <c r="J361" s="226"/>
      <c r="K361"/>
      <c r="L361" s="138" t="str">
        <f ca="1">_xlfn.XLOOKUP(L325,RenewalPlans!B:B,RenewalPlans!AV:AV,"NA",0,1)</f>
        <v>NA</v>
      </c>
      <c r="M361" s="225"/>
      <c r="N361" s="225"/>
      <c r="O361" s="225"/>
      <c r="P361" s="137"/>
      <c r="Q361" s="225"/>
      <c r="R361" s="226"/>
      <c r="T361" s="138" t="str">
        <f>_xlfn.XLOOKUP(T325,RenewalPlans!B:B,RenewalPlans!AV:AV,"NA",0,1)</f>
        <v>NA</v>
      </c>
      <c r="U361" s="225"/>
      <c r="V361" s="225"/>
      <c r="W361" s="225"/>
      <c r="X361" s="137"/>
      <c r="Y361" s="225"/>
      <c r="Z361" s="226"/>
    </row>
    <row r="362" spans="1:26" ht="18" customHeight="1">
      <c r="A362" s="140"/>
      <c r="B362" s="140"/>
      <c r="D362" s="227"/>
      <c r="E362" s="176"/>
      <c r="F362" s="178"/>
      <c r="G362" s="179"/>
      <c r="H362" s="178"/>
      <c r="I362" s="176"/>
      <c r="J362" s="228"/>
      <c r="K362"/>
      <c r="L362" s="178"/>
      <c r="M362" s="176"/>
      <c r="N362" s="139"/>
      <c r="O362" s="178"/>
      <c r="P362" s="178"/>
      <c r="Q362" s="178"/>
      <c r="R362" s="228"/>
      <c r="T362" s="178"/>
      <c r="U362" s="176"/>
      <c r="V362" s="139"/>
      <c r="W362" s="178"/>
      <c r="X362" s="178"/>
      <c r="Y362" s="178"/>
      <c r="Z362" s="228"/>
    </row>
    <row r="363" spans="1:26" ht="5.25" customHeight="1" thickBot="1">
      <c r="A363" s="140"/>
      <c r="B363" s="140"/>
      <c r="D363" s="229"/>
      <c r="E363" s="229"/>
      <c r="F363" s="230"/>
      <c r="G363" s="231"/>
      <c r="H363" s="232"/>
      <c r="I363" s="233"/>
      <c r="J363" s="233"/>
      <c r="K363"/>
      <c r="L363" s="233"/>
      <c r="M363" s="233"/>
      <c r="N363" s="233"/>
      <c r="O363" s="233"/>
      <c r="P363" s="233"/>
      <c r="Q363" s="233"/>
      <c r="R363" s="233"/>
      <c r="T363" s="233"/>
      <c r="U363" s="233"/>
      <c r="V363" s="233"/>
      <c r="W363" s="233"/>
      <c r="X363" s="233"/>
      <c r="Y363" s="233"/>
      <c r="Z363" s="233"/>
    </row>
    <row r="364" spans="1:26" ht="50.15" customHeight="1">
      <c r="A364" s="140">
        <v>8</v>
      </c>
      <c r="B364" s="140" t="str">
        <f>IF(A364&gt;Class7_CurrentHealthCount,"DELETE",Class7_CurrentHealthStart+A364)</f>
        <v>DELETE</v>
      </c>
      <c r="C364" s="164" t="s">
        <v>281</v>
      </c>
      <c r="D364" s="273" t="str">
        <f>IF(B364="Delete","",VLOOKUP(F364,BEGIN_CURRENT_HEALTH:END_CURRENT_HEALTH,3,FALSE))</f>
        <v/>
      </c>
      <c r="E364" s="165"/>
      <c r="F364" s="272" t="str" cm="1">
        <f t="array" ca="1" aca="1" ref="F364">IF(B364="Delete","",INDIRECT("CurrentPlans!A"&amp;B364,TRUE))</f>
        <v/>
      </c>
      <c r="G364" s="166"/>
      <c r="H364" s="167"/>
      <c r="I364" s="168"/>
      <c r="J364" s="169"/>
      <c r="K364"/>
      <c r="L364" s="274" t="str">
        <f ca="1">_xlfn.IFNA(VLOOKUP(F364,BEGIN_RENEWEDFROM_HEALTH:ROW_RenewHealth_PlanID,3,FALSE),"SELECT PLAN")</f>
        <v>SELECT PLAN</v>
      </c>
      <c r="M364" s="170"/>
      <c r="N364" s="274" t="s">
        <v>237</v>
      </c>
      <c r="O364" s="171"/>
      <c r="P364" s="171"/>
      <c r="Q364" s="171"/>
      <c r="R364" s="169"/>
      <c r="T364" s="274" t="s">
        <v>38</v>
      </c>
      <c r="U364" s="170"/>
      <c r="V364" s="274" t="s">
        <v>237</v>
      </c>
      <c r="W364" s="171"/>
      <c r="X364" s="171"/>
      <c r="Y364" s="171"/>
      <c r="Z364" s="169"/>
    </row>
    <row r="365" spans="1:26" ht="18.75" customHeight="1">
      <c r="A365" s="140"/>
      <c r="B365" s="140"/>
      <c r="D365" s="172" t="s">
        <v>238</v>
      </c>
      <c r="E365" s="407" t="str">
        <f ca="1">_xlfn.IFNA(VLOOKUP(F364,BEGIN_CURRENT_HEALTH:END_CURRENT_HEALTH,CURRENT_COL_EO_count,FALSE),"")</f>
        <v/>
      </c>
      <c r="F365" s="408" t="str">
        <f ca="1">_xlfn.IFNA(VLOOKUP(F364,BEGIN_CURRENT_HEALTH:END_CURRENT_HEALTH,CURRENT_COL_EO,FALSE),"")</f>
        <v/>
      </c>
      <c r="G365" s="468" t="str">
        <f ca="1" t="shared" si="35" ref="G365:G368">IF(F365="","",H365/F365)</f>
        <v/>
      </c>
      <c r="H365" s="408" t="str">
        <f ca="1">_xlfn.IFNA(VLOOKUP(F364,BEGIN_CURRENT_HEALTH:END_CURRENT_HEALTH,CURRENT_COL_EOContrib,FALSE),"")</f>
        <v/>
      </c>
      <c r="I365" s="409" t="str">
        <f ca="1">IFERROR(F365-H365,"")</f>
        <v/>
      </c>
      <c r="J365" s="410" t="str">
        <f ca="1">IF(F365="","",H365*E365)</f>
        <v/>
      </c>
      <c r="K365" s="411"/>
      <c r="L365" s="408" t="str" cm="1">
        <f t="array" ca="1" aca="1" ref="L365">_xlfn.IFNA(VLOOKUP(INDIRECT("L"&amp;ROW()-1)&amp;"_"&amp;$D$12,BEGIN_RENEW_HEALTH:END_RENEW_HEALTH,RENEW_COL_EO,FALSE),"")</f>
        <v/>
      </c>
      <c r="M365" s="412" t="str">
        <f ca="1">IF(E365="","",E365)</f>
        <v/>
      </c>
      <c r="N365" s="413"/>
      <c r="O365" s="414"/>
      <c r="P365" s="415" t="str">
        <f>IFERROR(IF($N364="Keep Contribution Same",H365,IF($N364="Enter Percentages",IF(N365="","",N365*L365),IF($N364="Keep Percentage Same",IF(G365="","",G365*L365),IF($N364="Enter Dollar Amount",IF(O365="","",O365),"")))),"")</f>
        <v/>
      </c>
      <c r="Q365" s="408" t="str">
        <f ca="1">IFERROR(L365-P365,"")</f>
        <v/>
      </c>
      <c r="R365" s="410" t="str">
        <f>IFERROR(IF(P365="","",M365*P365),"")</f>
        <v/>
      </c>
      <c r="S365" s="411"/>
      <c r="T365" s="408" t="str" cm="1">
        <f t="array" ca="1" aca="1" ref="T365">_xlfn.IFNA(VLOOKUP(INDIRECT("T"&amp;ROW()-1)&amp;"_"&amp;$D$12,BEGIN_RENEW_HEALTH:END_RENEW_HEALTH,RENEW_COL_EO,FALSE),"")</f>
        <v/>
      </c>
      <c r="U365" s="412" t="str">
        <f ca="1">IF(E365="","",E365)</f>
        <v/>
      </c>
      <c r="V365" s="413"/>
      <c r="W365" s="414"/>
      <c r="X365" s="415" t="str">
        <f>IFERROR(IF($V364="Keep Contribution Same",H365,IF($V364="Enter Percentages",IF(V365="","",V365*T365),IF($V364="Keep Percentage Same",IF(G365="","",G365*T365),IF($V364="Enter Dollar Amount",IF(W365="","",W365),"")))),"")</f>
        <v/>
      </c>
      <c r="Y365" s="408" t="str">
        <f ca="1">IFERROR(T365-X365,"")</f>
        <v/>
      </c>
      <c r="Z365" s="410" t="str">
        <f>IFERROR(IF(X365="","",U365*X365),"")</f>
        <v/>
      </c>
    </row>
    <row r="366" spans="1:26" ht="18.75" customHeight="1">
      <c r="A366" s="140"/>
      <c r="B366" s="140"/>
      <c r="D366" s="172" t="s">
        <v>239</v>
      </c>
      <c r="E366" s="407" t="str">
        <f ca="1">_xlfn.IFNA(VLOOKUP(F364,BEGIN_CURRENT_HEALTH:END_CURRENT_HEALTH,CURRENT_COL_ES_count,FALSE),"")</f>
        <v/>
      </c>
      <c r="F366" s="408" t="str">
        <f ca="1">_xlfn.IFNA(VLOOKUP(F364,BEGIN_CURRENT_HEALTH:END_CURRENT_HEALTH,CURRENT_COL_ES,FALSE),"")</f>
        <v/>
      </c>
      <c r="G366" s="468" t="str">
        <f t="shared" ca="1" si="35"/>
        <v/>
      </c>
      <c r="H366" s="408" t="str">
        <f ca="1">_xlfn.IFNA(VLOOKUP(F364,BEGIN_CURRENT_HEALTH:END_CURRENT_HEALTH,CURRENT_COL_ESContrib,FALSE),"")</f>
        <v/>
      </c>
      <c r="I366" s="409" t="str">
        <f ca="1" t="shared" si="36" ref="I366:I368">IFERROR(F366-H366,"")</f>
        <v/>
      </c>
      <c r="J366" s="410" t="str">
        <f ca="1">IF(F366="","",H366*E366)</f>
        <v/>
      </c>
      <c r="K366" s="411"/>
      <c r="L366" s="408" t="str" cm="1">
        <f t="array" ca="1" aca="1" ref="L366">_xlfn.IFNA(VLOOKUP(INDIRECT("L"&amp;ROW()-2)&amp;"_"&amp;$D$12,BEGIN_RENEW_HEALTH:END_RENEW_HEALTH,RENEW_COL_ES,FALSE),"")</f>
        <v/>
      </c>
      <c r="M366" s="412" t="str">
        <f ca="1">IF(E366="","",E366)</f>
        <v/>
      </c>
      <c r="N366" s="413"/>
      <c r="O366" s="414"/>
      <c r="P366" s="415" t="str">
        <f>IFERROR(IF($N364="Keep Contribution Same",H366,IF($N364="Enter Percentages",IF(N366="","",N366*L366),IF($N364="Keep Percentage Same",IF(G366="","",G366*L366),IF($N364="Enter Dollar Amount",IF(O366="","",O366),"")))),"")</f>
        <v/>
      </c>
      <c r="Q366" s="408" t="str">
        <f ca="1">IFERROR(L366-P366,"")</f>
        <v/>
      </c>
      <c r="R366" s="410" t="str">
        <f>IFERROR(IF(P366="","",M366*P366),"")</f>
        <v/>
      </c>
      <c r="S366" s="411"/>
      <c r="T366" s="408" t="str" cm="1">
        <f t="array" ca="1" aca="1" ref="T366">_xlfn.IFNA(VLOOKUP(INDIRECT("T"&amp;ROW()-2)&amp;"_"&amp;$D$12,BEGIN_RENEW_HEALTH:END_RENEW_HEALTH,RENEW_COL_ES,FALSE),"")</f>
        <v/>
      </c>
      <c r="U366" s="412" t="str">
        <f ca="1" t="shared" si="37" ref="U366:U368">IF(E366="","",E366)</f>
        <v/>
      </c>
      <c r="V366" s="413"/>
      <c r="W366" s="414"/>
      <c r="X366" s="415" t="str">
        <f>IFERROR(IF($V364="Keep Contribution Same",H366,IF($V364="Enter Percentages",IF(V366="","",V366*T366),IF($V364="Keep Percentage Same",IF(G366="","",G366*T366),IF($V364="Enter Dollar Amount",IF(W366="","",W366),"")))),"")</f>
        <v/>
      </c>
      <c r="Y366" s="408" t="str">
        <f ca="1" t="shared" si="38" ref="Y366:Y368">IFERROR(T366-X366,"")</f>
        <v/>
      </c>
      <c r="Z366" s="410" t="str">
        <f t="shared" si="39" ref="Z366:Z368">IFERROR(IF(X366="","",U366*X366),"")</f>
        <v/>
      </c>
    </row>
    <row r="367" spans="1:26" ht="18.75" customHeight="1">
      <c r="A367" s="140"/>
      <c r="B367" s="140"/>
      <c r="D367" s="172" t="s">
        <v>240</v>
      </c>
      <c r="E367" s="407" t="str">
        <f ca="1">_xlfn.IFNA(VLOOKUP(F364,BEGIN_CURRENT_HEALTH:END_CURRENT_HEALTH,CURRENT_COL_EC_count,FALSE),"")</f>
        <v/>
      </c>
      <c r="F367" s="408" t="str">
        <f ca="1">_xlfn.IFNA(VLOOKUP(F364,BEGIN_CURRENT_HEALTH:END_CURRENT_HEALTH,CURRENT_COL_EC,FALSE),"")</f>
        <v/>
      </c>
      <c r="G367" s="468" t="str">
        <f t="shared" ca="1" si="35"/>
        <v/>
      </c>
      <c r="H367" s="408" t="str">
        <f ca="1">_xlfn.IFNA(VLOOKUP(F364,BEGIN_CURRENT_HEALTH:END_CURRENT_HEALTH,CURRENT_COL_ECContrib,FALSE),"")</f>
        <v/>
      </c>
      <c r="I367" s="409" t="str">
        <f t="shared" ca="1" si="36"/>
        <v/>
      </c>
      <c r="J367" s="410" t="str">
        <f ca="1">IF(F367="","",H367*E367)</f>
        <v/>
      </c>
      <c r="K367" s="411"/>
      <c r="L367" s="408" t="str" cm="1">
        <f t="array" ca="1" aca="1" ref="L367">_xlfn.IFNA(VLOOKUP(INDIRECT("L"&amp;ROW()-3)&amp;"_"&amp;$D$12,BEGIN_RENEW_HEALTH:END_RENEW_HEALTH,RENEW_COL_EC,FALSE),"")</f>
        <v/>
      </c>
      <c r="M367" s="412" t="str">
        <f ca="1">IF(E367="","",E367)</f>
        <v/>
      </c>
      <c r="N367" s="413"/>
      <c r="O367" s="414"/>
      <c r="P367" s="415" t="str">
        <f>IFERROR(IF($N364="Keep Contribution Same",H367,IF($N364="Enter Percentages",IF(N367="","",N367*L367),IF($N364="Keep Percentage Same",IF(G367="","",G367*L367),IF($N364="Enter Dollar Amount",IF(O367="","",O367),"")))),"")</f>
        <v/>
      </c>
      <c r="Q367" s="408" t="str">
        <f ca="1">IFERROR(L367-P367,"")</f>
        <v/>
      </c>
      <c r="R367" s="410" t="str">
        <f>IFERROR(IF(P367="","",M367*P367),"")</f>
        <v/>
      </c>
      <c r="S367" s="411"/>
      <c r="T367" s="408" t="str" cm="1">
        <f t="array" ca="1" aca="1" ref="T367">_xlfn.IFNA(VLOOKUP(INDIRECT("T"&amp;ROW()-3)&amp;"_"&amp;$D$12,BEGIN_RENEW_HEALTH:END_RENEW_HEALTH,RENEW_COL_EC,FALSE),"")</f>
        <v/>
      </c>
      <c r="U367" s="412" t="str">
        <f t="shared" ca="1" si="37"/>
        <v/>
      </c>
      <c r="V367" s="413"/>
      <c r="W367" s="414"/>
      <c r="X367" s="415" t="str">
        <f>IFERROR(IF($V364="Keep Contribution Same",H367,IF($V364="Enter Percentages",IF(V367="","",V367*T367),IF($V364="Keep Percentage Same",IF(G367="","",G367*T367),IF($V364="Enter Dollar Amount",IF(W367="","",W367),"")))),"")</f>
        <v/>
      </c>
      <c r="Y367" s="408" t="str">
        <f t="shared" ca="1" si="38"/>
        <v/>
      </c>
      <c r="Z367" s="410" t="str">
        <f t="shared" si="39"/>
        <v/>
      </c>
    </row>
    <row r="368" spans="1:26" ht="18.75" customHeight="1" thickBot="1">
      <c r="A368" s="140"/>
      <c r="B368" s="140"/>
      <c r="D368" s="174" t="s">
        <v>241</v>
      </c>
      <c r="E368" s="416" t="str">
        <f ca="1">_xlfn.IFNA(VLOOKUP(F364,BEGIN_CURRENT_HEALTH:END_CURRENT_HEALTH,CURRENT_COL_FAM_count,FALSE),"")</f>
        <v/>
      </c>
      <c r="F368" s="417" t="str">
        <f ca="1">_xlfn.IFNA(VLOOKUP(F364,BEGIN_CURRENT_HEALTH:END_CURRENT_HEALTH,CURRENT_COL_FAM,FALSE),"")</f>
        <v/>
      </c>
      <c r="G368" s="469" t="str">
        <f t="shared" ca="1" si="35"/>
        <v/>
      </c>
      <c r="H368" s="417" t="str">
        <f ca="1">_xlfn.IFNA(VLOOKUP(F364,BEGIN_CURRENT_HEALTH:END_CURRENT_HEALTH,CURRENT_COL_FAMContrib,FALSE),"")</f>
        <v/>
      </c>
      <c r="I368" s="418" t="str">
        <f t="shared" ca="1" si="36"/>
        <v/>
      </c>
      <c r="J368" s="419" t="str">
        <f ca="1">IF(F368="","",H368*E368)</f>
        <v/>
      </c>
      <c r="K368" s="411"/>
      <c r="L368" s="417" t="str" cm="1">
        <f t="array" ca="1" aca="1" ref="L368">_xlfn.IFNA(VLOOKUP(INDIRECT("L"&amp;ROW()-4)&amp;"_"&amp;$D$12,BEGIN_RENEW_HEALTH:END_RENEW_HEALTH,RENEW_COL_FAM,FALSE),"")</f>
        <v/>
      </c>
      <c r="M368" s="423" t="str">
        <f ca="1">IF(E368="","",E368)</f>
        <v/>
      </c>
      <c r="N368" s="420"/>
      <c r="O368" s="421"/>
      <c r="P368" s="422" t="str">
        <f>IFERROR(IF($N364="Keep Contribution Same",H368,IF($N364="Enter Percentages",IF(N368="","",N368*L368),IF($N364="Keep Percentage Same",IF(G368="","",G368*L368),IF($N364="Enter Dollar Amount",IF(O368="","",O368),"")))),"")</f>
        <v/>
      </c>
      <c r="Q368" s="417" t="str">
        <f ca="1">IFERROR(L368-P368,"")</f>
        <v/>
      </c>
      <c r="R368" s="419" t="str">
        <f>IFERROR(IF(P368="","",M368*P368),"")</f>
        <v/>
      </c>
      <c r="S368" s="411"/>
      <c r="T368" s="417" t="str" cm="1">
        <f t="array" ca="1" aca="1" ref="T368">_xlfn.IFNA(VLOOKUP(INDIRECT("T"&amp;ROW()-4)&amp;"_"&amp;$D$12,BEGIN_RENEW_HEALTH:END_RENEW_HEALTH,RENEW_COL_FAM,FALSE),"")</f>
        <v/>
      </c>
      <c r="U368" s="423" t="str">
        <f t="shared" ca="1" si="37"/>
        <v/>
      </c>
      <c r="V368" s="420"/>
      <c r="W368" s="421"/>
      <c r="X368" s="422" t="str">
        <f>IFERROR(IF($V364="Keep Contribution Same",H368,IF($V364="Enter Percentages",IF(V368="","",V368*T368),IF($V364="Keep Percentage Same",IF(G368="","",G368*T368),IF($V364="Enter Dollar Amount",IF(W368="","",W368),"")))),"")</f>
        <v/>
      </c>
      <c r="Y368" s="417" t="str">
        <f t="shared" ca="1" si="38"/>
        <v/>
      </c>
      <c r="Z368" s="419" t="str">
        <f t="shared" si="39"/>
        <v/>
      </c>
    </row>
    <row r="369" spans="1:26" ht="18.75" customHeight="1" thickTop="1">
      <c r="A369" s="140"/>
      <c r="B369" s="140"/>
      <c r="D369" s="175" t="s">
        <v>242</v>
      </c>
      <c r="E369" s="424"/>
      <c r="F369" s="447" t="str">
        <f ca="1">IFERROR((F365*E365)+(F366*E366)+(F367*E367)+(F368*E368),"")</f>
        <v/>
      </c>
      <c r="G369" s="426"/>
      <c r="H369" s="427"/>
      <c r="I369" s="428"/>
      <c r="J369" s="429" t="str">
        <f ca="1">IFERROR(IF(J365="","",SUM(J365:J368)),0)</f>
        <v/>
      </c>
      <c r="K369" s="1"/>
      <c r="L369" s="430" t="str">
        <f ca="1">IFERROR((M365*L365)+(M366*L366)+(M367*L367)+(M368*L368),"")</f>
        <v/>
      </c>
      <c r="M369" s="427"/>
      <c r="N369" s="426"/>
      <c r="O369" s="427"/>
      <c r="P369" s="431"/>
      <c r="Q369" s="432"/>
      <c r="R369" s="429" t="str">
        <f>IFERROR(IF(R365="","",SUM(R365:R368)),0)</f>
        <v/>
      </c>
      <c r="T369" s="430" t="str">
        <f ca="1">IFERROR((U365*T365)+(U366*T366)+(U367*T367)+(U368*T368),"")</f>
        <v/>
      </c>
      <c r="U369" s="427"/>
      <c r="V369" s="426"/>
      <c r="W369" s="427"/>
      <c r="X369" s="431"/>
      <c r="Y369" s="432"/>
      <c r="Z369" s="429" t="str">
        <f>IFERROR(IF(Z365="","",SUM(Z365:Z368)),0)</f>
        <v/>
      </c>
    </row>
    <row r="370" spans="1:26" ht="18.75" customHeight="1">
      <c r="A370" s="140"/>
      <c r="B370" s="140"/>
      <c r="D370" s="177" t="s">
        <v>243</v>
      </c>
      <c r="E370" s="433"/>
      <c r="F370" s="448" t="str">
        <f ca="1">IFERROR(F369*12,"")</f>
        <v/>
      </c>
      <c r="G370" s="435"/>
      <c r="H370" s="436"/>
      <c r="I370" s="432"/>
      <c r="J370" s="437" t="str">
        <f ca="1">IF(J369="","",J369*12)</f>
        <v/>
      </c>
      <c r="K370" s="1"/>
      <c r="L370" s="438" t="str">
        <f ca="1">IFERROR(L369*12,"")</f>
        <v/>
      </c>
      <c r="M370" s="436"/>
      <c r="N370" s="435"/>
      <c r="O370" s="436"/>
      <c r="P370" s="432"/>
      <c r="Q370" s="432"/>
      <c r="R370" s="437" t="str">
        <f>IF(R369="","",R369*12)</f>
        <v/>
      </c>
      <c r="T370" s="438" t="str">
        <f ca="1">IFERROR(T369*12,"")</f>
        <v/>
      </c>
      <c r="U370" s="436"/>
      <c r="V370" s="435"/>
      <c r="W370" s="436"/>
      <c r="X370" s="432"/>
      <c r="Y370" s="432"/>
      <c r="Z370" s="437" t="str">
        <f>IF(Z369="","",Z369*12)</f>
        <v/>
      </c>
    </row>
    <row r="371" spans="1:26" ht="18" customHeight="1">
      <c r="A371" s="140"/>
      <c r="B371" s="140"/>
      <c r="D371" s="177" t="s">
        <v>244</v>
      </c>
      <c r="E371" s="433"/>
      <c r="F371" s="436"/>
      <c r="G371" s="435"/>
      <c r="H371" s="436"/>
      <c r="I371" s="432"/>
      <c r="J371" s="437"/>
      <c r="K371" s="1"/>
      <c r="L371" s="434" t="str">
        <f ca="1">IFERROR(L370-F370,"")</f>
        <v/>
      </c>
      <c r="M371" s="436"/>
      <c r="N371" s="435"/>
      <c r="O371" s="436"/>
      <c r="P371" s="432"/>
      <c r="Q371" s="432"/>
      <c r="R371" s="437" t="str">
        <f ca="1">IFERROR(IF(J370="","",R370-J370),0)</f>
        <v/>
      </c>
      <c r="T371" s="434" t="str">
        <f ca="1">IFERROR(T370-F370,"")</f>
        <v/>
      </c>
      <c r="U371" s="436"/>
      <c r="V371" s="435"/>
      <c r="W371" s="436"/>
      <c r="X371" s="432"/>
      <c r="Y371" s="432"/>
      <c r="Z371" s="437" t="str">
        <f>IFERROR(IF(R370="","",Z370-R370),0)</f>
        <v/>
      </c>
    </row>
    <row r="372" spans="1:26" ht="18" customHeight="1" thickBot="1">
      <c r="A372" s="140"/>
      <c r="B372" s="140"/>
      <c r="D372" s="180" t="s">
        <v>245</v>
      </c>
      <c r="E372" s="439"/>
      <c r="F372" s="440"/>
      <c r="G372" s="441"/>
      <c r="H372" s="440"/>
      <c r="I372" s="442"/>
      <c r="J372" s="443"/>
      <c r="K372" s="1"/>
      <c r="L372" s="444" t="str">
        <f ca="1">IFERROR(L370/F370-1,"")</f>
        <v/>
      </c>
      <c r="M372" s="440"/>
      <c r="N372" s="441"/>
      <c r="O372" s="440"/>
      <c r="P372" s="445"/>
      <c r="Q372" s="445"/>
      <c r="R372" s="446" t="str">
        <f ca="1">IFERROR(IF(J370="","",(R370/J370)-1),0)</f>
        <v/>
      </c>
      <c r="T372" s="444" t="str">
        <f ca="1">IFERROR(T370/F370-1,"")</f>
        <v/>
      </c>
      <c r="U372" s="440"/>
      <c r="V372" s="441"/>
      <c r="W372" s="440"/>
      <c r="X372" s="445"/>
      <c r="Y372" s="445"/>
      <c r="Z372" s="446" t="str">
        <f>IFERROR(IF(R370="","",(Z370/R370)-1),0)</f>
        <v/>
      </c>
    </row>
    <row r="373" spans="1:26" ht="18" customHeight="1">
      <c r="A373" s="140"/>
      <c r="B373" s="140"/>
      <c r="D373" s="181" t="s">
        <v>246</v>
      </c>
      <c r="E373" s="182"/>
      <c r="F373" s="182"/>
      <c r="G373" s="182"/>
      <c r="H373" s="182"/>
      <c r="I373" s="182"/>
      <c r="J373" s="183"/>
      <c r="K373"/>
      <c r="L373" s="184"/>
      <c r="M373" s="182"/>
      <c r="N373" s="182"/>
      <c r="O373" s="182"/>
      <c r="P373" s="182"/>
      <c r="Q373" s="182"/>
      <c r="R373" s="183"/>
      <c r="T373" s="184"/>
      <c r="U373" s="182"/>
      <c r="V373" s="182"/>
      <c r="W373" s="182"/>
      <c r="X373" s="182"/>
      <c r="Y373" s="182"/>
      <c r="Z373" s="183"/>
    </row>
    <row r="374" spans="1:26" ht="18" customHeight="1" hidden="1">
      <c r="A374" s="140"/>
      <c r="B374" s="140"/>
      <c r="D374" s="185" t="s">
        <v>247</v>
      </c>
      <c r="E374" s="186"/>
      <c r="F374" s="186"/>
      <c r="G374" s="186"/>
      <c r="H374" s="186"/>
      <c r="I374" s="186"/>
      <c r="J374" s="187"/>
      <c r="K374"/>
      <c r="L374" s="188"/>
      <c r="M374" s="186"/>
      <c r="N374" s="186"/>
      <c r="O374" s="186"/>
      <c r="P374" s="186"/>
      <c r="Q374" s="186"/>
      <c r="R374" s="187"/>
      <c r="T374" s="188"/>
      <c r="U374" s="186"/>
      <c r="V374" s="186"/>
      <c r="W374" s="186"/>
      <c r="X374" s="186"/>
      <c r="Y374" s="186"/>
      <c r="Z374" s="187"/>
    </row>
    <row r="375" spans="1:26" ht="18" customHeight="1" hidden="1">
      <c r="A375" s="140"/>
      <c r="B375" s="140"/>
      <c r="D375" s="189" t="s">
        <v>248</v>
      </c>
      <c r="E375" s="190" t="str">
        <f>D364&amp;"_"&amp;D12</f>
        <v>_</v>
      </c>
      <c r="F375" s="191"/>
      <c r="G375" s="191"/>
      <c r="H375" s="191"/>
      <c r="I375" s="190"/>
      <c r="J375" s="192"/>
      <c r="K375"/>
      <c r="L375" s="193" t="str">
        <f ca="1">L364&amp;"_"&amp;D12</f>
        <v>SELECT PLAN_</v>
      </c>
      <c r="M375" s="191"/>
      <c r="N375" s="191"/>
      <c r="O375" s="191"/>
      <c r="P375" s="190"/>
      <c r="Q375" s="191"/>
      <c r="R375" s="192"/>
      <c r="T375" s="193" t="str">
        <f>T364&amp;"_"&amp;D12</f>
        <v>SELECT PLAN_</v>
      </c>
      <c r="U375" s="191"/>
      <c r="V375" s="191"/>
      <c r="W375" s="191"/>
      <c r="X375" s="190"/>
      <c r="Y375" s="191"/>
      <c r="Z375" s="192"/>
    </row>
    <row r="376" spans="1:26" ht="18" customHeight="1" hidden="1">
      <c r="A376" s="140"/>
      <c r="B376" s="140"/>
      <c r="D376" s="189" t="s">
        <v>249</v>
      </c>
      <c r="E376" s="191"/>
      <c r="F376" s="191"/>
      <c r="G376" s="191"/>
      <c r="H376" s="191"/>
      <c r="I376" s="191"/>
      <c r="J376" s="192"/>
      <c r="K376"/>
      <c r="L376" s="189"/>
      <c r="M376" s="191"/>
      <c r="N376" s="191"/>
      <c r="O376" s="191"/>
      <c r="P376" s="191"/>
      <c r="Q376" s="191"/>
      <c r="R376" s="192"/>
      <c r="T376" s="189"/>
      <c r="U376" s="191"/>
      <c r="V376" s="191"/>
      <c r="W376" s="191"/>
      <c r="X376" s="191"/>
      <c r="Y376" s="191"/>
      <c r="Z376" s="192"/>
    </row>
    <row r="377" spans="1:26" ht="18" customHeight="1" hidden="1">
      <c r="A377" s="140"/>
      <c r="B377" s="140"/>
      <c r="D377" s="194" t="s">
        <v>250</v>
      </c>
      <c r="E377" s="195"/>
      <c r="F377" s="195"/>
      <c r="G377" s="195"/>
      <c r="H377" s="195"/>
      <c r="I377" s="195"/>
      <c r="J377" s="196"/>
      <c r="K377"/>
      <c r="L377" s="197"/>
      <c r="M377" s="195"/>
      <c r="N377" s="195"/>
      <c r="O377" s="195"/>
      <c r="P377" s="195"/>
      <c r="Q377" s="195"/>
      <c r="R377" s="196"/>
      <c r="T377" s="197"/>
      <c r="U377" s="195"/>
      <c r="V377" s="195"/>
      <c r="W377" s="195"/>
      <c r="X377" s="195"/>
      <c r="Y377" s="195"/>
      <c r="Z377" s="196"/>
    </row>
    <row r="378" spans="1:26" ht="18" customHeight="1" hidden="1">
      <c r="A378" s="140"/>
      <c r="B378" s="140"/>
      <c r="D378" s="198" t="s">
        <v>251</v>
      </c>
      <c r="E378" s="199" t="str">
        <f>_xlfn.XLOOKUP(E375,CurrentPlans!B:B,CurrentPlans!X:X,"NA",0,1)</f>
        <v>NA</v>
      </c>
      <c r="F378" s="200"/>
      <c r="G378" s="200"/>
      <c r="H378" s="200"/>
      <c r="I378" s="199"/>
      <c r="J378" s="201"/>
      <c r="K378"/>
      <c r="L378" s="202" t="str">
        <f ca="1">_xlfn.XLOOKUP(L375,RenewalPlans!B:B,RenewalPlans!AA:AA,"NA",0,1)</f>
        <v>NA</v>
      </c>
      <c r="M378" s="200"/>
      <c r="N378" s="200"/>
      <c r="O378" s="200"/>
      <c r="P378" s="199"/>
      <c r="Q378" s="200"/>
      <c r="R378" s="201"/>
      <c r="T378" s="202" t="str">
        <f>_xlfn.XLOOKUP(T375,RenewalPlans!B:B,RenewalPlans!AA:AA,"NA",0,1)</f>
        <v>NA</v>
      </c>
      <c r="U378" s="200"/>
      <c r="V378" s="200"/>
      <c r="W378" s="200"/>
      <c r="X378" s="199"/>
      <c r="Y378" s="200"/>
      <c r="Z378" s="201"/>
    </row>
    <row r="379" spans="1:26" ht="18" customHeight="1" hidden="1">
      <c r="A379" s="140"/>
      <c r="B379" s="140"/>
      <c r="D379" s="198" t="s">
        <v>252</v>
      </c>
      <c r="E379" s="199" t="str">
        <f>_xlfn.XLOOKUP(E375,CurrentPlans!B:B,CurrentPlans!Y:Y,"NA",0,1)</f>
        <v>NA</v>
      </c>
      <c r="F379" s="200"/>
      <c r="G379" s="200"/>
      <c r="H379" s="200"/>
      <c r="I379" s="199"/>
      <c r="J379" s="201"/>
      <c r="K379"/>
      <c r="L379" s="202" t="str">
        <f ca="1">_xlfn.XLOOKUP(L375,RenewalPlans!B:B,RenewalPlans!AB:AB,"NA",0,1)</f>
        <v>NA</v>
      </c>
      <c r="M379" s="200"/>
      <c r="N379" s="200"/>
      <c r="O379" s="200"/>
      <c r="P379" s="199"/>
      <c r="Q379" s="200"/>
      <c r="R379" s="201"/>
      <c r="T379" s="202" t="str">
        <f>_xlfn.XLOOKUP(T375,RenewalPlans!B:B,RenewalPlans!AB:AB,"NA",0,1)</f>
        <v>NA</v>
      </c>
      <c r="U379" s="200"/>
      <c r="V379" s="200"/>
      <c r="W379" s="200"/>
      <c r="X379" s="199"/>
      <c r="Y379" s="200"/>
      <c r="Z379" s="201"/>
    </row>
    <row r="380" spans="1:26" ht="18" customHeight="1" hidden="1">
      <c r="A380" s="140"/>
      <c r="B380" s="140"/>
      <c r="D380" s="120" t="s">
        <v>253</v>
      </c>
      <c r="E380" s="121" t="str">
        <f>_xlfn.XLOOKUP(E375,CurrentPlans!B:B,CurrentPlans!W:W,"NA",0,1)</f>
        <v>NA</v>
      </c>
      <c r="F380" s="122"/>
      <c r="G380" s="122"/>
      <c r="H380" s="122"/>
      <c r="I380" s="121"/>
      <c r="J380" s="123"/>
      <c r="K380"/>
      <c r="L380" s="124" t="str">
        <f ca="1">_xlfn.XLOOKUP(L375,RenewalPlans!B:B,RenewalPlans!Z:Z,"NA",0,1)</f>
        <v>NA</v>
      </c>
      <c r="M380" s="122"/>
      <c r="N380" s="122"/>
      <c r="O380" s="122"/>
      <c r="P380" s="121"/>
      <c r="Q380" s="122"/>
      <c r="R380" s="123"/>
      <c r="T380" s="124" t="str">
        <f>_xlfn.XLOOKUP(T375,RenewalPlans!B:B,RenewalPlans!Z:Z,"NA",0,1)</f>
        <v>NA</v>
      </c>
      <c r="U380" s="122"/>
      <c r="V380" s="122"/>
      <c r="W380" s="122"/>
      <c r="X380" s="121"/>
      <c r="Y380" s="122"/>
      <c r="Z380" s="123"/>
    </row>
    <row r="381" spans="1:26" ht="18" customHeight="1" hidden="1">
      <c r="A381" s="140"/>
      <c r="B381" s="140"/>
      <c r="D381" s="203" t="s">
        <v>254</v>
      </c>
      <c r="E381" s="204"/>
      <c r="F381" s="205"/>
      <c r="G381" s="205"/>
      <c r="H381" s="205"/>
      <c r="I381" s="204"/>
      <c r="J381" s="206"/>
      <c r="K381"/>
      <c r="L381" s="207"/>
      <c r="M381" s="205"/>
      <c r="N381" s="205"/>
      <c r="O381" s="205"/>
      <c r="P381" s="204"/>
      <c r="Q381" s="205"/>
      <c r="R381" s="206"/>
      <c r="T381" s="207"/>
      <c r="U381" s="205"/>
      <c r="V381" s="205"/>
      <c r="W381" s="205"/>
      <c r="X381" s="204"/>
      <c r="Y381" s="205"/>
      <c r="Z381" s="206"/>
    </row>
    <row r="382" spans="1:26" ht="18" customHeight="1" hidden="1">
      <c r="A382" s="140"/>
      <c r="B382" s="140"/>
      <c r="D382" s="125" t="s">
        <v>255</v>
      </c>
      <c r="E382" s="126" t="str">
        <f>_xlfn.XLOOKUP(E375,CurrentPlans!B:B,CurrentPlans!Z:Z,"NA",0,1)</f>
        <v>NA</v>
      </c>
      <c r="F382" s="127"/>
      <c r="G382" s="127"/>
      <c r="H382" s="127"/>
      <c r="I382" s="126"/>
      <c r="J382" s="128"/>
      <c r="K382"/>
      <c r="L382" s="129" t="str">
        <f ca="1">_xlfn.XLOOKUP(L375,RenewalPlans!B:B,RenewalPlans!AC:AC,"NA",0,1)</f>
        <v>NA</v>
      </c>
      <c r="M382" s="127"/>
      <c r="N382" s="127"/>
      <c r="O382" s="127"/>
      <c r="P382" s="126"/>
      <c r="Q382" s="127"/>
      <c r="R382" s="128"/>
      <c r="T382" s="129" t="str">
        <f>_xlfn.XLOOKUP(T375,RenewalPlans!B:B,RenewalPlans!AC:AC,"NA",0,1)</f>
        <v>NA</v>
      </c>
      <c r="U382" s="127"/>
      <c r="V382" s="127"/>
      <c r="W382" s="127"/>
      <c r="X382" s="126"/>
      <c r="Y382" s="127"/>
      <c r="Z382" s="128"/>
    </row>
    <row r="383" spans="1:26" ht="18" customHeight="1" hidden="1">
      <c r="A383" s="140"/>
      <c r="B383" s="140"/>
      <c r="D383" s="198" t="s">
        <v>256</v>
      </c>
      <c r="E383" s="208" t="str">
        <f>_xlfn.XLOOKUP(E375,CurrentPlans!B:B,CurrentPlans!AA:AA,"NA",0,1)</f>
        <v>NA</v>
      </c>
      <c r="F383" s="200"/>
      <c r="G383" s="200"/>
      <c r="H383" s="200"/>
      <c r="I383" s="208"/>
      <c r="J383" s="201"/>
      <c r="K383"/>
      <c r="L383" s="209" t="str">
        <f ca="1">_xlfn.XLOOKUP(L375,RenewalPlans!B:B,RenewalPlans!AD:AD,"NA",0,1)</f>
        <v>NA</v>
      </c>
      <c r="M383" s="200"/>
      <c r="N383" s="200"/>
      <c r="O383" s="200"/>
      <c r="P383" s="208"/>
      <c r="Q383" s="200"/>
      <c r="R383" s="201"/>
      <c r="T383" s="209" t="str">
        <f>_xlfn.XLOOKUP(T375,RenewalPlans!B:B,RenewalPlans!AD:AD,"NA",0,1)</f>
        <v>NA</v>
      </c>
      <c r="U383" s="200"/>
      <c r="V383" s="200"/>
      <c r="W383" s="200"/>
      <c r="X383" s="208"/>
      <c r="Y383" s="200"/>
      <c r="Z383" s="201"/>
    </row>
    <row r="384" spans="1:26" ht="18" customHeight="1" hidden="1">
      <c r="A384" s="140"/>
      <c r="B384" s="140"/>
      <c r="D384" s="203" t="s">
        <v>257</v>
      </c>
      <c r="E384" s="204"/>
      <c r="F384" s="205"/>
      <c r="G384" s="205"/>
      <c r="H384" s="205"/>
      <c r="I384" s="204"/>
      <c r="J384" s="206"/>
      <c r="K384"/>
      <c r="L384" s="207"/>
      <c r="M384" s="205"/>
      <c r="N384" s="205"/>
      <c r="O384" s="205"/>
      <c r="P384" s="204"/>
      <c r="Q384" s="205"/>
      <c r="R384" s="206"/>
      <c r="T384" s="207"/>
      <c r="U384" s="205"/>
      <c r="V384" s="205"/>
      <c r="W384" s="205"/>
      <c r="X384" s="204"/>
      <c r="Y384" s="205"/>
      <c r="Z384" s="206"/>
    </row>
    <row r="385" spans="1:26" ht="18" customHeight="1" hidden="1">
      <c r="A385" s="140"/>
      <c r="B385" s="140"/>
      <c r="D385" s="198" t="s">
        <v>258</v>
      </c>
      <c r="E385" s="208" t="str">
        <f>_xlfn.XLOOKUP(E375,CurrentPlans!B:B,CurrentPlans!AB:AB,"NA",0,1)</f>
        <v>NA</v>
      </c>
      <c r="F385" s="200"/>
      <c r="G385" s="200"/>
      <c r="H385" s="200"/>
      <c r="I385" s="208"/>
      <c r="J385" s="201"/>
      <c r="K385"/>
      <c r="L385" s="209" t="str">
        <f ca="1">_xlfn.XLOOKUP(L375,RenewalPlans!B:B,RenewalPlans!AE:AE,"NA",0,1)</f>
        <v>NA</v>
      </c>
      <c r="M385" s="200"/>
      <c r="N385" s="200"/>
      <c r="O385" s="200"/>
      <c r="P385" s="208"/>
      <c r="Q385" s="200"/>
      <c r="R385" s="201"/>
      <c r="T385" s="209" t="str">
        <f>_xlfn.XLOOKUP(T375,RenewalPlans!B:B,RenewalPlans!AE:AE,"NA",0,1)</f>
        <v>NA</v>
      </c>
      <c r="U385" s="200"/>
      <c r="V385" s="200"/>
      <c r="W385" s="200"/>
      <c r="X385" s="208"/>
      <c r="Y385" s="200"/>
      <c r="Z385" s="201"/>
    </row>
    <row r="386" spans="1:26" ht="18" customHeight="1" hidden="1">
      <c r="A386" s="140"/>
      <c r="B386" s="140"/>
      <c r="D386" s="198" t="s">
        <v>259</v>
      </c>
      <c r="E386" s="208" t="str">
        <f>_xlfn.XLOOKUP(E375,CurrentPlans!B:B,CurrentPlans!AC:AC,"NA",0,1)</f>
        <v>NA</v>
      </c>
      <c r="F386" s="200"/>
      <c r="G386" s="200"/>
      <c r="H386" s="200"/>
      <c r="I386" s="208"/>
      <c r="J386" s="201"/>
      <c r="K386"/>
      <c r="L386" s="209" t="str">
        <f ca="1">_xlfn.XLOOKUP(L375,RenewalPlans!B:B,RenewalPlans!AF:AF,"NA",0,1)</f>
        <v>NA</v>
      </c>
      <c r="M386" s="200"/>
      <c r="N386" s="200"/>
      <c r="O386" s="200"/>
      <c r="P386" s="208"/>
      <c r="Q386" s="200"/>
      <c r="R386" s="201"/>
      <c r="T386" s="209" t="str">
        <f>_xlfn.XLOOKUP(T375,RenewalPlans!B:B,RenewalPlans!AF:AF,"NA",0,1)</f>
        <v>NA</v>
      </c>
      <c r="U386" s="200"/>
      <c r="V386" s="200"/>
      <c r="W386" s="200"/>
      <c r="X386" s="208"/>
      <c r="Y386" s="200"/>
      <c r="Z386" s="201"/>
    </row>
    <row r="387" spans="1:26" ht="18" customHeight="1" hidden="1">
      <c r="A387" s="140"/>
      <c r="B387" s="140"/>
      <c r="D387" s="210"/>
      <c r="E387" s="211"/>
      <c r="F387" s="211"/>
      <c r="G387" s="211"/>
      <c r="H387" s="211"/>
      <c r="I387" s="211"/>
      <c r="J387" s="212"/>
      <c r="K387"/>
      <c r="L387" s="210"/>
      <c r="M387" s="211"/>
      <c r="N387" s="211"/>
      <c r="O387" s="211"/>
      <c r="P387" s="211"/>
      <c r="Q387" s="211"/>
      <c r="R387" s="212"/>
      <c r="T387" s="210"/>
      <c r="U387" s="211"/>
      <c r="V387" s="211"/>
      <c r="W387" s="211"/>
      <c r="X387" s="211"/>
      <c r="Y387" s="211"/>
      <c r="Z387" s="212"/>
    </row>
    <row r="388" spans="1:26" ht="18" customHeight="1" hidden="1">
      <c r="A388" s="140"/>
      <c r="B388" s="140"/>
      <c r="D388" s="185" t="s">
        <v>260</v>
      </c>
      <c r="E388" s="186"/>
      <c r="F388" s="186"/>
      <c r="G388" s="186"/>
      <c r="H388" s="186"/>
      <c r="I388" s="186"/>
      <c r="J388" s="187"/>
      <c r="K388"/>
      <c r="L388" s="188"/>
      <c r="M388" s="186"/>
      <c r="N388" s="186"/>
      <c r="O388" s="186"/>
      <c r="P388" s="186"/>
      <c r="Q388" s="186"/>
      <c r="R388" s="187"/>
      <c r="T388" s="188"/>
      <c r="U388" s="186"/>
      <c r="V388" s="186"/>
      <c r="W388" s="186"/>
      <c r="X388" s="186"/>
      <c r="Y388" s="186"/>
      <c r="Z388" s="187"/>
    </row>
    <row r="389" spans="1:26" ht="18" customHeight="1" hidden="1">
      <c r="A389" s="140"/>
      <c r="B389" s="140"/>
      <c r="D389" s="213" t="s">
        <v>261</v>
      </c>
      <c r="E389" s="130" t="str">
        <f>_xlfn.XLOOKUP(E375,CurrentPlans!B:B,CurrentPlans!AJ:AJ,"NA",0,1)</f>
        <v>NA</v>
      </c>
      <c r="F389" s="214"/>
      <c r="G389" s="214"/>
      <c r="H389" s="214"/>
      <c r="I389" s="130"/>
      <c r="J389" s="215"/>
      <c r="K389"/>
      <c r="L389" s="131" t="str">
        <f ca="1">_xlfn.XLOOKUP(L375,RenewalPlans!B:B,RenewalPlans!AM:AM,"NA",0,1)</f>
        <v>NA</v>
      </c>
      <c r="M389" s="214"/>
      <c r="N389" s="214"/>
      <c r="O389" s="214"/>
      <c r="P389" s="130"/>
      <c r="Q389" s="214"/>
      <c r="R389" s="215"/>
      <c r="T389" s="131" t="str">
        <f>_xlfn.XLOOKUP(T375,RenewalPlans!B:B,RenewalPlans!AM:AM,"NA",0,1)</f>
        <v>NA</v>
      </c>
      <c r="U389" s="214"/>
      <c r="V389" s="214"/>
      <c r="W389" s="214"/>
      <c r="X389" s="130"/>
      <c r="Y389" s="214"/>
      <c r="Z389" s="215"/>
    </row>
    <row r="390" spans="1:26" ht="18" customHeight="1" hidden="1">
      <c r="A390" s="140"/>
      <c r="B390" s="140"/>
      <c r="D390" s="198" t="s">
        <v>262</v>
      </c>
      <c r="E390" s="130" t="str">
        <f>_xlfn.XLOOKUP(E375,CurrentPlans!B:B,CurrentPlans!AM:AM,"NA",0,1)</f>
        <v>NA</v>
      </c>
      <c r="F390" s="200"/>
      <c r="G390" s="200"/>
      <c r="H390" s="200"/>
      <c r="I390" s="130"/>
      <c r="J390" s="201"/>
      <c r="K390"/>
      <c r="L390" s="131" t="str">
        <f ca="1">_xlfn.XLOOKUP(L375,RenewalPlans!B:B,RenewalPlans!AP:AP,"NA",0,1)</f>
        <v>NA</v>
      </c>
      <c r="M390" s="200"/>
      <c r="N390" s="200"/>
      <c r="O390" s="200"/>
      <c r="P390" s="130"/>
      <c r="Q390" s="200"/>
      <c r="R390" s="201"/>
      <c r="T390" s="131" t="str">
        <f>_xlfn.XLOOKUP(T375,RenewalPlans!B:B,RenewalPlans!AP:AP,"NA",0,1)</f>
        <v>NA</v>
      </c>
      <c r="U390" s="200"/>
      <c r="V390" s="200"/>
      <c r="W390" s="200"/>
      <c r="X390" s="130"/>
      <c r="Y390" s="200"/>
      <c r="Z390" s="201"/>
    </row>
    <row r="391" spans="1:26" ht="18" customHeight="1" hidden="1">
      <c r="A391" s="140"/>
      <c r="B391" s="140"/>
      <c r="D391" s="198" t="s">
        <v>263</v>
      </c>
      <c r="E391" s="130" t="str">
        <f>_xlfn.XLOOKUP(E375,CurrentPlans!B:B,CurrentPlans!AI:AI,"NA",0,1)</f>
        <v>NA</v>
      </c>
      <c r="F391" s="200"/>
      <c r="G391" s="200"/>
      <c r="H391" s="200"/>
      <c r="I391" s="130"/>
      <c r="J391" s="201"/>
      <c r="K391"/>
      <c r="L391" s="131" t="str">
        <f ca="1">_xlfn.XLOOKUP(L375,RenewalPlans!B:B,RenewalPlans!AL:AL,"NA",0,1)</f>
        <v>NA</v>
      </c>
      <c r="M391" s="200"/>
      <c r="N391" s="200"/>
      <c r="O391" s="200"/>
      <c r="P391" s="130"/>
      <c r="Q391" s="200"/>
      <c r="R391" s="201"/>
      <c r="T391" s="131" t="str">
        <f>_xlfn.XLOOKUP(T375,RenewalPlans!B:B,RenewalPlans!AL:AL,"NA",0,1)</f>
        <v>NA</v>
      </c>
      <c r="U391" s="200"/>
      <c r="V391" s="200"/>
      <c r="W391" s="200"/>
      <c r="X391" s="130"/>
      <c r="Y391" s="200"/>
      <c r="Z391" s="201"/>
    </row>
    <row r="392" spans="1:26" ht="18" customHeight="1" hidden="1">
      <c r="A392" s="140"/>
      <c r="B392" s="140"/>
      <c r="D392" s="198" t="s">
        <v>264</v>
      </c>
      <c r="E392" s="208" t="str">
        <f>_xlfn.XLOOKUP(E375,CurrentPlans!B:B,CurrentPlans!AN:AN,"NA",0,1)</f>
        <v>NA</v>
      </c>
      <c r="F392" s="200"/>
      <c r="G392" s="200"/>
      <c r="H392" s="200"/>
      <c r="I392" s="208"/>
      <c r="J392" s="201"/>
      <c r="K392"/>
      <c r="L392" s="209" t="str">
        <f ca="1">_xlfn.XLOOKUP(L375,RenewalPlans!B:B,RenewalPlans!AQ:AQ,"NA",0,1)</f>
        <v>NA</v>
      </c>
      <c r="M392" s="200"/>
      <c r="N392" s="200"/>
      <c r="O392" s="200"/>
      <c r="P392" s="208"/>
      <c r="Q392" s="200"/>
      <c r="R392" s="201"/>
      <c r="T392" s="209" t="str">
        <f>_xlfn.XLOOKUP(T375,RenewalPlans!B:B,RenewalPlans!AQ:AQ,"NA",0,1)</f>
        <v>NA</v>
      </c>
      <c r="U392" s="200"/>
      <c r="V392" s="200"/>
      <c r="W392" s="200"/>
      <c r="X392" s="208"/>
      <c r="Y392" s="200"/>
      <c r="Z392" s="201"/>
    </row>
    <row r="393" spans="1:26" ht="18" customHeight="1" hidden="1">
      <c r="A393" s="140"/>
      <c r="B393" s="140"/>
      <c r="D393" s="210"/>
      <c r="E393" s="211"/>
      <c r="F393" s="211"/>
      <c r="G393" s="211"/>
      <c r="H393" s="211"/>
      <c r="I393" s="211"/>
      <c r="J393" s="212"/>
      <c r="K393"/>
      <c r="L393" s="210"/>
      <c r="M393" s="211"/>
      <c r="N393" s="211"/>
      <c r="O393" s="211"/>
      <c r="P393" s="211"/>
      <c r="Q393" s="211"/>
      <c r="R393" s="212"/>
      <c r="T393" s="210"/>
      <c r="U393" s="211"/>
      <c r="V393" s="211"/>
      <c r="W393" s="211"/>
      <c r="X393" s="211"/>
      <c r="Y393" s="211"/>
      <c r="Z393" s="212"/>
    </row>
    <row r="394" spans="1:26" ht="18" customHeight="1" hidden="1">
      <c r="A394" s="140"/>
      <c r="B394" s="140"/>
      <c r="D394" s="185" t="s">
        <v>265</v>
      </c>
      <c r="E394" s="186"/>
      <c r="F394" s="186"/>
      <c r="G394" s="186"/>
      <c r="H394" s="186"/>
      <c r="I394" s="186"/>
      <c r="J394" s="187"/>
      <c r="K394"/>
      <c r="L394" s="188"/>
      <c r="M394" s="186"/>
      <c r="N394" s="186"/>
      <c r="O394" s="186"/>
      <c r="P394" s="186"/>
      <c r="Q394" s="186"/>
      <c r="R394" s="187"/>
      <c r="T394" s="188"/>
      <c r="U394" s="186"/>
      <c r="V394" s="186"/>
      <c r="W394" s="186"/>
      <c r="X394" s="186"/>
      <c r="Y394" s="186"/>
      <c r="Z394" s="187"/>
    </row>
    <row r="395" spans="1:26" ht="18" customHeight="1" hidden="1">
      <c r="A395" s="140"/>
      <c r="B395" s="140"/>
      <c r="D395" s="132" t="s">
        <v>266</v>
      </c>
      <c r="E395" s="133" t="str">
        <f>_xlfn.XLOOKUP(E375,CurrentPlans!B:B,CurrentPlans!AE:AE,"NA",0,1)</f>
        <v>NA</v>
      </c>
      <c r="F395" s="134"/>
      <c r="G395" s="134"/>
      <c r="H395" s="134"/>
      <c r="I395" s="133"/>
      <c r="J395" s="135"/>
      <c r="K395"/>
      <c r="L395" s="136" t="str">
        <f ca="1">_xlfn.XLOOKUP(L375,RenewalPlans!B:B,RenewalPlans!AH:AH,"NA",0,1)</f>
        <v>NA</v>
      </c>
      <c r="M395" s="134"/>
      <c r="N395" s="134"/>
      <c r="O395" s="134"/>
      <c r="P395" s="133"/>
      <c r="Q395" s="134"/>
      <c r="R395" s="135"/>
      <c r="T395" s="136" t="str">
        <f>_xlfn.XLOOKUP(T375,RenewalPlans!B:B,RenewalPlans!AH:AH,"NA",0,1)</f>
        <v>NA</v>
      </c>
      <c r="U395" s="134"/>
      <c r="V395" s="134"/>
      <c r="W395" s="134"/>
      <c r="X395" s="133"/>
      <c r="Y395" s="134"/>
      <c r="Z395" s="135"/>
    </row>
    <row r="396" spans="1:26" ht="18" customHeight="1" hidden="1">
      <c r="A396" s="140"/>
      <c r="B396" s="140"/>
      <c r="D396" s="120" t="s">
        <v>267</v>
      </c>
      <c r="E396" s="130" t="str">
        <f>_xlfn.XLOOKUP(E375,CurrentPlans!B:B,CurrentPlans!AF:AF,"NA",0,1)</f>
        <v>NA</v>
      </c>
      <c r="F396" s="122"/>
      <c r="G396" s="122"/>
      <c r="H396" s="122"/>
      <c r="I396" s="130"/>
      <c r="J396" s="123"/>
      <c r="K396"/>
      <c r="L396" s="131" t="str">
        <f ca="1">_xlfn.XLOOKUP(L375,RenewalPlans!B:B,RenewalPlans!AI:AI,"NA",0,1)</f>
        <v>NA</v>
      </c>
      <c r="M396" s="122"/>
      <c r="N396" s="122"/>
      <c r="O396" s="122"/>
      <c r="P396" s="130"/>
      <c r="Q396" s="122"/>
      <c r="R396" s="123"/>
      <c r="T396" s="131" t="str">
        <f>_xlfn.XLOOKUP(T375,RenewalPlans!B:B,RenewalPlans!AI:AI,"NA",0,1)</f>
        <v>NA</v>
      </c>
      <c r="U396" s="122"/>
      <c r="V396" s="122"/>
      <c r="W396" s="122"/>
      <c r="X396" s="130"/>
      <c r="Y396" s="122"/>
      <c r="Z396" s="123"/>
    </row>
    <row r="397" spans="1:26" ht="18" customHeight="1" hidden="1">
      <c r="A397" s="140"/>
      <c r="B397" s="140"/>
      <c r="D397" s="198" t="s">
        <v>268</v>
      </c>
      <c r="E397" s="130" t="str">
        <f>_xlfn.XLOOKUP(E375,CurrentPlans!B:B,CurrentPlans!AH:AH,"NA",0,1)</f>
        <v>NA</v>
      </c>
      <c r="F397" s="200"/>
      <c r="G397" s="200"/>
      <c r="H397" s="200"/>
      <c r="I397" s="130"/>
      <c r="J397" s="201"/>
      <c r="K397"/>
      <c r="L397" s="131" t="str">
        <f ca="1">_xlfn.XLOOKUP(L375,RenewalPlans!B:B,RenewalPlans!AK:AK,"NA",0,1)</f>
        <v>NA</v>
      </c>
      <c r="M397" s="200"/>
      <c r="N397" s="200"/>
      <c r="O397" s="200"/>
      <c r="P397" s="130"/>
      <c r="Q397" s="200"/>
      <c r="R397" s="201"/>
      <c r="T397" s="131" t="str">
        <f>_xlfn.XLOOKUP(T375,RenewalPlans!B:B,RenewalPlans!AK:AK,"NA",0,1)</f>
        <v>NA</v>
      </c>
      <c r="U397" s="200"/>
      <c r="V397" s="200"/>
      <c r="W397" s="200"/>
      <c r="X397" s="130"/>
      <c r="Y397" s="200"/>
      <c r="Z397" s="201"/>
    </row>
    <row r="398" spans="1:26" ht="18" customHeight="1" hidden="1">
      <c r="A398" s="140"/>
      <c r="B398" s="140"/>
      <c r="D398" s="198" t="s">
        <v>269</v>
      </c>
      <c r="E398" s="130" t="str">
        <f>_xlfn.XLOOKUP(E375,CurrentPlans!B:B,CurrentPlans!AG:AG,"NA",0,1)</f>
        <v>NA</v>
      </c>
      <c r="F398" s="200"/>
      <c r="G398" s="200"/>
      <c r="H398" s="200"/>
      <c r="I398" s="130"/>
      <c r="J398" s="201"/>
      <c r="K398"/>
      <c r="L398" s="131" t="str">
        <f ca="1">_xlfn.XLOOKUP(L375,RenewalPlans!B:B,RenewalPlans!AJ:AJ,"NA",0,1)</f>
        <v>NA</v>
      </c>
      <c r="M398" s="200"/>
      <c r="N398" s="200"/>
      <c r="O398" s="200"/>
      <c r="P398" s="130"/>
      <c r="Q398" s="200"/>
      <c r="R398" s="201"/>
      <c r="T398" s="131" t="str">
        <f>_xlfn.XLOOKUP(T375,RenewalPlans!B:B,RenewalPlans!AJ:AJ,"NA",0,1)</f>
        <v>NA</v>
      </c>
      <c r="U398" s="200"/>
      <c r="V398" s="200"/>
      <c r="W398" s="200"/>
      <c r="X398" s="130"/>
      <c r="Y398" s="200"/>
      <c r="Z398" s="201"/>
    </row>
    <row r="399" spans="1:26" ht="18" customHeight="1" hidden="1">
      <c r="A399" s="140"/>
      <c r="B399" s="140"/>
      <c r="D399" s="213" t="s">
        <v>270</v>
      </c>
      <c r="E399" s="216" t="str">
        <f>_xlfn.XLOOKUP(E375,CurrentPlans!B:B,CurrentPlans!AU:AU,"NA",0,1)</f>
        <v>NA</v>
      </c>
      <c r="F399" s="214"/>
      <c r="G399" s="214"/>
      <c r="H399" s="214"/>
      <c r="I399" s="217"/>
      <c r="J399" s="215"/>
      <c r="K399"/>
      <c r="L399" s="218" t="str">
        <f ca="1">_xlfn.XLOOKUP(L375,RenewalPlans!B:B,RenewalPlans!AX:AX,"NA",0,1)</f>
        <v>NA</v>
      </c>
      <c r="M399" s="214"/>
      <c r="N399" s="214"/>
      <c r="O399" s="214"/>
      <c r="P399" s="217"/>
      <c r="Q399" s="214"/>
      <c r="R399" s="215"/>
      <c r="T399" s="218" t="str">
        <f>_xlfn.XLOOKUP(T375,RenewalPlans!B:B,RenewalPlans!AX:AX,"NA",0,1)</f>
        <v>NA</v>
      </c>
      <c r="U399" s="214"/>
      <c r="V399" s="214"/>
      <c r="W399" s="214"/>
      <c r="X399" s="217"/>
      <c r="Y399" s="214"/>
      <c r="Z399" s="215"/>
    </row>
    <row r="400" spans="1:26" ht="18" customHeight="1" hidden="1">
      <c r="A400" s="140"/>
      <c r="B400" s="140"/>
      <c r="D400" s="213" t="s">
        <v>271</v>
      </c>
      <c r="E400" s="216" t="str">
        <f>_xlfn.XLOOKUP(E375,CurrentPlans!B:B,CurrentPlans!AT:AT,"NA",0,1)</f>
        <v>NA</v>
      </c>
      <c r="F400" s="214"/>
      <c r="G400" s="214"/>
      <c r="H400" s="214"/>
      <c r="I400" s="217"/>
      <c r="J400" s="215"/>
      <c r="K400"/>
      <c r="L400" s="218" t="str">
        <f ca="1">_xlfn.XLOOKUP(L375,RenewalPlans!B:B,RenewalPlans!AW:AW,"NA",0,1)</f>
        <v>NA</v>
      </c>
      <c r="M400" s="214"/>
      <c r="N400" s="214"/>
      <c r="O400" s="214"/>
      <c r="P400" s="217"/>
      <c r="Q400" s="214"/>
      <c r="R400" s="215"/>
      <c r="T400" s="218" t="str">
        <f>_xlfn.XLOOKUP(T375,RenewalPlans!B:B,RenewalPlans!AW:AW,"NA",0,1)</f>
        <v>NA</v>
      </c>
      <c r="U400" s="214"/>
      <c r="V400" s="214"/>
      <c r="W400" s="214"/>
      <c r="X400" s="217"/>
      <c r="Y400" s="214"/>
      <c r="Z400" s="215"/>
    </row>
    <row r="401" spans="1:26" ht="18" customHeight="1" hidden="1">
      <c r="A401" s="140"/>
      <c r="B401" s="140"/>
      <c r="D401" s="198" t="s">
        <v>272</v>
      </c>
      <c r="E401" s="130" t="str">
        <f>_xlfn.XLOOKUP(E375,CurrentPlans!B:B,CurrentPlans!AD:AD,"NA",0,1)</f>
        <v>NA</v>
      </c>
      <c r="F401" s="200"/>
      <c r="G401" s="200"/>
      <c r="H401" s="200"/>
      <c r="I401" s="130"/>
      <c r="J401" s="201"/>
      <c r="K401"/>
      <c r="L401" s="131" t="str">
        <f ca="1">_xlfn.XLOOKUP(L375,RenewalPlans!B:B,RenewalPlans!AG:AG,"NA",0,1)</f>
        <v>NA</v>
      </c>
      <c r="M401" s="200"/>
      <c r="N401" s="200"/>
      <c r="O401" s="200"/>
      <c r="P401" s="130"/>
      <c r="Q401" s="200"/>
      <c r="R401" s="201"/>
      <c r="T401" s="131" t="str">
        <f>_xlfn.XLOOKUP(T375,RenewalPlans!B:B,RenewalPlans!AG:AG,"NA",0,1)</f>
        <v>NA</v>
      </c>
      <c r="U401" s="200"/>
      <c r="V401" s="200"/>
      <c r="W401" s="200"/>
      <c r="X401" s="130"/>
      <c r="Y401" s="200"/>
      <c r="Z401" s="201"/>
    </row>
    <row r="402" spans="1:26" ht="18" customHeight="1" hidden="1">
      <c r="A402" s="140"/>
      <c r="B402" s="140"/>
      <c r="D402" s="198" t="s">
        <v>273</v>
      </c>
      <c r="E402" s="200"/>
      <c r="F402" s="200"/>
      <c r="G402" s="200"/>
      <c r="H402" s="200"/>
      <c r="I402" s="200"/>
      <c r="J402" s="201"/>
      <c r="K402"/>
      <c r="L402" s="198"/>
      <c r="M402" s="200"/>
      <c r="N402" s="200"/>
      <c r="O402" s="200"/>
      <c r="P402" s="200"/>
      <c r="Q402" s="200"/>
      <c r="R402" s="201"/>
      <c r="T402" s="198"/>
      <c r="U402" s="200"/>
      <c r="V402" s="200"/>
      <c r="W402" s="200"/>
      <c r="X402" s="200"/>
      <c r="Y402" s="200"/>
      <c r="Z402" s="201"/>
    </row>
    <row r="403" spans="1:26" ht="18" customHeight="1" hidden="1">
      <c r="A403" s="140"/>
      <c r="B403" s="140"/>
      <c r="D403" s="210"/>
      <c r="E403" s="211"/>
      <c r="F403" s="211"/>
      <c r="G403" s="211"/>
      <c r="H403" s="211"/>
      <c r="I403" s="211"/>
      <c r="J403" s="212"/>
      <c r="K403"/>
      <c r="L403" s="210"/>
      <c r="M403" s="211"/>
      <c r="N403" s="211"/>
      <c r="O403" s="211"/>
      <c r="P403" s="211"/>
      <c r="Q403" s="211"/>
      <c r="R403" s="212"/>
      <c r="T403" s="210"/>
      <c r="U403" s="211"/>
      <c r="V403" s="211"/>
      <c r="W403" s="211"/>
      <c r="X403" s="211"/>
      <c r="Y403" s="211"/>
      <c r="Z403" s="212"/>
    </row>
    <row r="404" spans="1:26" ht="18" customHeight="1" hidden="1">
      <c r="A404" s="140"/>
      <c r="B404" s="140"/>
      <c r="D404" s="219" t="s">
        <v>274</v>
      </c>
      <c r="E404" s="220"/>
      <c r="F404" s="220"/>
      <c r="G404" s="220"/>
      <c r="H404" s="220"/>
      <c r="I404" s="220"/>
      <c r="J404" s="221"/>
      <c r="K404"/>
      <c r="L404" s="222"/>
      <c r="M404" s="220"/>
      <c r="N404" s="220"/>
      <c r="O404" s="220"/>
      <c r="P404" s="220"/>
      <c r="Q404" s="220"/>
      <c r="R404" s="221"/>
      <c r="T404" s="222"/>
      <c r="U404" s="220"/>
      <c r="V404" s="220"/>
      <c r="W404" s="220"/>
      <c r="X404" s="220"/>
      <c r="Y404" s="220"/>
      <c r="Z404" s="221"/>
    </row>
    <row r="405" spans="1:26" ht="18" customHeight="1" hidden="1">
      <c r="A405" s="140"/>
      <c r="B405" s="140"/>
      <c r="D405" s="223" t="s">
        <v>250</v>
      </c>
      <c r="E405" s="205"/>
      <c r="F405" s="205"/>
      <c r="G405" s="205"/>
      <c r="H405" s="205"/>
      <c r="I405" s="205"/>
      <c r="J405" s="206"/>
      <c r="K405"/>
      <c r="L405" s="203"/>
      <c r="M405" s="205"/>
      <c r="N405" s="205"/>
      <c r="O405" s="205"/>
      <c r="P405" s="205"/>
      <c r="Q405" s="205"/>
      <c r="R405" s="206"/>
      <c r="T405" s="203"/>
      <c r="U405" s="205"/>
      <c r="V405" s="205"/>
      <c r="W405" s="205"/>
      <c r="X405" s="205"/>
      <c r="Y405" s="205"/>
      <c r="Z405" s="206"/>
    </row>
    <row r="406" spans="1:26" ht="18" customHeight="1" hidden="1">
      <c r="A406" s="140"/>
      <c r="B406" s="140"/>
      <c r="D406" s="198" t="s">
        <v>251</v>
      </c>
      <c r="E406" s="130" t="str">
        <f>_xlfn.XLOOKUP(E375,CurrentPlans!B:B,CurrentPlans!AP:AP,"NA",0,1)</f>
        <v>NA</v>
      </c>
      <c r="F406" s="200"/>
      <c r="G406" s="200"/>
      <c r="H406" s="200"/>
      <c r="I406" s="130"/>
      <c r="J406" s="201"/>
      <c r="K406"/>
      <c r="L406" s="131" t="str">
        <f ca="1">_xlfn.XLOOKUP(L375,RenewalPlans!B:B,RenewalPlans!AS:AS,"NA",0,1)</f>
        <v>NA</v>
      </c>
      <c r="M406" s="200"/>
      <c r="N406" s="200"/>
      <c r="O406" s="200"/>
      <c r="P406" s="130"/>
      <c r="Q406" s="200"/>
      <c r="R406" s="201"/>
      <c r="T406" s="131" t="str">
        <f>_xlfn.XLOOKUP(T375,RenewalPlans!B:B,RenewalPlans!AS:AS,"NA",0,1)</f>
        <v>NA</v>
      </c>
      <c r="U406" s="200"/>
      <c r="V406" s="200"/>
      <c r="W406" s="200"/>
      <c r="X406" s="130"/>
      <c r="Y406" s="200"/>
      <c r="Z406" s="201"/>
    </row>
    <row r="407" spans="1:26" ht="18" customHeight="1" hidden="1">
      <c r="A407" s="140"/>
      <c r="B407" s="140"/>
      <c r="D407" s="198" t="s">
        <v>252</v>
      </c>
      <c r="E407" s="130" t="str">
        <f>_xlfn.XLOOKUP(E375,CurrentPlans!B:B,CurrentPlans!AQ:AQ,"NA",0,1)</f>
        <v>NA</v>
      </c>
      <c r="F407" s="200"/>
      <c r="G407" s="200"/>
      <c r="H407" s="200"/>
      <c r="I407" s="130"/>
      <c r="J407" s="201"/>
      <c r="K407"/>
      <c r="L407" s="131" t="str">
        <f ca="1">_xlfn.XLOOKUP(L375,RenewalPlans!B:B,RenewalPlans!AT:AT,"NA",0,1)</f>
        <v>NA</v>
      </c>
      <c r="M407" s="200"/>
      <c r="N407" s="200"/>
      <c r="O407" s="200"/>
      <c r="P407" s="130"/>
      <c r="Q407" s="200"/>
      <c r="R407" s="201"/>
      <c r="T407" s="131" t="str">
        <f>_xlfn.XLOOKUP(T375,RenewalPlans!B:B,RenewalPlans!AT:AT,"NA",0,1)</f>
        <v>NA</v>
      </c>
      <c r="U407" s="200"/>
      <c r="V407" s="200"/>
      <c r="W407" s="200"/>
      <c r="X407" s="130"/>
      <c r="Y407" s="200"/>
      <c r="Z407" s="201"/>
    </row>
    <row r="408" spans="1:26" ht="18" customHeight="1" hidden="1">
      <c r="A408" s="140"/>
      <c r="B408" s="140"/>
      <c r="D408" s="120" t="s">
        <v>253</v>
      </c>
      <c r="E408" s="133" t="str">
        <f>_xlfn.XLOOKUP(E375,CurrentPlans!B:B,CurrentPlans!AO:AO,"NA",0,1)</f>
        <v>NA</v>
      </c>
      <c r="F408" s="122"/>
      <c r="G408" s="122"/>
      <c r="H408" s="122"/>
      <c r="I408" s="133"/>
      <c r="J408" s="123"/>
      <c r="K408"/>
      <c r="L408" s="136" t="str">
        <f ca="1">_xlfn.XLOOKUP(L375,RenewalPlans!B:B,RenewalPlans!AR:AR,"NA",0,1)</f>
        <v>NA</v>
      </c>
      <c r="M408" s="122"/>
      <c r="N408" s="122"/>
      <c r="O408" s="122"/>
      <c r="P408" s="133"/>
      <c r="Q408" s="122"/>
      <c r="R408" s="123"/>
      <c r="T408" s="136" t="str">
        <f>_xlfn.XLOOKUP(T375,RenewalPlans!B:B,RenewalPlans!AR:AR,"NA",0,1)</f>
        <v>NA</v>
      </c>
      <c r="U408" s="122"/>
      <c r="V408" s="122"/>
      <c r="W408" s="122"/>
      <c r="X408" s="133"/>
      <c r="Y408" s="122"/>
      <c r="Z408" s="123"/>
    </row>
    <row r="409" spans="1:26" ht="18" customHeight="1" hidden="1">
      <c r="A409" s="140"/>
      <c r="B409" s="140"/>
      <c r="D409" s="223" t="s">
        <v>254</v>
      </c>
      <c r="E409" s="205"/>
      <c r="F409" s="205"/>
      <c r="G409" s="205"/>
      <c r="H409" s="205"/>
      <c r="I409" s="205"/>
      <c r="J409" s="206"/>
      <c r="K409"/>
      <c r="L409" s="203"/>
      <c r="M409" s="205"/>
      <c r="N409" s="205"/>
      <c r="O409" s="205"/>
      <c r="P409" s="205"/>
      <c r="Q409" s="205"/>
      <c r="R409" s="206"/>
      <c r="T409" s="203"/>
      <c r="U409" s="205"/>
      <c r="V409" s="205"/>
      <c r="W409" s="205"/>
      <c r="X409" s="205"/>
      <c r="Y409" s="205"/>
      <c r="Z409" s="206"/>
    </row>
    <row r="410" spans="1:26" ht="18" customHeight="1" hidden="1">
      <c r="A410" s="140"/>
      <c r="B410" s="140"/>
      <c r="D410" s="198" t="s">
        <v>255</v>
      </c>
      <c r="E410" s="130" t="str">
        <f>_xlfn.XLOOKUP(E375,CurrentPlans!B:B,CurrentPlans!AR:AR,"NA",0,1)</f>
        <v>NA</v>
      </c>
      <c r="F410" s="200"/>
      <c r="G410" s="200"/>
      <c r="H410" s="200"/>
      <c r="I410" s="130"/>
      <c r="J410" s="201"/>
      <c r="K410"/>
      <c r="L410" s="131" t="str">
        <f ca="1">_xlfn.XLOOKUP(L375,RenewalPlans!B:B,RenewalPlans!AU:AU,"NA",0,1)</f>
        <v>NA</v>
      </c>
      <c r="M410" s="200"/>
      <c r="N410" s="200"/>
      <c r="O410" s="200"/>
      <c r="P410" s="130"/>
      <c r="Q410" s="200"/>
      <c r="R410" s="201"/>
      <c r="T410" s="131" t="str">
        <f>_xlfn.XLOOKUP(T375,RenewalPlans!B:B,RenewalPlans!AU:AU,"NA",0,1)</f>
        <v>NA</v>
      </c>
      <c r="U410" s="200"/>
      <c r="V410" s="200"/>
      <c r="W410" s="200"/>
      <c r="X410" s="130"/>
      <c r="Y410" s="200"/>
      <c r="Z410" s="201"/>
    </row>
    <row r="411" spans="1:26" ht="18" customHeight="1" hidden="1" thickBot="1">
      <c r="A411" s="140"/>
      <c r="B411" s="140"/>
      <c r="D411" s="224" t="s">
        <v>256</v>
      </c>
      <c r="E411" s="137" t="str">
        <f>_xlfn.XLOOKUP(E375,CurrentPlans!B:B,CurrentPlans!AS:AS,"NA",0,1)</f>
        <v>NA</v>
      </c>
      <c r="F411" s="225"/>
      <c r="G411" s="225"/>
      <c r="H411" s="225"/>
      <c r="I411" s="137"/>
      <c r="J411" s="226"/>
      <c r="K411"/>
      <c r="L411" s="138" t="str">
        <f ca="1">_xlfn.XLOOKUP(L375,RenewalPlans!B:B,RenewalPlans!AV:AV,"NA",0,1)</f>
        <v>NA</v>
      </c>
      <c r="M411" s="225"/>
      <c r="N411" s="225"/>
      <c r="O411" s="225"/>
      <c r="P411" s="137"/>
      <c r="Q411" s="225"/>
      <c r="R411" s="226"/>
      <c r="T411" s="138" t="str">
        <f>_xlfn.XLOOKUP(T375,RenewalPlans!B:B,RenewalPlans!AV:AV,"NA",0,1)</f>
        <v>NA</v>
      </c>
      <c r="U411" s="225"/>
      <c r="V411" s="225"/>
      <c r="W411" s="225"/>
      <c r="X411" s="137"/>
      <c r="Y411" s="225"/>
      <c r="Z411" s="226"/>
    </row>
    <row r="412" spans="1:26" ht="18" customHeight="1">
      <c r="A412" s="140"/>
      <c r="B412" s="140"/>
      <c r="D412" s="227"/>
      <c r="E412" s="176"/>
      <c r="F412" s="178"/>
      <c r="G412" s="179"/>
      <c r="H412" s="178"/>
      <c r="I412" s="176"/>
      <c r="J412" s="228"/>
      <c r="K412"/>
      <c r="L412" s="178"/>
      <c r="M412" s="176"/>
      <c r="N412" s="139"/>
      <c r="O412" s="178"/>
      <c r="P412" s="178"/>
      <c r="Q412" s="178"/>
      <c r="R412" s="228"/>
      <c r="T412" s="178"/>
      <c r="U412" s="176"/>
      <c r="V412" s="139"/>
      <c r="W412" s="178"/>
      <c r="X412" s="178"/>
      <c r="Y412" s="178"/>
      <c r="Z412" s="228"/>
    </row>
    <row r="413" spans="1:26" ht="5.25" customHeight="1" thickBot="1">
      <c r="A413" s="140"/>
      <c r="B413" s="140"/>
      <c r="D413" s="229"/>
      <c r="E413" s="229"/>
      <c r="F413" s="230"/>
      <c r="G413" s="231"/>
      <c r="H413" s="232"/>
      <c r="I413" s="233"/>
      <c r="J413" s="233"/>
      <c r="K413"/>
      <c r="L413" s="233"/>
      <c r="M413" s="233"/>
      <c r="N413" s="233"/>
      <c r="O413" s="233"/>
      <c r="P413" s="233"/>
      <c r="Q413" s="233"/>
      <c r="R413" s="233"/>
      <c r="T413" s="233"/>
      <c r="U413" s="233"/>
      <c r="V413" s="233"/>
      <c r="W413" s="233"/>
      <c r="X413" s="233"/>
      <c r="Y413" s="233"/>
      <c r="Z413" s="233"/>
    </row>
    <row r="414" spans="1:26" ht="50.15" customHeight="1">
      <c r="A414" s="140">
        <v>9</v>
      </c>
      <c r="B414" s="140" t="str">
        <f>IF(A414&gt;Class7_CurrentHealthCount,"DELETE",Class7_CurrentHealthStart+A414)</f>
        <v>DELETE</v>
      </c>
      <c r="C414" s="164" t="s">
        <v>282</v>
      </c>
      <c r="D414" s="273" t="str">
        <f>IF(B414="Delete","",VLOOKUP(F414,BEGIN_CURRENT_HEALTH:END_CURRENT_HEALTH,3,FALSE))</f>
        <v/>
      </c>
      <c r="E414" s="165"/>
      <c r="F414" s="272" t="str" cm="1">
        <f t="array" ca="1" aca="1" ref="F414">IF(B414="Delete","",INDIRECT("CurrentPlans!A"&amp;B414,TRUE))</f>
        <v/>
      </c>
      <c r="G414" s="166"/>
      <c r="H414" s="167"/>
      <c r="I414" s="168"/>
      <c r="J414" s="169"/>
      <c r="K414"/>
      <c r="L414" s="274" t="str">
        <f ca="1">_xlfn.IFNA(VLOOKUP(F414,BEGIN_RENEWEDFROM_HEALTH:ROW_RenewHealth_PlanID,3,FALSE),"SELECT PLAN")</f>
        <v>SELECT PLAN</v>
      </c>
      <c r="M414" s="170"/>
      <c r="N414" s="274" t="s">
        <v>237</v>
      </c>
      <c r="O414" s="171"/>
      <c r="P414" s="171"/>
      <c r="Q414" s="171"/>
      <c r="R414" s="169"/>
      <c r="T414" s="274" t="s">
        <v>38</v>
      </c>
      <c r="U414" s="170"/>
      <c r="V414" s="274" t="s">
        <v>237</v>
      </c>
      <c r="W414" s="171"/>
      <c r="X414" s="171"/>
      <c r="Y414" s="171"/>
      <c r="Z414" s="169"/>
    </row>
    <row r="415" spans="1:26" ht="18.75" customHeight="1">
      <c r="A415" s="140"/>
      <c r="B415" s="140"/>
      <c r="D415" s="172" t="s">
        <v>238</v>
      </c>
      <c r="E415" s="407" t="str">
        <f ca="1">_xlfn.IFNA(VLOOKUP(F414,BEGIN_CURRENT_HEALTH:END_CURRENT_HEALTH,CURRENT_COL_EO_count,FALSE),"")</f>
        <v/>
      </c>
      <c r="F415" s="408" t="str">
        <f ca="1">_xlfn.IFNA(VLOOKUP(F414,BEGIN_CURRENT_HEALTH:END_CURRENT_HEALTH,CURRENT_COL_EO,FALSE),"")</f>
        <v/>
      </c>
      <c r="G415" s="468" t="str">
        <f ca="1" t="shared" si="40" ref="G415:G418">IF(F415="","",H415/F415)</f>
        <v/>
      </c>
      <c r="H415" s="408" t="str">
        <f ca="1">_xlfn.IFNA(VLOOKUP(F414,BEGIN_CURRENT_HEALTH:END_CURRENT_HEALTH,CURRENT_COL_EOContrib,FALSE),"")</f>
        <v/>
      </c>
      <c r="I415" s="409" t="str">
        <f ca="1">IFERROR(F415-H415,"")</f>
        <v/>
      </c>
      <c r="J415" s="410" t="str">
        <f ca="1">IF(F415="","",H415*E415)</f>
        <v/>
      </c>
      <c r="K415" s="411"/>
      <c r="L415" s="408" t="str" cm="1">
        <f t="array" ca="1" aca="1" ref="L415">_xlfn.IFNA(VLOOKUP(INDIRECT("L"&amp;ROW()-1)&amp;"_"&amp;$D$12,BEGIN_RENEW_HEALTH:END_RENEW_HEALTH,RENEW_COL_EO,FALSE),"")</f>
        <v/>
      </c>
      <c r="M415" s="412" t="str">
        <f ca="1">IF(E415="","",E415)</f>
        <v/>
      </c>
      <c r="N415" s="413"/>
      <c r="O415" s="414"/>
      <c r="P415" s="415" t="str">
        <f>IFERROR(IF($N414="Keep Contribution Same",H415,IF($N414="Enter Percentages",IF(N415="","",N415*L415),IF($N414="Keep Percentage Same",IF(G415="","",G415*L415),IF($N414="Enter Dollar Amount",IF(O415="","",O415),"")))),"")</f>
        <v/>
      </c>
      <c r="Q415" s="408" t="str">
        <f ca="1">IFERROR(L415-P415,"")</f>
        <v/>
      </c>
      <c r="R415" s="410" t="str">
        <f>IFERROR(IF(P415="","",M415*P415),"")</f>
        <v/>
      </c>
      <c r="S415" s="411"/>
      <c r="T415" s="408" t="str" cm="1">
        <f t="array" ca="1" aca="1" ref="T415">_xlfn.IFNA(VLOOKUP(INDIRECT("T"&amp;ROW()-1)&amp;"_"&amp;$D$12,BEGIN_RENEW_HEALTH:END_RENEW_HEALTH,RENEW_COL_EO,FALSE),"")</f>
        <v/>
      </c>
      <c r="U415" s="412" t="str">
        <f ca="1">IF(E415="","",E415)</f>
        <v/>
      </c>
      <c r="V415" s="413"/>
      <c r="W415" s="414"/>
      <c r="X415" s="415" t="str">
        <f>IFERROR(IF($V414="Keep Contribution Same",H415,IF($V414="Enter Percentages",IF(V415="","",V415*T415),IF($V414="Keep Percentage Same",IF(G415="","",G415*T415),IF($V414="Enter Dollar Amount",IF(W415="","",W415),"")))),"")</f>
        <v/>
      </c>
      <c r="Y415" s="408" t="str">
        <f ca="1">IFERROR(T415-X415,"")</f>
        <v/>
      </c>
      <c r="Z415" s="410" t="str">
        <f>IFERROR(IF(X415="","",U415*X415),"")</f>
        <v/>
      </c>
    </row>
    <row r="416" spans="1:26" ht="18.75" customHeight="1">
      <c r="A416" s="140"/>
      <c r="B416" s="140"/>
      <c r="D416" s="172" t="s">
        <v>239</v>
      </c>
      <c r="E416" s="407" t="str">
        <f ca="1">_xlfn.IFNA(VLOOKUP(F414,BEGIN_CURRENT_HEALTH:END_CURRENT_HEALTH,CURRENT_COL_ES_count,FALSE),"")</f>
        <v/>
      </c>
      <c r="F416" s="408" t="str">
        <f ca="1">_xlfn.IFNA(VLOOKUP(F414,BEGIN_CURRENT_HEALTH:END_CURRENT_HEALTH,CURRENT_COL_ES,FALSE),"")</f>
        <v/>
      </c>
      <c r="G416" s="468" t="str">
        <f t="shared" ca="1" si="40"/>
        <v/>
      </c>
      <c r="H416" s="408" t="str">
        <f ca="1">_xlfn.IFNA(VLOOKUP(F414,BEGIN_CURRENT_HEALTH:END_CURRENT_HEALTH,CURRENT_COL_ESContrib,FALSE),"")</f>
        <v/>
      </c>
      <c r="I416" s="409" t="str">
        <f ca="1" t="shared" si="41" ref="I416:I418">IFERROR(F416-H416,"")</f>
        <v/>
      </c>
      <c r="J416" s="410" t="str">
        <f ca="1">IF(F416="","",H416*E416)</f>
        <v/>
      </c>
      <c r="K416" s="411"/>
      <c r="L416" s="408" t="str" cm="1">
        <f t="array" ca="1" aca="1" ref="L416">_xlfn.IFNA(VLOOKUP(INDIRECT("L"&amp;ROW()-2)&amp;"_"&amp;$D$12,BEGIN_RENEW_HEALTH:END_RENEW_HEALTH,RENEW_COL_ES,FALSE),"")</f>
        <v/>
      </c>
      <c r="M416" s="412" t="str">
        <f ca="1">IF(E416="","",E416)</f>
        <v/>
      </c>
      <c r="N416" s="413"/>
      <c r="O416" s="414"/>
      <c r="P416" s="415" t="str">
        <f>IFERROR(IF($N414="Keep Contribution Same",H416,IF($N414="Enter Percentages",IF(N416="","",N416*L416),IF($N414="Keep Percentage Same",IF(G416="","",G416*L416),IF($N414="Enter Dollar Amount",IF(O416="","",O416),"")))),"")</f>
        <v/>
      </c>
      <c r="Q416" s="408" t="str">
        <f ca="1">IFERROR(L416-P416,"")</f>
        <v/>
      </c>
      <c r="R416" s="410" t="str">
        <f>IFERROR(IF(P416="","",M416*P416),"")</f>
        <v/>
      </c>
      <c r="S416" s="411"/>
      <c r="T416" s="408" t="str" cm="1">
        <f t="array" ca="1" aca="1" ref="T416">_xlfn.IFNA(VLOOKUP(INDIRECT("T"&amp;ROW()-2)&amp;"_"&amp;$D$12,BEGIN_RENEW_HEALTH:END_RENEW_HEALTH,RENEW_COL_ES,FALSE),"")</f>
        <v/>
      </c>
      <c r="U416" s="412" t="str">
        <f ca="1" t="shared" si="42" ref="U416:U418">IF(E416="","",E416)</f>
        <v/>
      </c>
      <c r="V416" s="413"/>
      <c r="W416" s="414"/>
      <c r="X416" s="415" t="str">
        <f>IFERROR(IF($V414="Keep Contribution Same",H416,IF($V414="Enter Percentages",IF(V416="","",V416*T416),IF($V414="Keep Percentage Same",IF(G416="","",G416*T416),IF($V414="Enter Dollar Amount",IF(W416="","",W416),"")))),"")</f>
        <v/>
      </c>
      <c r="Y416" s="408" t="str">
        <f ca="1" t="shared" si="43" ref="Y416:Y418">IFERROR(T416-X416,"")</f>
        <v/>
      </c>
      <c r="Z416" s="410" t="str">
        <f t="shared" si="44" ref="Z416:Z418">IFERROR(IF(X416="","",U416*X416),"")</f>
        <v/>
      </c>
    </row>
    <row r="417" spans="1:26" ht="18.75" customHeight="1">
      <c r="A417" s="140"/>
      <c r="B417" s="140"/>
      <c r="D417" s="172" t="s">
        <v>240</v>
      </c>
      <c r="E417" s="407" t="str">
        <f ca="1">_xlfn.IFNA(VLOOKUP(F414,BEGIN_CURRENT_HEALTH:END_CURRENT_HEALTH,CURRENT_COL_EC_count,FALSE),"")</f>
        <v/>
      </c>
      <c r="F417" s="408" t="str">
        <f ca="1">_xlfn.IFNA(VLOOKUP(F414,BEGIN_CURRENT_HEALTH:END_CURRENT_HEALTH,CURRENT_COL_EC,FALSE),"")</f>
        <v/>
      </c>
      <c r="G417" s="468" t="str">
        <f t="shared" ca="1" si="40"/>
        <v/>
      </c>
      <c r="H417" s="408" t="str">
        <f ca="1">_xlfn.IFNA(VLOOKUP(F414,BEGIN_CURRENT_HEALTH:END_CURRENT_HEALTH,CURRENT_COL_ECContrib,FALSE),"")</f>
        <v/>
      </c>
      <c r="I417" s="409" t="str">
        <f t="shared" ca="1" si="41"/>
        <v/>
      </c>
      <c r="J417" s="410" t="str">
        <f ca="1">IF(F417="","",H417*E417)</f>
        <v/>
      </c>
      <c r="K417" s="411"/>
      <c r="L417" s="408" t="str" cm="1">
        <f t="array" ca="1" aca="1" ref="L417">_xlfn.IFNA(VLOOKUP(INDIRECT("L"&amp;ROW()-3)&amp;"_"&amp;$D$12,BEGIN_RENEW_HEALTH:END_RENEW_HEALTH,RENEW_COL_EC,FALSE),"")</f>
        <v/>
      </c>
      <c r="M417" s="412" t="str">
        <f ca="1">IF(E417="","",E417)</f>
        <v/>
      </c>
      <c r="N417" s="413"/>
      <c r="O417" s="414"/>
      <c r="P417" s="415" t="str">
        <f>IFERROR(IF($N414="Keep Contribution Same",H417,IF($N414="Enter Percentages",IF(N417="","",N417*L417),IF($N414="Keep Percentage Same",IF(G417="","",G417*L417),IF($N414="Enter Dollar Amount",IF(O417="","",O417),"")))),"")</f>
        <v/>
      </c>
      <c r="Q417" s="408" t="str">
        <f ca="1">IFERROR(L417-P417,"")</f>
        <v/>
      </c>
      <c r="R417" s="410" t="str">
        <f>IFERROR(IF(P417="","",M417*P417),"")</f>
        <v/>
      </c>
      <c r="S417" s="411"/>
      <c r="T417" s="408" t="str" cm="1">
        <f t="array" ca="1" aca="1" ref="T417">_xlfn.IFNA(VLOOKUP(INDIRECT("T"&amp;ROW()-3)&amp;"_"&amp;$D$12,BEGIN_RENEW_HEALTH:END_RENEW_HEALTH,RENEW_COL_EC,FALSE),"")</f>
        <v/>
      </c>
      <c r="U417" s="412" t="str">
        <f t="shared" ca="1" si="42"/>
        <v/>
      </c>
      <c r="V417" s="413"/>
      <c r="W417" s="414"/>
      <c r="X417" s="415" t="str">
        <f>IFERROR(IF($V414="Keep Contribution Same",H417,IF($V414="Enter Percentages",IF(V417="","",V417*T417),IF($V414="Keep Percentage Same",IF(G417="","",G417*T417),IF($V414="Enter Dollar Amount",IF(W417="","",W417),"")))),"")</f>
        <v/>
      </c>
      <c r="Y417" s="408" t="str">
        <f t="shared" ca="1" si="43"/>
        <v/>
      </c>
      <c r="Z417" s="410" t="str">
        <f t="shared" si="44"/>
        <v/>
      </c>
    </row>
    <row r="418" spans="1:26" ht="18.75" customHeight="1" thickBot="1">
      <c r="A418" s="140"/>
      <c r="B418" s="140"/>
      <c r="D418" s="174" t="s">
        <v>241</v>
      </c>
      <c r="E418" s="416" t="str">
        <f ca="1">_xlfn.IFNA(VLOOKUP(F414,BEGIN_CURRENT_HEALTH:END_CURRENT_HEALTH,CURRENT_COL_FAM_count,FALSE),"")</f>
        <v/>
      </c>
      <c r="F418" s="417" t="str">
        <f ca="1">_xlfn.IFNA(VLOOKUP(F414,BEGIN_CURRENT_HEALTH:END_CURRENT_HEALTH,CURRENT_COL_FAM,FALSE),"")</f>
        <v/>
      </c>
      <c r="G418" s="469" t="str">
        <f t="shared" ca="1" si="40"/>
        <v/>
      </c>
      <c r="H418" s="417" t="str">
        <f ca="1">_xlfn.IFNA(VLOOKUP(F414,BEGIN_CURRENT_HEALTH:END_CURRENT_HEALTH,CURRENT_COL_FAMContrib,FALSE),"")</f>
        <v/>
      </c>
      <c r="I418" s="418" t="str">
        <f t="shared" ca="1" si="41"/>
        <v/>
      </c>
      <c r="J418" s="419" t="str">
        <f ca="1">IF(F418="","",H418*E418)</f>
        <v/>
      </c>
      <c r="K418" s="411"/>
      <c r="L418" s="417" t="str" cm="1">
        <f t="array" ca="1" aca="1" ref="L418">_xlfn.IFNA(VLOOKUP(INDIRECT("L"&amp;ROW()-4)&amp;"_"&amp;$D$12,BEGIN_RENEW_HEALTH:END_RENEW_HEALTH,RENEW_COL_FAM,FALSE),"")</f>
        <v/>
      </c>
      <c r="M418" s="423" t="str">
        <f ca="1">IF(E418="","",E418)</f>
        <v/>
      </c>
      <c r="N418" s="420"/>
      <c r="O418" s="421"/>
      <c r="P418" s="422" t="str">
        <f>IFERROR(IF($N414="Keep Contribution Same",H418,IF($N414="Enter Percentages",IF(N418="","",N418*L418),IF($N414="Keep Percentage Same",IF(G418="","",G418*L418),IF($N414="Enter Dollar Amount",IF(O418="","",O418),"")))),"")</f>
        <v/>
      </c>
      <c r="Q418" s="417" t="str">
        <f ca="1">IFERROR(L418-P418,"")</f>
        <v/>
      </c>
      <c r="R418" s="419" t="str">
        <f>IFERROR(IF(P418="","",M418*P418),"")</f>
        <v/>
      </c>
      <c r="S418" s="411"/>
      <c r="T418" s="417" t="str" cm="1">
        <f t="array" ca="1" aca="1" ref="T418">_xlfn.IFNA(VLOOKUP(INDIRECT("T"&amp;ROW()-4)&amp;"_"&amp;$D$12,BEGIN_RENEW_HEALTH:END_RENEW_HEALTH,RENEW_COL_FAM,FALSE),"")</f>
        <v/>
      </c>
      <c r="U418" s="423" t="str">
        <f t="shared" ca="1" si="42"/>
        <v/>
      </c>
      <c r="V418" s="420"/>
      <c r="W418" s="421"/>
      <c r="X418" s="422" t="str">
        <f>IFERROR(IF($V414="Keep Contribution Same",H418,IF($V414="Enter Percentages",IF(V418="","",V418*T418),IF($V414="Keep Percentage Same",IF(G418="","",G418*T418),IF($V414="Enter Dollar Amount",IF(W418="","",W418),"")))),"")</f>
        <v/>
      </c>
      <c r="Y418" s="417" t="str">
        <f t="shared" ca="1" si="43"/>
        <v/>
      </c>
      <c r="Z418" s="419" t="str">
        <f t="shared" si="44"/>
        <v/>
      </c>
    </row>
    <row r="419" spans="1:26" ht="18.75" customHeight="1" thickTop="1">
      <c r="A419" s="140"/>
      <c r="B419" s="140"/>
      <c r="D419" s="175" t="s">
        <v>242</v>
      </c>
      <c r="E419" s="424"/>
      <c r="F419" s="447" t="str">
        <f ca="1">IFERROR((F415*E415)+(F416*E416)+(F417*E417)+(F418*E418),"")</f>
        <v/>
      </c>
      <c r="G419" s="426"/>
      <c r="H419" s="427"/>
      <c r="I419" s="428"/>
      <c r="J419" s="429" t="str">
        <f ca="1">IFERROR(IF(J415="","",SUM(J415:J418)),0)</f>
        <v/>
      </c>
      <c r="K419" s="1"/>
      <c r="L419" s="430" t="str">
        <f ca="1">IFERROR((M415*L415)+(M416*L416)+(M417*L417)+(M418*L418),"")</f>
        <v/>
      </c>
      <c r="M419" s="427"/>
      <c r="N419" s="426"/>
      <c r="O419" s="427"/>
      <c r="P419" s="431"/>
      <c r="Q419" s="432"/>
      <c r="R419" s="429" t="str">
        <f>IFERROR(IF(R415="","",SUM(R415:R418)),0)</f>
        <v/>
      </c>
      <c r="T419" s="430" t="str">
        <f ca="1">IFERROR((U415*T415)+(U416*T416)+(U417*T417)+(U418*T418),"")</f>
        <v/>
      </c>
      <c r="U419" s="427"/>
      <c r="V419" s="426"/>
      <c r="W419" s="427"/>
      <c r="X419" s="431"/>
      <c r="Y419" s="432"/>
      <c r="Z419" s="429" t="str">
        <f>IFERROR(IF(Z415="","",SUM(Z415:Z418)),0)</f>
        <v/>
      </c>
    </row>
    <row r="420" spans="1:26" ht="18.75" customHeight="1">
      <c r="A420" s="140"/>
      <c r="B420" s="140"/>
      <c r="D420" s="177" t="s">
        <v>243</v>
      </c>
      <c r="E420" s="433"/>
      <c r="F420" s="448" t="str">
        <f ca="1">IFERROR(F419*12,"")</f>
        <v/>
      </c>
      <c r="G420" s="435"/>
      <c r="H420" s="436"/>
      <c r="I420" s="432"/>
      <c r="J420" s="437" t="str">
        <f ca="1">IF(J419="","",J419*12)</f>
        <v/>
      </c>
      <c r="K420" s="1"/>
      <c r="L420" s="438" t="str">
        <f ca="1">IFERROR(L419*12,"")</f>
        <v/>
      </c>
      <c r="M420" s="436"/>
      <c r="N420" s="435"/>
      <c r="O420" s="436"/>
      <c r="P420" s="432"/>
      <c r="Q420" s="432"/>
      <c r="R420" s="437" t="str">
        <f>IF(R419="","",R419*12)</f>
        <v/>
      </c>
      <c r="T420" s="438" t="str">
        <f ca="1">IFERROR(T419*12,"")</f>
        <v/>
      </c>
      <c r="U420" s="436"/>
      <c r="V420" s="435"/>
      <c r="W420" s="436"/>
      <c r="X420" s="432"/>
      <c r="Y420" s="432"/>
      <c r="Z420" s="437" t="str">
        <f>IF(Z419="","",Z419*12)</f>
        <v/>
      </c>
    </row>
    <row r="421" spans="1:26" ht="18" customHeight="1">
      <c r="A421" s="140"/>
      <c r="B421" s="140"/>
      <c r="D421" s="177" t="s">
        <v>244</v>
      </c>
      <c r="E421" s="433"/>
      <c r="F421" s="436"/>
      <c r="G421" s="435"/>
      <c r="H421" s="436"/>
      <c r="I421" s="432"/>
      <c r="J421" s="437"/>
      <c r="K421" s="1"/>
      <c r="L421" s="434" t="str">
        <f ca="1">IFERROR(L420-F420,"")</f>
        <v/>
      </c>
      <c r="M421" s="436"/>
      <c r="N421" s="435"/>
      <c r="O421" s="436"/>
      <c r="P421" s="432"/>
      <c r="Q421" s="432"/>
      <c r="R421" s="437" t="str">
        <f ca="1">IFERROR(IF(J420="","",R420-J420),0)</f>
        <v/>
      </c>
      <c r="T421" s="434" t="str">
        <f ca="1">IFERROR(T420-F420,"")</f>
        <v/>
      </c>
      <c r="U421" s="436"/>
      <c r="V421" s="435"/>
      <c r="W421" s="436"/>
      <c r="X421" s="432"/>
      <c r="Y421" s="432"/>
      <c r="Z421" s="437" t="str">
        <f>IFERROR(IF(R420="","",Z420-R420),0)</f>
        <v/>
      </c>
    </row>
    <row r="422" spans="1:26" ht="18" customHeight="1" thickBot="1">
      <c r="A422" s="140"/>
      <c r="B422" s="140"/>
      <c r="D422" s="180" t="s">
        <v>245</v>
      </c>
      <c r="E422" s="439"/>
      <c r="F422" s="440"/>
      <c r="G422" s="441"/>
      <c r="H422" s="440"/>
      <c r="I422" s="442"/>
      <c r="J422" s="443"/>
      <c r="K422" s="1"/>
      <c r="L422" s="444" t="str">
        <f ca="1">IFERROR(L420/F420-1,"")</f>
        <v/>
      </c>
      <c r="M422" s="440"/>
      <c r="N422" s="441"/>
      <c r="O422" s="440"/>
      <c r="P422" s="445"/>
      <c r="Q422" s="445"/>
      <c r="R422" s="446" t="str">
        <f ca="1">IFERROR(IF(J420="","",(R420/J420)-1),0)</f>
        <v/>
      </c>
      <c r="T422" s="444" t="str">
        <f ca="1">IFERROR(T420/F420-1,"")</f>
        <v/>
      </c>
      <c r="U422" s="440"/>
      <c r="V422" s="441"/>
      <c r="W422" s="440"/>
      <c r="X422" s="445"/>
      <c r="Y422" s="445"/>
      <c r="Z422" s="446" t="str">
        <f>IFERROR(IF(R420="","",(Z420/R420)-1),0)</f>
        <v/>
      </c>
    </row>
    <row r="423" spans="1:26" ht="18" customHeight="1">
      <c r="A423" s="140"/>
      <c r="B423" s="140"/>
      <c r="D423" s="181" t="s">
        <v>246</v>
      </c>
      <c r="E423" s="182"/>
      <c r="F423" s="182"/>
      <c r="G423" s="182"/>
      <c r="H423" s="182"/>
      <c r="I423" s="182"/>
      <c r="J423" s="183"/>
      <c r="K423"/>
      <c r="L423" s="184"/>
      <c r="M423" s="182"/>
      <c r="N423" s="182"/>
      <c r="O423" s="182"/>
      <c r="P423" s="182"/>
      <c r="Q423" s="182"/>
      <c r="R423" s="183"/>
      <c r="T423" s="184"/>
      <c r="U423" s="182"/>
      <c r="V423" s="182"/>
      <c r="W423" s="182"/>
      <c r="X423" s="182"/>
      <c r="Y423" s="182"/>
      <c r="Z423" s="183"/>
    </row>
    <row r="424" spans="1:26" ht="18" customHeight="1" hidden="1">
      <c r="A424" s="140"/>
      <c r="B424" s="140"/>
      <c r="D424" s="185" t="s">
        <v>247</v>
      </c>
      <c r="E424" s="186"/>
      <c r="F424" s="186"/>
      <c r="G424" s="186"/>
      <c r="H424" s="186"/>
      <c r="I424" s="186"/>
      <c r="J424" s="187"/>
      <c r="K424"/>
      <c r="L424" s="188"/>
      <c r="M424" s="186"/>
      <c r="N424" s="186"/>
      <c r="O424" s="186"/>
      <c r="P424" s="186"/>
      <c r="Q424" s="186"/>
      <c r="R424" s="187"/>
      <c r="T424" s="188"/>
      <c r="U424" s="186"/>
      <c r="V424" s="186"/>
      <c r="W424" s="186"/>
      <c r="X424" s="186"/>
      <c r="Y424" s="186"/>
      <c r="Z424" s="187"/>
    </row>
    <row r="425" spans="1:26" ht="18" customHeight="1" hidden="1">
      <c r="A425" s="140"/>
      <c r="B425" s="140"/>
      <c r="D425" s="189" t="s">
        <v>248</v>
      </c>
      <c r="E425" s="190" t="str">
        <f>D414&amp;"_"&amp;D12</f>
        <v>_</v>
      </c>
      <c r="F425" s="191"/>
      <c r="G425" s="191"/>
      <c r="H425" s="191"/>
      <c r="I425" s="190"/>
      <c r="J425" s="192"/>
      <c r="K425"/>
      <c r="L425" s="193" t="str">
        <f ca="1">L414&amp;"_"&amp;D12</f>
        <v>SELECT PLAN_</v>
      </c>
      <c r="M425" s="191"/>
      <c r="N425" s="191"/>
      <c r="O425" s="191"/>
      <c r="P425" s="190"/>
      <c r="Q425" s="191"/>
      <c r="R425" s="192"/>
      <c r="T425" s="193" t="str">
        <f>T414&amp;"_"&amp;D12</f>
        <v>SELECT PLAN_</v>
      </c>
      <c r="U425" s="191"/>
      <c r="V425" s="191"/>
      <c r="W425" s="191"/>
      <c r="X425" s="190"/>
      <c r="Y425" s="191"/>
      <c r="Z425" s="192"/>
    </row>
    <row r="426" spans="1:26" ht="18" customHeight="1" hidden="1">
      <c r="A426" s="140"/>
      <c r="B426" s="140"/>
      <c r="D426" s="189" t="s">
        <v>249</v>
      </c>
      <c r="E426" s="191"/>
      <c r="F426" s="191"/>
      <c r="G426" s="191"/>
      <c r="H426" s="191"/>
      <c r="I426" s="191"/>
      <c r="J426" s="192"/>
      <c r="K426"/>
      <c r="L426" s="189"/>
      <c r="M426" s="191"/>
      <c r="N426" s="191"/>
      <c r="O426" s="191"/>
      <c r="P426" s="191"/>
      <c r="Q426" s="191"/>
      <c r="R426" s="192"/>
      <c r="T426" s="189"/>
      <c r="U426" s="191"/>
      <c r="V426" s="191"/>
      <c r="W426" s="191"/>
      <c r="X426" s="191"/>
      <c r="Y426" s="191"/>
      <c r="Z426" s="192"/>
    </row>
    <row r="427" spans="1:26" ht="18" customHeight="1" hidden="1">
      <c r="A427" s="140"/>
      <c r="B427" s="140"/>
      <c r="D427" s="194" t="s">
        <v>250</v>
      </c>
      <c r="E427" s="195"/>
      <c r="F427" s="195"/>
      <c r="G427" s="195"/>
      <c r="H427" s="195"/>
      <c r="I427" s="195"/>
      <c r="J427" s="196"/>
      <c r="K427"/>
      <c r="L427" s="197"/>
      <c r="M427" s="195"/>
      <c r="N427" s="195"/>
      <c r="O427" s="195"/>
      <c r="P427" s="195"/>
      <c r="Q427" s="195"/>
      <c r="R427" s="196"/>
      <c r="T427" s="197"/>
      <c r="U427" s="195"/>
      <c r="V427" s="195"/>
      <c r="W427" s="195"/>
      <c r="X427" s="195"/>
      <c r="Y427" s="195"/>
      <c r="Z427" s="196"/>
    </row>
    <row r="428" spans="1:26" ht="18" customHeight="1" hidden="1">
      <c r="A428" s="140"/>
      <c r="B428" s="140"/>
      <c r="D428" s="198" t="s">
        <v>251</v>
      </c>
      <c r="E428" s="199" t="str">
        <f>_xlfn.XLOOKUP(E425,CurrentPlans!B:B,CurrentPlans!X:X,"NA",0,1)</f>
        <v>NA</v>
      </c>
      <c r="F428" s="200"/>
      <c r="G428" s="200"/>
      <c r="H428" s="200"/>
      <c r="I428" s="199"/>
      <c r="J428" s="201"/>
      <c r="K428"/>
      <c r="L428" s="202" t="str">
        <f ca="1">_xlfn.XLOOKUP(L425,RenewalPlans!B:B,RenewalPlans!AA:AA,"NA",0,1)</f>
        <v>NA</v>
      </c>
      <c r="M428" s="200"/>
      <c r="N428" s="200"/>
      <c r="O428" s="200"/>
      <c r="P428" s="199"/>
      <c r="Q428" s="200"/>
      <c r="R428" s="201"/>
      <c r="T428" s="202" t="str">
        <f>_xlfn.XLOOKUP(T425,RenewalPlans!B:B,RenewalPlans!AA:AA,"NA",0,1)</f>
        <v>NA</v>
      </c>
      <c r="U428" s="200"/>
      <c r="V428" s="200"/>
      <c r="W428" s="200"/>
      <c r="X428" s="199"/>
      <c r="Y428" s="200"/>
      <c r="Z428" s="201"/>
    </row>
    <row r="429" spans="1:26" ht="18" customHeight="1" hidden="1">
      <c r="A429" s="140"/>
      <c r="B429" s="140"/>
      <c r="D429" s="198" t="s">
        <v>252</v>
      </c>
      <c r="E429" s="199" t="str">
        <f>_xlfn.XLOOKUP(E425,CurrentPlans!B:B,CurrentPlans!Y:Y,"NA",0,1)</f>
        <v>NA</v>
      </c>
      <c r="F429" s="200"/>
      <c r="G429" s="200"/>
      <c r="H429" s="200"/>
      <c r="I429" s="199"/>
      <c r="J429" s="201"/>
      <c r="K429"/>
      <c r="L429" s="202" t="str">
        <f ca="1">_xlfn.XLOOKUP(L425,RenewalPlans!B:B,RenewalPlans!AB:AB,"NA",0,1)</f>
        <v>NA</v>
      </c>
      <c r="M429" s="200"/>
      <c r="N429" s="200"/>
      <c r="O429" s="200"/>
      <c r="P429" s="199"/>
      <c r="Q429" s="200"/>
      <c r="R429" s="201"/>
      <c r="T429" s="202" t="str">
        <f>_xlfn.XLOOKUP(T425,RenewalPlans!B:B,RenewalPlans!AB:AB,"NA",0,1)</f>
        <v>NA</v>
      </c>
      <c r="U429" s="200"/>
      <c r="V429" s="200"/>
      <c r="W429" s="200"/>
      <c r="X429" s="199"/>
      <c r="Y429" s="200"/>
      <c r="Z429" s="201"/>
    </row>
    <row r="430" spans="1:26" ht="18" customHeight="1" hidden="1">
      <c r="A430" s="140"/>
      <c r="B430" s="140"/>
      <c r="D430" s="120" t="s">
        <v>253</v>
      </c>
      <c r="E430" s="121" t="str">
        <f>_xlfn.XLOOKUP(E425,CurrentPlans!B:B,CurrentPlans!W:W,"NA",0,1)</f>
        <v>NA</v>
      </c>
      <c r="F430" s="122"/>
      <c r="G430" s="122"/>
      <c r="H430" s="122"/>
      <c r="I430" s="121"/>
      <c r="J430" s="123"/>
      <c r="K430"/>
      <c r="L430" s="124" t="str">
        <f ca="1">_xlfn.XLOOKUP(L425,RenewalPlans!B:B,RenewalPlans!Z:Z,"NA",0,1)</f>
        <v>NA</v>
      </c>
      <c r="M430" s="122"/>
      <c r="N430" s="122"/>
      <c r="O430" s="122"/>
      <c r="P430" s="121"/>
      <c r="Q430" s="122"/>
      <c r="R430" s="123"/>
      <c r="T430" s="124" t="str">
        <f>_xlfn.XLOOKUP(T425,RenewalPlans!B:B,RenewalPlans!Z:Z,"NA",0,1)</f>
        <v>NA</v>
      </c>
      <c r="U430" s="122"/>
      <c r="V430" s="122"/>
      <c r="W430" s="122"/>
      <c r="X430" s="121"/>
      <c r="Y430" s="122"/>
      <c r="Z430" s="123"/>
    </row>
    <row r="431" spans="1:26" ht="18" customHeight="1" hidden="1">
      <c r="A431" s="140"/>
      <c r="B431" s="140"/>
      <c r="D431" s="203" t="s">
        <v>254</v>
      </c>
      <c r="E431" s="204"/>
      <c r="F431" s="205"/>
      <c r="G431" s="205"/>
      <c r="H431" s="205"/>
      <c r="I431" s="204"/>
      <c r="J431" s="206"/>
      <c r="K431"/>
      <c r="L431" s="207"/>
      <c r="M431" s="205"/>
      <c r="N431" s="205"/>
      <c r="O431" s="205"/>
      <c r="P431" s="204"/>
      <c r="Q431" s="205"/>
      <c r="R431" s="206"/>
      <c r="T431" s="207"/>
      <c r="U431" s="205"/>
      <c r="V431" s="205"/>
      <c r="W431" s="205"/>
      <c r="X431" s="204"/>
      <c r="Y431" s="205"/>
      <c r="Z431" s="206"/>
    </row>
    <row r="432" spans="1:26" ht="18" customHeight="1" hidden="1">
      <c r="A432" s="140"/>
      <c r="B432" s="140"/>
      <c r="D432" s="125" t="s">
        <v>255</v>
      </c>
      <c r="E432" s="126" t="str">
        <f>_xlfn.XLOOKUP(E425,CurrentPlans!B:B,CurrentPlans!Z:Z,"NA",0,1)</f>
        <v>NA</v>
      </c>
      <c r="F432" s="127"/>
      <c r="G432" s="127"/>
      <c r="H432" s="127"/>
      <c r="I432" s="126"/>
      <c r="J432" s="128"/>
      <c r="K432"/>
      <c r="L432" s="129" t="str">
        <f ca="1">_xlfn.XLOOKUP(L425,RenewalPlans!B:B,RenewalPlans!AC:AC,"NA",0,1)</f>
        <v>NA</v>
      </c>
      <c r="M432" s="127"/>
      <c r="N432" s="127"/>
      <c r="O432" s="127"/>
      <c r="P432" s="126"/>
      <c r="Q432" s="127"/>
      <c r="R432" s="128"/>
      <c r="T432" s="129" t="str">
        <f>_xlfn.XLOOKUP(T425,RenewalPlans!B:B,RenewalPlans!AC:AC,"NA",0,1)</f>
        <v>NA</v>
      </c>
      <c r="U432" s="127"/>
      <c r="V432" s="127"/>
      <c r="W432" s="127"/>
      <c r="X432" s="126"/>
      <c r="Y432" s="127"/>
      <c r="Z432" s="128"/>
    </row>
    <row r="433" spans="1:26" ht="18" customHeight="1" hidden="1">
      <c r="A433" s="140"/>
      <c r="B433" s="140"/>
      <c r="D433" s="198" t="s">
        <v>256</v>
      </c>
      <c r="E433" s="208" t="str">
        <f>_xlfn.XLOOKUP(E425,CurrentPlans!B:B,CurrentPlans!AA:AA,"NA",0,1)</f>
        <v>NA</v>
      </c>
      <c r="F433" s="200"/>
      <c r="G433" s="200"/>
      <c r="H433" s="200"/>
      <c r="I433" s="208"/>
      <c r="J433" s="201"/>
      <c r="K433"/>
      <c r="L433" s="209" t="str">
        <f ca="1">_xlfn.XLOOKUP(L425,RenewalPlans!B:B,RenewalPlans!AD:AD,"NA",0,1)</f>
        <v>NA</v>
      </c>
      <c r="M433" s="200"/>
      <c r="N433" s="200"/>
      <c r="O433" s="200"/>
      <c r="P433" s="208"/>
      <c r="Q433" s="200"/>
      <c r="R433" s="201"/>
      <c r="T433" s="209" t="str">
        <f>_xlfn.XLOOKUP(T425,RenewalPlans!B:B,RenewalPlans!AD:AD,"NA",0,1)</f>
        <v>NA</v>
      </c>
      <c r="U433" s="200"/>
      <c r="V433" s="200"/>
      <c r="W433" s="200"/>
      <c r="X433" s="208"/>
      <c r="Y433" s="200"/>
      <c r="Z433" s="201"/>
    </row>
    <row r="434" spans="1:26" ht="18" customHeight="1" hidden="1">
      <c r="A434" s="140"/>
      <c r="B434" s="140"/>
      <c r="D434" s="203" t="s">
        <v>257</v>
      </c>
      <c r="E434" s="204"/>
      <c r="F434" s="205"/>
      <c r="G434" s="205"/>
      <c r="H434" s="205"/>
      <c r="I434" s="204"/>
      <c r="J434" s="206"/>
      <c r="K434"/>
      <c r="L434" s="207"/>
      <c r="M434" s="205"/>
      <c r="N434" s="205"/>
      <c r="O434" s="205"/>
      <c r="P434" s="204"/>
      <c r="Q434" s="205"/>
      <c r="R434" s="206"/>
      <c r="T434" s="207"/>
      <c r="U434" s="205"/>
      <c r="V434" s="205"/>
      <c r="W434" s="205"/>
      <c r="X434" s="204"/>
      <c r="Y434" s="205"/>
      <c r="Z434" s="206"/>
    </row>
    <row r="435" spans="1:26" ht="18" customHeight="1" hidden="1">
      <c r="A435" s="140"/>
      <c r="B435" s="140"/>
      <c r="D435" s="198" t="s">
        <v>258</v>
      </c>
      <c r="E435" s="208" t="str">
        <f>_xlfn.XLOOKUP(E425,CurrentPlans!B:B,CurrentPlans!AB:AB,"NA",0,1)</f>
        <v>NA</v>
      </c>
      <c r="F435" s="200"/>
      <c r="G435" s="200"/>
      <c r="H435" s="200"/>
      <c r="I435" s="208"/>
      <c r="J435" s="201"/>
      <c r="K435"/>
      <c r="L435" s="209" t="str">
        <f ca="1">_xlfn.XLOOKUP(L425,RenewalPlans!B:B,RenewalPlans!AE:AE,"NA",0,1)</f>
        <v>NA</v>
      </c>
      <c r="M435" s="200"/>
      <c r="N435" s="200"/>
      <c r="O435" s="200"/>
      <c r="P435" s="208"/>
      <c r="Q435" s="200"/>
      <c r="R435" s="201"/>
      <c r="T435" s="209" t="str">
        <f>_xlfn.XLOOKUP(T425,RenewalPlans!B:B,RenewalPlans!AE:AE,"NA",0,1)</f>
        <v>NA</v>
      </c>
      <c r="U435" s="200"/>
      <c r="V435" s="200"/>
      <c r="W435" s="200"/>
      <c r="X435" s="208"/>
      <c r="Y435" s="200"/>
      <c r="Z435" s="201"/>
    </row>
    <row r="436" spans="1:26" ht="18" customHeight="1" hidden="1">
      <c r="A436" s="140"/>
      <c r="B436" s="140"/>
      <c r="D436" s="198" t="s">
        <v>259</v>
      </c>
      <c r="E436" s="208" t="str">
        <f>_xlfn.XLOOKUP(E425,CurrentPlans!B:B,CurrentPlans!AC:AC,"NA",0,1)</f>
        <v>NA</v>
      </c>
      <c r="F436" s="200"/>
      <c r="G436" s="200"/>
      <c r="H436" s="200"/>
      <c r="I436" s="208"/>
      <c r="J436" s="201"/>
      <c r="K436"/>
      <c r="L436" s="209" t="str">
        <f ca="1">_xlfn.XLOOKUP(L425,RenewalPlans!B:B,RenewalPlans!AF:AF,"NA",0,1)</f>
        <v>NA</v>
      </c>
      <c r="M436" s="200"/>
      <c r="N436" s="200"/>
      <c r="O436" s="200"/>
      <c r="P436" s="208"/>
      <c r="Q436" s="200"/>
      <c r="R436" s="201"/>
      <c r="T436" s="209" t="str">
        <f>_xlfn.XLOOKUP(T425,RenewalPlans!B:B,RenewalPlans!AF:AF,"NA",0,1)</f>
        <v>NA</v>
      </c>
      <c r="U436" s="200"/>
      <c r="V436" s="200"/>
      <c r="W436" s="200"/>
      <c r="X436" s="208"/>
      <c r="Y436" s="200"/>
      <c r="Z436" s="201"/>
    </row>
    <row r="437" spans="1:26" ht="18" customHeight="1" hidden="1">
      <c r="A437" s="140"/>
      <c r="B437" s="140"/>
      <c r="D437" s="210"/>
      <c r="E437" s="211"/>
      <c r="F437" s="211"/>
      <c r="G437" s="211"/>
      <c r="H437" s="211"/>
      <c r="I437" s="211"/>
      <c r="J437" s="212"/>
      <c r="K437"/>
      <c r="L437" s="210"/>
      <c r="M437" s="211"/>
      <c r="N437" s="211"/>
      <c r="O437" s="211"/>
      <c r="P437" s="211"/>
      <c r="Q437" s="211"/>
      <c r="R437" s="212"/>
      <c r="T437" s="210"/>
      <c r="U437" s="211"/>
      <c r="V437" s="211"/>
      <c r="W437" s="211"/>
      <c r="X437" s="211"/>
      <c r="Y437" s="211"/>
      <c r="Z437" s="212"/>
    </row>
    <row r="438" spans="1:26" ht="18" customHeight="1" hidden="1">
      <c r="A438" s="140"/>
      <c r="B438" s="140"/>
      <c r="D438" s="185" t="s">
        <v>260</v>
      </c>
      <c r="E438" s="186"/>
      <c r="F438" s="186"/>
      <c r="G438" s="186"/>
      <c r="H438" s="186"/>
      <c r="I438" s="186"/>
      <c r="J438" s="187"/>
      <c r="K438"/>
      <c r="L438" s="188"/>
      <c r="M438" s="186"/>
      <c r="N438" s="186"/>
      <c r="O438" s="186"/>
      <c r="P438" s="186"/>
      <c r="Q438" s="186"/>
      <c r="R438" s="187"/>
      <c r="T438" s="188"/>
      <c r="U438" s="186"/>
      <c r="V438" s="186"/>
      <c r="W438" s="186"/>
      <c r="X438" s="186"/>
      <c r="Y438" s="186"/>
      <c r="Z438" s="187"/>
    </row>
    <row r="439" spans="1:26" ht="18" customHeight="1" hidden="1">
      <c r="A439" s="140"/>
      <c r="B439" s="140"/>
      <c r="D439" s="213" t="s">
        <v>261</v>
      </c>
      <c r="E439" s="130" t="str">
        <f>_xlfn.XLOOKUP(E425,CurrentPlans!B:B,CurrentPlans!AJ:AJ,"NA",0,1)</f>
        <v>NA</v>
      </c>
      <c r="F439" s="214"/>
      <c r="G439" s="214"/>
      <c r="H439" s="214"/>
      <c r="I439" s="130"/>
      <c r="J439" s="215"/>
      <c r="K439"/>
      <c r="L439" s="131" t="str">
        <f ca="1">_xlfn.XLOOKUP(L425,RenewalPlans!B:B,RenewalPlans!AM:AM,"NA",0,1)</f>
        <v>NA</v>
      </c>
      <c r="M439" s="214"/>
      <c r="N439" s="214"/>
      <c r="O439" s="214"/>
      <c r="P439" s="130"/>
      <c r="Q439" s="214"/>
      <c r="R439" s="215"/>
      <c r="T439" s="131" t="str">
        <f>_xlfn.XLOOKUP(T425,RenewalPlans!B:B,RenewalPlans!AM:AM,"NA",0,1)</f>
        <v>NA</v>
      </c>
      <c r="U439" s="214"/>
      <c r="V439" s="214"/>
      <c r="W439" s="214"/>
      <c r="X439" s="130"/>
      <c r="Y439" s="214"/>
      <c r="Z439" s="215"/>
    </row>
    <row r="440" spans="1:26" ht="18" customHeight="1" hidden="1">
      <c r="A440" s="140"/>
      <c r="B440" s="140"/>
      <c r="D440" s="198" t="s">
        <v>262</v>
      </c>
      <c r="E440" s="130" t="str">
        <f>_xlfn.XLOOKUP(E425,CurrentPlans!B:B,CurrentPlans!AM:AM,"NA",0,1)</f>
        <v>NA</v>
      </c>
      <c r="F440" s="200"/>
      <c r="G440" s="200"/>
      <c r="H440" s="200"/>
      <c r="I440" s="130"/>
      <c r="J440" s="201"/>
      <c r="K440"/>
      <c r="L440" s="131" t="str">
        <f ca="1">_xlfn.XLOOKUP(L425,RenewalPlans!B:B,RenewalPlans!AP:AP,"NA",0,1)</f>
        <v>NA</v>
      </c>
      <c r="M440" s="200"/>
      <c r="N440" s="200"/>
      <c r="O440" s="200"/>
      <c r="P440" s="130"/>
      <c r="Q440" s="200"/>
      <c r="R440" s="201"/>
      <c r="T440" s="131" t="str">
        <f>_xlfn.XLOOKUP(T425,RenewalPlans!B:B,RenewalPlans!AP:AP,"NA",0,1)</f>
        <v>NA</v>
      </c>
      <c r="U440" s="200"/>
      <c r="V440" s="200"/>
      <c r="W440" s="200"/>
      <c r="X440" s="130"/>
      <c r="Y440" s="200"/>
      <c r="Z440" s="201"/>
    </row>
    <row r="441" spans="1:26" ht="18" customHeight="1" hidden="1">
      <c r="A441" s="140"/>
      <c r="B441" s="140"/>
      <c r="D441" s="198" t="s">
        <v>263</v>
      </c>
      <c r="E441" s="130" t="str">
        <f>_xlfn.XLOOKUP(E425,CurrentPlans!B:B,CurrentPlans!AI:AI,"NA",0,1)</f>
        <v>NA</v>
      </c>
      <c r="F441" s="200"/>
      <c r="G441" s="200"/>
      <c r="H441" s="200"/>
      <c r="I441" s="130"/>
      <c r="J441" s="201"/>
      <c r="K441"/>
      <c r="L441" s="131" t="str">
        <f ca="1">_xlfn.XLOOKUP(L425,RenewalPlans!B:B,RenewalPlans!AL:AL,"NA",0,1)</f>
        <v>NA</v>
      </c>
      <c r="M441" s="200"/>
      <c r="N441" s="200"/>
      <c r="O441" s="200"/>
      <c r="P441" s="130"/>
      <c r="Q441" s="200"/>
      <c r="R441" s="201"/>
      <c r="T441" s="131" t="str">
        <f>_xlfn.XLOOKUP(T425,RenewalPlans!B:B,RenewalPlans!AL:AL,"NA",0,1)</f>
        <v>NA</v>
      </c>
      <c r="U441" s="200"/>
      <c r="V441" s="200"/>
      <c r="W441" s="200"/>
      <c r="X441" s="130"/>
      <c r="Y441" s="200"/>
      <c r="Z441" s="201"/>
    </row>
    <row r="442" spans="1:26" ht="18" customHeight="1" hidden="1">
      <c r="A442" s="140"/>
      <c r="B442" s="140"/>
      <c r="D442" s="198" t="s">
        <v>264</v>
      </c>
      <c r="E442" s="208" t="str">
        <f>_xlfn.XLOOKUP(E425,CurrentPlans!B:B,CurrentPlans!AN:AN,"NA",0,1)</f>
        <v>NA</v>
      </c>
      <c r="F442" s="200"/>
      <c r="G442" s="200"/>
      <c r="H442" s="200"/>
      <c r="I442" s="208"/>
      <c r="J442" s="201"/>
      <c r="K442"/>
      <c r="L442" s="209" t="str">
        <f ca="1">_xlfn.XLOOKUP(L425,RenewalPlans!B:B,RenewalPlans!AQ:AQ,"NA",0,1)</f>
        <v>NA</v>
      </c>
      <c r="M442" s="200"/>
      <c r="N442" s="200"/>
      <c r="O442" s="200"/>
      <c r="P442" s="208"/>
      <c r="Q442" s="200"/>
      <c r="R442" s="201"/>
      <c r="T442" s="209" t="str">
        <f>_xlfn.XLOOKUP(T425,RenewalPlans!B:B,RenewalPlans!AQ:AQ,"NA",0,1)</f>
        <v>NA</v>
      </c>
      <c r="U442" s="200"/>
      <c r="V442" s="200"/>
      <c r="W442" s="200"/>
      <c r="X442" s="208"/>
      <c r="Y442" s="200"/>
      <c r="Z442" s="201"/>
    </row>
    <row r="443" spans="1:26" ht="18" customHeight="1" hidden="1">
      <c r="A443" s="140"/>
      <c r="B443" s="140"/>
      <c r="D443" s="210"/>
      <c r="E443" s="211"/>
      <c r="F443" s="211"/>
      <c r="G443" s="211"/>
      <c r="H443" s="211"/>
      <c r="I443" s="211"/>
      <c r="J443" s="212"/>
      <c r="K443"/>
      <c r="L443" s="210"/>
      <c r="M443" s="211"/>
      <c r="N443" s="211"/>
      <c r="O443" s="211"/>
      <c r="P443" s="211"/>
      <c r="Q443" s="211"/>
      <c r="R443" s="212"/>
      <c r="T443" s="210"/>
      <c r="U443" s="211"/>
      <c r="V443" s="211"/>
      <c r="W443" s="211"/>
      <c r="X443" s="211"/>
      <c r="Y443" s="211"/>
      <c r="Z443" s="212"/>
    </row>
    <row r="444" spans="1:26" ht="18" customHeight="1" hidden="1">
      <c r="A444" s="140"/>
      <c r="B444" s="140"/>
      <c r="D444" s="185" t="s">
        <v>265</v>
      </c>
      <c r="E444" s="186"/>
      <c r="F444" s="186"/>
      <c r="G444" s="186"/>
      <c r="H444" s="186"/>
      <c r="I444" s="186"/>
      <c r="J444" s="187"/>
      <c r="K444"/>
      <c r="L444" s="188"/>
      <c r="M444" s="186"/>
      <c r="N444" s="186"/>
      <c r="O444" s="186"/>
      <c r="P444" s="186"/>
      <c r="Q444" s="186"/>
      <c r="R444" s="187"/>
      <c r="T444" s="188"/>
      <c r="U444" s="186"/>
      <c r="V444" s="186"/>
      <c r="W444" s="186"/>
      <c r="X444" s="186"/>
      <c r="Y444" s="186"/>
      <c r="Z444" s="187"/>
    </row>
    <row r="445" spans="1:26" ht="18" customHeight="1" hidden="1">
      <c r="A445" s="140"/>
      <c r="B445" s="140"/>
      <c r="D445" s="132" t="s">
        <v>266</v>
      </c>
      <c r="E445" s="133" t="str">
        <f>_xlfn.XLOOKUP(E425,CurrentPlans!B:B,CurrentPlans!AE:AE,"NA",0,1)</f>
        <v>NA</v>
      </c>
      <c r="F445" s="134"/>
      <c r="G445" s="134"/>
      <c r="H445" s="134"/>
      <c r="I445" s="133"/>
      <c r="J445" s="135"/>
      <c r="K445"/>
      <c r="L445" s="136" t="str">
        <f ca="1">_xlfn.XLOOKUP(L425,RenewalPlans!B:B,RenewalPlans!AH:AH,"NA",0,1)</f>
        <v>NA</v>
      </c>
      <c r="M445" s="134"/>
      <c r="N445" s="134"/>
      <c r="O445" s="134"/>
      <c r="P445" s="133"/>
      <c r="Q445" s="134"/>
      <c r="R445" s="135"/>
      <c r="T445" s="136" t="str">
        <f>_xlfn.XLOOKUP(T425,RenewalPlans!B:B,RenewalPlans!AH:AH,"NA",0,1)</f>
        <v>NA</v>
      </c>
      <c r="U445" s="134"/>
      <c r="V445" s="134"/>
      <c r="W445" s="134"/>
      <c r="X445" s="133"/>
      <c r="Y445" s="134"/>
      <c r="Z445" s="135"/>
    </row>
    <row r="446" spans="1:26" ht="18" customHeight="1" hidden="1">
      <c r="A446" s="140"/>
      <c r="B446" s="140"/>
      <c r="D446" s="120" t="s">
        <v>267</v>
      </c>
      <c r="E446" s="130" t="str">
        <f>_xlfn.XLOOKUP(E425,CurrentPlans!B:B,CurrentPlans!AF:AF,"NA",0,1)</f>
        <v>NA</v>
      </c>
      <c r="F446" s="122"/>
      <c r="G446" s="122"/>
      <c r="H446" s="122"/>
      <c r="I446" s="130"/>
      <c r="J446" s="123"/>
      <c r="K446"/>
      <c r="L446" s="131" t="str">
        <f ca="1">_xlfn.XLOOKUP(L425,RenewalPlans!B:B,RenewalPlans!AI:AI,"NA",0,1)</f>
        <v>NA</v>
      </c>
      <c r="M446" s="122"/>
      <c r="N446" s="122"/>
      <c r="O446" s="122"/>
      <c r="P446" s="130"/>
      <c r="Q446" s="122"/>
      <c r="R446" s="123"/>
      <c r="T446" s="131" t="str">
        <f>_xlfn.XLOOKUP(T425,RenewalPlans!B:B,RenewalPlans!AI:AI,"NA",0,1)</f>
        <v>NA</v>
      </c>
      <c r="U446" s="122"/>
      <c r="V446" s="122"/>
      <c r="W446" s="122"/>
      <c r="X446" s="130"/>
      <c r="Y446" s="122"/>
      <c r="Z446" s="123"/>
    </row>
    <row r="447" spans="1:26" ht="18" customHeight="1" hidden="1">
      <c r="A447" s="140"/>
      <c r="B447" s="140"/>
      <c r="D447" s="198" t="s">
        <v>268</v>
      </c>
      <c r="E447" s="130" t="str">
        <f>_xlfn.XLOOKUP(E425,CurrentPlans!B:B,CurrentPlans!AH:AH,"NA",0,1)</f>
        <v>NA</v>
      </c>
      <c r="F447" s="200"/>
      <c r="G447" s="200"/>
      <c r="H447" s="200"/>
      <c r="I447" s="130"/>
      <c r="J447" s="201"/>
      <c r="K447"/>
      <c r="L447" s="131" t="str">
        <f ca="1">_xlfn.XLOOKUP(L425,RenewalPlans!B:B,RenewalPlans!AK:AK,"NA",0,1)</f>
        <v>NA</v>
      </c>
      <c r="M447" s="200"/>
      <c r="N447" s="200"/>
      <c r="O447" s="200"/>
      <c r="P447" s="130"/>
      <c r="Q447" s="200"/>
      <c r="R447" s="201"/>
      <c r="T447" s="131" t="str">
        <f>_xlfn.XLOOKUP(T425,RenewalPlans!B:B,RenewalPlans!AK:AK,"NA",0,1)</f>
        <v>NA</v>
      </c>
      <c r="U447" s="200"/>
      <c r="V447" s="200"/>
      <c r="W447" s="200"/>
      <c r="X447" s="130"/>
      <c r="Y447" s="200"/>
      <c r="Z447" s="201"/>
    </row>
    <row r="448" spans="1:26" ht="18" customHeight="1" hidden="1">
      <c r="A448" s="140"/>
      <c r="B448" s="140"/>
      <c r="D448" s="198" t="s">
        <v>269</v>
      </c>
      <c r="E448" s="130" t="str">
        <f>_xlfn.XLOOKUP(E425,CurrentPlans!B:B,CurrentPlans!AG:AG,"NA",0,1)</f>
        <v>NA</v>
      </c>
      <c r="F448" s="200"/>
      <c r="G448" s="200"/>
      <c r="H448" s="200"/>
      <c r="I448" s="130"/>
      <c r="J448" s="201"/>
      <c r="K448"/>
      <c r="L448" s="131" t="str">
        <f ca="1">_xlfn.XLOOKUP(L425,RenewalPlans!B:B,RenewalPlans!AJ:AJ,"NA",0,1)</f>
        <v>NA</v>
      </c>
      <c r="M448" s="200"/>
      <c r="N448" s="200"/>
      <c r="O448" s="200"/>
      <c r="P448" s="130"/>
      <c r="Q448" s="200"/>
      <c r="R448" s="201"/>
      <c r="T448" s="131" t="str">
        <f>_xlfn.XLOOKUP(T425,RenewalPlans!B:B,RenewalPlans!AJ:AJ,"NA",0,1)</f>
        <v>NA</v>
      </c>
      <c r="U448" s="200"/>
      <c r="V448" s="200"/>
      <c r="W448" s="200"/>
      <c r="X448" s="130"/>
      <c r="Y448" s="200"/>
      <c r="Z448" s="201"/>
    </row>
    <row r="449" spans="1:26" ht="18" customHeight="1" hidden="1">
      <c r="A449" s="140"/>
      <c r="B449" s="140"/>
      <c r="D449" s="213" t="s">
        <v>270</v>
      </c>
      <c r="E449" s="216" t="str">
        <f>_xlfn.XLOOKUP(E425,CurrentPlans!B:B,CurrentPlans!AU:AU,"NA",0,1)</f>
        <v>NA</v>
      </c>
      <c r="F449" s="214"/>
      <c r="G449" s="214"/>
      <c r="H449" s="214"/>
      <c r="I449" s="217"/>
      <c r="J449" s="215"/>
      <c r="K449"/>
      <c r="L449" s="218" t="str">
        <f ca="1">_xlfn.XLOOKUP(L425,RenewalPlans!B:B,RenewalPlans!AX:AX,"NA",0,1)</f>
        <v>NA</v>
      </c>
      <c r="M449" s="214"/>
      <c r="N449" s="214"/>
      <c r="O449" s="214"/>
      <c r="P449" s="217"/>
      <c r="Q449" s="214"/>
      <c r="R449" s="215"/>
      <c r="T449" s="218" t="str">
        <f>_xlfn.XLOOKUP(T425,RenewalPlans!B:B,RenewalPlans!AX:AX,"NA",0,1)</f>
        <v>NA</v>
      </c>
      <c r="U449" s="214"/>
      <c r="V449" s="214"/>
      <c r="W449" s="214"/>
      <c r="X449" s="217"/>
      <c r="Y449" s="214"/>
      <c r="Z449" s="215"/>
    </row>
    <row r="450" spans="1:26" ht="18" customHeight="1" hidden="1">
      <c r="A450" s="140"/>
      <c r="B450" s="140"/>
      <c r="D450" s="213" t="s">
        <v>271</v>
      </c>
      <c r="E450" s="216" t="str">
        <f>_xlfn.XLOOKUP(E425,CurrentPlans!B:B,CurrentPlans!AT:AT,"NA",0,1)</f>
        <v>NA</v>
      </c>
      <c r="F450" s="214"/>
      <c r="G450" s="214"/>
      <c r="H450" s="214"/>
      <c r="I450" s="217"/>
      <c r="J450" s="215"/>
      <c r="K450"/>
      <c r="L450" s="218" t="str">
        <f ca="1">_xlfn.XLOOKUP(L425,RenewalPlans!B:B,RenewalPlans!AW:AW,"NA",0,1)</f>
        <v>NA</v>
      </c>
      <c r="M450" s="214"/>
      <c r="N450" s="214"/>
      <c r="O450" s="214"/>
      <c r="P450" s="217"/>
      <c r="Q450" s="214"/>
      <c r="R450" s="215"/>
      <c r="T450" s="218" t="str">
        <f>_xlfn.XLOOKUP(T425,RenewalPlans!B:B,RenewalPlans!AW:AW,"NA",0,1)</f>
        <v>NA</v>
      </c>
      <c r="U450" s="214"/>
      <c r="V450" s="214"/>
      <c r="W450" s="214"/>
      <c r="X450" s="217"/>
      <c r="Y450" s="214"/>
      <c r="Z450" s="215"/>
    </row>
    <row r="451" spans="1:26" ht="18" customHeight="1" hidden="1">
      <c r="A451" s="140"/>
      <c r="B451" s="140"/>
      <c r="D451" s="198" t="s">
        <v>272</v>
      </c>
      <c r="E451" s="130" t="str">
        <f>_xlfn.XLOOKUP(E425,CurrentPlans!B:B,CurrentPlans!AD:AD,"NA",0,1)</f>
        <v>NA</v>
      </c>
      <c r="F451" s="200"/>
      <c r="G451" s="200"/>
      <c r="H451" s="200"/>
      <c r="I451" s="130"/>
      <c r="J451" s="201"/>
      <c r="K451"/>
      <c r="L451" s="131" t="str">
        <f ca="1">_xlfn.XLOOKUP(L425,RenewalPlans!B:B,RenewalPlans!AG:AG,"NA",0,1)</f>
        <v>NA</v>
      </c>
      <c r="M451" s="200"/>
      <c r="N451" s="200"/>
      <c r="O451" s="200"/>
      <c r="P451" s="130"/>
      <c r="Q451" s="200"/>
      <c r="R451" s="201"/>
      <c r="T451" s="131" t="str">
        <f>_xlfn.XLOOKUP(T425,RenewalPlans!B:B,RenewalPlans!AG:AG,"NA",0,1)</f>
        <v>NA</v>
      </c>
      <c r="U451" s="200"/>
      <c r="V451" s="200"/>
      <c r="W451" s="200"/>
      <c r="X451" s="130"/>
      <c r="Y451" s="200"/>
      <c r="Z451" s="201"/>
    </row>
    <row r="452" spans="1:26" ht="18" customHeight="1" hidden="1">
      <c r="A452" s="140"/>
      <c r="B452" s="140"/>
      <c r="D452" s="198" t="s">
        <v>273</v>
      </c>
      <c r="E452" s="200"/>
      <c r="F452" s="200"/>
      <c r="G452" s="200"/>
      <c r="H452" s="200"/>
      <c r="I452" s="200"/>
      <c r="J452" s="201"/>
      <c r="K452"/>
      <c r="L452" s="198"/>
      <c r="M452" s="200"/>
      <c r="N452" s="200"/>
      <c r="O452" s="200"/>
      <c r="P452" s="200"/>
      <c r="Q452" s="200"/>
      <c r="R452" s="201"/>
      <c r="T452" s="198"/>
      <c r="U452" s="200"/>
      <c r="V452" s="200"/>
      <c r="W452" s="200"/>
      <c r="X452" s="200"/>
      <c r="Y452" s="200"/>
      <c r="Z452" s="201"/>
    </row>
    <row r="453" spans="1:26" ht="18" customHeight="1" hidden="1">
      <c r="A453" s="140"/>
      <c r="B453" s="140"/>
      <c r="D453" s="210"/>
      <c r="E453" s="211"/>
      <c r="F453" s="211"/>
      <c r="G453" s="211"/>
      <c r="H453" s="211"/>
      <c r="I453" s="211"/>
      <c r="J453" s="212"/>
      <c r="K453"/>
      <c r="L453" s="210"/>
      <c r="M453" s="211"/>
      <c r="N453" s="211"/>
      <c r="O453" s="211"/>
      <c r="P453" s="211"/>
      <c r="Q453" s="211"/>
      <c r="R453" s="212"/>
      <c r="T453" s="210"/>
      <c r="U453" s="211"/>
      <c r="V453" s="211"/>
      <c r="W453" s="211"/>
      <c r="X453" s="211"/>
      <c r="Y453" s="211"/>
      <c r="Z453" s="212"/>
    </row>
    <row r="454" spans="1:26" ht="18" customHeight="1" hidden="1">
      <c r="A454" s="140"/>
      <c r="B454" s="140"/>
      <c r="D454" s="219" t="s">
        <v>274</v>
      </c>
      <c r="E454" s="220"/>
      <c r="F454" s="220"/>
      <c r="G454" s="220"/>
      <c r="H454" s="220"/>
      <c r="I454" s="220"/>
      <c r="J454" s="221"/>
      <c r="K454"/>
      <c r="L454" s="222"/>
      <c r="M454" s="220"/>
      <c r="N454" s="220"/>
      <c r="O454" s="220"/>
      <c r="P454" s="220"/>
      <c r="Q454" s="220"/>
      <c r="R454" s="221"/>
      <c r="T454" s="222"/>
      <c r="U454" s="220"/>
      <c r="V454" s="220"/>
      <c r="W454" s="220"/>
      <c r="X454" s="220"/>
      <c r="Y454" s="220"/>
      <c r="Z454" s="221"/>
    </row>
    <row r="455" spans="1:26" ht="18" customHeight="1" hidden="1">
      <c r="A455" s="140"/>
      <c r="B455" s="140"/>
      <c r="D455" s="223" t="s">
        <v>250</v>
      </c>
      <c r="E455" s="205"/>
      <c r="F455" s="205"/>
      <c r="G455" s="205"/>
      <c r="H455" s="205"/>
      <c r="I455" s="205"/>
      <c r="J455" s="206"/>
      <c r="K455"/>
      <c r="L455" s="203"/>
      <c r="M455" s="205"/>
      <c r="N455" s="205"/>
      <c r="O455" s="205"/>
      <c r="P455" s="205"/>
      <c r="Q455" s="205"/>
      <c r="R455" s="206"/>
      <c r="T455" s="203"/>
      <c r="U455" s="205"/>
      <c r="V455" s="205"/>
      <c r="W455" s="205"/>
      <c r="X455" s="205"/>
      <c r="Y455" s="205"/>
      <c r="Z455" s="206"/>
    </row>
    <row r="456" spans="1:26" ht="18" customHeight="1" hidden="1">
      <c r="A456" s="140"/>
      <c r="B456" s="140"/>
      <c r="D456" s="198" t="s">
        <v>251</v>
      </c>
      <c r="E456" s="130" t="str">
        <f>_xlfn.XLOOKUP(E425,CurrentPlans!B:B,CurrentPlans!AP:AP,"NA",0,1)</f>
        <v>NA</v>
      </c>
      <c r="F456" s="200"/>
      <c r="G456" s="200"/>
      <c r="H456" s="200"/>
      <c r="I456" s="130"/>
      <c r="J456" s="201"/>
      <c r="K456"/>
      <c r="L456" s="131" t="str">
        <f ca="1">_xlfn.XLOOKUP(L425,RenewalPlans!B:B,RenewalPlans!AS:AS,"NA",0,1)</f>
        <v>NA</v>
      </c>
      <c r="M456" s="200"/>
      <c r="N456" s="200"/>
      <c r="O456" s="200"/>
      <c r="P456" s="130"/>
      <c r="Q456" s="200"/>
      <c r="R456" s="201"/>
      <c r="T456" s="131" t="str">
        <f>_xlfn.XLOOKUP(T425,RenewalPlans!B:B,RenewalPlans!AS:AS,"NA",0,1)</f>
        <v>NA</v>
      </c>
      <c r="U456" s="200"/>
      <c r="V456" s="200"/>
      <c r="W456" s="200"/>
      <c r="X456" s="130"/>
      <c r="Y456" s="200"/>
      <c r="Z456" s="201"/>
    </row>
    <row r="457" spans="1:26" ht="18" customHeight="1" hidden="1">
      <c r="A457" s="140"/>
      <c r="B457" s="140"/>
      <c r="D457" s="198" t="s">
        <v>252</v>
      </c>
      <c r="E457" s="130" t="str">
        <f>_xlfn.XLOOKUP(E425,CurrentPlans!B:B,CurrentPlans!AQ:AQ,"NA",0,1)</f>
        <v>NA</v>
      </c>
      <c r="F457" s="200"/>
      <c r="G457" s="200"/>
      <c r="H457" s="200"/>
      <c r="I457" s="130"/>
      <c r="J457" s="201"/>
      <c r="K457"/>
      <c r="L457" s="131" t="str">
        <f ca="1">_xlfn.XLOOKUP(L425,RenewalPlans!B:B,RenewalPlans!AT:AT,"NA",0,1)</f>
        <v>NA</v>
      </c>
      <c r="M457" s="200"/>
      <c r="N457" s="200"/>
      <c r="O457" s="200"/>
      <c r="P457" s="130"/>
      <c r="Q457" s="200"/>
      <c r="R457" s="201"/>
      <c r="T457" s="131" t="str">
        <f>_xlfn.XLOOKUP(T425,RenewalPlans!B:B,RenewalPlans!AT:AT,"NA",0,1)</f>
        <v>NA</v>
      </c>
      <c r="U457" s="200"/>
      <c r="V457" s="200"/>
      <c r="W457" s="200"/>
      <c r="X457" s="130"/>
      <c r="Y457" s="200"/>
      <c r="Z457" s="201"/>
    </row>
    <row r="458" spans="1:26" ht="18" customHeight="1" hidden="1">
      <c r="A458" s="140"/>
      <c r="B458" s="140"/>
      <c r="D458" s="120" t="s">
        <v>253</v>
      </c>
      <c r="E458" s="133" t="str">
        <f>_xlfn.XLOOKUP(E425,CurrentPlans!B:B,CurrentPlans!AO:AO,"NA",0,1)</f>
        <v>NA</v>
      </c>
      <c r="F458" s="122"/>
      <c r="G458" s="122"/>
      <c r="H458" s="122"/>
      <c r="I458" s="133"/>
      <c r="J458" s="123"/>
      <c r="K458"/>
      <c r="L458" s="136" t="str">
        <f ca="1">_xlfn.XLOOKUP(L425,RenewalPlans!B:B,RenewalPlans!AR:AR,"NA",0,1)</f>
        <v>NA</v>
      </c>
      <c r="M458" s="122"/>
      <c r="N458" s="122"/>
      <c r="O458" s="122"/>
      <c r="P458" s="133"/>
      <c r="Q458" s="122"/>
      <c r="R458" s="123"/>
      <c r="T458" s="136" t="str">
        <f>_xlfn.XLOOKUP(T425,RenewalPlans!B:B,RenewalPlans!AR:AR,"NA",0,1)</f>
        <v>NA</v>
      </c>
      <c r="U458" s="122"/>
      <c r="V458" s="122"/>
      <c r="W458" s="122"/>
      <c r="X458" s="133"/>
      <c r="Y458" s="122"/>
      <c r="Z458" s="123"/>
    </row>
    <row r="459" spans="1:26" ht="18" customHeight="1" hidden="1">
      <c r="A459" s="140"/>
      <c r="B459" s="140"/>
      <c r="D459" s="223" t="s">
        <v>254</v>
      </c>
      <c r="E459" s="205"/>
      <c r="F459" s="205"/>
      <c r="G459" s="205"/>
      <c r="H459" s="205"/>
      <c r="I459" s="205"/>
      <c r="J459" s="206"/>
      <c r="K459"/>
      <c r="L459" s="203"/>
      <c r="M459" s="205"/>
      <c r="N459" s="205"/>
      <c r="O459" s="205"/>
      <c r="P459" s="205"/>
      <c r="Q459" s="205"/>
      <c r="R459" s="206"/>
      <c r="T459" s="203"/>
      <c r="U459" s="205"/>
      <c r="V459" s="205"/>
      <c r="W459" s="205"/>
      <c r="X459" s="205"/>
      <c r="Y459" s="205"/>
      <c r="Z459" s="206"/>
    </row>
    <row r="460" spans="1:26" ht="18" customHeight="1" hidden="1">
      <c r="A460" s="140"/>
      <c r="B460" s="140"/>
      <c r="D460" s="198" t="s">
        <v>255</v>
      </c>
      <c r="E460" s="130" t="str">
        <f>_xlfn.XLOOKUP(E425,CurrentPlans!B:B,CurrentPlans!AR:AR,"NA",0,1)</f>
        <v>NA</v>
      </c>
      <c r="F460" s="200"/>
      <c r="G460" s="200"/>
      <c r="H460" s="200"/>
      <c r="I460" s="130"/>
      <c r="J460" s="201"/>
      <c r="K460"/>
      <c r="L460" s="131" t="str">
        <f ca="1">_xlfn.XLOOKUP(L425,RenewalPlans!B:B,RenewalPlans!AU:AU,"NA",0,1)</f>
        <v>NA</v>
      </c>
      <c r="M460" s="200"/>
      <c r="N460" s="200"/>
      <c r="O460" s="200"/>
      <c r="P460" s="130"/>
      <c r="Q460" s="200"/>
      <c r="R460" s="201"/>
      <c r="T460" s="131" t="str">
        <f>_xlfn.XLOOKUP(T425,RenewalPlans!B:B,RenewalPlans!AU:AU,"NA",0,1)</f>
        <v>NA</v>
      </c>
      <c r="U460" s="200"/>
      <c r="V460" s="200"/>
      <c r="W460" s="200"/>
      <c r="X460" s="130"/>
      <c r="Y460" s="200"/>
      <c r="Z460" s="201"/>
    </row>
    <row r="461" spans="1:26" ht="18" customHeight="1" hidden="1" thickBot="1">
      <c r="A461" s="140"/>
      <c r="B461" s="140"/>
      <c r="D461" s="224" t="s">
        <v>256</v>
      </c>
      <c r="E461" s="137" t="str">
        <f>_xlfn.XLOOKUP(E425,CurrentPlans!B:B,CurrentPlans!AS:AS,"NA",0,1)</f>
        <v>NA</v>
      </c>
      <c r="F461" s="225"/>
      <c r="G461" s="225"/>
      <c r="H461" s="225"/>
      <c r="I461" s="137"/>
      <c r="J461" s="226"/>
      <c r="K461"/>
      <c r="L461" s="138" t="str">
        <f ca="1">_xlfn.XLOOKUP(L425,RenewalPlans!B:B,RenewalPlans!AV:AV,"NA",0,1)</f>
        <v>NA</v>
      </c>
      <c r="M461" s="225"/>
      <c r="N461" s="225"/>
      <c r="O461" s="225"/>
      <c r="P461" s="137"/>
      <c r="Q461" s="225"/>
      <c r="R461" s="226"/>
      <c r="T461" s="138" t="str">
        <f>_xlfn.XLOOKUP(T425,RenewalPlans!B:B,RenewalPlans!AV:AV,"NA",0,1)</f>
        <v>NA</v>
      </c>
      <c r="U461" s="225"/>
      <c r="V461" s="225"/>
      <c r="W461" s="225"/>
      <c r="X461" s="137"/>
      <c r="Y461" s="225"/>
      <c r="Z461" s="226"/>
    </row>
    <row r="462" spans="1:26" ht="18" customHeight="1">
      <c r="A462" s="140"/>
      <c r="B462" s="140"/>
      <c r="D462" s="227"/>
      <c r="E462" s="176"/>
      <c r="F462" s="178"/>
      <c r="G462" s="179"/>
      <c r="H462" s="178"/>
      <c r="I462" s="176"/>
      <c r="J462" s="228"/>
      <c r="K462"/>
      <c r="L462" s="178"/>
      <c r="M462" s="176"/>
      <c r="N462" s="139"/>
      <c r="O462" s="178"/>
      <c r="P462" s="178"/>
      <c r="Q462" s="178"/>
      <c r="R462" s="228"/>
      <c r="T462" s="178"/>
      <c r="U462" s="176"/>
      <c r="V462" s="139"/>
      <c r="W462" s="178"/>
      <c r="X462" s="178"/>
      <c r="Y462" s="178"/>
      <c r="Z462" s="228"/>
    </row>
    <row r="463" spans="1:26" ht="5.25" customHeight="1" thickBot="1">
      <c r="A463" s="140"/>
      <c r="B463" s="140"/>
      <c r="D463" s="229"/>
      <c r="E463" s="229"/>
      <c r="F463" s="230"/>
      <c r="G463" s="231"/>
      <c r="H463" s="232"/>
      <c r="I463" s="233"/>
      <c r="J463" s="233"/>
      <c r="K463"/>
      <c r="L463" s="233"/>
      <c r="M463" s="233"/>
      <c r="N463" s="233"/>
      <c r="O463" s="233"/>
      <c r="P463" s="233"/>
      <c r="Q463" s="233"/>
      <c r="R463" s="233"/>
      <c r="T463" s="233"/>
      <c r="U463" s="233"/>
      <c r="V463" s="233"/>
      <c r="W463" s="233"/>
      <c r="X463" s="233"/>
      <c r="Y463" s="233"/>
      <c r="Z463" s="233"/>
    </row>
    <row r="464" spans="1:26" ht="50.15" customHeight="1">
      <c r="A464" s="140">
        <v>10</v>
      </c>
      <c r="B464" s="140" t="str">
        <f>IF(A464&gt;Class7_CurrentHealthCount,"DELETE",Class7_CurrentHealthStart+A464)</f>
        <v>DELETE</v>
      </c>
      <c r="C464" s="164" t="s">
        <v>283</v>
      </c>
      <c r="D464" s="273" t="str">
        <f>IF(B464="Delete","",VLOOKUP(F464,BEGIN_CURRENT_HEALTH:END_CURRENT_HEALTH,3,FALSE))</f>
        <v/>
      </c>
      <c r="E464" s="165"/>
      <c r="F464" s="272" t="str" cm="1">
        <f t="array" ca="1" aca="1" ref="F464">IF(B464="Delete","",INDIRECT("CurrentPlans!A"&amp;B464,TRUE))</f>
        <v/>
      </c>
      <c r="G464" s="166"/>
      <c r="H464" s="167"/>
      <c r="I464" s="168"/>
      <c r="J464" s="169"/>
      <c r="K464"/>
      <c r="L464" s="274" t="str">
        <f ca="1">_xlfn.IFNA(VLOOKUP(F464,BEGIN_RENEWEDFROM_HEALTH:ROW_RenewHealth_PlanID,3,FALSE),"SELECT PLAN")</f>
        <v>SELECT PLAN</v>
      </c>
      <c r="M464" s="170"/>
      <c r="N464" s="274" t="s">
        <v>237</v>
      </c>
      <c r="O464" s="171"/>
      <c r="P464" s="171"/>
      <c r="Q464" s="171"/>
      <c r="R464" s="169"/>
      <c r="T464" s="274" t="s">
        <v>38</v>
      </c>
      <c r="U464" s="170"/>
      <c r="V464" s="274" t="s">
        <v>237</v>
      </c>
      <c r="W464" s="171"/>
      <c r="X464" s="171"/>
      <c r="Y464" s="171"/>
      <c r="Z464" s="169"/>
    </row>
    <row r="465" spans="1:26" ht="18.75" customHeight="1">
      <c r="A465" s="140"/>
      <c r="B465" s="140"/>
      <c r="D465" s="172" t="s">
        <v>238</v>
      </c>
      <c r="E465" s="407" t="str">
        <f ca="1">_xlfn.IFNA(VLOOKUP(F464,BEGIN_CURRENT_HEALTH:END_CURRENT_HEALTH,CURRENT_COL_EO_count,FALSE),"")</f>
        <v/>
      </c>
      <c r="F465" s="408" t="str">
        <f ca="1">_xlfn.IFNA(VLOOKUP(F464,BEGIN_CURRENT_HEALTH:END_CURRENT_HEALTH,CURRENT_COL_EO,FALSE),"")</f>
        <v/>
      </c>
      <c r="G465" s="468" t="str">
        <f ca="1" t="shared" si="45" ref="G465:G468">IF(F465="","",H465/F465)</f>
        <v/>
      </c>
      <c r="H465" s="408" t="str">
        <f ca="1">_xlfn.IFNA(VLOOKUP(F464,BEGIN_CURRENT_HEALTH:END_CURRENT_HEALTH,CURRENT_COL_EOContrib,FALSE),"")</f>
        <v/>
      </c>
      <c r="I465" s="409" t="str">
        <f ca="1">IFERROR(F465-H465,"")</f>
        <v/>
      </c>
      <c r="J465" s="410" t="str">
        <f ca="1">IF(F465="","",H465*E465)</f>
        <v/>
      </c>
      <c r="K465" s="411"/>
      <c r="L465" s="408" t="str" cm="1">
        <f t="array" ca="1" aca="1" ref="L465">_xlfn.IFNA(VLOOKUP(INDIRECT("L"&amp;ROW()-1)&amp;"_"&amp;$D$12,BEGIN_RENEW_HEALTH:END_RENEW_HEALTH,RENEW_COL_EO,FALSE),"")</f>
        <v/>
      </c>
      <c r="M465" s="412" t="str">
        <f ca="1">IF(E465="","",E465)</f>
        <v/>
      </c>
      <c r="N465" s="413"/>
      <c r="O465" s="414"/>
      <c r="P465" s="415" t="str">
        <f>IFERROR(IF($N464="Keep Contribution Same",H465,IF($N464="Enter Percentages",IF(N465="","",N465*L465),IF($N464="Keep Percentage Same",IF(G465="","",G465*L465),IF($N464="Enter Dollar Amount",IF(O465="","",O465),"")))),"")</f>
        <v/>
      </c>
      <c r="Q465" s="408" t="str">
        <f ca="1">IFERROR(L465-P465,"")</f>
        <v/>
      </c>
      <c r="R465" s="410" t="str">
        <f>IFERROR(IF(P465="","",M465*P465),"")</f>
        <v/>
      </c>
      <c r="S465" s="411"/>
      <c r="T465" s="408" t="str" cm="1">
        <f t="array" ca="1" aca="1" ref="T465">_xlfn.IFNA(VLOOKUP(INDIRECT("T"&amp;ROW()-1)&amp;"_"&amp;$D$12,BEGIN_RENEW_HEALTH:END_RENEW_HEALTH,RENEW_COL_EO,FALSE),"")</f>
        <v/>
      </c>
      <c r="U465" s="412" t="str">
        <f ca="1">IF(E465="","",E465)</f>
        <v/>
      </c>
      <c r="V465" s="413"/>
      <c r="W465" s="414"/>
      <c r="X465" s="415" t="str">
        <f>IFERROR(IF($V464="Keep Contribution Same",H465,IF($V464="Enter Percentages",IF(V465="","",V465*T465),IF($V464="Keep Percentage Same",IF(G465="","",G465*T465),IF($V464="Enter Dollar Amount",IF(W465="","",W465),"")))),"")</f>
        <v/>
      </c>
      <c r="Y465" s="408" t="str">
        <f ca="1">IFERROR(T465-X465,"")</f>
        <v/>
      </c>
      <c r="Z465" s="410" t="str">
        <f>IFERROR(IF(X465="","",U465*X465),"")</f>
        <v/>
      </c>
    </row>
    <row r="466" spans="1:26" ht="18.75" customHeight="1">
      <c r="A466" s="140"/>
      <c r="B466" s="140"/>
      <c r="D466" s="172" t="s">
        <v>239</v>
      </c>
      <c r="E466" s="407" t="str">
        <f ca="1">_xlfn.IFNA(VLOOKUP(F464,BEGIN_CURRENT_HEALTH:END_CURRENT_HEALTH,CURRENT_COL_ES_count,FALSE),"")</f>
        <v/>
      </c>
      <c r="F466" s="408" t="str">
        <f ca="1">_xlfn.IFNA(VLOOKUP(F464,BEGIN_CURRENT_HEALTH:END_CURRENT_HEALTH,CURRENT_COL_ES,FALSE),"")</f>
        <v/>
      </c>
      <c r="G466" s="468" t="str">
        <f t="shared" ca="1" si="45"/>
        <v/>
      </c>
      <c r="H466" s="408" t="str">
        <f ca="1">_xlfn.IFNA(VLOOKUP(F464,BEGIN_CURRENT_HEALTH:END_CURRENT_HEALTH,CURRENT_COL_ESContrib,FALSE),"")</f>
        <v/>
      </c>
      <c r="I466" s="409" t="str">
        <f ca="1" t="shared" si="46" ref="I466:I468">IFERROR(F466-H466,"")</f>
        <v/>
      </c>
      <c r="J466" s="410" t="str">
        <f ca="1">IF(F466="","",H466*E466)</f>
        <v/>
      </c>
      <c r="K466" s="411"/>
      <c r="L466" s="408" t="str" cm="1">
        <f t="array" ca="1" aca="1" ref="L466">_xlfn.IFNA(VLOOKUP(INDIRECT("L"&amp;ROW()-2)&amp;"_"&amp;$D$12,BEGIN_RENEW_HEALTH:END_RENEW_HEALTH,RENEW_COL_ES,FALSE),"")</f>
        <v/>
      </c>
      <c r="M466" s="412" t="str">
        <f ca="1">IF(E466="","",E466)</f>
        <v/>
      </c>
      <c r="N466" s="413"/>
      <c r="O466" s="414"/>
      <c r="P466" s="415" t="str">
        <f>IFERROR(IF($N464="Keep Contribution Same",H466,IF($N464="Enter Percentages",IF(N466="","",N466*L466),IF($N464="Keep Percentage Same",IF(G466="","",G466*L466),IF($N464="Enter Dollar Amount",IF(O466="","",O466),"")))),"")</f>
        <v/>
      </c>
      <c r="Q466" s="408" t="str">
        <f ca="1">IFERROR(L466-P466,"")</f>
        <v/>
      </c>
      <c r="R466" s="410" t="str">
        <f>IFERROR(IF(P466="","",M466*P466),"")</f>
        <v/>
      </c>
      <c r="S466" s="411"/>
      <c r="T466" s="408" t="str" cm="1">
        <f t="array" ca="1" aca="1" ref="T466">_xlfn.IFNA(VLOOKUP(INDIRECT("T"&amp;ROW()-2)&amp;"_"&amp;$D$12,BEGIN_RENEW_HEALTH:END_RENEW_HEALTH,RENEW_COL_ES,FALSE),"")</f>
        <v/>
      </c>
      <c r="U466" s="412" t="str">
        <f ca="1" t="shared" si="47" ref="U466:U468">IF(E466="","",E466)</f>
        <v/>
      </c>
      <c r="V466" s="413"/>
      <c r="W466" s="414"/>
      <c r="X466" s="415" t="str">
        <f>IFERROR(IF($V464="Keep Contribution Same",H466,IF($V464="Enter Percentages",IF(V466="","",V466*T466),IF($V464="Keep Percentage Same",IF(G466="","",G466*T466),IF($V464="Enter Dollar Amount",IF(W466="","",W466),"")))),"")</f>
        <v/>
      </c>
      <c r="Y466" s="408" t="str">
        <f ca="1" t="shared" si="48" ref="Y466:Y468">IFERROR(T466-X466,"")</f>
        <v/>
      </c>
      <c r="Z466" s="410" t="str">
        <f t="shared" si="49" ref="Z466:Z468">IFERROR(IF(X466="","",U466*X466),"")</f>
        <v/>
      </c>
    </row>
    <row r="467" spans="1:26" ht="18.75" customHeight="1">
      <c r="A467" s="140"/>
      <c r="B467" s="140"/>
      <c r="D467" s="172" t="s">
        <v>240</v>
      </c>
      <c r="E467" s="407" t="str">
        <f ca="1">_xlfn.IFNA(VLOOKUP(F464,BEGIN_CURRENT_HEALTH:END_CURRENT_HEALTH,CURRENT_COL_EC_count,FALSE),"")</f>
        <v/>
      </c>
      <c r="F467" s="408" t="str">
        <f ca="1">_xlfn.IFNA(VLOOKUP(F464,BEGIN_CURRENT_HEALTH:END_CURRENT_HEALTH,CURRENT_COL_EC,FALSE),"")</f>
        <v/>
      </c>
      <c r="G467" s="468" t="str">
        <f t="shared" ca="1" si="45"/>
        <v/>
      </c>
      <c r="H467" s="408" t="str">
        <f ca="1">_xlfn.IFNA(VLOOKUP(F464,BEGIN_CURRENT_HEALTH:END_CURRENT_HEALTH,CURRENT_COL_ECContrib,FALSE),"")</f>
        <v/>
      </c>
      <c r="I467" s="409" t="str">
        <f t="shared" ca="1" si="46"/>
        <v/>
      </c>
      <c r="J467" s="410" t="str">
        <f ca="1">IF(F467="","",H467*E467)</f>
        <v/>
      </c>
      <c r="K467" s="411"/>
      <c r="L467" s="408" t="str" cm="1">
        <f t="array" ca="1" aca="1" ref="L467">_xlfn.IFNA(VLOOKUP(INDIRECT("L"&amp;ROW()-3)&amp;"_"&amp;$D$12,BEGIN_RENEW_HEALTH:END_RENEW_HEALTH,RENEW_COL_EC,FALSE),"")</f>
        <v/>
      </c>
      <c r="M467" s="412" t="str">
        <f ca="1">IF(E467="","",E467)</f>
        <v/>
      </c>
      <c r="N467" s="413"/>
      <c r="O467" s="414"/>
      <c r="P467" s="415" t="str">
        <f>IFERROR(IF($N464="Keep Contribution Same",H467,IF($N464="Enter Percentages",IF(N467="","",N467*L467),IF($N464="Keep Percentage Same",IF(G467="","",G467*L467),IF($N464="Enter Dollar Amount",IF(O467="","",O467),"")))),"")</f>
        <v/>
      </c>
      <c r="Q467" s="408" t="str">
        <f ca="1">IFERROR(L467-P467,"")</f>
        <v/>
      </c>
      <c r="R467" s="410" t="str">
        <f>IFERROR(IF(P467="","",M467*P467),"")</f>
        <v/>
      </c>
      <c r="S467" s="411"/>
      <c r="T467" s="408" t="str" cm="1">
        <f t="array" ca="1" aca="1" ref="T467">_xlfn.IFNA(VLOOKUP(INDIRECT("T"&amp;ROW()-3)&amp;"_"&amp;$D$12,BEGIN_RENEW_HEALTH:END_RENEW_HEALTH,RENEW_COL_EC,FALSE),"")</f>
        <v/>
      </c>
      <c r="U467" s="412" t="str">
        <f t="shared" ca="1" si="47"/>
        <v/>
      </c>
      <c r="V467" s="413"/>
      <c r="W467" s="414"/>
      <c r="X467" s="415" t="str">
        <f>IFERROR(IF($V464="Keep Contribution Same",H467,IF($V464="Enter Percentages",IF(V467="","",V467*T467),IF($V464="Keep Percentage Same",IF(G467="","",G467*T467),IF($V464="Enter Dollar Amount",IF(W467="","",W467),"")))),"")</f>
        <v/>
      </c>
      <c r="Y467" s="408" t="str">
        <f t="shared" ca="1" si="48"/>
        <v/>
      </c>
      <c r="Z467" s="410" t="str">
        <f t="shared" si="49"/>
        <v/>
      </c>
    </row>
    <row r="468" spans="1:26" ht="18.75" customHeight="1" thickBot="1">
      <c r="A468" s="140"/>
      <c r="B468" s="140"/>
      <c r="D468" s="174" t="s">
        <v>241</v>
      </c>
      <c r="E468" s="416" t="str">
        <f ca="1">_xlfn.IFNA(VLOOKUP(F464,BEGIN_CURRENT_HEALTH:END_CURRENT_HEALTH,CURRENT_COL_FAM_count,FALSE),"")</f>
        <v/>
      </c>
      <c r="F468" s="417" t="str">
        <f ca="1">_xlfn.IFNA(VLOOKUP(F464,BEGIN_CURRENT_HEALTH:END_CURRENT_HEALTH,CURRENT_COL_FAM,FALSE),"")</f>
        <v/>
      </c>
      <c r="G468" s="469" t="str">
        <f t="shared" ca="1" si="45"/>
        <v/>
      </c>
      <c r="H468" s="417" t="str">
        <f ca="1">_xlfn.IFNA(VLOOKUP(F464,BEGIN_CURRENT_HEALTH:END_CURRENT_HEALTH,CURRENT_COL_FAMContrib,FALSE),"")</f>
        <v/>
      </c>
      <c r="I468" s="418" t="str">
        <f t="shared" ca="1" si="46"/>
        <v/>
      </c>
      <c r="J468" s="419" t="str">
        <f ca="1">IF(F468="","",H468*E468)</f>
        <v/>
      </c>
      <c r="K468" s="411"/>
      <c r="L468" s="417" t="str" cm="1">
        <f t="array" ca="1" aca="1" ref="L468">_xlfn.IFNA(VLOOKUP(INDIRECT("L"&amp;ROW()-4)&amp;"_"&amp;$D$12,BEGIN_RENEW_HEALTH:END_RENEW_HEALTH,RENEW_COL_FAM,FALSE),"")</f>
        <v/>
      </c>
      <c r="M468" s="423" t="str">
        <f ca="1">IF(E468="","",E468)</f>
        <v/>
      </c>
      <c r="N468" s="420"/>
      <c r="O468" s="421"/>
      <c r="P468" s="422" t="str">
        <f>IFERROR(IF($N464="Keep Contribution Same",H468,IF($N464="Enter Percentages",IF(N468="","",N468*L468),IF($N464="Keep Percentage Same",IF(G468="","",G468*L468),IF($N464="Enter Dollar Amount",IF(O468="","",O468),"")))),"")</f>
        <v/>
      </c>
      <c r="Q468" s="417" t="str">
        <f ca="1">IFERROR(L468-P468,"")</f>
        <v/>
      </c>
      <c r="R468" s="419" t="str">
        <f>IFERROR(IF(P468="","",M468*P468),"")</f>
        <v/>
      </c>
      <c r="S468" s="411"/>
      <c r="T468" s="417" t="str" cm="1">
        <f t="array" ca="1" aca="1" ref="T468">_xlfn.IFNA(VLOOKUP(INDIRECT("T"&amp;ROW()-4)&amp;"_"&amp;$D$12,BEGIN_RENEW_HEALTH:END_RENEW_HEALTH,RENEW_COL_FAM,FALSE),"")</f>
        <v/>
      </c>
      <c r="U468" s="423" t="str">
        <f t="shared" ca="1" si="47"/>
        <v/>
      </c>
      <c r="V468" s="420"/>
      <c r="W468" s="421"/>
      <c r="X468" s="422" t="str">
        <f>IFERROR(IF($V464="Keep Contribution Same",H468,IF($V464="Enter Percentages",IF(V468="","",V468*T468),IF($V464="Keep Percentage Same",IF(G468="","",G468*T468),IF($V464="Enter Dollar Amount",IF(W468="","",W468),"")))),"")</f>
        <v/>
      </c>
      <c r="Y468" s="417" t="str">
        <f t="shared" ca="1" si="48"/>
        <v/>
      </c>
      <c r="Z468" s="419" t="str">
        <f t="shared" si="49"/>
        <v/>
      </c>
    </row>
    <row r="469" spans="1:26" ht="19.5" customHeight="1" thickTop="1">
      <c r="A469" s="140"/>
      <c r="B469" s="140"/>
      <c r="D469" s="175" t="s">
        <v>242</v>
      </c>
      <c r="E469" s="424"/>
      <c r="F469" s="447" t="str">
        <f ca="1">IFERROR((F465*E465)+(F466*E466)+(F467*E467)+(F468*E468),"")</f>
        <v/>
      </c>
      <c r="G469" s="426"/>
      <c r="H469" s="427"/>
      <c r="I469" s="428"/>
      <c r="J469" s="429" t="str">
        <f ca="1">IFERROR(IF(J465="","",SUM(J465:J468)),0)</f>
        <v/>
      </c>
      <c r="K469" s="1"/>
      <c r="L469" s="430" t="str">
        <f ca="1">IFERROR((M465*L465)+(M466*L466)+(M467*L467)+(M468*L468),"")</f>
        <v/>
      </c>
      <c r="M469" s="427"/>
      <c r="N469" s="426"/>
      <c r="O469" s="427"/>
      <c r="P469" s="431"/>
      <c r="Q469" s="432"/>
      <c r="R469" s="429" t="str">
        <f>IFERROR(IF(R465="","",SUM(R465:R468)),0)</f>
        <v/>
      </c>
      <c r="T469" s="430" t="str">
        <f ca="1">IFERROR((U465*T465)+(U466*T466)+(U467*T467)+(U468*T468),"")</f>
        <v/>
      </c>
      <c r="U469" s="427"/>
      <c r="V469" s="426"/>
      <c r="W469" s="427"/>
      <c r="X469" s="431"/>
      <c r="Y469" s="432"/>
      <c r="Z469" s="429" t="str">
        <f>IFERROR(IF(Z465="","",SUM(Z465:Z468)),0)</f>
        <v/>
      </c>
    </row>
    <row r="470" spans="1:26" ht="19.5" customHeight="1">
      <c r="A470" s="140"/>
      <c r="B470" s="140"/>
      <c r="D470" s="177" t="s">
        <v>243</v>
      </c>
      <c r="E470" s="433"/>
      <c r="F470" s="448" t="str">
        <f ca="1">IFERROR(F469*12,"")</f>
        <v/>
      </c>
      <c r="G470" s="435"/>
      <c r="H470" s="436"/>
      <c r="I470" s="432"/>
      <c r="J470" s="437" t="str">
        <f ca="1">IF(J469="","",J469*12)</f>
        <v/>
      </c>
      <c r="K470" s="1"/>
      <c r="L470" s="438" t="str">
        <f ca="1">IFERROR(L469*12,"")</f>
        <v/>
      </c>
      <c r="M470" s="436"/>
      <c r="N470" s="435"/>
      <c r="O470" s="436"/>
      <c r="P470" s="432"/>
      <c r="Q470" s="432"/>
      <c r="R470" s="437" t="str">
        <f>IF(R469="","",R469*12)</f>
        <v/>
      </c>
      <c r="T470" s="438" t="str">
        <f ca="1">IFERROR(T469*12,"")</f>
        <v/>
      </c>
      <c r="U470" s="436"/>
      <c r="V470" s="435"/>
      <c r="W470" s="436"/>
      <c r="X470" s="432"/>
      <c r="Y470" s="432"/>
      <c r="Z470" s="437" t="str">
        <f>IF(Z469="","",Z469*12)</f>
        <v/>
      </c>
    </row>
    <row r="471" spans="1:26" ht="18" customHeight="1">
      <c r="A471" s="140"/>
      <c r="B471" s="140"/>
      <c r="D471" s="177" t="s">
        <v>244</v>
      </c>
      <c r="E471" s="433"/>
      <c r="F471" s="436"/>
      <c r="G471" s="435"/>
      <c r="H471" s="436"/>
      <c r="I471" s="432"/>
      <c r="J471" s="437"/>
      <c r="K471" s="1"/>
      <c r="L471" s="434" t="str">
        <f ca="1">IFERROR(L470-F470,"")</f>
        <v/>
      </c>
      <c r="M471" s="436"/>
      <c r="N471" s="435"/>
      <c r="O471" s="436"/>
      <c r="P471" s="432"/>
      <c r="Q471" s="432"/>
      <c r="R471" s="437" t="str">
        <f ca="1">IFERROR(IF(J470="","",R470-J470),0)</f>
        <v/>
      </c>
      <c r="T471" s="434" t="str">
        <f ca="1">IFERROR(T470-F470,"")</f>
        <v/>
      </c>
      <c r="U471" s="436"/>
      <c r="V471" s="435"/>
      <c r="W471" s="436"/>
      <c r="X471" s="432"/>
      <c r="Y471" s="432"/>
      <c r="Z471" s="437" t="str">
        <f>IFERROR(IF(R470="","",Z470-R470),0)</f>
        <v/>
      </c>
    </row>
    <row r="472" spans="1:26" ht="18" customHeight="1" thickBot="1">
      <c r="A472" s="140"/>
      <c r="B472" s="140"/>
      <c r="D472" s="180" t="s">
        <v>245</v>
      </c>
      <c r="E472" s="439"/>
      <c r="F472" s="440"/>
      <c r="G472" s="441"/>
      <c r="H472" s="440"/>
      <c r="I472" s="442"/>
      <c r="J472" s="443"/>
      <c r="K472" s="1"/>
      <c r="L472" s="444" t="str">
        <f ca="1">IFERROR(L470/F470-1,"")</f>
        <v/>
      </c>
      <c r="M472" s="440"/>
      <c r="N472" s="441"/>
      <c r="O472" s="440"/>
      <c r="P472" s="445"/>
      <c r="Q472" s="445"/>
      <c r="R472" s="446" t="str">
        <f ca="1">IFERROR(IF(J470="","",(R470/J470)-1),0)</f>
        <v/>
      </c>
      <c r="T472" s="444" t="str">
        <f ca="1">IFERROR(T470/F470-1,"")</f>
        <v/>
      </c>
      <c r="U472" s="440"/>
      <c r="V472" s="441"/>
      <c r="W472" s="440"/>
      <c r="X472" s="445"/>
      <c r="Y472" s="445"/>
      <c r="Z472" s="446" t="str">
        <f>IFERROR(IF(R470="","",(Z470/R470)-1),0)</f>
        <v/>
      </c>
    </row>
    <row r="473" spans="1:26" ht="18" customHeight="1">
      <c r="A473" s="140"/>
      <c r="B473" s="140"/>
      <c r="D473" s="181" t="s">
        <v>246</v>
      </c>
      <c r="E473" s="182"/>
      <c r="F473" s="182"/>
      <c r="G473" s="182"/>
      <c r="H473" s="182"/>
      <c r="I473" s="182"/>
      <c r="J473" s="183"/>
      <c r="K473"/>
      <c r="L473" s="184"/>
      <c r="M473" s="182"/>
      <c r="N473" s="182"/>
      <c r="O473" s="182"/>
      <c r="P473" s="182"/>
      <c r="Q473" s="182"/>
      <c r="R473" s="183"/>
      <c r="T473" s="184"/>
      <c r="U473" s="182"/>
      <c r="V473" s="182"/>
      <c r="W473" s="182"/>
      <c r="X473" s="182"/>
      <c r="Y473" s="182"/>
      <c r="Z473" s="183"/>
    </row>
    <row r="474" spans="1:26" ht="18" customHeight="1" hidden="1">
      <c r="A474" s="140"/>
      <c r="B474" s="140"/>
      <c r="D474" s="185" t="s">
        <v>247</v>
      </c>
      <c r="E474" s="186"/>
      <c r="F474" s="186"/>
      <c r="G474" s="186"/>
      <c r="H474" s="186"/>
      <c r="I474" s="186"/>
      <c r="J474" s="187"/>
      <c r="K474"/>
      <c r="L474" s="188"/>
      <c r="M474" s="186"/>
      <c r="N474" s="186"/>
      <c r="O474" s="186"/>
      <c r="P474" s="186"/>
      <c r="Q474" s="186"/>
      <c r="R474" s="187"/>
      <c r="T474" s="188"/>
      <c r="U474" s="186"/>
      <c r="V474" s="186"/>
      <c r="W474" s="186"/>
      <c r="X474" s="186"/>
      <c r="Y474" s="186"/>
      <c r="Z474" s="187"/>
    </row>
    <row r="475" spans="1:26" ht="18" customHeight="1" hidden="1">
      <c r="A475" s="140"/>
      <c r="B475" s="140"/>
      <c r="D475" s="189" t="s">
        <v>248</v>
      </c>
      <c r="E475" s="190" t="str">
        <f>D464&amp;"_"&amp;D12</f>
        <v>_</v>
      </c>
      <c r="F475" s="191"/>
      <c r="G475" s="191"/>
      <c r="H475" s="191"/>
      <c r="I475" s="190"/>
      <c r="J475" s="192"/>
      <c r="K475"/>
      <c r="L475" s="193" t="str">
        <f ca="1">L464&amp;"_"&amp;D12</f>
        <v>SELECT PLAN_</v>
      </c>
      <c r="M475" s="191"/>
      <c r="N475" s="191"/>
      <c r="O475" s="191"/>
      <c r="P475" s="190"/>
      <c r="Q475" s="191"/>
      <c r="R475" s="192"/>
      <c r="T475" s="193" t="str">
        <f>T464&amp;"_"&amp;D12</f>
        <v>SELECT PLAN_</v>
      </c>
      <c r="U475" s="191"/>
      <c r="V475" s="191"/>
      <c r="W475" s="191"/>
      <c r="X475" s="190"/>
      <c r="Y475" s="191"/>
      <c r="Z475" s="192"/>
    </row>
    <row r="476" spans="1:26" ht="18" customHeight="1" hidden="1">
      <c r="A476" s="140"/>
      <c r="B476" s="140"/>
      <c r="D476" s="189" t="s">
        <v>249</v>
      </c>
      <c r="E476" s="191"/>
      <c r="F476" s="191"/>
      <c r="G476" s="191"/>
      <c r="H476" s="191"/>
      <c r="I476" s="191"/>
      <c r="J476" s="192"/>
      <c r="K476"/>
      <c r="L476" s="189"/>
      <c r="M476" s="191"/>
      <c r="N476" s="191"/>
      <c r="O476" s="191"/>
      <c r="P476" s="191"/>
      <c r="Q476" s="191"/>
      <c r="R476" s="192"/>
      <c r="T476" s="189"/>
      <c r="U476" s="191"/>
      <c r="V476" s="191"/>
      <c r="W476" s="191"/>
      <c r="X476" s="191"/>
      <c r="Y476" s="191"/>
      <c r="Z476" s="192"/>
    </row>
    <row r="477" spans="1:26" ht="18" customHeight="1" hidden="1">
      <c r="A477" s="140"/>
      <c r="B477" s="140"/>
      <c r="D477" s="194" t="s">
        <v>250</v>
      </c>
      <c r="E477" s="195"/>
      <c r="F477" s="195"/>
      <c r="G477" s="195"/>
      <c r="H477" s="195"/>
      <c r="I477" s="195"/>
      <c r="J477" s="196"/>
      <c r="K477"/>
      <c r="L477" s="197"/>
      <c r="M477" s="195"/>
      <c r="N477" s="195"/>
      <c r="O477" s="195"/>
      <c r="P477" s="195"/>
      <c r="Q477" s="195"/>
      <c r="R477" s="196"/>
      <c r="T477" s="197"/>
      <c r="U477" s="195"/>
      <c r="V477" s="195"/>
      <c r="W477" s="195"/>
      <c r="X477" s="195"/>
      <c r="Y477" s="195"/>
      <c r="Z477" s="196"/>
    </row>
    <row r="478" spans="1:26" ht="18" customHeight="1" hidden="1">
      <c r="A478" s="140"/>
      <c r="B478" s="140"/>
      <c r="D478" s="198" t="s">
        <v>251</v>
      </c>
      <c r="E478" s="199" t="str">
        <f>_xlfn.XLOOKUP(E475,CurrentPlans!B:B,CurrentPlans!X:X,"NA",0,1)</f>
        <v>NA</v>
      </c>
      <c r="F478" s="200"/>
      <c r="G478" s="200"/>
      <c r="H478" s="200"/>
      <c r="I478" s="199"/>
      <c r="J478" s="201"/>
      <c r="K478"/>
      <c r="L478" s="202" t="str">
        <f ca="1">_xlfn.XLOOKUP(L475,RenewalPlans!B:B,RenewalPlans!AA:AA,"NA",0,1)</f>
        <v>NA</v>
      </c>
      <c r="M478" s="200"/>
      <c r="N478" s="200"/>
      <c r="O478" s="200"/>
      <c r="P478" s="199"/>
      <c r="Q478" s="200"/>
      <c r="R478" s="201"/>
      <c r="T478" s="202" t="str">
        <f>_xlfn.XLOOKUP(T475,RenewalPlans!B:B,RenewalPlans!AA:AA,"NA",0,1)</f>
        <v>NA</v>
      </c>
      <c r="U478" s="200"/>
      <c r="V478" s="200"/>
      <c r="W478" s="200"/>
      <c r="X478" s="199"/>
      <c r="Y478" s="200"/>
      <c r="Z478" s="201"/>
    </row>
    <row r="479" spans="1:26" ht="18" customHeight="1" hidden="1">
      <c r="A479" s="140"/>
      <c r="B479" s="140"/>
      <c r="D479" s="198" t="s">
        <v>252</v>
      </c>
      <c r="E479" s="199" t="str">
        <f>_xlfn.XLOOKUP(E475,CurrentPlans!B:B,CurrentPlans!Y:Y,"NA",0,1)</f>
        <v>NA</v>
      </c>
      <c r="F479" s="200"/>
      <c r="G479" s="200"/>
      <c r="H479" s="200"/>
      <c r="I479" s="199"/>
      <c r="J479" s="201"/>
      <c r="K479"/>
      <c r="L479" s="202" t="str">
        <f ca="1">_xlfn.XLOOKUP(L475,RenewalPlans!B:B,RenewalPlans!AB:AB,"NA",0,1)</f>
        <v>NA</v>
      </c>
      <c r="M479" s="200"/>
      <c r="N479" s="200"/>
      <c r="O479" s="200"/>
      <c r="P479" s="199"/>
      <c r="Q479" s="200"/>
      <c r="R479" s="201"/>
      <c r="T479" s="202" t="str">
        <f>_xlfn.XLOOKUP(T475,RenewalPlans!B:B,RenewalPlans!AB:AB,"NA",0,1)</f>
        <v>NA</v>
      </c>
      <c r="U479" s="200"/>
      <c r="V479" s="200"/>
      <c r="W479" s="200"/>
      <c r="X479" s="199"/>
      <c r="Y479" s="200"/>
      <c r="Z479" s="201"/>
    </row>
    <row r="480" spans="1:26" ht="18" customHeight="1" hidden="1">
      <c r="A480" s="140"/>
      <c r="B480" s="140"/>
      <c r="D480" s="120" t="s">
        <v>253</v>
      </c>
      <c r="E480" s="121" t="str">
        <f>_xlfn.XLOOKUP(E475,CurrentPlans!B:B,CurrentPlans!W:W,"NA",0,1)</f>
        <v>NA</v>
      </c>
      <c r="F480" s="122"/>
      <c r="G480" s="122"/>
      <c r="H480" s="122"/>
      <c r="I480" s="121"/>
      <c r="J480" s="123"/>
      <c r="K480"/>
      <c r="L480" s="124" t="str">
        <f ca="1">_xlfn.XLOOKUP(L475,RenewalPlans!B:B,RenewalPlans!Z:Z,"NA",0,1)</f>
        <v>NA</v>
      </c>
      <c r="M480" s="122"/>
      <c r="N480" s="122"/>
      <c r="O480" s="122"/>
      <c r="P480" s="121"/>
      <c r="Q480" s="122"/>
      <c r="R480" s="123"/>
      <c r="T480" s="124" t="str">
        <f>_xlfn.XLOOKUP(T475,RenewalPlans!B:B,RenewalPlans!Z:Z,"NA",0,1)</f>
        <v>NA</v>
      </c>
      <c r="U480" s="122"/>
      <c r="V480" s="122"/>
      <c r="W480" s="122"/>
      <c r="X480" s="121"/>
      <c r="Y480" s="122"/>
      <c r="Z480" s="123"/>
    </row>
    <row r="481" spans="1:26" ht="18" customHeight="1" hidden="1">
      <c r="A481" s="140"/>
      <c r="B481" s="140"/>
      <c r="D481" s="203" t="s">
        <v>254</v>
      </c>
      <c r="E481" s="204"/>
      <c r="F481" s="205"/>
      <c r="G481" s="205"/>
      <c r="H481" s="205"/>
      <c r="I481" s="204"/>
      <c r="J481" s="206"/>
      <c r="K481"/>
      <c r="L481" s="207"/>
      <c r="M481" s="205"/>
      <c r="N481" s="205"/>
      <c r="O481" s="205"/>
      <c r="P481" s="204"/>
      <c r="Q481" s="205"/>
      <c r="R481" s="206"/>
      <c r="T481" s="207"/>
      <c r="U481" s="205"/>
      <c r="V481" s="205"/>
      <c r="W481" s="205"/>
      <c r="X481" s="204"/>
      <c r="Y481" s="205"/>
      <c r="Z481" s="206"/>
    </row>
    <row r="482" spans="1:26" ht="18" customHeight="1" hidden="1">
      <c r="A482" s="140"/>
      <c r="B482" s="140"/>
      <c r="D482" s="125" t="s">
        <v>255</v>
      </c>
      <c r="E482" s="126" t="str">
        <f>_xlfn.XLOOKUP(E475,CurrentPlans!B:B,CurrentPlans!Z:Z,"NA",0,1)</f>
        <v>NA</v>
      </c>
      <c r="F482" s="127"/>
      <c r="G482" s="127"/>
      <c r="H482" s="127"/>
      <c r="I482" s="126"/>
      <c r="J482" s="128"/>
      <c r="K482"/>
      <c r="L482" s="129" t="str">
        <f ca="1">_xlfn.XLOOKUP(L475,RenewalPlans!B:B,RenewalPlans!AC:AC,"NA",0,1)</f>
        <v>NA</v>
      </c>
      <c r="M482" s="127"/>
      <c r="N482" s="127"/>
      <c r="O482" s="127"/>
      <c r="P482" s="126"/>
      <c r="Q482" s="127"/>
      <c r="R482" s="128"/>
      <c r="T482" s="129" t="str">
        <f>_xlfn.XLOOKUP(T475,RenewalPlans!B:B,RenewalPlans!AC:AC,"NA",0,1)</f>
        <v>NA</v>
      </c>
      <c r="U482" s="127"/>
      <c r="V482" s="127"/>
      <c r="W482" s="127"/>
      <c r="X482" s="126"/>
      <c r="Y482" s="127"/>
      <c r="Z482" s="128"/>
    </row>
    <row r="483" spans="1:26" ht="18" customHeight="1" hidden="1">
      <c r="A483" s="140"/>
      <c r="B483" s="140"/>
      <c r="D483" s="198" t="s">
        <v>256</v>
      </c>
      <c r="E483" s="208" t="str">
        <f>_xlfn.XLOOKUP(E475,CurrentPlans!B:B,CurrentPlans!AA:AA,"NA",0,1)</f>
        <v>NA</v>
      </c>
      <c r="F483" s="200"/>
      <c r="G483" s="200"/>
      <c r="H483" s="200"/>
      <c r="I483" s="208"/>
      <c r="J483" s="201"/>
      <c r="K483"/>
      <c r="L483" s="209" t="str">
        <f ca="1">_xlfn.XLOOKUP(L475,RenewalPlans!B:B,RenewalPlans!AD:AD,"NA",0,1)</f>
        <v>NA</v>
      </c>
      <c r="M483" s="200"/>
      <c r="N483" s="200"/>
      <c r="O483" s="200"/>
      <c r="P483" s="208"/>
      <c r="Q483" s="200"/>
      <c r="R483" s="201"/>
      <c r="T483" s="209" t="str">
        <f>_xlfn.XLOOKUP(T475,RenewalPlans!B:B,RenewalPlans!AD:AD,"NA",0,1)</f>
        <v>NA</v>
      </c>
      <c r="U483" s="200"/>
      <c r="V483" s="200"/>
      <c r="W483" s="200"/>
      <c r="X483" s="208"/>
      <c r="Y483" s="200"/>
      <c r="Z483" s="201"/>
    </row>
    <row r="484" spans="1:26" ht="18" customHeight="1" hidden="1">
      <c r="A484" s="140"/>
      <c r="B484" s="140"/>
      <c r="D484" s="203" t="s">
        <v>257</v>
      </c>
      <c r="E484" s="204"/>
      <c r="F484" s="205"/>
      <c r="G484" s="205"/>
      <c r="H484" s="205"/>
      <c r="I484" s="204"/>
      <c r="J484" s="206"/>
      <c r="K484"/>
      <c r="L484" s="207"/>
      <c r="M484" s="205"/>
      <c r="N484" s="205"/>
      <c r="O484" s="205"/>
      <c r="P484" s="204"/>
      <c r="Q484" s="205"/>
      <c r="R484" s="206"/>
      <c r="T484" s="207"/>
      <c r="U484" s="205"/>
      <c r="V484" s="205"/>
      <c r="W484" s="205"/>
      <c r="X484" s="204"/>
      <c r="Y484" s="205"/>
      <c r="Z484" s="206"/>
    </row>
    <row r="485" spans="1:26" ht="18" customHeight="1" hidden="1">
      <c r="A485" s="140"/>
      <c r="B485" s="140"/>
      <c r="D485" s="198" t="s">
        <v>258</v>
      </c>
      <c r="E485" s="208" t="str">
        <f>_xlfn.XLOOKUP(E475,CurrentPlans!B:B,CurrentPlans!AB:AB,"NA",0,1)</f>
        <v>NA</v>
      </c>
      <c r="F485" s="200"/>
      <c r="G485" s="200"/>
      <c r="H485" s="200"/>
      <c r="I485" s="208"/>
      <c r="J485" s="201"/>
      <c r="K485"/>
      <c r="L485" s="209" t="str">
        <f ca="1">_xlfn.XLOOKUP(L475,RenewalPlans!B:B,RenewalPlans!AE:AE,"NA",0,1)</f>
        <v>NA</v>
      </c>
      <c r="M485" s="200"/>
      <c r="N485" s="200"/>
      <c r="O485" s="200"/>
      <c r="P485" s="208"/>
      <c r="Q485" s="200"/>
      <c r="R485" s="201"/>
      <c r="T485" s="209" t="str">
        <f>_xlfn.XLOOKUP(T475,RenewalPlans!B:B,RenewalPlans!AE:AE,"NA",0,1)</f>
        <v>NA</v>
      </c>
      <c r="U485" s="200"/>
      <c r="V485" s="200"/>
      <c r="W485" s="200"/>
      <c r="X485" s="208"/>
      <c r="Y485" s="200"/>
      <c r="Z485" s="201"/>
    </row>
    <row r="486" spans="1:26" ht="18" customHeight="1" hidden="1">
      <c r="A486" s="140"/>
      <c r="B486" s="140"/>
      <c r="D486" s="198" t="s">
        <v>259</v>
      </c>
      <c r="E486" s="208" t="str">
        <f>_xlfn.XLOOKUP(E475,CurrentPlans!B:B,CurrentPlans!AC:AC,"NA",0,1)</f>
        <v>NA</v>
      </c>
      <c r="F486" s="200"/>
      <c r="G486" s="200"/>
      <c r="H486" s="200"/>
      <c r="I486" s="208"/>
      <c r="J486" s="201"/>
      <c r="K486"/>
      <c r="L486" s="209" t="str">
        <f ca="1">_xlfn.XLOOKUP(L475,RenewalPlans!B:B,RenewalPlans!AF:AF,"NA",0,1)</f>
        <v>NA</v>
      </c>
      <c r="M486" s="200"/>
      <c r="N486" s="200"/>
      <c r="O486" s="200"/>
      <c r="P486" s="208"/>
      <c r="Q486" s="200"/>
      <c r="R486" s="201"/>
      <c r="T486" s="209" t="str">
        <f>_xlfn.XLOOKUP(T475,RenewalPlans!B:B,RenewalPlans!AF:AF,"NA",0,1)</f>
        <v>NA</v>
      </c>
      <c r="U486" s="200"/>
      <c r="V486" s="200"/>
      <c r="W486" s="200"/>
      <c r="X486" s="208"/>
      <c r="Y486" s="200"/>
      <c r="Z486" s="201"/>
    </row>
    <row r="487" spans="1:26" ht="18" customHeight="1" hidden="1">
      <c r="A487" s="140"/>
      <c r="B487" s="140"/>
      <c r="D487" s="210"/>
      <c r="E487" s="211"/>
      <c r="F487" s="211"/>
      <c r="G487" s="211"/>
      <c r="H487" s="211"/>
      <c r="I487" s="211"/>
      <c r="J487" s="212"/>
      <c r="K487"/>
      <c r="L487" s="210"/>
      <c r="M487" s="211"/>
      <c r="N487" s="211"/>
      <c r="O487" s="211"/>
      <c r="P487" s="211"/>
      <c r="Q487" s="211"/>
      <c r="R487" s="212"/>
      <c r="T487" s="210"/>
      <c r="U487" s="211"/>
      <c r="V487" s="211"/>
      <c r="W487" s="211"/>
      <c r="X487" s="211"/>
      <c r="Y487" s="211"/>
      <c r="Z487" s="212"/>
    </row>
    <row r="488" spans="1:26" ht="18" customHeight="1" hidden="1">
      <c r="A488" s="140"/>
      <c r="B488" s="140"/>
      <c r="D488" s="185" t="s">
        <v>260</v>
      </c>
      <c r="E488" s="186"/>
      <c r="F488" s="186"/>
      <c r="G488" s="186"/>
      <c r="H488" s="186"/>
      <c r="I488" s="186"/>
      <c r="J488" s="187"/>
      <c r="K488"/>
      <c r="L488" s="188"/>
      <c r="M488" s="186"/>
      <c r="N488" s="186"/>
      <c r="O488" s="186"/>
      <c r="P488" s="186"/>
      <c r="Q488" s="186"/>
      <c r="R488" s="187"/>
      <c r="T488" s="188"/>
      <c r="U488" s="186"/>
      <c r="V488" s="186"/>
      <c r="W488" s="186"/>
      <c r="X488" s="186"/>
      <c r="Y488" s="186"/>
      <c r="Z488" s="187"/>
    </row>
    <row r="489" spans="1:26" ht="18" customHeight="1" hidden="1">
      <c r="A489" s="140"/>
      <c r="B489" s="140"/>
      <c r="D489" s="213" t="s">
        <v>261</v>
      </c>
      <c r="E489" s="130" t="str">
        <f>_xlfn.XLOOKUP(E475,CurrentPlans!B:B,CurrentPlans!AJ:AJ,"NA",0,1)</f>
        <v>NA</v>
      </c>
      <c r="F489" s="214"/>
      <c r="G489" s="214"/>
      <c r="H489" s="214"/>
      <c r="I489" s="130"/>
      <c r="J489" s="215"/>
      <c r="K489"/>
      <c r="L489" s="131" t="str">
        <f ca="1">_xlfn.XLOOKUP(L475,RenewalPlans!B:B,RenewalPlans!AM:AM,"NA",0,1)</f>
        <v>NA</v>
      </c>
      <c r="M489" s="214"/>
      <c r="N489" s="214"/>
      <c r="O489" s="214"/>
      <c r="P489" s="130"/>
      <c r="Q489" s="214"/>
      <c r="R489" s="215"/>
      <c r="T489" s="131" t="str">
        <f>_xlfn.XLOOKUP(T475,RenewalPlans!B:B,RenewalPlans!AM:AM,"NA",0,1)</f>
        <v>NA</v>
      </c>
      <c r="U489" s="214"/>
      <c r="V489" s="214"/>
      <c r="W489" s="214"/>
      <c r="X489" s="130"/>
      <c r="Y489" s="214"/>
      <c r="Z489" s="215"/>
    </row>
    <row r="490" spans="1:26" ht="18" customHeight="1" hidden="1">
      <c r="A490" s="140"/>
      <c r="B490" s="140"/>
      <c r="D490" s="198" t="s">
        <v>262</v>
      </c>
      <c r="E490" s="130" t="str">
        <f>_xlfn.XLOOKUP(E475,CurrentPlans!B:B,CurrentPlans!AM:AM,"NA",0,1)</f>
        <v>NA</v>
      </c>
      <c r="F490" s="200"/>
      <c r="G490" s="200"/>
      <c r="H490" s="200"/>
      <c r="I490" s="130"/>
      <c r="J490" s="201"/>
      <c r="K490"/>
      <c r="L490" s="131" t="str">
        <f ca="1">_xlfn.XLOOKUP(L475,RenewalPlans!B:B,RenewalPlans!AP:AP,"NA",0,1)</f>
        <v>NA</v>
      </c>
      <c r="M490" s="200"/>
      <c r="N490" s="200"/>
      <c r="O490" s="200"/>
      <c r="P490" s="130"/>
      <c r="Q490" s="200"/>
      <c r="R490" s="201"/>
      <c r="T490" s="131" t="str">
        <f>_xlfn.XLOOKUP(T475,RenewalPlans!B:B,RenewalPlans!AP:AP,"NA",0,1)</f>
        <v>NA</v>
      </c>
      <c r="U490" s="200"/>
      <c r="V490" s="200"/>
      <c r="W490" s="200"/>
      <c r="X490" s="130"/>
      <c r="Y490" s="200"/>
      <c r="Z490" s="201"/>
    </row>
    <row r="491" spans="1:26" ht="18" customHeight="1" hidden="1">
      <c r="A491" s="140"/>
      <c r="B491" s="140"/>
      <c r="D491" s="198" t="s">
        <v>263</v>
      </c>
      <c r="E491" s="130" t="str">
        <f>_xlfn.XLOOKUP(E475,CurrentPlans!B:B,CurrentPlans!AI:AI,"NA",0,1)</f>
        <v>NA</v>
      </c>
      <c r="F491" s="200"/>
      <c r="G491" s="200"/>
      <c r="H491" s="200"/>
      <c r="I491" s="130"/>
      <c r="J491" s="201"/>
      <c r="K491"/>
      <c r="L491" s="131" t="str">
        <f ca="1">_xlfn.XLOOKUP(L475,RenewalPlans!B:B,RenewalPlans!AL:AL,"NA",0,1)</f>
        <v>NA</v>
      </c>
      <c r="M491" s="200"/>
      <c r="N491" s="200"/>
      <c r="O491" s="200"/>
      <c r="P491" s="130"/>
      <c r="Q491" s="200"/>
      <c r="R491" s="201"/>
      <c r="T491" s="131" t="str">
        <f>_xlfn.XLOOKUP(T475,RenewalPlans!B:B,RenewalPlans!AL:AL,"NA",0,1)</f>
        <v>NA</v>
      </c>
      <c r="U491" s="200"/>
      <c r="V491" s="200"/>
      <c r="W491" s="200"/>
      <c r="X491" s="130"/>
      <c r="Y491" s="200"/>
      <c r="Z491" s="201"/>
    </row>
    <row r="492" spans="1:26" ht="18" customHeight="1" hidden="1">
      <c r="A492" s="140"/>
      <c r="B492" s="140"/>
      <c r="D492" s="198" t="s">
        <v>264</v>
      </c>
      <c r="E492" s="208" t="str">
        <f>_xlfn.XLOOKUP(E475,CurrentPlans!B:B,CurrentPlans!AN:AN,"NA",0,1)</f>
        <v>NA</v>
      </c>
      <c r="F492" s="200"/>
      <c r="G492" s="200"/>
      <c r="H492" s="200"/>
      <c r="I492" s="208"/>
      <c r="J492" s="201"/>
      <c r="K492"/>
      <c r="L492" s="209" t="str">
        <f ca="1">_xlfn.XLOOKUP(L475,RenewalPlans!B:B,RenewalPlans!AQ:AQ,"NA",0,1)</f>
        <v>NA</v>
      </c>
      <c r="M492" s="200"/>
      <c r="N492" s="200"/>
      <c r="O492" s="200"/>
      <c r="P492" s="208"/>
      <c r="Q492" s="200"/>
      <c r="R492" s="201"/>
      <c r="T492" s="209" t="str">
        <f>_xlfn.XLOOKUP(T475,RenewalPlans!B:B,RenewalPlans!AQ:AQ,"NA",0,1)</f>
        <v>NA</v>
      </c>
      <c r="U492" s="200"/>
      <c r="V492" s="200"/>
      <c r="W492" s="200"/>
      <c r="X492" s="208"/>
      <c r="Y492" s="200"/>
      <c r="Z492" s="201"/>
    </row>
    <row r="493" spans="1:26" ht="18" customHeight="1" hidden="1">
      <c r="A493" s="140"/>
      <c r="B493" s="140"/>
      <c r="D493" s="210"/>
      <c r="E493" s="211"/>
      <c r="F493" s="211"/>
      <c r="G493" s="211"/>
      <c r="H493" s="211"/>
      <c r="I493" s="211"/>
      <c r="J493" s="212"/>
      <c r="K493"/>
      <c r="L493" s="210"/>
      <c r="M493" s="211"/>
      <c r="N493" s="211"/>
      <c r="O493" s="211"/>
      <c r="P493" s="211"/>
      <c r="Q493" s="211"/>
      <c r="R493" s="212"/>
      <c r="T493" s="210"/>
      <c r="U493" s="211"/>
      <c r="V493" s="211"/>
      <c r="W493" s="211"/>
      <c r="X493" s="211"/>
      <c r="Y493" s="211"/>
      <c r="Z493" s="212"/>
    </row>
    <row r="494" spans="1:26" ht="18" customHeight="1" hidden="1">
      <c r="A494" s="140"/>
      <c r="B494" s="140"/>
      <c r="D494" s="185" t="s">
        <v>265</v>
      </c>
      <c r="E494" s="186"/>
      <c r="F494" s="186"/>
      <c r="G494" s="186"/>
      <c r="H494" s="186"/>
      <c r="I494" s="186"/>
      <c r="J494" s="187"/>
      <c r="K494"/>
      <c r="L494" s="188"/>
      <c r="M494" s="186"/>
      <c r="N494" s="186"/>
      <c r="O494" s="186"/>
      <c r="P494" s="186"/>
      <c r="Q494" s="186"/>
      <c r="R494" s="187"/>
      <c r="T494" s="188"/>
      <c r="U494" s="186"/>
      <c r="V494" s="186"/>
      <c r="W494" s="186"/>
      <c r="X494" s="186"/>
      <c r="Y494" s="186"/>
      <c r="Z494" s="187"/>
    </row>
    <row r="495" spans="1:26" ht="18" customHeight="1" hidden="1">
      <c r="A495" s="140"/>
      <c r="B495" s="140"/>
      <c r="D495" s="132" t="s">
        <v>266</v>
      </c>
      <c r="E495" s="133" t="str">
        <f>_xlfn.XLOOKUP(E475,CurrentPlans!B:B,CurrentPlans!AE:AE,"NA",0,1)</f>
        <v>NA</v>
      </c>
      <c r="F495" s="134"/>
      <c r="G495" s="134"/>
      <c r="H495" s="134"/>
      <c r="I495" s="133"/>
      <c r="J495" s="135"/>
      <c r="K495"/>
      <c r="L495" s="136" t="str">
        <f ca="1">_xlfn.XLOOKUP(L475,RenewalPlans!B:B,RenewalPlans!AH:AH,"NA",0,1)</f>
        <v>NA</v>
      </c>
      <c r="M495" s="134"/>
      <c r="N495" s="134"/>
      <c r="O495" s="134"/>
      <c r="P495" s="133"/>
      <c r="Q495" s="134"/>
      <c r="R495" s="135"/>
      <c r="T495" s="136" t="str">
        <f>_xlfn.XLOOKUP(T475,RenewalPlans!B:B,RenewalPlans!AH:AH,"NA",0,1)</f>
        <v>NA</v>
      </c>
      <c r="U495" s="134"/>
      <c r="V495" s="134"/>
      <c r="W495" s="134"/>
      <c r="X495" s="133"/>
      <c r="Y495" s="134"/>
      <c r="Z495" s="135"/>
    </row>
    <row r="496" spans="1:26" ht="18" customHeight="1" hidden="1">
      <c r="A496" s="140"/>
      <c r="B496" s="140"/>
      <c r="D496" s="120" t="s">
        <v>267</v>
      </c>
      <c r="E496" s="130" t="str">
        <f>_xlfn.XLOOKUP(E475,CurrentPlans!B:B,CurrentPlans!AF:AF,"NA",0,1)</f>
        <v>NA</v>
      </c>
      <c r="F496" s="122"/>
      <c r="G496" s="122"/>
      <c r="H496" s="122"/>
      <c r="I496" s="130"/>
      <c r="J496" s="123"/>
      <c r="K496"/>
      <c r="L496" s="131" t="str">
        <f ca="1">_xlfn.XLOOKUP(L475,RenewalPlans!B:B,RenewalPlans!AI:AI,"NA",0,1)</f>
        <v>NA</v>
      </c>
      <c r="M496" s="122"/>
      <c r="N496" s="122"/>
      <c r="O496" s="122"/>
      <c r="P496" s="130"/>
      <c r="Q496" s="122"/>
      <c r="R496" s="123"/>
      <c r="T496" s="131" t="str">
        <f>_xlfn.XLOOKUP(T475,RenewalPlans!B:B,RenewalPlans!AI:AI,"NA",0,1)</f>
        <v>NA</v>
      </c>
      <c r="U496" s="122"/>
      <c r="V496" s="122"/>
      <c r="W496" s="122"/>
      <c r="X496" s="130"/>
      <c r="Y496" s="122"/>
      <c r="Z496" s="123"/>
    </row>
    <row r="497" spans="1:26" ht="18" customHeight="1" hidden="1">
      <c r="A497" s="140"/>
      <c r="B497" s="140"/>
      <c r="D497" s="198" t="s">
        <v>268</v>
      </c>
      <c r="E497" s="130" t="str">
        <f>_xlfn.XLOOKUP(E475,CurrentPlans!B:B,CurrentPlans!AH:AH,"NA",0,1)</f>
        <v>NA</v>
      </c>
      <c r="F497" s="200"/>
      <c r="G497" s="200"/>
      <c r="H497" s="200"/>
      <c r="I497" s="130"/>
      <c r="J497" s="201"/>
      <c r="K497"/>
      <c r="L497" s="131" t="str">
        <f ca="1">_xlfn.XLOOKUP(L475,RenewalPlans!B:B,RenewalPlans!AK:AK,"NA",0,1)</f>
        <v>NA</v>
      </c>
      <c r="M497" s="200"/>
      <c r="N497" s="200"/>
      <c r="O497" s="200"/>
      <c r="P497" s="130"/>
      <c r="Q497" s="200"/>
      <c r="R497" s="201"/>
      <c r="T497" s="131" t="str">
        <f>_xlfn.XLOOKUP(T475,RenewalPlans!B:B,RenewalPlans!AK:AK,"NA",0,1)</f>
        <v>NA</v>
      </c>
      <c r="U497" s="200"/>
      <c r="V497" s="200"/>
      <c r="W497" s="200"/>
      <c r="X497" s="130"/>
      <c r="Y497" s="200"/>
      <c r="Z497" s="201"/>
    </row>
    <row r="498" spans="1:26" ht="18" customHeight="1" hidden="1">
      <c r="A498" s="140"/>
      <c r="B498" s="140"/>
      <c r="D498" s="198" t="s">
        <v>269</v>
      </c>
      <c r="E498" s="130" t="str">
        <f>_xlfn.XLOOKUP(E475,CurrentPlans!B:B,CurrentPlans!AG:AG,"NA",0,1)</f>
        <v>NA</v>
      </c>
      <c r="F498" s="200"/>
      <c r="G498" s="200"/>
      <c r="H498" s="200"/>
      <c r="I498" s="130"/>
      <c r="J498" s="201"/>
      <c r="K498"/>
      <c r="L498" s="131" t="str">
        <f ca="1">_xlfn.XLOOKUP(L475,RenewalPlans!B:B,RenewalPlans!AJ:AJ,"NA",0,1)</f>
        <v>NA</v>
      </c>
      <c r="M498" s="200"/>
      <c r="N498" s="200"/>
      <c r="O498" s="200"/>
      <c r="P498" s="130"/>
      <c r="Q498" s="200"/>
      <c r="R498" s="201"/>
      <c r="T498" s="131" t="str">
        <f>_xlfn.XLOOKUP(T475,RenewalPlans!B:B,RenewalPlans!AJ:AJ,"NA",0,1)</f>
        <v>NA</v>
      </c>
      <c r="U498" s="200"/>
      <c r="V498" s="200"/>
      <c r="W498" s="200"/>
      <c r="X498" s="130"/>
      <c r="Y498" s="200"/>
      <c r="Z498" s="201"/>
    </row>
    <row r="499" spans="1:26" ht="18" customHeight="1" hidden="1">
      <c r="A499" s="140"/>
      <c r="B499" s="140"/>
      <c r="D499" s="213" t="s">
        <v>270</v>
      </c>
      <c r="E499" s="216" t="str">
        <f>_xlfn.XLOOKUP(E475,CurrentPlans!B:B,CurrentPlans!AU:AU,"NA",0,1)</f>
        <v>NA</v>
      </c>
      <c r="F499" s="214"/>
      <c r="G499" s="214"/>
      <c r="H499" s="214"/>
      <c r="I499" s="217"/>
      <c r="J499" s="215"/>
      <c r="K499"/>
      <c r="L499" s="218" t="str">
        <f ca="1">_xlfn.XLOOKUP(L475,RenewalPlans!B:B,RenewalPlans!AX:AX,"NA",0,1)</f>
        <v>NA</v>
      </c>
      <c r="M499" s="214"/>
      <c r="N499" s="214"/>
      <c r="O499" s="214"/>
      <c r="P499" s="217"/>
      <c r="Q499" s="214"/>
      <c r="R499" s="215"/>
      <c r="T499" s="218" t="str">
        <f>_xlfn.XLOOKUP(T475,RenewalPlans!B:B,RenewalPlans!AX:AX,"NA",0,1)</f>
        <v>NA</v>
      </c>
      <c r="U499" s="214"/>
      <c r="V499" s="214"/>
      <c r="W499" s="214"/>
      <c r="X499" s="217"/>
      <c r="Y499" s="214"/>
      <c r="Z499" s="215"/>
    </row>
    <row r="500" spans="1:26" ht="18" customHeight="1" hidden="1">
      <c r="A500" s="140"/>
      <c r="B500" s="140"/>
      <c r="D500" s="213" t="s">
        <v>271</v>
      </c>
      <c r="E500" s="216" t="str">
        <f>_xlfn.XLOOKUP(E475,CurrentPlans!B:B,CurrentPlans!AT:AT,"NA",0,1)</f>
        <v>NA</v>
      </c>
      <c r="F500" s="214"/>
      <c r="G500" s="214"/>
      <c r="H500" s="214"/>
      <c r="I500" s="217"/>
      <c r="J500" s="215"/>
      <c r="K500"/>
      <c r="L500" s="218" t="str">
        <f ca="1">_xlfn.XLOOKUP(L475,RenewalPlans!B:B,RenewalPlans!AW:AW,"NA",0,1)</f>
        <v>NA</v>
      </c>
      <c r="M500" s="214"/>
      <c r="N500" s="214"/>
      <c r="O500" s="214"/>
      <c r="P500" s="217"/>
      <c r="Q500" s="214"/>
      <c r="R500" s="215"/>
      <c r="T500" s="218" t="str">
        <f>_xlfn.XLOOKUP(T475,RenewalPlans!B:B,RenewalPlans!AW:AW,"NA",0,1)</f>
        <v>NA</v>
      </c>
      <c r="U500" s="214"/>
      <c r="V500" s="214"/>
      <c r="W500" s="214"/>
      <c r="X500" s="217"/>
      <c r="Y500" s="214"/>
      <c r="Z500" s="215"/>
    </row>
    <row r="501" spans="1:26" ht="18" customHeight="1" hidden="1">
      <c r="A501" s="140"/>
      <c r="B501" s="140"/>
      <c r="D501" s="198" t="s">
        <v>272</v>
      </c>
      <c r="E501" s="130" t="str">
        <f>_xlfn.XLOOKUP(E475,CurrentPlans!B:B,CurrentPlans!AD:AD,"NA",0,1)</f>
        <v>NA</v>
      </c>
      <c r="F501" s="200"/>
      <c r="G501" s="200"/>
      <c r="H501" s="200"/>
      <c r="I501" s="130"/>
      <c r="J501" s="201"/>
      <c r="K501"/>
      <c r="L501" s="131" t="str">
        <f ca="1">_xlfn.XLOOKUP(L475,RenewalPlans!B:B,RenewalPlans!AG:AG,"NA",0,1)</f>
        <v>NA</v>
      </c>
      <c r="M501" s="200"/>
      <c r="N501" s="200"/>
      <c r="O501" s="200"/>
      <c r="P501" s="130"/>
      <c r="Q501" s="200"/>
      <c r="R501" s="201"/>
      <c r="T501" s="131" t="str">
        <f>_xlfn.XLOOKUP(T475,RenewalPlans!B:B,RenewalPlans!AG:AG,"NA",0,1)</f>
        <v>NA</v>
      </c>
      <c r="U501" s="200"/>
      <c r="V501" s="200"/>
      <c r="W501" s="200"/>
      <c r="X501" s="130"/>
      <c r="Y501" s="200"/>
      <c r="Z501" s="201"/>
    </row>
    <row r="502" spans="1:26" ht="18" customHeight="1" hidden="1">
      <c r="A502" s="140"/>
      <c r="B502" s="140"/>
      <c r="D502" s="198" t="s">
        <v>273</v>
      </c>
      <c r="E502" s="200"/>
      <c r="F502" s="200"/>
      <c r="G502" s="200"/>
      <c r="H502" s="200"/>
      <c r="I502" s="200"/>
      <c r="J502" s="201"/>
      <c r="K502"/>
      <c r="L502" s="198"/>
      <c r="M502" s="200"/>
      <c r="N502" s="200"/>
      <c r="O502" s="200"/>
      <c r="P502" s="200"/>
      <c r="Q502" s="200"/>
      <c r="R502" s="201"/>
      <c r="T502" s="198"/>
      <c r="U502" s="200"/>
      <c r="V502" s="200"/>
      <c r="W502" s="200"/>
      <c r="X502" s="200"/>
      <c r="Y502" s="200"/>
      <c r="Z502" s="201"/>
    </row>
    <row r="503" spans="1:26" ht="18" customHeight="1" hidden="1">
      <c r="A503" s="140"/>
      <c r="B503" s="140"/>
      <c r="D503" s="210"/>
      <c r="E503" s="211"/>
      <c r="F503" s="211"/>
      <c r="G503" s="211"/>
      <c r="H503" s="211"/>
      <c r="I503" s="211"/>
      <c r="J503" s="212"/>
      <c r="K503"/>
      <c r="L503" s="210"/>
      <c r="M503" s="211"/>
      <c r="N503" s="211"/>
      <c r="O503" s="211"/>
      <c r="P503" s="211"/>
      <c r="Q503" s="211"/>
      <c r="R503" s="212"/>
      <c r="T503" s="210"/>
      <c r="U503" s="211"/>
      <c r="V503" s="211"/>
      <c r="W503" s="211"/>
      <c r="X503" s="211"/>
      <c r="Y503" s="211"/>
      <c r="Z503" s="212"/>
    </row>
    <row r="504" spans="1:26" ht="18" customHeight="1" hidden="1">
      <c r="A504" s="140"/>
      <c r="B504" s="140"/>
      <c r="D504" s="219" t="s">
        <v>274</v>
      </c>
      <c r="E504" s="220"/>
      <c r="F504" s="220"/>
      <c r="G504" s="220"/>
      <c r="H504" s="220"/>
      <c r="I504" s="220"/>
      <c r="J504" s="221"/>
      <c r="K504"/>
      <c r="L504" s="222"/>
      <c r="M504" s="220"/>
      <c r="N504" s="220"/>
      <c r="O504" s="220"/>
      <c r="P504" s="220"/>
      <c r="Q504" s="220"/>
      <c r="R504" s="221"/>
      <c r="T504" s="222"/>
      <c r="U504" s="220"/>
      <c r="V504" s="220"/>
      <c r="W504" s="220"/>
      <c r="X504" s="220"/>
      <c r="Y504" s="220"/>
      <c r="Z504" s="221"/>
    </row>
    <row r="505" spans="1:26" ht="18" customHeight="1" hidden="1">
      <c r="A505" s="140"/>
      <c r="B505" s="140"/>
      <c r="D505" s="223" t="s">
        <v>250</v>
      </c>
      <c r="E505" s="205"/>
      <c r="F505" s="205"/>
      <c r="G505" s="205"/>
      <c r="H505" s="205"/>
      <c r="I505" s="205"/>
      <c r="J505" s="206"/>
      <c r="K505"/>
      <c r="L505" s="203"/>
      <c r="M505" s="205"/>
      <c r="N505" s="205"/>
      <c r="O505" s="205"/>
      <c r="P505" s="205"/>
      <c r="Q505" s="205"/>
      <c r="R505" s="206"/>
      <c r="T505" s="203"/>
      <c r="U505" s="205"/>
      <c r="V505" s="205"/>
      <c r="W505" s="205"/>
      <c r="X505" s="205"/>
      <c r="Y505" s="205"/>
      <c r="Z505" s="206"/>
    </row>
    <row r="506" spans="1:26" ht="18" customHeight="1" hidden="1">
      <c r="A506" s="140"/>
      <c r="B506" s="140"/>
      <c r="D506" s="198" t="s">
        <v>251</v>
      </c>
      <c r="E506" s="130" t="str">
        <f>_xlfn.XLOOKUP(E475,CurrentPlans!B:B,CurrentPlans!AP:AP,"NA",0,1)</f>
        <v>NA</v>
      </c>
      <c r="F506" s="200"/>
      <c r="G506" s="200"/>
      <c r="H506" s="200"/>
      <c r="I506" s="130"/>
      <c r="J506" s="201"/>
      <c r="K506"/>
      <c r="L506" s="131" t="str">
        <f ca="1">_xlfn.XLOOKUP(L475,RenewalPlans!B:B,RenewalPlans!AS:AS,"NA",0,1)</f>
        <v>NA</v>
      </c>
      <c r="M506" s="200"/>
      <c r="N506" s="200"/>
      <c r="O506" s="200"/>
      <c r="P506" s="130"/>
      <c r="Q506" s="200"/>
      <c r="R506" s="201"/>
      <c r="T506" s="131" t="str">
        <f>_xlfn.XLOOKUP(T475,RenewalPlans!B:B,RenewalPlans!AS:AS,"NA",0,1)</f>
        <v>NA</v>
      </c>
      <c r="U506" s="200"/>
      <c r="V506" s="200"/>
      <c r="W506" s="200"/>
      <c r="X506" s="130"/>
      <c r="Y506" s="200"/>
      <c r="Z506" s="201"/>
    </row>
    <row r="507" spans="1:26" ht="18" customHeight="1" hidden="1">
      <c r="A507" s="140"/>
      <c r="B507" s="140"/>
      <c r="D507" s="198" t="s">
        <v>252</v>
      </c>
      <c r="E507" s="130" t="str">
        <f>_xlfn.XLOOKUP(E475,CurrentPlans!B:B,CurrentPlans!AQ:AQ,"NA",0,1)</f>
        <v>NA</v>
      </c>
      <c r="F507" s="200"/>
      <c r="G507" s="200"/>
      <c r="H507" s="200"/>
      <c r="I507" s="130"/>
      <c r="J507" s="201"/>
      <c r="K507"/>
      <c r="L507" s="131" t="str">
        <f ca="1">_xlfn.XLOOKUP(L475,RenewalPlans!B:B,RenewalPlans!AT:AT,"NA",0,1)</f>
        <v>NA</v>
      </c>
      <c r="M507" s="200"/>
      <c r="N507" s="200"/>
      <c r="O507" s="200"/>
      <c r="P507" s="130"/>
      <c r="Q507" s="200"/>
      <c r="R507" s="201"/>
      <c r="T507" s="131" t="str">
        <f>_xlfn.XLOOKUP(T475,RenewalPlans!B:B,RenewalPlans!AT:AT,"NA",0,1)</f>
        <v>NA</v>
      </c>
      <c r="U507" s="200"/>
      <c r="V507" s="200"/>
      <c r="W507" s="200"/>
      <c r="X507" s="130"/>
      <c r="Y507" s="200"/>
      <c r="Z507" s="201"/>
    </row>
    <row r="508" spans="1:26" ht="18" customHeight="1" hidden="1">
      <c r="A508" s="140"/>
      <c r="B508" s="140"/>
      <c r="D508" s="120" t="s">
        <v>253</v>
      </c>
      <c r="E508" s="133" t="str">
        <f>_xlfn.XLOOKUP(E475,CurrentPlans!B:B,CurrentPlans!AO:AO,"NA",0,1)</f>
        <v>NA</v>
      </c>
      <c r="F508" s="122"/>
      <c r="G508" s="122"/>
      <c r="H508" s="122"/>
      <c r="I508" s="133"/>
      <c r="J508" s="123"/>
      <c r="K508"/>
      <c r="L508" s="136" t="str">
        <f ca="1">_xlfn.XLOOKUP(L475,RenewalPlans!B:B,RenewalPlans!AR:AR,"NA",0,1)</f>
        <v>NA</v>
      </c>
      <c r="M508" s="122"/>
      <c r="N508" s="122"/>
      <c r="O508" s="122"/>
      <c r="P508" s="133"/>
      <c r="Q508" s="122"/>
      <c r="R508" s="123"/>
      <c r="T508" s="136" t="str">
        <f>_xlfn.XLOOKUP(T475,RenewalPlans!B:B,RenewalPlans!AR:AR,"NA",0,1)</f>
        <v>NA</v>
      </c>
      <c r="U508" s="122"/>
      <c r="V508" s="122"/>
      <c r="W508" s="122"/>
      <c r="X508" s="133"/>
      <c r="Y508" s="122"/>
      <c r="Z508" s="123"/>
    </row>
    <row r="509" spans="1:26" ht="18" customHeight="1" hidden="1">
      <c r="A509" s="140"/>
      <c r="B509" s="140"/>
      <c r="D509" s="223" t="s">
        <v>254</v>
      </c>
      <c r="E509" s="205"/>
      <c r="F509" s="205"/>
      <c r="G509" s="205"/>
      <c r="H509" s="205"/>
      <c r="I509" s="205"/>
      <c r="J509" s="206"/>
      <c r="K509"/>
      <c r="L509" s="203"/>
      <c r="M509" s="205"/>
      <c r="N509" s="205"/>
      <c r="O509" s="205"/>
      <c r="P509" s="205"/>
      <c r="Q509" s="205"/>
      <c r="R509" s="206"/>
      <c r="T509" s="203"/>
      <c r="U509" s="205"/>
      <c r="V509" s="205"/>
      <c r="W509" s="205"/>
      <c r="X509" s="205"/>
      <c r="Y509" s="205"/>
      <c r="Z509" s="206"/>
    </row>
    <row r="510" spans="1:26" ht="18" customHeight="1" hidden="1">
      <c r="A510" s="140"/>
      <c r="B510" s="140"/>
      <c r="D510" s="198" t="s">
        <v>255</v>
      </c>
      <c r="E510" s="130" t="str">
        <f>_xlfn.XLOOKUP(E475,CurrentPlans!B:B,CurrentPlans!AR:AR,"NA",0,1)</f>
        <v>NA</v>
      </c>
      <c r="F510" s="200"/>
      <c r="G510" s="200"/>
      <c r="H510" s="200"/>
      <c r="I510" s="130"/>
      <c r="J510" s="201"/>
      <c r="K510"/>
      <c r="L510" s="131" t="str">
        <f ca="1">_xlfn.XLOOKUP(L475,RenewalPlans!B:B,RenewalPlans!AU:AU,"NA",0,1)</f>
        <v>NA</v>
      </c>
      <c r="M510" s="200"/>
      <c r="N510" s="200"/>
      <c r="O510" s="200"/>
      <c r="P510" s="130"/>
      <c r="Q510" s="200"/>
      <c r="R510" s="201"/>
      <c r="T510" s="131" t="str">
        <f>_xlfn.XLOOKUP(T475,RenewalPlans!B:B,RenewalPlans!AU:AU,"NA",0,1)</f>
        <v>NA</v>
      </c>
      <c r="U510" s="200"/>
      <c r="V510" s="200"/>
      <c r="W510" s="200"/>
      <c r="X510" s="130"/>
      <c r="Y510" s="200"/>
      <c r="Z510" s="201"/>
    </row>
    <row r="511" spans="1:26" ht="18" customHeight="1" hidden="1" thickBot="1">
      <c r="A511" s="140"/>
      <c r="B511" s="140"/>
      <c r="D511" s="224" t="s">
        <v>256</v>
      </c>
      <c r="E511" s="137" t="str">
        <f>_xlfn.XLOOKUP(E475,CurrentPlans!B:B,CurrentPlans!AS:AS,"NA",0,1)</f>
        <v>NA</v>
      </c>
      <c r="F511" s="225"/>
      <c r="G511" s="225"/>
      <c r="H511" s="225"/>
      <c r="I511" s="137"/>
      <c r="J511" s="226"/>
      <c r="K511"/>
      <c r="L511" s="138" t="str">
        <f ca="1">_xlfn.XLOOKUP(L475,RenewalPlans!B:B,RenewalPlans!AV:AV,"NA",0,1)</f>
        <v>NA</v>
      </c>
      <c r="M511" s="225"/>
      <c r="N511" s="225"/>
      <c r="O511" s="225"/>
      <c r="P511" s="137"/>
      <c r="Q511" s="225"/>
      <c r="R511" s="226"/>
      <c r="T511" s="138" t="str">
        <f>_xlfn.XLOOKUP(T475,RenewalPlans!B:B,RenewalPlans!AV:AV,"NA",0,1)</f>
        <v>NA</v>
      </c>
      <c r="U511" s="225"/>
      <c r="V511" s="225"/>
      <c r="W511" s="225"/>
      <c r="X511" s="137"/>
      <c r="Y511" s="225"/>
      <c r="Z511" s="226"/>
    </row>
    <row r="512" spans="1:26" ht="18" customHeight="1">
      <c r="A512" s="140"/>
      <c r="B512" s="140"/>
      <c r="D512" s="227"/>
      <c r="E512" s="176"/>
      <c r="F512" s="178"/>
      <c r="G512" s="179"/>
      <c r="H512" s="178"/>
      <c r="I512" s="176"/>
      <c r="J512" s="228"/>
      <c r="K512"/>
      <c r="L512" s="178"/>
      <c r="M512" s="176"/>
      <c r="N512" s="139"/>
      <c r="O512" s="178"/>
      <c r="P512" s="178"/>
      <c r="Q512" s="178"/>
      <c r="R512" s="228"/>
      <c r="T512" s="178"/>
      <c r="U512" s="176"/>
      <c r="V512" s="139"/>
      <c r="W512" s="178"/>
      <c r="X512" s="178"/>
      <c r="Y512" s="178"/>
      <c r="Z512" s="228"/>
    </row>
    <row r="513" spans="1:26" ht="5.25" customHeight="1" thickBot="1">
      <c r="A513" s="140"/>
      <c r="B513" s="140"/>
      <c r="D513" s="229"/>
      <c r="E513" s="229"/>
      <c r="F513" s="230"/>
      <c r="G513" s="231"/>
      <c r="H513" s="232"/>
      <c r="I513" s="233"/>
      <c r="J513" s="233"/>
      <c r="K513"/>
      <c r="L513" s="233"/>
      <c r="M513" s="233"/>
      <c r="N513" s="233"/>
      <c r="O513" s="233"/>
      <c r="P513" s="233"/>
      <c r="Q513" s="233"/>
      <c r="R513" s="233"/>
      <c r="T513" s="233"/>
      <c r="U513" s="233"/>
      <c r="V513" s="233"/>
      <c r="W513" s="233"/>
      <c r="X513" s="233"/>
      <c r="Y513" s="233"/>
      <c r="Z513" s="233"/>
    </row>
    <row r="514" spans="1:26" ht="50.15" customHeight="1">
      <c r="A514" s="140"/>
      <c r="B514" s="140"/>
      <c r="C514" s="164" t="s">
        <v>284</v>
      </c>
      <c r="D514" s="275" t="s">
        <v>285</v>
      </c>
      <c r="E514" s="165"/>
      <c r="F514" s="321"/>
      <c r="G514" s="166"/>
      <c r="H514" s="167"/>
      <c r="I514" s="168"/>
      <c r="J514" s="169"/>
      <c r="K514"/>
      <c r="L514" s="274" t="s">
        <v>38</v>
      </c>
      <c r="M514" s="170"/>
      <c r="N514" s="274" t="s">
        <v>237</v>
      </c>
      <c r="O514" s="171"/>
      <c r="P514" s="171"/>
      <c r="Q514" s="171"/>
      <c r="R514" s="169"/>
      <c r="T514" s="274" t="s">
        <v>38</v>
      </c>
      <c r="U514" s="170"/>
      <c r="V514" s="274" t="s">
        <v>237</v>
      </c>
      <c r="W514" s="171"/>
      <c r="X514" s="171"/>
      <c r="Y514" s="171"/>
      <c r="Z514" s="169"/>
    </row>
    <row r="515" spans="1:26" ht="18.75" customHeight="1">
      <c r="A515" s="140"/>
      <c r="B515" s="140"/>
      <c r="D515" s="172" t="s">
        <v>238</v>
      </c>
      <c r="E515" s="407"/>
      <c r="F515" s="449"/>
      <c r="G515" s="470"/>
      <c r="H515" s="449"/>
      <c r="I515" s="450"/>
      <c r="J515" s="410"/>
      <c r="K515" s="411"/>
      <c r="L515" s="408" t="str" cm="1">
        <f t="array" ca="1" aca="1" ref="L515">_xlfn.IFNA(VLOOKUP(INDIRECT("L"&amp;ROW()-1)&amp;"_"&amp;$D$12,BEGIN_RENEW_HEALTH:END_RENEW_HEALTH,RENEW_COL_EO,FALSE),"")</f>
        <v/>
      </c>
      <c r="M515" s="412" t="str">
        <f>IF(E515="","",E515)</f>
        <v/>
      </c>
      <c r="N515" s="413"/>
      <c r="O515" s="414"/>
      <c r="P515" s="415" t="str">
        <f>IFERROR(IF($N514="Keep Contribution Same",H515,IF($N514="Enter Percentages",IF(N515="","",N515*L515),IF($N514="Keep Percentage Same",IF(G515="","",G515*L515),IF($N514="Enter Dollar Amount",IF(O515="","",O515),"")))),"")</f>
        <v/>
      </c>
      <c r="Q515" s="408" t="str">
        <f ca="1">IFERROR(L515-P515,"")</f>
        <v/>
      </c>
      <c r="R515" s="410" t="str">
        <f>IFERROR(IF(P515="","",M515*P515),"")</f>
        <v/>
      </c>
      <c r="S515" s="411"/>
      <c r="T515" s="408" t="str" cm="1">
        <f t="array" ca="1" aca="1" ref="T515">_xlfn.IFNA(VLOOKUP(INDIRECT("T"&amp;ROW()-1)&amp;"_"&amp;$D$12,BEGIN_RENEW_HEALTH:END_RENEW_HEALTH,RENEW_COL_EO,FALSE),"")</f>
        <v/>
      </c>
      <c r="U515" s="412" t="str">
        <f>IF(E515="","",E515)</f>
        <v/>
      </c>
      <c r="V515" s="413"/>
      <c r="W515" s="414"/>
      <c r="X515" s="415" t="str">
        <f>IFERROR(IF($V514="Keep Contribution Same",H515,IF($V514="Enter Percentages",IF(V515="","",V515*T515),IF($V514="Keep Percentage Same",IF(G515="","",G515*T515),IF($V514="Enter Dollar Amount",IF(W515="","",W515),"")))),"")</f>
        <v/>
      </c>
      <c r="Y515" s="408" t="str">
        <f ca="1">IFERROR(T515-X515,"")</f>
        <v/>
      </c>
      <c r="Z515" s="410" t="str">
        <f>IFERROR(IF(X515="","",U515*X515),"")</f>
        <v/>
      </c>
    </row>
    <row r="516" spans="1:26" ht="18.75" customHeight="1">
      <c r="A516" s="140"/>
      <c r="B516" s="140"/>
      <c r="D516" s="172" t="s">
        <v>239</v>
      </c>
      <c r="E516" s="407"/>
      <c r="F516" s="449"/>
      <c r="G516" s="470"/>
      <c r="H516" s="449"/>
      <c r="I516" s="450"/>
      <c r="J516" s="410"/>
      <c r="K516" s="411"/>
      <c r="L516" s="408" t="str" cm="1">
        <f t="array" ca="1" aca="1" ref="L516">_xlfn.IFNA(VLOOKUP(INDIRECT("L"&amp;ROW()-2)&amp;"_"&amp;$D$12,BEGIN_RENEW_HEALTH:END_RENEW_HEALTH,RENEW_COL_ES,FALSE),"")</f>
        <v/>
      </c>
      <c r="M516" s="412" t="str">
        <f>IF(E516="","",E516)</f>
        <v/>
      </c>
      <c r="N516" s="413"/>
      <c r="O516" s="414"/>
      <c r="P516" s="415" t="str">
        <f>IFERROR(IF($N514="Keep Contribution Same",H516,IF($N514="Enter Percentages",IF(N516="","",N516*L516),IF($N514="Keep Percentage Same",IF(G516="","",G516*L516),IF($N514="Enter Dollar Amount",IF(O516="","",O516),"")))),"")</f>
        <v/>
      </c>
      <c r="Q516" s="408" t="str">
        <f ca="1" t="shared" si="50" ref="Q516:Q518">IFERROR(L516-P516,"")</f>
        <v/>
      </c>
      <c r="R516" s="410" t="str">
        <f>IFERROR(IF(P516="","",M516*P516),"")</f>
        <v/>
      </c>
      <c r="S516" s="411"/>
      <c r="T516" s="408" t="str" cm="1">
        <f t="array" ca="1" aca="1" ref="T516">_xlfn.IFNA(VLOOKUP(INDIRECT("T"&amp;ROW()-2)&amp;"_"&amp;$D$12,BEGIN_RENEW_HEALTH:END_RENEW_HEALTH,RENEW_COL_ES,FALSE),"")</f>
        <v/>
      </c>
      <c r="U516" s="412" t="str">
        <f t="shared" si="51" ref="U516:U518">IF(E516="","",E516)</f>
        <v/>
      </c>
      <c r="V516" s="413"/>
      <c r="W516" s="414"/>
      <c r="X516" s="415" t="str">
        <f>IFERROR(IF($V514="Keep Contribution Same",H516,IF($V514="Enter Percentages",IF(V516="","",V516*T516),IF($V514="Keep Percentage Same",IF(G516="","",G516*T516),IF($V514="Enter Dollar Amount",IF(W516="","",W516),"")))),"")</f>
        <v/>
      </c>
      <c r="Y516" s="408" t="str">
        <f ca="1" t="shared" si="52" ref="Y516:Y518">IFERROR(T516-X516,"")</f>
        <v/>
      </c>
      <c r="Z516" s="410" t="str">
        <f t="shared" si="53" ref="Z516:Z518">IFERROR(IF(X516="","",U516*X516),"")</f>
        <v/>
      </c>
    </row>
    <row r="517" spans="1:26" ht="18.75" customHeight="1">
      <c r="A517" s="140"/>
      <c r="B517" s="140"/>
      <c r="D517" s="172" t="s">
        <v>240</v>
      </c>
      <c r="E517" s="407"/>
      <c r="F517" s="449"/>
      <c r="G517" s="470"/>
      <c r="H517" s="449"/>
      <c r="I517" s="450"/>
      <c r="J517" s="410"/>
      <c r="K517" s="411"/>
      <c r="L517" s="408" t="str" cm="1">
        <f t="array" ca="1" aca="1" ref="L517">_xlfn.IFNA(VLOOKUP(INDIRECT("L"&amp;ROW()-3)&amp;"_"&amp;$D$12,BEGIN_RENEW_HEALTH:END_RENEW_HEALTH,RENEW_COL_EC,FALSE),"")</f>
        <v/>
      </c>
      <c r="M517" s="412" t="str">
        <f>IF(E517="","",E517)</f>
        <v/>
      </c>
      <c r="N517" s="413"/>
      <c r="O517" s="414"/>
      <c r="P517" s="415" t="str">
        <f>IFERROR(IF($N514="Keep Contribution Same",H517,IF($N514="Enter Percentages",IF(N517="","",N517*L517),IF($N514="Keep Percentage Same",IF(G517="","",G517*L517),IF($N514="Enter Dollar Amount",IF(O517="","",O517),"")))),"")</f>
        <v/>
      </c>
      <c r="Q517" s="408" t="str">
        <f t="shared" ca="1" si="50"/>
        <v/>
      </c>
      <c r="R517" s="410" t="str">
        <f>IFERROR(IF(P517="","",M517*P517),"")</f>
        <v/>
      </c>
      <c r="S517" s="411"/>
      <c r="T517" s="408" t="str" cm="1">
        <f t="array" ca="1" aca="1" ref="T517">_xlfn.IFNA(VLOOKUP(INDIRECT("T"&amp;ROW()-3)&amp;"_"&amp;$D$12,BEGIN_RENEW_HEALTH:END_RENEW_HEALTH,RENEW_COL_EC,FALSE),"")</f>
        <v/>
      </c>
      <c r="U517" s="412" t="str">
        <f t="shared" si="51"/>
        <v/>
      </c>
      <c r="V517" s="413"/>
      <c r="W517" s="414"/>
      <c r="X517" s="415" t="str">
        <f>IFERROR(IF($V514="Keep Contribution Same",H517,IF($V514="Enter Percentages",IF(V517="","",V517*T517),IF($V514="Keep Percentage Same",IF(G517="","",G517*T517),IF($V514="Enter Dollar Amount",IF(W517="","",W517),"")))),"")</f>
        <v/>
      </c>
      <c r="Y517" s="408" t="str">
        <f t="shared" ca="1" si="52"/>
        <v/>
      </c>
      <c r="Z517" s="410" t="str">
        <f t="shared" si="53"/>
        <v/>
      </c>
    </row>
    <row r="518" spans="1:26" ht="18.75" customHeight="1" thickBot="1">
      <c r="A518" s="140"/>
      <c r="B518" s="140"/>
      <c r="D518" s="174" t="s">
        <v>241</v>
      </c>
      <c r="E518" s="416"/>
      <c r="F518" s="451"/>
      <c r="G518" s="471"/>
      <c r="H518" s="451"/>
      <c r="I518" s="452"/>
      <c r="J518" s="419"/>
      <c r="K518" s="411"/>
      <c r="L518" s="417" t="str" cm="1">
        <f t="array" ca="1" aca="1" ref="L518">_xlfn.IFNA(VLOOKUP(INDIRECT("L"&amp;ROW()-4)&amp;"_"&amp;$D$12,BEGIN_RENEW_HEALTH:END_RENEW_HEALTH,RENEW_COL_FAM,FALSE),"")</f>
        <v/>
      </c>
      <c r="M518" s="423" t="str">
        <f>IF(E518="","",E518)</f>
        <v/>
      </c>
      <c r="N518" s="420"/>
      <c r="O518" s="421"/>
      <c r="P518" s="422" t="str">
        <f>IFERROR(IF($N514="Keep Contribution Same",H518,IF($N514="Enter Percentages",IF(N518="","",N518*L518),IF($N514="Keep Percentage Same",IF(G518="","",G518*L518),IF($N514="Enter Dollar Amount",IF(O518="","",O518),"")))),"")</f>
        <v/>
      </c>
      <c r="Q518" s="417" t="str">
        <f t="shared" ca="1" si="50"/>
        <v/>
      </c>
      <c r="R518" s="419" t="str">
        <f>IFERROR(IF(P518="","",M518*P518),"")</f>
        <v/>
      </c>
      <c r="S518" s="411"/>
      <c r="T518" s="417" t="str" cm="1">
        <f t="array" ca="1" aca="1" ref="T518">_xlfn.IFNA(VLOOKUP(INDIRECT("T"&amp;ROW()-4)&amp;"_"&amp;$D$12,BEGIN_RENEW_HEALTH:END_RENEW_HEALTH,RENEW_COL_FAM,FALSE),"")</f>
        <v/>
      </c>
      <c r="U518" s="423" t="str">
        <f t="shared" si="51"/>
        <v/>
      </c>
      <c r="V518" s="420"/>
      <c r="W518" s="421"/>
      <c r="X518" s="422" t="str">
        <f>IFERROR(IF($V514="Keep Contribution Same",H518,IF($V514="Enter Percentages",IF(V518="","",V518*T518),IF($V514="Keep Percentage Same",IF(G518="","",G518*T518),IF($V514="Enter Dollar Amount",IF(W518="","",W518),"")))),"")</f>
        <v/>
      </c>
      <c r="Y518" s="417" t="str">
        <f t="shared" ca="1" si="52"/>
        <v/>
      </c>
      <c r="Z518" s="419" t="str">
        <f t="shared" si="53"/>
        <v/>
      </c>
    </row>
    <row r="519" spans="1:26" ht="18.75" customHeight="1" thickTop="1">
      <c r="A519" s="140"/>
      <c r="B519" s="140"/>
      <c r="D519" s="175" t="s">
        <v>329</v>
      </c>
      <c r="E519" s="424"/>
      <c r="F519" s="447">
        <f>IFERROR((F515*E515)+(F516*E516)+(F517*E517)+(F518*E518),"")</f>
        <v>0</v>
      </c>
      <c r="G519" s="426"/>
      <c r="H519" s="427"/>
      <c r="I519" s="428"/>
      <c r="J519" s="429" t="str">
        <f>IFERROR(IF(J515="","",SUM(J515:J518)),0)</f>
        <v/>
      </c>
      <c r="K519" s="1"/>
      <c r="L519" s="430" t="str">
        <f ca="1">IFERROR((M515*L515)+(M516*L516)+(M517*L517)+(M518*L518),"")</f>
        <v/>
      </c>
      <c r="M519" s="427"/>
      <c r="N519" s="426"/>
      <c r="O519" s="427"/>
      <c r="P519" s="431"/>
      <c r="Q519" s="432"/>
      <c r="R519" s="429" t="str">
        <f>IFERROR(IF(R515="","",SUM(R515:R518)),0)</f>
        <v/>
      </c>
      <c r="T519" s="430" t="str">
        <f ca="1">IFERROR((U515*T515)+(U516*T516)+(U517*T517)+(U518*T518),"")</f>
        <v/>
      </c>
      <c r="U519" s="427"/>
      <c r="V519" s="426"/>
      <c r="W519" s="427"/>
      <c r="X519" s="431"/>
      <c r="Y519" s="432"/>
      <c r="Z519" s="429" t="str">
        <f>IFERROR(IF(Z515="","",SUM(Z515:Z518)),0)</f>
        <v/>
      </c>
    </row>
    <row r="520" spans="1:26" ht="18.75" customHeight="1">
      <c r="A520" s="140"/>
      <c r="B520" s="140"/>
      <c r="D520" s="177" t="s">
        <v>243</v>
      </c>
      <c r="E520" s="433"/>
      <c r="F520" s="448">
        <f>IFERROR(F519*12,"")</f>
        <v>0</v>
      </c>
      <c r="G520" s="435"/>
      <c r="H520" s="436"/>
      <c r="I520" s="432"/>
      <c r="J520" s="437" t="str">
        <f>IF(J519="","",J519*12)</f>
        <v/>
      </c>
      <c r="K520" s="1"/>
      <c r="L520" s="438" t="str">
        <f ca="1">IFERROR(L519*12,"")</f>
        <v/>
      </c>
      <c r="M520" s="436"/>
      <c r="N520" s="435"/>
      <c r="O520" s="436"/>
      <c r="P520" s="432"/>
      <c r="Q520" s="432"/>
      <c r="R520" s="437" t="str">
        <f>IF(R519="","",R519*12)</f>
        <v/>
      </c>
      <c r="T520" s="438" t="str">
        <f ca="1">IFERROR(T519*12,"")</f>
        <v/>
      </c>
      <c r="U520" s="436"/>
      <c r="V520" s="435"/>
      <c r="W520" s="436"/>
      <c r="X520" s="432"/>
      <c r="Y520" s="432"/>
      <c r="Z520" s="437" t="str">
        <f>IF(Z519="","",Z519*12)</f>
        <v/>
      </c>
    </row>
    <row r="521" spans="1:26" ht="18" customHeight="1">
      <c r="A521" s="140"/>
      <c r="B521" s="140"/>
      <c r="D521" s="177" t="s">
        <v>244</v>
      </c>
      <c r="E521" s="433"/>
      <c r="F521" s="436"/>
      <c r="G521" s="435"/>
      <c r="H521" s="436"/>
      <c r="I521" s="432"/>
      <c r="J521" s="437" t="str">
        <f>IFERROR(IF(J520="","",R520-J520),0)</f>
        <v/>
      </c>
      <c r="K521" s="1"/>
      <c r="L521" s="434" t="str">
        <f ca="1">IFERROR(L520-F520,"")</f>
        <v/>
      </c>
      <c r="M521" s="436"/>
      <c r="N521" s="435"/>
      <c r="O521" s="436"/>
      <c r="P521" s="432"/>
      <c r="Q521" s="432"/>
      <c r="R521" s="437" t="str">
        <f>IFERROR(IF(J520="","",R520-J520),0)</f>
        <v/>
      </c>
      <c r="T521" s="434" t="str">
        <f ca="1">IFERROR(T520-F520,"")</f>
        <v/>
      </c>
      <c r="U521" s="436"/>
      <c r="V521" s="435"/>
      <c r="W521" s="436"/>
      <c r="X521" s="432"/>
      <c r="Y521" s="432"/>
      <c r="Z521" s="437" t="str">
        <f>IFERROR(IF(R520="","",Z520-R520),0)</f>
        <v/>
      </c>
    </row>
    <row r="522" spans="1:26" ht="18" customHeight="1" thickBot="1">
      <c r="A522" s="140"/>
      <c r="B522" s="140"/>
      <c r="D522" s="180" t="s">
        <v>245</v>
      </c>
      <c r="E522" s="439"/>
      <c r="F522" s="440"/>
      <c r="G522" s="441"/>
      <c r="H522" s="440"/>
      <c r="I522" s="442"/>
      <c r="J522" s="437" t="str">
        <f>IFERROR(IF(J520="","",(R520/J520)-1),0)</f>
        <v/>
      </c>
      <c r="K522" s="1"/>
      <c r="L522" s="444" t="str">
        <f ca="1">IFERROR(L520/F520-1,"")</f>
        <v/>
      </c>
      <c r="M522" s="440"/>
      <c r="N522" s="441"/>
      <c r="O522" s="440"/>
      <c r="P522" s="445"/>
      <c r="Q522" s="445"/>
      <c r="R522" s="446" t="str">
        <f>IFERROR(IF(J520="","",(R520/J520)-1),0)</f>
        <v/>
      </c>
      <c r="T522" s="444" t="str">
        <f ca="1">IFERROR(T520/F520-1,"")</f>
        <v/>
      </c>
      <c r="U522" s="440"/>
      <c r="V522" s="441"/>
      <c r="W522" s="440"/>
      <c r="X522" s="445"/>
      <c r="Y522" s="445"/>
      <c r="Z522" s="446" t="str">
        <f>IFERROR(IF(R520="","",(Z520/R520)-1),0)</f>
        <v/>
      </c>
    </row>
    <row r="523" spans="1:26" ht="18" customHeight="1">
      <c r="A523" s="140"/>
      <c r="B523" s="140"/>
      <c r="D523" s="181" t="s">
        <v>246</v>
      </c>
      <c r="E523" s="182"/>
      <c r="F523" s="182"/>
      <c r="G523" s="182"/>
      <c r="H523" s="182"/>
      <c r="I523" s="182"/>
      <c r="J523" s="183"/>
      <c r="K523"/>
      <c r="L523" s="184"/>
      <c r="M523" s="182"/>
      <c r="N523" s="182"/>
      <c r="O523" s="182"/>
      <c r="P523" s="182"/>
      <c r="Q523" s="182"/>
      <c r="R523" s="183"/>
      <c r="T523" s="184"/>
      <c r="U523" s="182"/>
      <c r="V523" s="182"/>
      <c r="W523" s="182"/>
      <c r="X523" s="182"/>
      <c r="Y523" s="182"/>
      <c r="Z523" s="183"/>
    </row>
    <row r="524" spans="1:26" ht="18" customHeight="1" hidden="1">
      <c r="A524" s="140"/>
      <c r="B524" s="140"/>
      <c r="D524" s="185" t="s">
        <v>247</v>
      </c>
      <c r="E524" s="186"/>
      <c r="F524" s="186"/>
      <c r="G524" s="186"/>
      <c r="H524" s="186"/>
      <c r="I524" s="186"/>
      <c r="J524" s="187"/>
      <c r="K524"/>
      <c r="L524" s="188"/>
      <c r="M524" s="186"/>
      <c r="N524" s="186"/>
      <c r="O524" s="186"/>
      <c r="P524" s="186"/>
      <c r="Q524" s="186"/>
      <c r="R524" s="187"/>
      <c r="T524" s="188"/>
      <c r="U524" s="186"/>
      <c r="V524" s="186"/>
      <c r="W524" s="186"/>
      <c r="X524" s="186"/>
      <c r="Y524" s="186"/>
      <c r="Z524" s="187"/>
    </row>
    <row r="525" spans="1:26" ht="18" customHeight="1" hidden="1">
      <c r="A525" s="140"/>
      <c r="B525" s="140"/>
      <c r="D525" s="189" t="s">
        <v>248</v>
      </c>
      <c r="E525" s="190" t="str">
        <f>D514&amp;"_"&amp;D12</f>
        <v>NEW PLAN_</v>
      </c>
      <c r="F525" s="191"/>
      <c r="G525" s="191"/>
      <c r="H525" s="191"/>
      <c r="I525" s="190"/>
      <c r="J525" s="192"/>
      <c r="K525"/>
      <c r="L525" s="193" t="str">
        <f>L514&amp;"_"&amp;D12</f>
        <v>SELECT PLAN_</v>
      </c>
      <c r="M525" s="191"/>
      <c r="N525" s="191"/>
      <c r="O525" s="191"/>
      <c r="P525" s="190"/>
      <c r="Q525" s="191"/>
      <c r="R525" s="192"/>
      <c r="T525" s="193" t="str">
        <f>T514&amp;"_"&amp;D12</f>
        <v>SELECT PLAN_</v>
      </c>
      <c r="U525" s="191"/>
      <c r="V525" s="191"/>
      <c r="W525" s="191"/>
      <c r="X525" s="190"/>
      <c r="Y525" s="191"/>
      <c r="Z525" s="192"/>
    </row>
    <row r="526" spans="1:26" ht="18" customHeight="1" hidden="1">
      <c r="A526" s="140"/>
      <c r="B526" s="140"/>
      <c r="D526" s="189" t="s">
        <v>249</v>
      </c>
      <c r="E526" s="191"/>
      <c r="F526" s="191"/>
      <c r="G526" s="191"/>
      <c r="H526" s="191"/>
      <c r="I526" s="191"/>
      <c r="J526" s="192"/>
      <c r="K526"/>
      <c r="L526" s="189"/>
      <c r="M526" s="191"/>
      <c r="N526" s="191"/>
      <c r="O526" s="191"/>
      <c r="P526" s="191"/>
      <c r="Q526" s="191"/>
      <c r="R526" s="192"/>
      <c r="T526" s="189"/>
      <c r="U526" s="191"/>
      <c r="V526" s="191"/>
      <c r="W526" s="191"/>
      <c r="X526" s="191"/>
      <c r="Y526" s="191"/>
      <c r="Z526" s="192"/>
    </row>
    <row r="527" spans="1:26" ht="18" customHeight="1" hidden="1">
      <c r="A527" s="140"/>
      <c r="B527" s="140"/>
      <c r="D527" s="194" t="s">
        <v>250</v>
      </c>
      <c r="E527" s="195"/>
      <c r="F527" s="195"/>
      <c r="G527" s="195"/>
      <c r="H527" s="195"/>
      <c r="I527" s="195"/>
      <c r="J527" s="196"/>
      <c r="K527"/>
      <c r="L527" s="197"/>
      <c r="M527" s="195"/>
      <c r="N527" s="195"/>
      <c r="O527" s="195"/>
      <c r="P527" s="195"/>
      <c r="Q527" s="195"/>
      <c r="R527" s="196"/>
      <c r="T527" s="197"/>
      <c r="U527" s="195"/>
      <c r="V527" s="195"/>
      <c r="W527" s="195"/>
      <c r="X527" s="195"/>
      <c r="Y527" s="195"/>
      <c r="Z527" s="196"/>
    </row>
    <row r="528" spans="1:26" ht="18" customHeight="1" hidden="1">
      <c r="A528" s="140"/>
      <c r="B528" s="140"/>
      <c r="D528" s="198" t="s">
        <v>251</v>
      </c>
      <c r="E528" s="199" t="str">
        <f>_xlfn.XLOOKUP(E525,CurrentPlans!B:B,CurrentPlans!X:X,"NA",0,1)</f>
        <v>NA</v>
      </c>
      <c r="F528" s="200"/>
      <c r="G528" s="200"/>
      <c r="H528" s="200"/>
      <c r="I528" s="199"/>
      <c r="J528" s="201"/>
      <c r="K528"/>
      <c r="L528" s="202" t="str">
        <f>_xlfn.XLOOKUP(L525,RenewalPlans!B:B,RenewalPlans!AA:AA,"NA",0,1)</f>
        <v>NA</v>
      </c>
      <c r="M528" s="200"/>
      <c r="N528" s="200"/>
      <c r="O528" s="200"/>
      <c r="P528" s="199"/>
      <c r="Q528" s="200"/>
      <c r="R528" s="201"/>
      <c r="T528" s="202" t="str">
        <f>_xlfn.XLOOKUP(T525,RenewalPlans!B:B,RenewalPlans!AA:AA,"NA",0,1)</f>
        <v>NA</v>
      </c>
      <c r="U528" s="200"/>
      <c r="V528" s="200"/>
      <c r="W528" s="200"/>
      <c r="X528" s="199"/>
      <c r="Y528" s="200"/>
      <c r="Z528" s="201"/>
    </row>
    <row r="529" spans="1:26" ht="18" customHeight="1" hidden="1">
      <c r="A529" s="140"/>
      <c r="B529" s="140"/>
      <c r="D529" s="198" t="s">
        <v>252</v>
      </c>
      <c r="E529" s="199" t="str">
        <f>_xlfn.XLOOKUP(E525,CurrentPlans!B:B,CurrentPlans!Y:Y,"NA",0,1)</f>
        <v>NA</v>
      </c>
      <c r="F529" s="200"/>
      <c r="G529" s="200"/>
      <c r="H529" s="200"/>
      <c r="I529" s="199"/>
      <c r="J529" s="201"/>
      <c r="K529"/>
      <c r="L529" s="202" t="str">
        <f>_xlfn.XLOOKUP(L525,RenewalPlans!B:B,RenewalPlans!AB:AB,"NA",0,1)</f>
        <v>NA</v>
      </c>
      <c r="M529" s="200"/>
      <c r="N529" s="200"/>
      <c r="O529" s="200"/>
      <c r="P529" s="199"/>
      <c r="Q529" s="200"/>
      <c r="R529" s="201"/>
      <c r="T529" s="202" t="str">
        <f>_xlfn.XLOOKUP(T525,RenewalPlans!B:B,RenewalPlans!AB:AB,"NA",0,1)</f>
        <v>NA</v>
      </c>
      <c r="U529" s="200"/>
      <c r="V529" s="200"/>
      <c r="W529" s="200"/>
      <c r="X529" s="199"/>
      <c r="Y529" s="200"/>
      <c r="Z529" s="201"/>
    </row>
    <row r="530" spans="1:26" ht="18" customHeight="1" hidden="1">
      <c r="A530" s="140"/>
      <c r="B530" s="140"/>
      <c r="D530" s="120" t="s">
        <v>253</v>
      </c>
      <c r="E530" s="121" t="str">
        <f>_xlfn.XLOOKUP(E525,CurrentPlans!B:B,CurrentPlans!W:W,"NA",0,1)</f>
        <v>NA</v>
      </c>
      <c r="F530" s="122"/>
      <c r="G530" s="122"/>
      <c r="H530" s="122"/>
      <c r="I530" s="121"/>
      <c r="J530" s="123"/>
      <c r="K530"/>
      <c r="L530" s="124" t="str">
        <f>_xlfn.XLOOKUP(L525,RenewalPlans!B:B,RenewalPlans!Z:Z,"NA",0,1)</f>
        <v>NA</v>
      </c>
      <c r="M530" s="122"/>
      <c r="N530" s="122"/>
      <c r="O530" s="122"/>
      <c r="P530" s="121"/>
      <c r="Q530" s="122"/>
      <c r="R530" s="123"/>
      <c r="T530" s="124" t="str">
        <f>_xlfn.XLOOKUP(T525,RenewalPlans!B:B,RenewalPlans!Z:Z,"NA",0,1)</f>
        <v>NA</v>
      </c>
      <c r="U530" s="122"/>
      <c r="V530" s="122"/>
      <c r="W530" s="122"/>
      <c r="X530" s="121"/>
      <c r="Y530" s="122"/>
      <c r="Z530" s="123"/>
    </row>
    <row r="531" spans="1:26" ht="18" customHeight="1" hidden="1">
      <c r="A531" s="140"/>
      <c r="B531" s="140"/>
      <c r="D531" s="203" t="s">
        <v>254</v>
      </c>
      <c r="E531" s="204"/>
      <c r="F531" s="205"/>
      <c r="G531" s="205"/>
      <c r="H531" s="205"/>
      <c r="I531" s="204"/>
      <c r="J531" s="206"/>
      <c r="K531"/>
      <c r="L531" s="207"/>
      <c r="M531" s="205"/>
      <c r="N531" s="205"/>
      <c r="O531" s="205"/>
      <c r="P531" s="204"/>
      <c r="Q531" s="205"/>
      <c r="R531" s="206"/>
      <c r="T531" s="207"/>
      <c r="U531" s="205"/>
      <c r="V531" s="205"/>
      <c r="W531" s="205"/>
      <c r="X531" s="204"/>
      <c r="Y531" s="205"/>
      <c r="Z531" s="206"/>
    </row>
    <row r="532" spans="1:26" ht="18" customHeight="1" hidden="1">
      <c r="A532" s="140"/>
      <c r="B532" s="140"/>
      <c r="D532" s="125" t="s">
        <v>255</v>
      </c>
      <c r="E532" s="126" t="str">
        <f>_xlfn.XLOOKUP(E525,CurrentPlans!B:B,CurrentPlans!Z:Z,"NA",0,1)</f>
        <v>NA</v>
      </c>
      <c r="F532" s="127"/>
      <c r="G532" s="127"/>
      <c r="H532" s="127"/>
      <c r="I532" s="126"/>
      <c r="J532" s="128"/>
      <c r="K532"/>
      <c r="L532" s="129" t="str">
        <f>_xlfn.XLOOKUP(L525,RenewalPlans!B:B,RenewalPlans!AC:AC,"NA",0,1)</f>
        <v>NA</v>
      </c>
      <c r="M532" s="127"/>
      <c r="N532" s="127"/>
      <c r="O532" s="127"/>
      <c r="P532" s="126"/>
      <c r="Q532" s="127"/>
      <c r="R532" s="128"/>
      <c r="T532" s="129" t="str">
        <f>_xlfn.XLOOKUP(T525,RenewalPlans!B:B,RenewalPlans!AC:AC,"NA",0,1)</f>
        <v>NA</v>
      </c>
      <c r="U532" s="127"/>
      <c r="V532" s="127"/>
      <c r="W532" s="127"/>
      <c r="X532" s="126"/>
      <c r="Y532" s="127"/>
      <c r="Z532" s="128"/>
    </row>
    <row r="533" spans="1:26" ht="18" customHeight="1" hidden="1">
      <c r="A533" s="140"/>
      <c r="B533" s="140"/>
      <c r="D533" s="198" t="s">
        <v>256</v>
      </c>
      <c r="E533" s="208" t="str">
        <f>_xlfn.XLOOKUP(E525,CurrentPlans!B:B,CurrentPlans!AA:AA,"NA",0,1)</f>
        <v>NA</v>
      </c>
      <c r="F533" s="200"/>
      <c r="G533" s="200"/>
      <c r="H533" s="200"/>
      <c r="I533" s="208"/>
      <c r="J533" s="201"/>
      <c r="K533"/>
      <c r="L533" s="209" t="str">
        <f>_xlfn.XLOOKUP(L525,RenewalPlans!B:B,RenewalPlans!AD:AD,"NA",0,1)</f>
        <v>NA</v>
      </c>
      <c r="M533" s="200"/>
      <c r="N533" s="200"/>
      <c r="O533" s="200"/>
      <c r="P533" s="208"/>
      <c r="Q533" s="200"/>
      <c r="R533" s="201"/>
      <c r="T533" s="209" t="str">
        <f>_xlfn.XLOOKUP(T525,RenewalPlans!B:B,RenewalPlans!AD:AD,"NA",0,1)</f>
        <v>NA</v>
      </c>
      <c r="U533" s="200"/>
      <c r="V533" s="200"/>
      <c r="W533" s="200"/>
      <c r="X533" s="208"/>
      <c r="Y533" s="200"/>
      <c r="Z533" s="201"/>
    </row>
    <row r="534" spans="1:26" ht="18" customHeight="1" hidden="1">
      <c r="A534" s="140"/>
      <c r="B534" s="140"/>
      <c r="D534" s="203" t="s">
        <v>257</v>
      </c>
      <c r="E534" s="204"/>
      <c r="F534" s="205"/>
      <c r="G534" s="205"/>
      <c r="H534" s="205"/>
      <c r="I534" s="204"/>
      <c r="J534" s="206"/>
      <c r="K534"/>
      <c r="L534" s="207"/>
      <c r="M534" s="205"/>
      <c r="N534" s="205"/>
      <c r="O534" s="205"/>
      <c r="P534" s="204"/>
      <c r="Q534" s="205"/>
      <c r="R534" s="206"/>
      <c r="T534" s="207"/>
      <c r="U534" s="205"/>
      <c r="V534" s="205"/>
      <c r="W534" s="205"/>
      <c r="X534" s="204"/>
      <c r="Y534" s="205"/>
      <c r="Z534" s="206"/>
    </row>
    <row r="535" spans="1:26" ht="18" customHeight="1" hidden="1">
      <c r="A535" s="140"/>
      <c r="B535" s="140"/>
      <c r="D535" s="198" t="s">
        <v>258</v>
      </c>
      <c r="E535" s="208" t="str">
        <f>_xlfn.XLOOKUP(E525,CurrentPlans!B:B,CurrentPlans!AB:AB,"NA",0,1)</f>
        <v>NA</v>
      </c>
      <c r="F535" s="200"/>
      <c r="G535" s="200"/>
      <c r="H535" s="200"/>
      <c r="I535" s="208"/>
      <c r="J535" s="201"/>
      <c r="K535"/>
      <c r="L535" s="209" t="str">
        <f>_xlfn.XLOOKUP(L525,RenewalPlans!B:B,RenewalPlans!AE:AE,"NA",0,1)</f>
        <v>NA</v>
      </c>
      <c r="M535" s="200"/>
      <c r="N535" s="200"/>
      <c r="O535" s="200"/>
      <c r="P535" s="208"/>
      <c r="Q535" s="200"/>
      <c r="R535" s="201"/>
      <c r="T535" s="209" t="str">
        <f>_xlfn.XLOOKUP(T525,RenewalPlans!B:B,RenewalPlans!AE:AE,"NA",0,1)</f>
        <v>NA</v>
      </c>
      <c r="U535" s="200"/>
      <c r="V535" s="200"/>
      <c r="W535" s="200"/>
      <c r="X535" s="208"/>
      <c r="Y535" s="200"/>
      <c r="Z535" s="201"/>
    </row>
    <row r="536" spans="1:26" ht="18" customHeight="1" hidden="1">
      <c r="A536" s="140"/>
      <c r="B536" s="140"/>
      <c r="D536" s="198" t="s">
        <v>259</v>
      </c>
      <c r="E536" s="208" t="str">
        <f>_xlfn.XLOOKUP(E525,CurrentPlans!B:B,CurrentPlans!AC:AC,"NA",0,1)</f>
        <v>NA</v>
      </c>
      <c r="F536" s="200"/>
      <c r="G536" s="200"/>
      <c r="H536" s="200"/>
      <c r="I536" s="208"/>
      <c r="J536" s="201"/>
      <c r="K536"/>
      <c r="L536" s="209" t="str">
        <f>_xlfn.XLOOKUP(L525,RenewalPlans!B:B,RenewalPlans!AF:AF,"NA",0,1)</f>
        <v>NA</v>
      </c>
      <c r="M536" s="200"/>
      <c r="N536" s="200"/>
      <c r="O536" s="200"/>
      <c r="P536" s="208"/>
      <c r="Q536" s="200"/>
      <c r="R536" s="201"/>
      <c r="T536" s="209" t="str">
        <f>_xlfn.XLOOKUP(T525,RenewalPlans!B:B,RenewalPlans!AF:AF,"NA",0,1)</f>
        <v>NA</v>
      </c>
      <c r="U536" s="200"/>
      <c r="V536" s="200"/>
      <c r="W536" s="200"/>
      <c r="X536" s="208"/>
      <c r="Y536" s="200"/>
      <c r="Z536" s="201"/>
    </row>
    <row r="537" spans="1:26" ht="18" customHeight="1" hidden="1">
      <c r="A537" s="140"/>
      <c r="B537" s="140"/>
      <c r="D537" s="210"/>
      <c r="E537" s="211"/>
      <c r="F537" s="211"/>
      <c r="G537" s="211"/>
      <c r="H537" s="211"/>
      <c r="I537" s="211"/>
      <c r="J537" s="212"/>
      <c r="K537"/>
      <c r="L537" s="210"/>
      <c r="M537" s="211"/>
      <c r="N537" s="211"/>
      <c r="O537" s="211"/>
      <c r="P537" s="211"/>
      <c r="Q537" s="211"/>
      <c r="R537" s="212"/>
      <c r="T537" s="210"/>
      <c r="U537" s="211"/>
      <c r="V537" s="211"/>
      <c r="W537" s="211"/>
      <c r="X537" s="211"/>
      <c r="Y537" s="211"/>
      <c r="Z537" s="212"/>
    </row>
    <row r="538" spans="1:26" ht="18" customHeight="1" hidden="1">
      <c r="A538" s="140"/>
      <c r="B538" s="140"/>
      <c r="D538" s="185" t="s">
        <v>260</v>
      </c>
      <c r="E538" s="186"/>
      <c r="F538" s="186"/>
      <c r="G538" s="186"/>
      <c r="H538" s="186"/>
      <c r="I538" s="186"/>
      <c r="J538" s="187"/>
      <c r="K538"/>
      <c r="L538" s="188"/>
      <c r="M538" s="186"/>
      <c r="N538" s="186"/>
      <c r="O538" s="186"/>
      <c r="P538" s="186"/>
      <c r="Q538" s="186"/>
      <c r="R538" s="187"/>
      <c r="T538" s="188"/>
      <c r="U538" s="186"/>
      <c r="V538" s="186"/>
      <c r="W538" s="186"/>
      <c r="X538" s="186"/>
      <c r="Y538" s="186"/>
      <c r="Z538" s="187"/>
    </row>
    <row r="539" spans="1:26" ht="18" customHeight="1" hidden="1">
      <c r="A539" s="140"/>
      <c r="B539" s="140"/>
      <c r="D539" s="213" t="s">
        <v>261</v>
      </c>
      <c r="E539" s="130" t="str">
        <f>_xlfn.XLOOKUP(E525,CurrentPlans!B:B,CurrentPlans!AJ:AJ,"NA",0,1)</f>
        <v>NA</v>
      </c>
      <c r="F539" s="214"/>
      <c r="G539" s="214"/>
      <c r="H539" s="214"/>
      <c r="I539" s="130"/>
      <c r="J539" s="215"/>
      <c r="K539"/>
      <c r="L539" s="131" t="str">
        <f>_xlfn.XLOOKUP(L525,RenewalPlans!B:B,RenewalPlans!AM:AM,"NA",0,1)</f>
        <v>NA</v>
      </c>
      <c r="M539" s="214"/>
      <c r="N539" s="214"/>
      <c r="O539" s="214"/>
      <c r="P539" s="130"/>
      <c r="Q539" s="214"/>
      <c r="R539" s="215"/>
      <c r="T539" s="131" t="str">
        <f>_xlfn.XLOOKUP(T525,RenewalPlans!B:B,RenewalPlans!AM:AM,"NA",0,1)</f>
        <v>NA</v>
      </c>
      <c r="U539" s="214"/>
      <c r="V539" s="214"/>
      <c r="W539" s="214"/>
      <c r="X539" s="130"/>
      <c r="Y539" s="214"/>
      <c r="Z539" s="215"/>
    </row>
    <row r="540" spans="1:26" ht="18" customHeight="1" hidden="1">
      <c r="A540" s="140"/>
      <c r="B540" s="140"/>
      <c r="D540" s="198" t="s">
        <v>262</v>
      </c>
      <c r="E540" s="130" t="str">
        <f>_xlfn.XLOOKUP(E525,CurrentPlans!B:B,CurrentPlans!AM:AM,"NA",0,1)</f>
        <v>NA</v>
      </c>
      <c r="F540" s="200"/>
      <c r="G540" s="200"/>
      <c r="H540" s="200"/>
      <c r="I540" s="130"/>
      <c r="J540" s="201"/>
      <c r="K540"/>
      <c r="L540" s="131" t="str">
        <f>_xlfn.XLOOKUP(L525,RenewalPlans!B:B,RenewalPlans!AP:AP,"NA",0,1)</f>
        <v>NA</v>
      </c>
      <c r="M540" s="200"/>
      <c r="N540" s="200"/>
      <c r="O540" s="200"/>
      <c r="P540" s="130"/>
      <c r="Q540" s="200"/>
      <c r="R540" s="201"/>
      <c r="T540" s="131" t="str">
        <f>_xlfn.XLOOKUP(T525,RenewalPlans!B:B,RenewalPlans!AP:AP,"NA",0,1)</f>
        <v>NA</v>
      </c>
      <c r="U540" s="200"/>
      <c r="V540" s="200"/>
      <c r="W540" s="200"/>
      <c r="X540" s="130"/>
      <c r="Y540" s="200"/>
      <c r="Z540" s="201"/>
    </row>
    <row r="541" spans="1:26" ht="18" customHeight="1" hidden="1">
      <c r="A541" s="140"/>
      <c r="B541" s="140"/>
      <c r="D541" s="198" t="s">
        <v>263</v>
      </c>
      <c r="E541" s="130" t="str">
        <f>_xlfn.XLOOKUP(E525,CurrentPlans!B:B,CurrentPlans!AI:AI,"NA",0,1)</f>
        <v>NA</v>
      </c>
      <c r="F541" s="200"/>
      <c r="G541" s="200"/>
      <c r="H541" s="200"/>
      <c r="I541" s="130"/>
      <c r="J541" s="201"/>
      <c r="K541"/>
      <c r="L541" s="131" t="str">
        <f>_xlfn.XLOOKUP(L525,RenewalPlans!B:B,RenewalPlans!AL:AL,"NA",0,1)</f>
        <v>NA</v>
      </c>
      <c r="M541" s="200"/>
      <c r="N541" s="200"/>
      <c r="O541" s="200"/>
      <c r="P541" s="130"/>
      <c r="Q541" s="200"/>
      <c r="R541" s="201"/>
      <c r="T541" s="131" t="str">
        <f>_xlfn.XLOOKUP(T525,RenewalPlans!B:B,RenewalPlans!AL:AL,"NA",0,1)</f>
        <v>NA</v>
      </c>
      <c r="U541" s="200"/>
      <c r="V541" s="200"/>
      <c r="W541" s="200"/>
      <c r="X541" s="130"/>
      <c r="Y541" s="200"/>
      <c r="Z541" s="201"/>
    </row>
    <row r="542" spans="1:26" ht="18" customHeight="1" hidden="1">
      <c r="A542" s="140"/>
      <c r="B542" s="140"/>
      <c r="D542" s="198" t="s">
        <v>264</v>
      </c>
      <c r="E542" s="208" t="str">
        <f>_xlfn.XLOOKUP(E525,CurrentPlans!B:B,CurrentPlans!AN:AN,"NA",0,1)</f>
        <v>NA</v>
      </c>
      <c r="F542" s="200"/>
      <c r="G542" s="200"/>
      <c r="H542" s="200"/>
      <c r="I542" s="208"/>
      <c r="J542" s="201"/>
      <c r="K542"/>
      <c r="L542" s="209" t="str">
        <f>_xlfn.XLOOKUP(L525,RenewalPlans!B:B,RenewalPlans!AQ:AQ,"NA",0,1)</f>
        <v>NA</v>
      </c>
      <c r="M542" s="200"/>
      <c r="N542" s="200"/>
      <c r="O542" s="200"/>
      <c r="P542" s="208"/>
      <c r="Q542" s="200"/>
      <c r="R542" s="201"/>
      <c r="T542" s="209" t="str">
        <f>_xlfn.XLOOKUP(T525,RenewalPlans!B:B,RenewalPlans!AQ:AQ,"NA",0,1)</f>
        <v>NA</v>
      </c>
      <c r="U542" s="200"/>
      <c r="V542" s="200"/>
      <c r="W542" s="200"/>
      <c r="X542" s="208"/>
      <c r="Y542" s="200"/>
      <c r="Z542" s="201"/>
    </row>
    <row r="543" spans="1:26" ht="18" customHeight="1" hidden="1">
      <c r="A543" s="140"/>
      <c r="B543" s="140"/>
      <c r="D543" s="210"/>
      <c r="E543" s="211"/>
      <c r="F543" s="211"/>
      <c r="G543" s="211"/>
      <c r="H543" s="211"/>
      <c r="I543" s="211"/>
      <c r="J543" s="212"/>
      <c r="K543"/>
      <c r="L543" s="210"/>
      <c r="M543" s="211"/>
      <c r="N543" s="211"/>
      <c r="O543" s="211"/>
      <c r="P543" s="211"/>
      <c r="Q543" s="211"/>
      <c r="R543" s="212"/>
      <c r="T543" s="210"/>
      <c r="U543" s="211"/>
      <c r="V543" s="211"/>
      <c r="W543" s="211"/>
      <c r="X543" s="211"/>
      <c r="Y543" s="211"/>
      <c r="Z543" s="212"/>
    </row>
    <row r="544" spans="1:26" ht="18" customHeight="1" hidden="1">
      <c r="A544" s="140"/>
      <c r="B544" s="140"/>
      <c r="D544" s="185" t="s">
        <v>265</v>
      </c>
      <c r="E544" s="186"/>
      <c r="F544" s="186"/>
      <c r="G544" s="186"/>
      <c r="H544" s="186"/>
      <c r="I544" s="186"/>
      <c r="J544" s="187"/>
      <c r="K544"/>
      <c r="L544" s="188"/>
      <c r="M544" s="186"/>
      <c r="N544" s="186"/>
      <c r="O544" s="186"/>
      <c r="P544" s="186"/>
      <c r="Q544" s="186"/>
      <c r="R544" s="187"/>
      <c r="T544" s="188"/>
      <c r="U544" s="186"/>
      <c r="V544" s="186"/>
      <c r="W544" s="186"/>
      <c r="X544" s="186"/>
      <c r="Y544" s="186"/>
      <c r="Z544" s="187"/>
    </row>
    <row r="545" spans="1:26" ht="18" customHeight="1" hidden="1">
      <c r="A545" s="140"/>
      <c r="B545" s="140"/>
      <c r="D545" s="132" t="s">
        <v>266</v>
      </c>
      <c r="E545" s="133" t="str">
        <f>_xlfn.XLOOKUP(E525,CurrentPlans!B:B,CurrentPlans!AE:AE,"NA",0,1)</f>
        <v>NA</v>
      </c>
      <c r="F545" s="134"/>
      <c r="G545" s="134"/>
      <c r="H545" s="134"/>
      <c r="I545" s="133"/>
      <c r="J545" s="135"/>
      <c r="K545"/>
      <c r="L545" s="136" t="str">
        <f>_xlfn.XLOOKUP(L525,RenewalPlans!B:B,RenewalPlans!AH:AH,"NA",0,1)</f>
        <v>NA</v>
      </c>
      <c r="M545" s="134"/>
      <c r="N545" s="134"/>
      <c r="O545" s="134"/>
      <c r="P545" s="133"/>
      <c r="Q545" s="134"/>
      <c r="R545" s="135"/>
      <c r="T545" s="136" t="str">
        <f>_xlfn.XLOOKUP(T525,RenewalPlans!B:B,RenewalPlans!AH:AH,"NA",0,1)</f>
        <v>NA</v>
      </c>
      <c r="U545" s="134"/>
      <c r="V545" s="134"/>
      <c r="W545" s="134"/>
      <c r="X545" s="133"/>
      <c r="Y545" s="134"/>
      <c r="Z545" s="135"/>
    </row>
    <row r="546" spans="1:26" ht="18" customHeight="1" hidden="1">
      <c r="A546" s="140"/>
      <c r="B546" s="140"/>
      <c r="D546" s="120" t="s">
        <v>267</v>
      </c>
      <c r="E546" s="130" t="str">
        <f>_xlfn.XLOOKUP(E525,CurrentPlans!B:B,CurrentPlans!AF:AF,"NA",0,1)</f>
        <v>NA</v>
      </c>
      <c r="F546" s="122"/>
      <c r="G546" s="122"/>
      <c r="H546" s="122"/>
      <c r="I546" s="130"/>
      <c r="J546" s="123"/>
      <c r="K546"/>
      <c r="L546" s="131" t="str">
        <f>_xlfn.XLOOKUP(L525,RenewalPlans!B:B,RenewalPlans!AI:AI,"NA",0,1)</f>
        <v>NA</v>
      </c>
      <c r="M546" s="122"/>
      <c r="N546" s="122"/>
      <c r="O546" s="122"/>
      <c r="P546" s="130"/>
      <c r="Q546" s="122"/>
      <c r="R546" s="123"/>
      <c r="T546" s="131" t="str">
        <f>_xlfn.XLOOKUP(T525,RenewalPlans!B:B,RenewalPlans!AI:AI,"NA",0,1)</f>
        <v>NA</v>
      </c>
      <c r="U546" s="122"/>
      <c r="V546" s="122"/>
      <c r="W546" s="122"/>
      <c r="X546" s="130"/>
      <c r="Y546" s="122"/>
      <c r="Z546" s="123"/>
    </row>
    <row r="547" spans="1:26" ht="18" customHeight="1" hidden="1">
      <c r="A547" s="140"/>
      <c r="B547" s="140"/>
      <c r="D547" s="198" t="s">
        <v>268</v>
      </c>
      <c r="E547" s="130" t="str">
        <f>_xlfn.XLOOKUP(E525,CurrentPlans!B:B,CurrentPlans!AH:AH,"NA",0,1)</f>
        <v>NA</v>
      </c>
      <c r="F547" s="200"/>
      <c r="G547" s="200"/>
      <c r="H547" s="200"/>
      <c r="I547" s="130"/>
      <c r="J547" s="201"/>
      <c r="K547"/>
      <c r="L547" s="131" t="str">
        <f>_xlfn.XLOOKUP(L525,RenewalPlans!B:B,RenewalPlans!AK:AK,"NA",0,1)</f>
        <v>NA</v>
      </c>
      <c r="M547" s="200"/>
      <c r="N547" s="200"/>
      <c r="O547" s="200"/>
      <c r="P547" s="130"/>
      <c r="Q547" s="200"/>
      <c r="R547" s="201"/>
      <c r="T547" s="131" t="str">
        <f>_xlfn.XLOOKUP(T525,RenewalPlans!B:B,RenewalPlans!AK:AK,"NA",0,1)</f>
        <v>NA</v>
      </c>
      <c r="U547" s="200"/>
      <c r="V547" s="200"/>
      <c r="W547" s="200"/>
      <c r="X547" s="130"/>
      <c r="Y547" s="200"/>
      <c r="Z547" s="201"/>
    </row>
    <row r="548" spans="1:26" ht="18" customHeight="1" hidden="1">
      <c r="A548" s="140"/>
      <c r="B548" s="140"/>
      <c r="D548" s="198" t="s">
        <v>269</v>
      </c>
      <c r="E548" s="130" t="str">
        <f>_xlfn.XLOOKUP(E525,CurrentPlans!B:B,CurrentPlans!AG:AG,"NA",0,1)</f>
        <v>NA</v>
      </c>
      <c r="F548" s="200"/>
      <c r="G548" s="200"/>
      <c r="H548" s="200"/>
      <c r="I548" s="130"/>
      <c r="J548" s="201"/>
      <c r="K548"/>
      <c r="L548" s="131" t="str">
        <f>_xlfn.XLOOKUP(L525,RenewalPlans!B:B,RenewalPlans!AJ:AJ,"NA",0,1)</f>
        <v>NA</v>
      </c>
      <c r="M548" s="200"/>
      <c r="N548" s="200"/>
      <c r="O548" s="200"/>
      <c r="P548" s="130"/>
      <c r="Q548" s="200"/>
      <c r="R548" s="201"/>
      <c r="T548" s="131" t="str">
        <f>_xlfn.XLOOKUP(T525,RenewalPlans!B:B,RenewalPlans!AJ:AJ,"NA",0,1)</f>
        <v>NA</v>
      </c>
      <c r="U548" s="200"/>
      <c r="V548" s="200"/>
      <c r="W548" s="200"/>
      <c r="X548" s="130"/>
      <c r="Y548" s="200"/>
      <c r="Z548" s="201"/>
    </row>
    <row r="549" spans="1:26" ht="18" customHeight="1" hidden="1">
      <c r="A549" s="140"/>
      <c r="B549" s="140"/>
      <c r="D549" s="213" t="s">
        <v>270</v>
      </c>
      <c r="E549" s="216" t="str">
        <f>_xlfn.XLOOKUP(E525,CurrentPlans!B:B,CurrentPlans!AU:AU,"NA",0,1)</f>
        <v>NA</v>
      </c>
      <c r="F549" s="214"/>
      <c r="G549" s="214"/>
      <c r="H549" s="214"/>
      <c r="I549" s="217"/>
      <c r="J549" s="215"/>
      <c r="K549"/>
      <c r="L549" s="218" t="str">
        <f>_xlfn.XLOOKUP(L525,RenewalPlans!B:B,RenewalPlans!AX:AX,"NA",0,1)</f>
        <v>NA</v>
      </c>
      <c r="M549" s="214"/>
      <c r="N549" s="214"/>
      <c r="O549" s="214"/>
      <c r="P549" s="217"/>
      <c r="Q549" s="214"/>
      <c r="R549" s="215"/>
      <c r="T549" s="218" t="str">
        <f>_xlfn.XLOOKUP(T525,RenewalPlans!B:B,RenewalPlans!AX:AX,"NA",0,1)</f>
        <v>NA</v>
      </c>
      <c r="U549" s="214"/>
      <c r="V549" s="214"/>
      <c r="W549" s="214"/>
      <c r="X549" s="217"/>
      <c r="Y549" s="214"/>
      <c r="Z549" s="215"/>
    </row>
    <row r="550" spans="1:26" ht="18" customHeight="1" hidden="1">
      <c r="A550" s="140"/>
      <c r="B550" s="140"/>
      <c r="D550" s="213" t="s">
        <v>271</v>
      </c>
      <c r="E550" s="216" t="str">
        <f>_xlfn.XLOOKUP(E525,CurrentPlans!B:B,CurrentPlans!AT:AT,"NA",0,1)</f>
        <v>NA</v>
      </c>
      <c r="F550" s="214"/>
      <c r="G550" s="214"/>
      <c r="H550" s="214"/>
      <c r="I550" s="217"/>
      <c r="J550" s="215"/>
      <c r="K550"/>
      <c r="L550" s="218" t="str">
        <f>_xlfn.XLOOKUP(L525,RenewalPlans!B:B,RenewalPlans!AW:AW,"NA",0,1)</f>
        <v>NA</v>
      </c>
      <c r="M550" s="214"/>
      <c r="N550" s="214"/>
      <c r="O550" s="214"/>
      <c r="P550" s="217"/>
      <c r="Q550" s="214"/>
      <c r="R550" s="215"/>
      <c r="T550" s="218" t="str">
        <f>_xlfn.XLOOKUP(T525,RenewalPlans!B:B,RenewalPlans!AW:AW,"NA",0,1)</f>
        <v>NA</v>
      </c>
      <c r="U550" s="214"/>
      <c r="V550" s="214"/>
      <c r="W550" s="214"/>
      <c r="X550" s="217"/>
      <c r="Y550" s="214"/>
      <c r="Z550" s="215"/>
    </row>
    <row r="551" spans="1:26" ht="18" customHeight="1" hidden="1">
      <c r="A551" s="140"/>
      <c r="B551" s="140"/>
      <c r="D551" s="198" t="s">
        <v>272</v>
      </c>
      <c r="E551" s="130" t="str">
        <f>_xlfn.XLOOKUP(E525,CurrentPlans!B:B,CurrentPlans!AD:AD,"NA",0,1)</f>
        <v>NA</v>
      </c>
      <c r="F551" s="200"/>
      <c r="G551" s="200"/>
      <c r="H551" s="200"/>
      <c r="I551" s="130"/>
      <c r="J551" s="201"/>
      <c r="K551"/>
      <c r="L551" s="131" t="str">
        <f>_xlfn.XLOOKUP(L525,RenewalPlans!B:B,RenewalPlans!AG:AG,"NA",0,1)</f>
        <v>NA</v>
      </c>
      <c r="M551" s="200"/>
      <c r="N551" s="200"/>
      <c r="O551" s="200"/>
      <c r="P551" s="130"/>
      <c r="Q551" s="200"/>
      <c r="R551" s="201"/>
      <c r="T551" s="131" t="str">
        <f>_xlfn.XLOOKUP(T525,RenewalPlans!B:B,RenewalPlans!AG:AG,"NA",0,1)</f>
        <v>NA</v>
      </c>
      <c r="U551" s="200"/>
      <c r="V551" s="200"/>
      <c r="W551" s="200"/>
      <c r="X551" s="130"/>
      <c r="Y551" s="200"/>
      <c r="Z551" s="201"/>
    </row>
    <row r="552" spans="1:26" ht="18" customHeight="1" hidden="1">
      <c r="A552" s="140"/>
      <c r="B552" s="140"/>
      <c r="D552" s="198" t="s">
        <v>273</v>
      </c>
      <c r="E552" s="200"/>
      <c r="F552" s="200"/>
      <c r="G552" s="200"/>
      <c r="H552" s="200"/>
      <c r="I552" s="200"/>
      <c r="J552" s="201"/>
      <c r="K552"/>
      <c r="L552" s="198"/>
      <c r="M552" s="200"/>
      <c r="N552" s="200"/>
      <c r="O552" s="200"/>
      <c r="P552" s="200"/>
      <c r="Q552" s="200"/>
      <c r="R552" s="201"/>
      <c r="T552" s="198"/>
      <c r="U552" s="200"/>
      <c r="V552" s="200"/>
      <c r="W552" s="200"/>
      <c r="X552" s="200"/>
      <c r="Y552" s="200"/>
      <c r="Z552" s="201"/>
    </row>
    <row r="553" spans="1:26" ht="18" customHeight="1" hidden="1">
      <c r="A553" s="140"/>
      <c r="B553" s="140"/>
      <c r="D553" s="210"/>
      <c r="E553" s="211"/>
      <c r="F553" s="211"/>
      <c r="G553" s="211"/>
      <c r="H553" s="211"/>
      <c r="I553" s="211"/>
      <c r="J553" s="212"/>
      <c r="K553"/>
      <c r="L553" s="210"/>
      <c r="M553" s="211"/>
      <c r="N553" s="211"/>
      <c r="O553" s="211"/>
      <c r="P553" s="211"/>
      <c r="Q553" s="211"/>
      <c r="R553" s="212"/>
      <c r="T553" s="210"/>
      <c r="U553" s="211"/>
      <c r="V553" s="211"/>
      <c r="W553" s="211"/>
      <c r="X553" s="211"/>
      <c r="Y553" s="211"/>
      <c r="Z553" s="212"/>
    </row>
    <row r="554" spans="1:26" ht="18" customHeight="1" hidden="1">
      <c r="A554" s="140"/>
      <c r="B554" s="140"/>
      <c r="D554" s="219" t="s">
        <v>274</v>
      </c>
      <c r="E554" s="220"/>
      <c r="F554" s="220"/>
      <c r="G554" s="220"/>
      <c r="H554" s="220"/>
      <c r="I554" s="220"/>
      <c r="J554" s="221"/>
      <c r="K554"/>
      <c r="L554" s="222"/>
      <c r="M554" s="220"/>
      <c r="N554" s="220"/>
      <c r="O554" s="220"/>
      <c r="P554" s="220"/>
      <c r="Q554" s="220"/>
      <c r="R554" s="221"/>
      <c r="T554" s="222"/>
      <c r="U554" s="220"/>
      <c r="V554" s="220"/>
      <c r="W554" s="220"/>
      <c r="X554" s="220"/>
      <c r="Y554" s="220"/>
      <c r="Z554" s="221"/>
    </row>
    <row r="555" spans="1:26" ht="18" customHeight="1" hidden="1">
      <c r="A555" s="140"/>
      <c r="B555" s="140"/>
      <c r="D555" s="223" t="s">
        <v>250</v>
      </c>
      <c r="E555" s="205"/>
      <c r="F555" s="205"/>
      <c r="G555" s="205"/>
      <c r="H555" s="205"/>
      <c r="I555" s="205"/>
      <c r="J555" s="206"/>
      <c r="K555"/>
      <c r="L555" s="203"/>
      <c r="M555" s="205"/>
      <c r="N555" s="205"/>
      <c r="O555" s="205"/>
      <c r="P555" s="205"/>
      <c r="Q555" s="205"/>
      <c r="R555" s="206"/>
      <c r="T555" s="203"/>
      <c r="U555" s="205"/>
      <c r="V555" s="205"/>
      <c r="W555" s="205"/>
      <c r="X555" s="205"/>
      <c r="Y555" s="205"/>
      <c r="Z555" s="206"/>
    </row>
    <row r="556" spans="1:26" ht="18" customHeight="1" hidden="1">
      <c r="A556" s="140"/>
      <c r="B556" s="140"/>
      <c r="D556" s="198" t="s">
        <v>251</v>
      </c>
      <c r="E556" s="130" t="str">
        <f>_xlfn.XLOOKUP(E525,CurrentPlans!B:B,CurrentPlans!AP:AP,"NA",0,1)</f>
        <v>NA</v>
      </c>
      <c r="F556" s="200"/>
      <c r="G556" s="200"/>
      <c r="H556" s="200"/>
      <c r="I556" s="130"/>
      <c r="J556" s="201"/>
      <c r="K556"/>
      <c r="L556" s="131" t="str">
        <f>_xlfn.XLOOKUP(L525,RenewalPlans!B:B,RenewalPlans!AS:AS,"NA",0,1)</f>
        <v>NA</v>
      </c>
      <c r="M556" s="200"/>
      <c r="N556" s="200"/>
      <c r="O556" s="200"/>
      <c r="P556" s="130"/>
      <c r="Q556" s="200"/>
      <c r="R556" s="201"/>
      <c r="T556" s="131" t="str">
        <f>_xlfn.XLOOKUP(T525,RenewalPlans!B:B,RenewalPlans!AS:AS,"NA",0,1)</f>
        <v>NA</v>
      </c>
      <c r="U556" s="200"/>
      <c r="V556" s="200"/>
      <c r="W556" s="200"/>
      <c r="X556" s="130"/>
      <c r="Y556" s="200"/>
      <c r="Z556" s="201"/>
    </row>
    <row r="557" spans="1:26" ht="18" customHeight="1" hidden="1">
      <c r="A557" s="140"/>
      <c r="B557" s="140"/>
      <c r="D557" s="198" t="s">
        <v>252</v>
      </c>
      <c r="E557" s="130" t="str">
        <f>_xlfn.XLOOKUP(E525,CurrentPlans!B:B,CurrentPlans!AQ:AQ,"NA",0,1)</f>
        <v>NA</v>
      </c>
      <c r="F557" s="200"/>
      <c r="G557" s="200"/>
      <c r="H557" s="200"/>
      <c r="I557" s="130"/>
      <c r="J557" s="201"/>
      <c r="K557"/>
      <c r="L557" s="131" t="str">
        <f>_xlfn.XLOOKUP(L525,RenewalPlans!B:B,RenewalPlans!AT:AT,"NA",0,1)</f>
        <v>NA</v>
      </c>
      <c r="M557" s="200"/>
      <c r="N557" s="200"/>
      <c r="O557" s="200"/>
      <c r="P557" s="130"/>
      <c r="Q557" s="200"/>
      <c r="R557" s="201"/>
      <c r="T557" s="131" t="str">
        <f>_xlfn.XLOOKUP(T525,RenewalPlans!B:B,RenewalPlans!AT:AT,"NA",0,1)</f>
        <v>NA</v>
      </c>
      <c r="U557" s="200"/>
      <c r="V557" s="200"/>
      <c r="W557" s="200"/>
      <c r="X557" s="130"/>
      <c r="Y557" s="200"/>
      <c r="Z557" s="201"/>
    </row>
    <row r="558" spans="1:26" ht="18" customHeight="1" hidden="1">
      <c r="A558" s="140"/>
      <c r="B558" s="140"/>
      <c r="D558" s="120" t="s">
        <v>253</v>
      </c>
      <c r="E558" s="133" t="str">
        <f>_xlfn.XLOOKUP(E525,CurrentPlans!B:B,CurrentPlans!AO:AO,"NA",0,1)</f>
        <v>NA</v>
      </c>
      <c r="F558" s="122"/>
      <c r="G558" s="122"/>
      <c r="H558" s="122"/>
      <c r="I558" s="133"/>
      <c r="J558" s="123"/>
      <c r="K558"/>
      <c r="L558" s="136" t="str">
        <f>_xlfn.XLOOKUP(L525,RenewalPlans!B:B,RenewalPlans!AR:AR,"NA",0,1)</f>
        <v>NA</v>
      </c>
      <c r="M558" s="122"/>
      <c r="N558" s="122"/>
      <c r="O558" s="122"/>
      <c r="P558" s="133"/>
      <c r="Q558" s="122"/>
      <c r="R558" s="123"/>
      <c r="T558" s="136" t="str">
        <f>_xlfn.XLOOKUP(T525,RenewalPlans!B:B,RenewalPlans!AR:AR,"NA",0,1)</f>
        <v>NA</v>
      </c>
      <c r="U558" s="122"/>
      <c r="V558" s="122"/>
      <c r="W558" s="122"/>
      <c r="X558" s="133"/>
      <c r="Y558" s="122"/>
      <c r="Z558" s="123"/>
    </row>
    <row r="559" spans="1:26" ht="18" customHeight="1" hidden="1">
      <c r="A559" s="140"/>
      <c r="B559" s="140"/>
      <c r="D559" s="223" t="s">
        <v>254</v>
      </c>
      <c r="E559" s="205"/>
      <c r="F559" s="205"/>
      <c r="G559" s="205"/>
      <c r="H559" s="205"/>
      <c r="I559" s="205"/>
      <c r="J559" s="206"/>
      <c r="K559"/>
      <c r="L559" s="203"/>
      <c r="M559" s="205"/>
      <c r="N559" s="205"/>
      <c r="O559" s="205"/>
      <c r="P559" s="205"/>
      <c r="Q559" s="205"/>
      <c r="R559" s="206"/>
      <c r="T559" s="203"/>
      <c r="U559" s="205"/>
      <c r="V559" s="205"/>
      <c r="W559" s="205"/>
      <c r="X559" s="205"/>
      <c r="Y559" s="205"/>
      <c r="Z559" s="206"/>
    </row>
    <row r="560" spans="1:26" ht="18" customHeight="1" hidden="1">
      <c r="A560" s="140"/>
      <c r="B560" s="140"/>
      <c r="D560" s="198" t="s">
        <v>255</v>
      </c>
      <c r="E560" s="130" t="str">
        <f>_xlfn.XLOOKUP(E525,CurrentPlans!B:B,CurrentPlans!AR:AR,"NA",0,1)</f>
        <v>NA</v>
      </c>
      <c r="F560" s="200"/>
      <c r="G560" s="200"/>
      <c r="H560" s="200"/>
      <c r="I560" s="130"/>
      <c r="J560" s="201"/>
      <c r="K560"/>
      <c r="L560" s="131" t="str">
        <f>_xlfn.XLOOKUP(L525,RenewalPlans!B:B,RenewalPlans!AU:AU,"NA",0,1)</f>
        <v>NA</v>
      </c>
      <c r="M560" s="200"/>
      <c r="N560" s="200"/>
      <c r="O560" s="200"/>
      <c r="P560" s="130"/>
      <c r="Q560" s="200"/>
      <c r="R560" s="201"/>
      <c r="T560" s="131" t="str">
        <f>_xlfn.XLOOKUP(T525,RenewalPlans!B:B,RenewalPlans!AU:AU,"NA",0,1)</f>
        <v>NA</v>
      </c>
      <c r="U560" s="200"/>
      <c r="V560" s="200"/>
      <c r="W560" s="200"/>
      <c r="X560" s="130"/>
      <c r="Y560" s="200"/>
      <c r="Z560" s="201"/>
    </row>
    <row r="561" spans="1:26" ht="18" customHeight="1" hidden="1" thickBot="1">
      <c r="A561" s="140"/>
      <c r="B561" s="140"/>
      <c r="D561" s="224" t="s">
        <v>256</v>
      </c>
      <c r="E561" s="137" t="str">
        <f>_xlfn.XLOOKUP(E525,CurrentPlans!B:B,CurrentPlans!AS:AS,"NA",0,1)</f>
        <v>NA</v>
      </c>
      <c r="F561" s="225"/>
      <c r="G561" s="225"/>
      <c r="H561" s="225"/>
      <c r="I561" s="137"/>
      <c r="J561" s="226"/>
      <c r="K561"/>
      <c r="L561" s="138" t="str">
        <f>_xlfn.XLOOKUP(L525,RenewalPlans!B:B,RenewalPlans!AV:AV,"NA",0,1)</f>
        <v>NA</v>
      </c>
      <c r="M561" s="225"/>
      <c r="N561" s="225"/>
      <c r="O561" s="225"/>
      <c r="P561" s="137"/>
      <c r="Q561" s="225"/>
      <c r="R561" s="226"/>
      <c r="T561" s="138" t="str">
        <f>_xlfn.XLOOKUP(T525,RenewalPlans!B:B,RenewalPlans!AV:AV,"NA",0,1)</f>
        <v>NA</v>
      </c>
      <c r="U561" s="225"/>
      <c r="V561" s="225"/>
      <c r="W561" s="225"/>
      <c r="X561" s="137"/>
      <c r="Y561" s="225"/>
      <c r="Z561" s="226"/>
    </row>
    <row r="562" spans="1:26" ht="18" customHeight="1">
      <c r="A562" s="140"/>
      <c r="B562" s="140"/>
      <c r="D562" s="227"/>
      <c r="E562" s="176"/>
      <c r="F562" s="178"/>
      <c r="G562" s="179"/>
      <c r="H562" s="178"/>
      <c r="I562" s="176"/>
      <c r="J562" s="228"/>
      <c r="K562"/>
      <c r="L562" s="178"/>
      <c r="M562" s="176"/>
      <c r="N562" s="139"/>
      <c r="O562" s="178"/>
      <c r="P562" s="178"/>
      <c r="Q562" s="178"/>
      <c r="R562" s="228"/>
      <c r="T562" s="178"/>
      <c r="U562" s="176"/>
      <c r="V562" s="139"/>
      <c r="W562" s="178"/>
      <c r="X562" s="178"/>
      <c r="Y562" s="178"/>
      <c r="Z562" s="228"/>
    </row>
    <row r="563" spans="1:26" ht="5.25" customHeight="1" thickBot="1">
      <c r="A563" s="140"/>
      <c r="B563" s="140"/>
      <c r="D563" s="229"/>
      <c r="E563" s="229"/>
      <c r="F563" s="230"/>
      <c r="G563" s="231"/>
      <c r="H563" s="232"/>
      <c r="I563" s="233"/>
      <c r="J563" s="233"/>
      <c r="K563"/>
      <c r="L563" s="233"/>
      <c r="M563" s="233"/>
      <c r="N563" s="233"/>
      <c r="O563" s="233"/>
      <c r="P563" s="233"/>
      <c r="Q563" s="233"/>
      <c r="R563" s="233"/>
      <c r="T563" s="233"/>
      <c r="U563" s="233"/>
      <c r="V563" s="233"/>
      <c r="W563" s="233"/>
      <c r="X563" s="233"/>
      <c r="Y563" s="233"/>
      <c r="Z563" s="233"/>
    </row>
    <row r="564" spans="1:26" ht="50.15" customHeight="1">
      <c r="A564" s="140"/>
      <c r="B564" s="140"/>
      <c r="C564" s="164" t="s">
        <v>286</v>
      </c>
      <c r="D564" s="275" t="s">
        <v>285</v>
      </c>
      <c r="E564" s="165"/>
      <c r="F564" s="272"/>
      <c r="G564" s="166"/>
      <c r="H564" s="167"/>
      <c r="I564" s="168"/>
      <c r="J564" s="169"/>
      <c r="K564"/>
      <c r="L564" s="274" t="s">
        <v>38</v>
      </c>
      <c r="M564" s="170"/>
      <c r="N564" s="274" t="s">
        <v>237</v>
      </c>
      <c r="O564" s="171"/>
      <c r="P564" s="171"/>
      <c r="Q564" s="171"/>
      <c r="R564" s="169"/>
      <c r="T564" s="274" t="s">
        <v>38</v>
      </c>
      <c r="U564" s="170"/>
      <c r="V564" s="274" t="s">
        <v>237</v>
      </c>
      <c r="W564" s="171"/>
      <c r="X564" s="171"/>
      <c r="Y564" s="171"/>
      <c r="Z564" s="169"/>
    </row>
    <row r="565" spans="1:26" ht="18.75" customHeight="1">
      <c r="A565" s="140"/>
      <c r="B565" s="140"/>
      <c r="D565" s="172" t="s">
        <v>238</v>
      </c>
      <c r="E565" s="407"/>
      <c r="F565" s="449"/>
      <c r="G565" s="470"/>
      <c r="H565" s="449"/>
      <c r="I565" s="450"/>
      <c r="J565" s="410"/>
      <c r="K565" s="411"/>
      <c r="L565" s="408" t="str" cm="1">
        <f t="array" ca="1" aca="1" ref="L565">_xlfn.IFNA(VLOOKUP(INDIRECT("L"&amp;ROW()-1)&amp;"_"&amp;$D$12,BEGIN_RENEW_HEALTH:END_RENEW_HEALTH,RENEW_COL_EO,FALSE),"")</f>
        <v/>
      </c>
      <c r="M565" s="412" t="str">
        <f>IF(E565="","",E565)</f>
        <v/>
      </c>
      <c r="N565" s="413"/>
      <c r="O565" s="414"/>
      <c r="P565" s="415" t="str">
        <f>IFERROR(IF($N564="Keep Contribution Same",H565,IF($N564="Enter Percentages",IF(N565="","",N565*L565),IF($N564="Keep Percentage Same",IF(G565="","",G565*L565),IF($N564="Enter Dollar Amount",IF(O565="","",O565),"")))),"")</f>
        <v/>
      </c>
      <c r="Q565" s="408" t="str">
        <f ca="1">IFERROR(L565-P565,"")</f>
        <v/>
      </c>
      <c r="R565" s="410" t="str">
        <f>IFERROR(IF(P565="","",M565*P565),"")</f>
        <v/>
      </c>
      <c r="S565" s="411"/>
      <c r="T565" s="408" t="str" cm="1">
        <f t="array" ca="1" aca="1" ref="T565">_xlfn.IFNA(VLOOKUP(INDIRECT("T"&amp;ROW()-1)&amp;"_"&amp;$D$12,BEGIN_RENEW_HEALTH:END_RENEW_HEALTH,RENEW_COL_EO,FALSE),"")</f>
        <v/>
      </c>
      <c r="U565" s="412" t="str">
        <f>IF(E565="","",E565)</f>
        <v/>
      </c>
      <c r="V565" s="413"/>
      <c r="W565" s="414"/>
      <c r="X565" s="415" t="str">
        <f>IFERROR(IF($V564="Keep Contribution Same",H565,IF($V564="Enter Percentages",IF(V565="","",V565*T565),IF($V564="Keep Percentage Same",IF(G565="","",G565*T565),IF($V564="Enter Dollar Amount",IF(W565="","",W565),"")))),"")</f>
        <v/>
      </c>
      <c r="Y565" s="408" t="str">
        <f ca="1">IFERROR(T565-X565,"")</f>
        <v/>
      </c>
      <c r="Z565" s="410" t="str">
        <f>IFERROR(IF(X565="","",U565*X565),"")</f>
        <v/>
      </c>
    </row>
    <row r="566" spans="1:26" ht="18.75" customHeight="1">
      <c r="A566" s="140"/>
      <c r="B566" s="140"/>
      <c r="D566" s="172" t="s">
        <v>239</v>
      </c>
      <c r="E566" s="407"/>
      <c r="F566" s="449"/>
      <c r="G566" s="470"/>
      <c r="H566" s="449"/>
      <c r="I566" s="450"/>
      <c r="J566" s="410"/>
      <c r="K566" s="411"/>
      <c r="L566" s="408" t="str" cm="1">
        <f t="array" ca="1" aca="1" ref="L566">_xlfn.IFNA(VLOOKUP(INDIRECT("L"&amp;ROW()-2)&amp;"_"&amp;$D$12,BEGIN_RENEW_HEALTH:END_RENEW_HEALTH,RENEW_COL_ES,FALSE),"")</f>
        <v/>
      </c>
      <c r="M566" s="412" t="str">
        <f>IF(E566="","",E566)</f>
        <v/>
      </c>
      <c r="N566" s="413"/>
      <c r="O566" s="414"/>
      <c r="P566" s="415" t="str">
        <f>IFERROR(IF($N564="Keep Contribution Same",H566,IF($N564="Enter Percentages",IF(N566="","",N566*L566),IF($N564="Keep Percentage Same",IF(G566="","",G566*L566),IF($N564="Enter Dollar Amount",IF(O566="","",O566),"")))),"")</f>
        <v/>
      </c>
      <c r="Q566" s="408" t="str">
        <f ca="1" t="shared" si="54" ref="Q566:Q568">IFERROR(L566-P566,"")</f>
        <v/>
      </c>
      <c r="R566" s="410" t="str">
        <f>IFERROR(IF(P566="","",M566*P566),"")</f>
        <v/>
      </c>
      <c r="S566" s="411"/>
      <c r="T566" s="408" t="str" cm="1">
        <f t="array" ca="1" aca="1" ref="T566">_xlfn.IFNA(VLOOKUP(INDIRECT("T"&amp;ROW()-2)&amp;"_"&amp;$D$12,BEGIN_RENEW_HEALTH:END_RENEW_HEALTH,RENEW_COL_ES,FALSE),"")</f>
        <v/>
      </c>
      <c r="U566" s="412" t="str">
        <f t="shared" si="55" ref="U566:U568">IF(E566="","",E566)</f>
        <v/>
      </c>
      <c r="V566" s="413"/>
      <c r="W566" s="414"/>
      <c r="X566" s="415" t="str">
        <f>IFERROR(IF($V564="Keep Contribution Same",H566,IF($V564="Enter Percentages",IF(V566="","",V566*T566),IF($V564="Keep Percentage Same",IF(G566="","",G566*T566),IF($V564="Enter Dollar Amount",IF(W566="","",W566),"")))),"")</f>
        <v/>
      </c>
      <c r="Y566" s="408" t="str">
        <f ca="1" t="shared" si="56" ref="Y566:Y568">IFERROR(T566-X566,"")</f>
        <v/>
      </c>
      <c r="Z566" s="410" t="str">
        <f t="shared" si="57" ref="Z566:Z568">IFERROR(IF(X566="","",U566*X566),"")</f>
        <v/>
      </c>
    </row>
    <row r="567" spans="1:26" ht="18.75" customHeight="1">
      <c r="A567" s="140"/>
      <c r="B567" s="140"/>
      <c r="D567" s="172" t="s">
        <v>240</v>
      </c>
      <c r="E567" s="407"/>
      <c r="F567" s="449"/>
      <c r="G567" s="470"/>
      <c r="H567" s="449"/>
      <c r="I567" s="450"/>
      <c r="J567" s="410"/>
      <c r="K567" s="411"/>
      <c r="L567" s="408" t="str" cm="1">
        <f t="array" ca="1" aca="1" ref="L567">_xlfn.IFNA(VLOOKUP(INDIRECT("L"&amp;ROW()-3)&amp;"_"&amp;$D$12,BEGIN_RENEW_HEALTH:END_RENEW_HEALTH,RENEW_COL_EC,FALSE),"")</f>
        <v/>
      </c>
      <c r="M567" s="412" t="str">
        <f>IF(E567="","",E567)</f>
        <v/>
      </c>
      <c r="N567" s="413"/>
      <c r="O567" s="414"/>
      <c r="P567" s="415" t="str">
        <f>IFERROR(IF($N564="Keep Contribution Same",H567,IF($N564="Enter Percentages",IF(N567="","",N567*L567),IF($N564="Keep Percentage Same",IF(G567="","",G567*L567),IF($N564="Enter Dollar Amount",IF(O567="","",O567),"")))),"")</f>
        <v/>
      </c>
      <c r="Q567" s="408" t="str">
        <f t="shared" ca="1" si="54"/>
        <v/>
      </c>
      <c r="R567" s="410" t="str">
        <f>IFERROR(IF(P567="","",M567*P567),"")</f>
        <v/>
      </c>
      <c r="S567" s="411"/>
      <c r="T567" s="408" t="str" cm="1">
        <f t="array" ca="1" aca="1" ref="T567">_xlfn.IFNA(VLOOKUP(INDIRECT("T"&amp;ROW()-3)&amp;"_"&amp;$D$12,BEGIN_RENEW_HEALTH:END_RENEW_HEALTH,RENEW_COL_EC,FALSE),"")</f>
        <v/>
      </c>
      <c r="U567" s="412" t="str">
        <f t="shared" si="55"/>
        <v/>
      </c>
      <c r="V567" s="413"/>
      <c r="W567" s="414"/>
      <c r="X567" s="415" t="str">
        <f>IFERROR(IF($V564="Keep Contribution Same",H567,IF($V564="Enter Percentages",IF(V567="","",V567*T567),IF($V564="Keep Percentage Same",IF(G567="","",G567*T567),IF($V564="Enter Dollar Amount",IF(W567="","",W567),"")))),"")</f>
        <v/>
      </c>
      <c r="Y567" s="408" t="str">
        <f t="shared" ca="1" si="56"/>
        <v/>
      </c>
      <c r="Z567" s="410" t="str">
        <f t="shared" si="57"/>
        <v/>
      </c>
    </row>
    <row r="568" spans="1:26" ht="18.75" customHeight="1" thickBot="1">
      <c r="A568" s="140"/>
      <c r="B568" s="140"/>
      <c r="D568" s="174" t="s">
        <v>241</v>
      </c>
      <c r="E568" s="416"/>
      <c r="F568" s="451"/>
      <c r="G568" s="471"/>
      <c r="H568" s="451"/>
      <c r="I568" s="452"/>
      <c r="J568" s="419"/>
      <c r="K568" s="411"/>
      <c r="L568" s="417" t="str" cm="1">
        <f t="array" ca="1" aca="1" ref="L568">_xlfn.IFNA(VLOOKUP(INDIRECT("L"&amp;ROW()-4)&amp;"_"&amp;$D$12,BEGIN_RENEW_HEALTH:END_RENEW_HEALTH,RENEW_COL_FAM,FALSE),"")</f>
        <v/>
      </c>
      <c r="M568" s="423" t="str">
        <f>IF(E568="","",E568)</f>
        <v/>
      </c>
      <c r="N568" s="420"/>
      <c r="O568" s="421"/>
      <c r="P568" s="422" t="str">
        <f>IFERROR(IF($N564="Keep Contribution Same",H568,IF($N564="Enter Percentages",IF(N568="","",N568*L568),IF($N564="Keep Percentage Same",IF(G568="","",G568*L568),IF($N564="Enter Dollar Amount",IF(O568="","",O568),"")))),"")</f>
        <v/>
      </c>
      <c r="Q568" s="417" t="str">
        <f t="shared" ca="1" si="54"/>
        <v/>
      </c>
      <c r="R568" s="419" t="str">
        <f>IFERROR(IF(P568="","",M568*P568),"")</f>
        <v/>
      </c>
      <c r="S568" s="411"/>
      <c r="T568" s="417" t="str" cm="1">
        <f t="array" ca="1" aca="1" ref="T568">_xlfn.IFNA(VLOOKUP(INDIRECT("T"&amp;ROW()-4)&amp;"_"&amp;$D$12,BEGIN_RENEW_HEALTH:END_RENEW_HEALTH,RENEW_COL_FAM,FALSE),"")</f>
        <v/>
      </c>
      <c r="U568" s="423" t="str">
        <f t="shared" si="55"/>
        <v/>
      </c>
      <c r="V568" s="420"/>
      <c r="W568" s="421"/>
      <c r="X568" s="422" t="str">
        <f>IFERROR(IF($V564="Keep Contribution Same",H568,IF($V564="Enter Percentages",IF(V568="","",V568*T568),IF($V564="Keep Percentage Same",IF(G568="","",G568*T568),IF($V564="Enter Dollar Amount",IF(W568="","",W568),"")))),"")</f>
        <v/>
      </c>
      <c r="Y568" s="417" t="str">
        <f t="shared" ca="1" si="56"/>
        <v/>
      </c>
      <c r="Z568" s="419" t="str">
        <f t="shared" si="57"/>
        <v/>
      </c>
    </row>
    <row r="569" spans="1:26" ht="18.75" customHeight="1" thickTop="1">
      <c r="A569" s="140"/>
      <c r="B569" s="140"/>
      <c r="D569" s="175" t="s">
        <v>329</v>
      </c>
      <c r="E569" s="424"/>
      <c r="F569" s="447">
        <f>IFERROR((F565*E565)+(F566*E566)+(F567*E567)+(F568*E568),"")</f>
        <v>0</v>
      </c>
      <c r="G569" s="426"/>
      <c r="H569" s="427"/>
      <c r="I569" s="428"/>
      <c r="J569" s="429" t="str">
        <f>IFERROR(IF(J565="","",SUM(J565:J568)),0)</f>
        <v/>
      </c>
      <c r="K569" s="1"/>
      <c r="L569" s="430" t="str">
        <f ca="1">IFERROR((M565*L565)+(M566*L566)+(M567*L567)+(M568*L568),"")</f>
        <v/>
      </c>
      <c r="M569" s="427"/>
      <c r="N569" s="426"/>
      <c r="O569" s="427"/>
      <c r="P569" s="431"/>
      <c r="Q569" s="432"/>
      <c r="R569" s="429" t="str">
        <f>IFERROR(IF(R565="","",SUM(R565:R568)),0)</f>
        <v/>
      </c>
      <c r="T569" s="430" t="str">
        <f ca="1">IFERROR((U565*T565)+(U566*T566)+(U567*T567)+(U568*T568),"")</f>
        <v/>
      </c>
      <c r="U569" s="427"/>
      <c r="V569" s="426"/>
      <c r="W569" s="427"/>
      <c r="X569" s="431"/>
      <c r="Y569" s="432"/>
      <c r="Z569" s="429" t="str">
        <f>IFERROR(IF(Z565="","",SUM(Z565:Z568)),0)</f>
        <v/>
      </c>
    </row>
    <row r="570" spans="1:26" ht="18.75" customHeight="1">
      <c r="A570" s="140"/>
      <c r="B570" s="140"/>
      <c r="D570" s="177" t="s">
        <v>243</v>
      </c>
      <c r="E570" s="433"/>
      <c r="F570" s="448">
        <f>IFERROR(F569*12,"")</f>
        <v>0</v>
      </c>
      <c r="G570" s="435"/>
      <c r="H570" s="436"/>
      <c r="I570" s="432"/>
      <c r="J570" s="437" t="str">
        <f>IF(J569="","",J569*12)</f>
        <v/>
      </c>
      <c r="K570" s="1"/>
      <c r="L570" s="438" t="str">
        <f ca="1">IFERROR(L569*12,"")</f>
        <v/>
      </c>
      <c r="M570" s="436"/>
      <c r="N570" s="435"/>
      <c r="O570" s="436"/>
      <c r="P570" s="432"/>
      <c r="Q570" s="432"/>
      <c r="R570" s="437" t="str">
        <f>IF(R569="","",R569*12)</f>
        <v/>
      </c>
      <c r="T570" s="438" t="str">
        <f ca="1">IFERROR(T569*12,"")</f>
        <v/>
      </c>
      <c r="U570" s="436"/>
      <c r="V570" s="435"/>
      <c r="W570" s="436"/>
      <c r="X570" s="432"/>
      <c r="Y570" s="432"/>
      <c r="Z570" s="437" t="str">
        <f>IF(Z569="","",Z569*12)</f>
        <v/>
      </c>
    </row>
    <row r="571" spans="1:26" ht="18" customHeight="1">
      <c r="A571" s="140"/>
      <c r="B571" s="140"/>
      <c r="D571" s="177" t="s">
        <v>244</v>
      </c>
      <c r="E571" s="433"/>
      <c r="F571" s="436"/>
      <c r="G571" s="435"/>
      <c r="H571" s="436"/>
      <c r="I571" s="432"/>
      <c r="J571" s="437" t="str">
        <f>IFERROR(IF(J570="","",R570-J570),0)</f>
        <v/>
      </c>
      <c r="K571" s="1"/>
      <c r="L571" s="434" t="str">
        <f ca="1">IFERROR(L570-F570,"")</f>
        <v/>
      </c>
      <c r="M571" s="436"/>
      <c r="N571" s="435"/>
      <c r="O571" s="436"/>
      <c r="P571" s="432"/>
      <c r="Q571" s="432"/>
      <c r="R571" s="437" t="str">
        <f>IFERROR(IF(J570="","",R570-J570),0)</f>
        <v/>
      </c>
      <c r="T571" s="434" t="str">
        <f ca="1">IFERROR(T570-F570,"")</f>
        <v/>
      </c>
      <c r="U571" s="436"/>
      <c r="V571" s="435"/>
      <c r="W571" s="436"/>
      <c r="X571" s="432"/>
      <c r="Y571" s="432"/>
      <c r="Z571" s="437" t="str">
        <f>IFERROR(IF(R570="","",Z570-R570),0)</f>
        <v/>
      </c>
    </row>
    <row r="572" spans="1:26" ht="18" customHeight="1" thickBot="1">
      <c r="A572" s="140"/>
      <c r="B572" s="140"/>
      <c r="D572" s="180" t="s">
        <v>245</v>
      </c>
      <c r="E572" s="439"/>
      <c r="F572" s="440"/>
      <c r="G572" s="441"/>
      <c r="H572" s="440"/>
      <c r="I572" s="442"/>
      <c r="J572" s="437" t="str">
        <f>IFERROR(IF(J570="","",(R570/J570)-1),0)</f>
        <v/>
      </c>
      <c r="K572" s="1"/>
      <c r="L572" s="444" t="str">
        <f ca="1">IFERROR(L570/F570-1,"")</f>
        <v/>
      </c>
      <c r="M572" s="440"/>
      <c r="N572" s="441"/>
      <c r="O572" s="440"/>
      <c r="P572" s="445"/>
      <c r="Q572" s="445"/>
      <c r="R572" s="446" t="str">
        <f>IFERROR(IF(J570="","",(R570/J570)-1),0)</f>
        <v/>
      </c>
      <c r="T572" s="444" t="str">
        <f ca="1">IFERROR(T570/F570-1,"")</f>
        <v/>
      </c>
      <c r="U572" s="440"/>
      <c r="V572" s="441"/>
      <c r="W572" s="440"/>
      <c r="X572" s="445"/>
      <c r="Y572" s="445"/>
      <c r="Z572" s="446" t="str">
        <f>IFERROR(IF(R570="","",(Z570/R570)-1),0)</f>
        <v/>
      </c>
    </row>
    <row r="573" spans="1:26" ht="18" customHeight="1">
      <c r="A573" s="140"/>
      <c r="B573" s="140"/>
      <c r="D573" s="181" t="s">
        <v>246</v>
      </c>
      <c r="E573" s="182"/>
      <c r="F573" s="182"/>
      <c r="G573" s="182"/>
      <c r="H573" s="182"/>
      <c r="I573" s="182"/>
      <c r="J573" s="183"/>
      <c r="K573"/>
      <c r="L573" s="184"/>
      <c r="M573" s="182"/>
      <c r="N573" s="182"/>
      <c r="O573" s="182"/>
      <c r="P573" s="182"/>
      <c r="Q573" s="182"/>
      <c r="R573" s="183"/>
      <c r="T573" s="184"/>
      <c r="U573" s="182"/>
      <c r="V573" s="182"/>
      <c r="W573" s="182"/>
      <c r="X573" s="182"/>
      <c r="Y573" s="182"/>
      <c r="Z573" s="183"/>
    </row>
    <row r="574" spans="1:26" ht="18" customHeight="1" hidden="1">
      <c r="A574" s="140"/>
      <c r="B574" s="140"/>
      <c r="D574" s="185" t="s">
        <v>247</v>
      </c>
      <c r="E574" s="186"/>
      <c r="F574" s="186"/>
      <c r="G574" s="186"/>
      <c r="H574" s="186"/>
      <c r="I574" s="186"/>
      <c r="J574" s="187"/>
      <c r="K574"/>
      <c r="L574" s="188"/>
      <c r="M574" s="186"/>
      <c r="N574" s="186"/>
      <c r="O574" s="186"/>
      <c r="P574" s="186"/>
      <c r="Q574" s="186"/>
      <c r="R574" s="187"/>
      <c r="T574" s="188"/>
      <c r="U574" s="186"/>
      <c r="V574" s="186"/>
      <c r="W574" s="186"/>
      <c r="X574" s="186"/>
      <c r="Y574" s="186"/>
      <c r="Z574" s="187"/>
    </row>
    <row r="575" spans="1:26" ht="18" customHeight="1" hidden="1">
      <c r="A575" s="140"/>
      <c r="B575" s="140"/>
      <c r="D575" s="189" t="s">
        <v>248</v>
      </c>
      <c r="E575" s="190" t="str">
        <f>D564&amp;"_"&amp;D12</f>
        <v>NEW PLAN_</v>
      </c>
      <c r="F575" s="191"/>
      <c r="G575" s="191"/>
      <c r="H575" s="191"/>
      <c r="I575" s="190"/>
      <c r="J575" s="192"/>
      <c r="K575"/>
      <c r="L575" s="193" t="str">
        <f>L564&amp;"_"&amp;D12</f>
        <v>SELECT PLAN_</v>
      </c>
      <c r="M575" s="191"/>
      <c r="N575" s="191"/>
      <c r="O575" s="191"/>
      <c r="P575" s="190"/>
      <c r="Q575" s="191"/>
      <c r="R575" s="192"/>
      <c r="T575" s="193" t="str">
        <f>T564&amp;"_"&amp;D12</f>
        <v>SELECT PLAN_</v>
      </c>
      <c r="U575" s="191"/>
      <c r="V575" s="191"/>
      <c r="W575" s="191"/>
      <c r="X575" s="190"/>
      <c r="Y575" s="191"/>
      <c r="Z575" s="192"/>
    </row>
    <row r="576" spans="1:26" ht="18" customHeight="1" hidden="1">
      <c r="A576" s="140"/>
      <c r="B576" s="140"/>
      <c r="D576" s="189" t="s">
        <v>249</v>
      </c>
      <c r="E576" s="191"/>
      <c r="F576" s="191"/>
      <c r="G576" s="191"/>
      <c r="H576" s="191"/>
      <c r="I576" s="191"/>
      <c r="J576" s="192"/>
      <c r="K576"/>
      <c r="L576" s="189"/>
      <c r="M576" s="191"/>
      <c r="N576" s="191"/>
      <c r="O576" s="191"/>
      <c r="P576" s="191"/>
      <c r="Q576" s="191"/>
      <c r="R576" s="192"/>
      <c r="T576" s="189"/>
      <c r="U576" s="191"/>
      <c r="V576" s="191"/>
      <c r="W576" s="191"/>
      <c r="X576" s="191"/>
      <c r="Y576" s="191"/>
      <c r="Z576" s="192"/>
    </row>
    <row r="577" spans="1:26" ht="18" customHeight="1" hidden="1">
      <c r="A577" s="140"/>
      <c r="B577" s="140"/>
      <c r="D577" s="194" t="s">
        <v>250</v>
      </c>
      <c r="E577" s="195"/>
      <c r="F577" s="195"/>
      <c r="G577" s="195"/>
      <c r="H577" s="195"/>
      <c r="I577" s="195"/>
      <c r="J577" s="196"/>
      <c r="K577"/>
      <c r="L577" s="197"/>
      <c r="M577" s="195"/>
      <c r="N577" s="195"/>
      <c r="O577" s="195"/>
      <c r="P577" s="195"/>
      <c r="Q577" s="195"/>
      <c r="R577" s="196"/>
      <c r="T577" s="197"/>
      <c r="U577" s="195"/>
      <c r="V577" s="195"/>
      <c r="W577" s="195"/>
      <c r="X577" s="195"/>
      <c r="Y577" s="195"/>
      <c r="Z577" s="196"/>
    </row>
    <row r="578" spans="1:26" ht="18" customHeight="1" hidden="1">
      <c r="A578" s="140"/>
      <c r="B578" s="140"/>
      <c r="D578" s="198" t="s">
        <v>251</v>
      </c>
      <c r="E578" s="199" t="str">
        <f>_xlfn.XLOOKUP(E575,CurrentPlans!B:B,CurrentPlans!X:X,"NA",0,1)</f>
        <v>NA</v>
      </c>
      <c r="F578" s="200"/>
      <c r="G578" s="200"/>
      <c r="H578" s="200"/>
      <c r="I578" s="199"/>
      <c r="J578" s="201"/>
      <c r="K578"/>
      <c r="L578" s="202" t="str">
        <f>_xlfn.XLOOKUP(L575,RenewalPlans!B:B,RenewalPlans!AA:AA,"NA",0,1)</f>
        <v>NA</v>
      </c>
      <c r="M578" s="200"/>
      <c r="N578" s="200"/>
      <c r="O578" s="200"/>
      <c r="P578" s="199"/>
      <c r="Q578" s="200"/>
      <c r="R578" s="201"/>
      <c r="T578" s="202" t="str">
        <f>_xlfn.XLOOKUP(T575,RenewalPlans!B:B,RenewalPlans!AA:AA,"NA",0,1)</f>
        <v>NA</v>
      </c>
      <c r="U578" s="200"/>
      <c r="V578" s="200"/>
      <c r="W578" s="200"/>
      <c r="X578" s="199"/>
      <c r="Y578" s="200"/>
      <c r="Z578" s="201"/>
    </row>
    <row r="579" spans="1:26" ht="18" customHeight="1" hidden="1">
      <c r="A579" s="140"/>
      <c r="B579" s="140"/>
      <c r="D579" s="198" t="s">
        <v>252</v>
      </c>
      <c r="E579" s="199" t="str">
        <f>_xlfn.XLOOKUP(E575,CurrentPlans!B:B,CurrentPlans!Y:Y,"NA",0,1)</f>
        <v>NA</v>
      </c>
      <c r="F579" s="200"/>
      <c r="G579" s="200"/>
      <c r="H579" s="200"/>
      <c r="I579" s="199"/>
      <c r="J579" s="201"/>
      <c r="K579"/>
      <c r="L579" s="202" t="str">
        <f>_xlfn.XLOOKUP(L575,RenewalPlans!B:B,RenewalPlans!AB:AB,"NA",0,1)</f>
        <v>NA</v>
      </c>
      <c r="M579" s="200"/>
      <c r="N579" s="200"/>
      <c r="O579" s="200"/>
      <c r="P579" s="199"/>
      <c r="Q579" s="200"/>
      <c r="R579" s="201"/>
      <c r="T579" s="202" t="str">
        <f>_xlfn.XLOOKUP(T575,RenewalPlans!B:B,RenewalPlans!AB:AB,"NA",0,1)</f>
        <v>NA</v>
      </c>
      <c r="U579" s="200"/>
      <c r="V579" s="200"/>
      <c r="W579" s="200"/>
      <c r="X579" s="199"/>
      <c r="Y579" s="200"/>
      <c r="Z579" s="201"/>
    </row>
    <row r="580" spans="1:26" ht="18" customHeight="1" hidden="1">
      <c r="A580" s="140"/>
      <c r="B580" s="140"/>
      <c r="D580" s="120" t="s">
        <v>253</v>
      </c>
      <c r="E580" s="121" t="str">
        <f>_xlfn.XLOOKUP(E575,CurrentPlans!B:B,CurrentPlans!W:W,"NA",0,1)</f>
        <v>NA</v>
      </c>
      <c r="F580" s="122"/>
      <c r="G580" s="122"/>
      <c r="H580" s="122"/>
      <c r="I580" s="121"/>
      <c r="J580" s="123"/>
      <c r="K580"/>
      <c r="L580" s="124" t="str">
        <f>_xlfn.XLOOKUP(L575,RenewalPlans!B:B,RenewalPlans!Z:Z,"NA",0,1)</f>
        <v>NA</v>
      </c>
      <c r="M580" s="122"/>
      <c r="N580" s="122"/>
      <c r="O580" s="122"/>
      <c r="P580" s="121"/>
      <c r="Q580" s="122"/>
      <c r="R580" s="123"/>
      <c r="T580" s="124" t="str">
        <f>_xlfn.XLOOKUP(T575,RenewalPlans!B:B,RenewalPlans!Z:Z,"NA",0,1)</f>
        <v>NA</v>
      </c>
      <c r="U580" s="122"/>
      <c r="V580" s="122"/>
      <c r="W580" s="122"/>
      <c r="X580" s="121"/>
      <c r="Y580" s="122"/>
      <c r="Z580" s="123"/>
    </row>
    <row r="581" spans="1:26" ht="18" customHeight="1" hidden="1">
      <c r="A581" s="140"/>
      <c r="B581" s="140"/>
      <c r="D581" s="203" t="s">
        <v>254</v>
      </c>
      <c r="E581" s="204"/>
      <c r="F581" s="205"/>
      <c r="G581" s="205"/>
      <c r="H581" s="205"/>
      <c r="I581" s="204"/>
      <c r="J581" s="206"/>
      <c r="K581"/>
      <c r="L581" s="207"/>
      <c r="M581" s="205"/>
      <c r="N581" s="205"/>
      <c r="O581" s="205"/>
      <c r="P581" s="204"/>
      <c r="Q581" s="205"/>
      <c r="R581" s="206"/>
      <c r="T581" s="207"/>
      <c r="U581" s="205"/>
      <c r="V581" s="205"/>
      <c r="W581" s="205"/>
      <c r="X581" s="204"/>
      <c r="Y581" s="205"/>
      <c r="Z581" s="206"/>
    </row>
    <row r="582" spans="1:26" ht="18" customHeight="1" hidden="1">
      <c r="A582" s="140"/>
      <c r="B582" s="140"/>
      <c r="D582" s="125" t="s">
        <v>255</v>
      </c>
      <c r="E582" s="126" t="str">
        <f>_xlfn.XLOOKUP(E575,CurrentPlans!B:B,CurrentPlans!Z:Z,"NA",0,1)</f>
        <v>NA</v>
      </c>
      <c r="F582" s="127"/>
      <c r="G582" s="127"/>
      <c r="H582" s="127"/>
      <c r="I582" s="126"/>
      <c r="J582" s="128"/>
      <c r="K582"/>
      <c r="L582" s="129" t="str">
        <f>_xlfn.XLOOKUP(L575,RenewalPlans!B:B,RenewalPlans!AC:AC,"NA",0,1)</f>
        <v>NA</v>
      </c>
      <c r="M582" s="127"/>
      <c r="N582" s="127"/>
      <c r="O582" s="127"/>
      <c r="P582" s="126"/>
      <c r="Q582" s="127"/>
      <c r="R582" s="128"/>
      <c r="T582" s="129" t="str">
        <f>_xlfn.XLOOKUP(T575,RenewalPlans!B:B,RenewalPlans!AC:AC,"NA",0,1)</f>
        <v>NA</v>
      </c>
      <c r="U582" s="127"/>
      <c r="V582" s="127"/>
      <c r="W582" s="127"/>
      <c r="X582" s="126"/>
      <c r="Y582" s="127"/>
      <c r="Z582" s="128"/>
    </row>
    <row r="583" spans="1:26" ht="18" customHeight="1" hidden="1">
      <c r="A583" s="140"/>
      <c r="B583" s="140"/>
      <c r="D583" s="198" t="s">
        <v>256</v>
      </c>
      <c r="E583" s="208" t="str">
        <f>_xlfn.XLOOKUP(E575,CurrentPlans!B:B,CurrentPlans!AA:AA,"NA",0,1)</f>
        <v>NA</v>
      </c>
      <c r="F583" s="200"/>
      <c r="G583" s="200"/>
      <c r="H583" s="200"/>
      <c r="I583" s="208"/>
      <c r="J583" s="201"/>
      <c r="K583"/>
      <c r="L583" s="209" t="str">
        <f>_xlfn.XLOOKUP(L575,RenewalPlans!B:B,RenewalPlans!AD:AD,"NA",0,1)</f>
        <v>NA</v>
      </c>
      <c r="M583" s="200"/>
      <c r="N583" s="200"/>
      <c r="O583" s="200"/>
      <c r="P583" s="208"/>
      <c r="Q583" s="200"/>
      <c r="R583" s="201"/>
      <c r="T583" s="209" t="str">
        <f>_xlfn.XLOOKUP(T575,RenewalPlans!B:B,RenewalPlans!AD:AD,"NA",0,1)</f>
        <v>NA</v>
      </c>
      <c r="U583" s="200"/>
      <c r="V583" s="200"/>
      <c r="W583" s="200"/>
      <c r="X583" s="208"/>
      <c r="Y583" s="200"/>
      <c r="Z583" s="201"/>
    </row>
    <row r="584" spans="1:26" ht="18" customHeight="1" hidden="1">
      <c r="A584" s="140"/>
      <c r="B584" s="140"/>
      <c r="D584" s="203" t="s">
        <v>257</v>
      </c>
      <c r="E584" s="204"/>
      <c r="F584" s="205"/>
      <c r="G584" s="205"/>
      <c r="H584" s="205"/>
      <c r="I584" s="204"/>
      <c r="J584" s="206"/>
      <c r="K584"/>
      <c r="L584" s="207"/>
      <c r="M584" s="205"/>
      <c r="N584" s="205"/>
      <c r="O584" s="205"/>
      <c r="P584" s="204"/>
      <c r="Q584" s="205"/>
      <c r="R584" s="206"/>
      <c r="T584" s="207"/>
      <c r="U584" s="205"/>
      <c r="V584" s="205"/>
      <c r="W584" s="205"/>
      <c r="X584" s="204"/>
      <c r="Y584" s="205"/>
      <c r="Z584" s="206"/>
    </row>
    <row r="585" spans="1:26" ht="18" customHeight="1" hidden="1">
      <c r="A585" s="140"/>
      <c r="B585" s="140"/>
      <c r="D585" s="198" t="s">
        <v>258</v>
      </c>
      <c r="E585" s="208" t="str">
        <f>_xlfn.XLOOKUP(E575,CurrentPlans!B:B,CurrentPlans!AB:AB,"NA",0,1)</f>
        <v>NA</v>
      </c>
      <c r="F585" s="200"/>
      <c r="G585" s="200"/>
      <c r="H585" s="200"/>
      <c r="I585" s="208"/>
      <c r="J585" s="201"/>
      <c r="K585"/>
      <c r="L585" s="209" t="str">
        <f>_xlfn.XLOOKUP(L575,RenewalPlans!B:B,RenewalPlans!AE:AE,"NA",0,1)</f>
        <v>NA</v>
      </c>
      <c r="M585" s="200"/>
      <c r="N585" s="200"/>
      <c r="O585" s="200"/>
      <c r="P585" s="208"/>
      <c r="Q585" s="200"/>
      <c r="R585" s="201"/>
      <c r="T585" s="209" t="str">
        <f>_xlfn.XLOOKUP(T575,RenewalPlans!B:B,RenewalPlans!AE:AE,"NA",0,1)</f>
        <v>NA</v>
      </c>
      <c r="U585" s="200"/>
      <c r="V585" s="200"/>
      <c r="W585" s="200"/>
      <c r="X585" s="208"/>
      <c r="Y585" s="200"/>
      <c r="Z585" s="201"/>
    </row>
    <row r="586" spans="1:26" ht="18" customHeight="1" hidden="1">
      <c r="A586" s="140"/>
      <c r="B586" s="140"/>
      <c r="D586" s="198" t="s">
        <v>259</v>
      </c>
      <c r="E586" s="208" t="str">
        <f>_xlfn.XLOOKUP(E575,CurrentPlans!B:B,CurrentPlans!AC:AC,"NA",0,1)</f>
        <v>NA</v>
      </c>
      <c r="F586" s="200"/>
      <c r="G586" s="200"/>
      <c r="H586" s="200"/>
      <c r="I586" s="208"/>
      <c r="J586" s="201"/>
      <c r="K586"/>
      <c r="L586" s="209" t="str">
        <f>_xlfn.XLOOKUP(L575,RenewalPlans!B:B,RenewalPlans!AF:AF,"NA",0,1)</f>
        <v>NA</v>
      </c>
      <c r="M586" s="200"/>
      <c r="N586" s="200"/>
      <c r="O586" s="200"/>
      <c r="P586" s="208"/>
      <c r="Q586" s="200"/>
      <c r="R586" s="201"/>
      <c r="T586" s="209" t="str">
        <f>_xlfn.XLOOKUP(T575,RenewalPlans!B:B,RenewalPlans!AF:AF,"NA",0,1)</f>
        <v>NA</v>
      </c>
      <c r="U586" s="200"/>
      <c r="V586" s="200"/>
      <c r="W586" s="200"/>
      <c r="X586" s="208"/>
      <c r="Y586" s="200"/>
      <c r="Z586" s="201"/>
    </row>
    <row r="587" spans="1:26" ht="18" customHeight="1" hidden="1">
      <c r="A587" s="140"/>
      <c r="B587" s="140"/>
      <c r="D587" s="210"/>
      <c r="E587" s="211"/>
      <c r="F587" s="211"/>
      <c r="G587" s="211"/>
      <c r="H587" s="211"/>
      <c r="I587" s="211"/>
      <c r="J587" s="212"/>
      <c r="K587"/>
      <c r="L587" s="210"/>
      <c r="M587" s="211"/>
      <c r="N587" s="211"/>
      <c r="O587" s="211"/>
      <c r="P587" s="211"/>
      <c r="Q587" s="211"/>
      <c r="R587" s="212"/>
      <c r="T587" s="210"/>
      <c r="U587" s="211"/>
      <c r="V587" s="211"/>
      <c r="W587" s="211"/>
      <c r="X587" s="211"/>
      <c r="Y587" s="211"/>
      <c r="Z587" s="212"/>
    </row>
    <row r="588" spans="1:26" ht="18" customHeight="1" hidden="1">
      <c r="A588" s="140"/>
      <c r="B588" s="140"/>
      <c r="D588" s="185" t="s">
        <v>260</v>
      </c>
      <c r="E588" s="186"/>
      <c r="F588" s="186"/>
      <c r="G588" s="186"/>
      <c r="H588" s="186"/>
      <c r="I588" s="186"/>
      <c r="J588" s="187"/>
      <c r="K588"/>
      <c r="L588" s="188"/>
      <c r="M588" s="186"/>
      <c r="N588" s="186"/>
      <c r="O588" s="186"/>
      <c r="P588" s="186"/>
      <c r="Q588" s="186"/>
      <c r="R588" s="187"/>
      <c r="T588" s="188"/>
      <c r="U588" s="186"/>
      <c r="V588" s="186"/>
      <c r="W588" s="186"/>
      <c r="X588" s="186"/>
      <c r="Y588" s="186"/>
      <c r="Z588" s="187"/>
    </row>
    <row r="589" spans="1:26" ht="18" customHeight="1" hidden="1">
      <c r="A589" s="140"/>
      <c r="B589" s="140"/>
      <c r="D589" s="213" t="s">
        <v>261</v>
      </c>
      <c r="E589" s="130" t="str">
        <f>_xlfn.XLOOKUP(E575,CurrentPlans!B:B,CurrentPlans!AJ:AJ,"NA",0,1)</f>
        <v>NA</v>
      </c>
      <c r="F589" s="214"/>
      <c r="G589" s="214"/>
      <c r="H589" s="214"/>
      <c r="I589" s="130"/>
      <c r="J589" s="215"/>
      <c r="K589"/>
      <c r="L589" s="131" t="str">
        <f>_xlfn.XLOOKUP(L575,RenewalPlans!B:B,RenewalPlans!AM:AM,"NA",0,1)</f>
        <v>NA</v>
      </c>
      <c r="M589" s="214"/>
      <c r="N589" s="214"/>
      <c r="O589" s="214"/>
      <c r="P589" s="130"/>
      <c r="Q589" s="214"/>
      <c r="R589" s="215"/>
      <c r="T589" s="131" t="str">
        <f>_xlfn.XLOOKUP(T575,RenewalPlans!B:B,RenewalPlans!AM:AM,"NA",0,1)</f>
        <v>NA</v>
      </c>
      <c r="U589" s="214"/>
      <c r="V589" s="214"/>
      <c r="W589" s="214"/>
      <c r="X589" s="130"/>
      <c r="Y589" s="214"/>
      <c r="Z589" s="215"/>
    </row>
    <row r="590" spans="1:26" ht="18" customHeight="1" hidden="1">
      <c r="A590" s="140"/>
      <c r="B590" s="140"/>
      <c r="D590" s="198" t="s">
        <v>262</v>
      </c>
      <c r="E590" s="130" t="str">
        <f>_xlfn.XLOOKUP(E575,CurrentPlans!B:B,CurrentPlans!AM:AM,"NA",0,1)</f>
        <v>NA</v>
      </c>
      <c r="F590" s="200"/>
      <c r="G590" s="200"/>
      <c r="H590" s="200"/>
      <c r="I590" s="130"/>
      <c r="J590" s="201"/>
      <c r="K590"/>
      <c r="L590" s="131" t="str">
        <f>_xlfn.XLOOKUP(L575,RenewalPlans!B:B,RenewalPlans!AP:AP,"NA",0,1)</f>
        <v>NA</v>
      </c>
      <c r="M590" s="200"/>
      <c r="N590" s="200"/>
      <c r="O590" s="200"/>
      <c r="P590" s="130"/>
      <c r="Q590" s="200"/>
      <c r="R590" s="201"/>
      <c r="T590" s="131" t="str">
        <f>_xlfn.XLOOKUP(T575,RenewalPlans!B:B,RenewalPlans!AP:AP,"NA",0,1)</f>
        <v>NA</v>
      </c>
      <c r="U590" s="200"/>
      <c r="V590" s="200"/>
      <c r="W590" s="200"/>
      <c r="X590" s="130"/>
      <c r="Y590" s="200"/>
      <c r="Z590" s="201"/>
    </row>
    <row r="591" spans="1:26" ht="18" customHeight="1" hidden="1">
      <c r="A591" s="140"/>
      <c r="B591" s="140"/>
      <c r="D591" s="198" t="s">
        <v>263</v>
      </c>
      <c r="E591" s="130" t="str">
        <f>_xlfn.XLOOKUP(E575,CurrentPlans!B:B,CurrentPlans!AI:AI,"NA",0,1)</f>
        <v>NA</v>
      </c>
      <c r="F591" s="200"/>
      <c r="G591" s="200"/>
      <c r="H591" s="200"/>
      <c r="I591" s="130"/>
      <c r="J591" s="201"/>
      <c r="K591"/>
      <c r="L591" s="131" t="str">
        <f>_xlfn.XLOOKUP(L575,RenewalPlans!B:B,RenewalPlans!AL:AL,"NA",0,1)</f>
        <v>NA</v>
      </c>
      <c r="M591" s="200"/>
      <c r="N591" s="200"/>
      <c r="O591" s="200"/>
      <c r="P591" s="130"/>
      <c r="Q591" s="200"/>
      <c r="R591" s="201"/>
      <c r="T591" s="131" t="str">
        <f>_xlfn.XLOOKUP(T575,RenewalPlans!B:B,RenewalPlans!AL:AL,"NA",0,1)</f>
        <v>NA</v>
      </c>
      <c r="U591" s="200"/>
      <c r="V591" s="200"/>
      <c r="W591" s="200"/>
      <c r="X591" s="130"/>
      <c r="Y591" s="200"/>
      <c r="Z591" s="201"/>
    </row>
    <row r="592" spans="1:26" ht="18" customHeight="1" hidden="1">
      <c r="A592" s="140"/>
      <c r="B592" s="140"/>
      <c r="D592" s="198" t="s">
        <v>264</v>
      </c>
      <c r="E592" s="208" t="str">
        <f>_xlfn.XLOOKUP(E575,CurrentPlans!B:B,CurrentPlans!AN:AN,"NA",0,1)</f>
        <v>NA</v>
      </c>
      <c r="F592" s="200"/>
      <c r="G592" s="200"/>
      <c r="H592" s="200"/>
      <c r="I592" s="208"/>
      <c r="J592" s="201"/>
      <c r="K592"/>
      <c r="L592" s="209" t="str">
        <f>_xlfn.XLOOKUP(L575,RenewalPlans!B:B,RenewalPlans!AQ:AQ,"NA",0,1)</f>
        <v>NA</v>
      </c>
      <c r="M592" s="200"/>
      <c r="N592" s="200"/>
      <c r="O592" s="200"/>
      <c r="P592" s="208"/>
      <c r="Q592" s="200"/>
      <c r="R592" s="201"/>
      <c r="T592" s="209" t="str">
        <f>_xlfn.XLOOKUP(T575,RenewalPlans!B:B,RenewalPlans!AQ:AQ,"NA",0,1)</f>
        <v>NA</v>
      </c>
      <c r="U592" s="200"/>
      <c r="V592" s="200"/>
      <c r="W592" s="200"/>
      <c r="X592" s="208"/>
      <c r="Y592" s="200"/>
      <c r="Z592" s="201"/>
    </row>
    <row r="593" spans="1:26" ht="18" customHeight="1" hidden="1">
      <c r="A593" s="140"/>
      <c r="B593" s="140"/>
      <c r="D593" s="210"/>
      <c r="E593" s="211"/>
      <c r="F593" s="211"/>
      <c r="G593" s="211"/>
      <c r="H593" s="211"/>
      <c r="I593" s="211"/>
      <c r="J593" s="212"/>
      <c r="K593"/>
      <c r="L593" s="210"/>
      <c r="M593" s="211"/>
      <c r="N593" s="211"/>
      <c r="O593" s="211"/>
      <c r="P593" s="211"/>
      <c r="Q593" s="211"/>
      <c r="R593" s="212"/>
      <c r="T593" s="210"/>
      <c r="U593" s="211"/>
      <c r="V593" s="211"/>
      <c r="W593" s="211"/>
      <c r="X593" s="211"/>
      <c r="Y593" s="211"/>
      <c r="Z593" s="212"/>
    </row>
    <row r="594" spans="1:26" ht="18" customHeight="1" hidden="1">
      <c r="A594" s="140"/>
      <c r="B594" s="140"/>
      <c r="D594" s="185" t="s">
        <v>265</v>
      </c>
      <c r="E594" s="186"/>
      <c r="F594" s="186"/>
      <c r="G594" s="186"/>
      <c r="H594" s="186"/>
      <c r="I594" s="186"/>
      <c r="J594" s="187"/>
      <c r="K594"/>
      <c r="L594" s="188"/>
      <c r="M594" s="186"/>
      <c r="N594" s="186"/>
      <c r="O594" s="186"/>
      <c r="P594" s="186"/>
      <c r="Q594" s="186"/>
      <c r="R594" s="187"/>
      <c r="T594" s="188"/>
      <c r="U594" s="186"/>
      <c r="V594" s="186"/>
      <c r="W594" s="186"/>
      <c r="X594" s="186"/>
      <c r="Y594" s="186"/>
      <c r="Z594" s="187"/>
    </row>
    <row r="595" spans="1:26" ht="18" customHeight="1" hidden="1">
      <c r="A595" s="140"/>
      <c r="B595" s="140"/>
      <c r="D595" s="132" t="s">
        <v>266</v>
      </c>
      <c r="E595" s="133" t="str">
        <f>_xlfn.XLOOKUP(E575,CurrentPlans!B:B,CurrentPlans!AE:AE,"NA",0,1)</f>
        <v>NA</v>
      </c>
      <c r="F595" s="134"/>
      <c r="G595" s="134"/>
      <c r="H595" s="134"/>
      <c r="I595" s="133"/>
      <c r="J595" s="135"/>
      <c r="K595"/>
      <c r="L595" s="136" t="str">
        <f>_xlfn.XLOOKUP(L575,RenewalPlans!B:B,RenewalPlans!AH:AH,"NA",0,1)</f>
        <v>NA</v>
      </c>
      <c r="M595" s="134"/>
      <c r="N595" s="134"/>
      <c r="O595" s="134"/>
      <c r="P595" s="133"/>
      <c r="Q595" s="134"/>
      <c r="R595" s="135"/>
      <c r="T595" s="136" t="str">
        <f>_xlfn.XLOOKUP(T575,RenewalPlans!B:B,RenewalPlans!AH:AH,"NA",0,1)</f>
        <v>NA</v>
      </c>
      <c r="U595" s="134"/>
      <c r="V595" s="134"/>
      <c r="W595" s="134"/>
      <c r="X595" s="133"/>
      <c r="Y595" s="134"/>
      <c r="Z595" s="135"/>
    </row>
    <row r="596" spans="1:26" ht="18" customHeight="1" hidden="1">
      <c r="A596" s="140"/>
      <c r="B596" s="140"/>
      <c r="D596" s="120" t="s">
        <v>267</v>
      </c>
      <c r="E596" s="130" t="str">
        <f>_xlfn.XLOOKUP(E575,CurrentPlans!B:B,CurrentPlans!AF:AF,"NA",0,1)</f>
        <v>NA</v>
      </c>
      <c r="F596" s="122"/>
      <c r="G596" s="122"/>
      <c r="H596" s="122"/>
      <c r="I596" s="130"/>
      <c r="J596" s="123"/>
      <c r="K596"/>
      <c r="L596" s="131" t="str">
        <f>_xlfn.XLOOKUP(L575,RenewalPlans!B:B,RenewalPlans!AI:AI,"NA",0,1)</f>
        <v>NA</v>
      </c>
      <c r="M596" s="122"/>
      <c r="N596" s="122"/>
      <c r="O596" s="122"/>
      <c r="P596" s="130"/>
      <c r="Q596" s="122"/>
      <c r="R596" s="123"/>
      <c r="T596" s="131" t="str">
        <f>_xlfn.XLOOKUP(T575,RenewalPlans!B:B,RenewalPlans!AI:AI,"NA",0,1)</f>
        <v>NA</v>
      </c>
      <c r="U596" s="122"/>
      <c r="V596" s="122"/>
      <c r="W596" s="122"/>
      <c r="X596" s="130"/>
      <c r="Y596" s="122"/>
      <c r="Z596" s="123"/>
    </row>
    <row r="597" spans="1:26" ht="18" customHeight="1" hidden="1">
      <c r="A597" s="140"/>
      <c r="B597" s="140"/>
      <c r="D597" s="198" t="s">
        <v>268</v>
      </c>
      <c r="E597" s="130" t="str">
        <f>_xlfn.XLOOKUP(E575,CurrentPlans!B:B,CurrentPlans!AH:AH,"NA",0,1)</f>
        <v>NA</v>
      </c>
      <c r="F597" s="200"/>
      <c r="G597" s="200"/>
      <c r="H597" s="200"/>
      <c r="I597" s="130"/>
      <c r="J597" s="201"/>
      <c r="K597"/>
      <c r="L597" s="131" t="str">
        <f>_xlfn.XLOOKUP(L575,RenewalPlans!B:B,RenewalPlans!AK:AK,"NA",0,1)</f>
        <v>NA</v>
      </c>
      <c r="M597" s="200"/>
      <c r="N597" s="200"/>
      <c r="O597" s="200"/>
      <c r="P597" s="130"/>
      <c r="Q597" s="200"/>
      <c r="R597" s="201"/>
      <c r="T597" s="131" t="str">
        <f>_xlfn.XLOOKUP(T575,RenewalPlans!B:B,RenewalPlans!AK:AK,"NA",0,1)</f>
        <v>NA</v>
      </c>
      <c r="U597" s="200"/>
      <c r="V597" s="200"/>
      <c r="W597" s="200"/>
      <c r="X597" s="130"/>
      <c r="Y597" s="200"/>
      <c r="Z597" s="201"/>
    </row>
    <row r="598" spans="1:26" ht="18" customHeight="1" hidden="1">
      <c r="A598" s="140"/>
      <c r="B598" s="140"/>
      <c r="D598" s="198" t="s">
        <v>269</v>
      </c>
      <c r="E598" s="130" t="str">
        <f>_xlfn.XLOOKUP(E575,CurrentPlans!B:B,CurrentPlans!AG:AG,"NA",0,1)</f>
        <v>NA</v>
      </c>
      <c r="F598" s="200"/>
      <c r="G598" s="200"/>
      <c r="H598" s="200"/>
      <c r="I598" s="130"/>
      <c r="J598" s="201"/>
      <c r="K598"/>
      <c r="L598" s="131" t="str">
        <f>_xlfn.XLOOKUP(L575,RenewalPlans!B:B,RenewalPlans!AJ:AJ,"NA",0,1)</f>
        <v>NA</v>
      </c>
      <c r="M598" s="200"/>
      <c r="N598" s="200"/>
      <c r="O598" s="200"/>
      <c r="P598" s="130"/>
      <c r="Q598" s="200"/>
      <c r="R598" s="201"/>
      <c r="T598" s="131" t="str">
        <f>_xlfn.XLOOKUP(T575,RenewalPlans!B:B,RenewalPlans!AJ:AJ,"NA",0,1)</f>
        <v>NA</v>
      </c>
      <c r="U598" s="200"/>
      <c r="V598" s="200"/>
      <c r="W598" s="200"/>
      <c r="X598" s="130"/>
      <c r="Y598" s="200"/>
      <c r="Z598" s="201"/>
    </row>
    <row r="599" spans="1:26" ht="18" customHeight="1" hidden="1">
      <c r="A599" s="140"/>
      <c r="B599" s="140"/>
      <c r="D599" s="213" t="s">
        <v>270</v>
      </c>
      <c r="E599" s="216" t="str">
        <f>_xlfn.XLOOKUP(E575,CurrentPlans!B:B,CurrentPlans!AU:AU,"NA",0,1)</f>
        <v>NA</v>
      </c>
      <c r="F599" s="214"/>
      <c r="G599" s="214"/>
      <c r="H599" s="214"/>
      <c r="I599" s="217"/>
      <c r="J599" s="215"/>
      <c r="K599"/>
      <c r="L599" s="218" t="str">
        <f>_xlfn.XLOOKUP(L575,RenewalPlans!B:B,RenewalPlans!AX:AX,"NA",0,1)</f>
        <v>NA</v>
      </c>
      <c r="M599" s="214"/>
      <c r="N599" s="214"/>
      <c r="O599" s="214"/>
      <c r="P599" s="217"/>
      <c r="Q599" s="214"/>
      <c r="R599" s="215"/>
      <c r="T599" s="218" t="str">
        <f>_xlfn.XLOOKUP(T575,RenewalPlans!B:B,RenewalPlans!AX:AX,"NA",0,1)</f>
        <v>NA</v>
      </c>
      <c r="U599" s="214"/>
      <c r="V599" s="214"/>
      <c r="W599" s="214"/>
      <c r="X599" s="217"/>
      <c r="Y599" s="214"/>
      <c r="Z599" s="215"/>
    </row>
    <row r="600" spans="1:26" ht="18" customHeight="1" hidden="1">
      <c r="A600" s="140"/>
      <c r="B600" s="140"/>
      <c r="D600" s="213" t="s">
        <v>271</v>
      </c>
      <c r="E600" s="216" t="str">
        <f>_xlfn.XLOOKUP(E575,CurrentPlans!B:B,CurrentPlans!AT:AT,"NA",0,1)</f>
        <v>NA</v>
      </c>
      <c r="F600" s="214"/>
      <c r="G600" s="214"/>
      <c r="H600" s="214"/>
      <c r="I600" s="217"/>
      <c r="J600" s="215"/>
      <c r="K600"/>
      <c r="L600" s="218" t="str">
        <f>_xlfn.XLOOKUP(L575,RenewalPlans!B:B,RenewalPlans!AW:AW,"NA",0,1)</f>
        <v>NA</v>
      </c>
      <c r="M600" s="214"/>
      <c r="N600" s="214"/>
      <c r="O600" s="214"/>
      <c r="P600" s="217"/>
      <c r="Q600" s="214"/>
      <c r="R600" s="215"/>
      <c r="T600" s="218" t="str">
        <f>_xlfn.XLOOKUP(T575,RenewalPlans!B:B,RenewalPlans!AW:AW,"NA",0,1)</f>
        <v>NA</v>
      </c>
      <c r="U600" s="214"/>
      <c r="V600" s="214"/>
      <c r="W600" s="214"/>
      <c r="X600" s="217"/>
      <c r="Y600" s="214"/>
      <c r="Z600" s="215"/>
    </row>
    <row r="601" spans="1:26" ht="18" customHeight="1" hidden="1">
      <c r="A601" s="140"/>
      <c r="B601" s="140"/>
      <c r="D601" s="198" t="s">
        <v>272</v>
      </c>
      <c r="E601" s="130" t="str">
        <f>_xlfn.XLOOKUP(E575,CurrentPlans!B:B,CurrentPlans!AD:AD,"NA",0,1)</f>
        <v>NA</v>
      </c>
      <c r="F601" s="200"/>
      <c r="G601" s="200"/>
      <c r="H601" s="200"/>
      <c r="I601" s="130"/>
      <c r="J601" s="201"/>
      <c r="K601"/>
      <c r="L601" s="131" t="str">
        <f>_xlfn.XLOOKUP(L575,RenewalPlans!B:B,RenewalPlans!AG:AG,"NA",0,1)</f>
        <v>NA</v>
      </c>
      <c r="M601" s="200"/>
      <c r="N601" s="200"/>
      <c r="O601" s="200"/>
      <c r="P601" s="130"/>
      <c r="Q601" s="200"/>
      <c r="R601" s="201"/>
      <c r="T601" s="131" t="str">
        <f>_xlfn.XLOOKUP(T575,RenewalPlans!B:B,RenewalPlans!AG:AG,"NA",0,1)</f>
        <v>NA</v>
      </c>
      <c r="U601" s="200"/>
      <c r="V601" s="200"/>
      <c r="W601" s="200"/>
      <c r="X601" s="130"/>
      <c r="Y601" s="200"/>
      <c r="Z601" s="201"/>
    </row>
    <row r="602" spans="1:26" ht="18" customHeight="1" hidden="1">
      <c r="A602" s="140"/>
      <c r="B602" s="140"/>
      <c r="D602" s="198" t="s">
        <v>273</v>
      </c>
      <c r="E602" s="200"/>
      <c r="F602" s="200"/>
      <c r="G602" s="200"/>
      <c r="H602" s="200"/>
      <c r="I602" s="200"/>
      <c r="J602" s="201"/>
      <c r="K602"/>
      <c r="L602" s="198"/>
      <c r="M602" s="200"/>
      <c r="N602" s="200"/>
      <c r="O602" s="200"/>
      <c r="P602" s="200"/>
      <c r="Q602" s="200"/>
      <c r="R602" s="201"/>
      <c r="T602" s="198"/>
      <c r="U602" s="200"/>
      <c r="V602" s="200"/>
      <c r="W602" s="200"/>
      <c r="X602" s="200"/>
      <c r="Y602" s="200"/>
      <c r="Z602" s="201"/>
    </row>
    <row r="603" spans="1:26" ht="18" customHeight="1" hidden="1">
      <c r="A603" s="140"/>
      <c r="B603" s="140"/>
      <c r="D603" s="210"/>
      <c r="E603" s="211"/>
      <c r="F603" s="211"/>
      <c r="G603" s="211"/>
      <c r="H603" s="211"/>
      <c r="I603" s="211"/>
      <c r="J603" s="212"/>
      <c r="K603"/>
      <c r="L603" s="210"/>
      <c r="M603" s="211"/>
      <c r="N603" s="211"/>
      <c r="O603" s="211"/>
      <c r="P603" s="211"/>
      <c r="Q603" s="211"/>
      <c r="R603" s="212"/>
      <c r="T603" s="210"/>
      <c r="U603" s="211"/>
      <c r="V603" s="211"/>
      <c r="W603" s="211"/>
      <c r="X603" s="211"/>
      <c r="Y603" s="211"/>
      <c r="Z603" s="212"/>
    </row>
    <row r="604" spans="1:26" ht="18" customHeight="1" hidden="1">
      <c r="A604" s="140"/>
      <c r="B604" s="140"/>
      <c r="D604" s="219" t="s">
        <v>274</v>
      </c>
      <c r="E604" s="220"/>
      <c r="F604" s="220"/>
      <c r="G604" s="220"/>
      <c r="H604" s="220"/>
      <c r="I604" s="220"/>
      <c r="J604" s="221"/>
      <c r="K604"/>
      <c r="L604" s="222"/>
      <c r="M604" s="220"/>
      <c r="N604" s="220"/>
      <c r="O604" s="220"/>
      <c r="P604" s="220"/>
      <c r="Q604" s="220"/>
      <c r="R604" s="221"/>
      <c r="T604" s="222"/>
      <c r="U604" s="220"/>
      <c r="V604" s="220"/>
      <c r="W604" s="220"/>
      <c r="X604" s="220"/>
      <c r="Y604" s="220"/>
      <c r="Z604" s="221"/>
    </row>
    <row r="605" spans="1:26" ht="18" customHeight="1" hidden="1">
      <c r="A605" s="140"/>
      <c r="B605" s="140"/>
      <c r="D605" s="223" t="s">
        <v>250</v>
      </c>
      <c r="E605" s="205"/>
      <c r="F605" s="205"/>
      <c r="G605" s="205"/>
      <c r="H605" s="205"/>
      <c r="I605" s="205"/>
      <c r="J605" s="206"/>
      <c r="K605"/>
      <c r="L605" s="203"/>
      <c r="M605" s="205"/>
      <c r="N605" s="205"/>
      <c r="O605" s="205"/>
      <c r="P605" s="205"/>
      <c r="Q605" s="205"/>
      <c r="R605" s="206"/>
      <c r="T605" s="203"/>
      <c r="U605" s="205"/>
      <c r="V605" s="205"/>
      <c r="W605" s="205"/>
      <c r="X605" s="205"/>
      <c r="Y605" s="205"/>
      <c r="Z605" s="206"/>
    </row>
    <row r="606" spans="1:26" ht="18" customHeight="1" hidden="1">
      <c r="A606" s="140"/>
      <c r="B606" s="140"/>
      <c r="D606" s="198" t="s">
        <v>251</v>
      </c>
      <c r="E606" s="130" t="str">
        <f>_xlfn.XLOOKUP(E575,CurrentPlans!B:B,CurrentPlans!AP:AP,"NA",0,1)</f>
        <v>NA</v>
      </c>
      <c r="F606" s="200"/>
      <c r="G606" s="200"/>
      <c r="H606" s="200"/>
      <c r="I606" s="130"/>
      <c r="J606" s="201"/>
      <c r="K606"/>
      <c r="L606" s="131" t="str">
        <f>_xlfn.XLOOKUP(L575,RenewalPlans!B:B,RenewalPlans!AS:AS,"NA",0,1)</f>
        <v>NA</v>
      </c>
      <c r="M606" s="200"/>
      <c r="N606" s="200"/>
      <c r="O606" s="200"/>
      <c r="P606" s="130"/>
      <c r="Q606" s="200"/>
      <c r="R606" s="201"/>
      <c r="T606" s="131" t="str">
        <f>_xlfn.XLOOKUP(T575,RenewalPlans!B:B,RenewalPlans!AS:AS,"NA",0,1)</f>
        <v>NA</v>
      </c>
      <c r="U606" s="200"/>
      <c r="V606" s="200"/>
      <c r="W606" s="200"/>
      <c r="X606" s="130"/>
      <c r="Y606" s="200"/>
      <c r="Z606" s="201"/>
    </row>
    <row r="607" spans="1:26" ht="18" customHeight="1" hidden="1">
      <c r="A607" s="140"/>
      <c r="B607" s="140"/>
      <c r="D607" s="198" t="s">
        <v>252</v>
      </c>
      <c r="E607" s="130" t="str">
        <f>_xlfn.XLOOKUP(E575,CurrentPlans!B:B,CurrentPlans!AQ:AQ,"NA",0,1)</f>
        <v>NA</v>
      </c>
      <c r="F607" s="200"/>
      <c r="G607" s="200"/>
      <c r="H607" s="200"/>
      <c r="I607" s="130"/>
      <c r="J607" s="201"/>
      <c r="K607"/>
      <c r="L607" s="131" t="str">
        <f>_xlfn.XLOOKUP(L575,RenewalPlans!B:B,RenewalPlans!AT:AT,"NA",0,1)</f>
        <v>NA</v>
      </c>
      <c r="M607" s="200"/>
      <c r="N607" s="200"/>
      <c r="O607" s="200"/>
      <c r="P607" s="130"/>
      <c r="Q607" s="200"/>
      <c r="R607" s="201"/>
      <c r="T607" s="131" t="str">
        <f>_xlfn.XLOOKUP(T575,RenewalPlans!B:B,RenewalPlans!AT:AT,"NA",0,1)</f>
        <v>NA</v>
      </c>
      <c r="U607" s="200"/>
      <c r="V607" s="200"/>
      <c r="W607" s="200"/>
      <c r="X607" s="130"/>
      <c r="Y607" s="200"/>
      <c r="Z607" s="201"/>
    </row>
    <row r="608" spans="1:26" ht="18" customHeight="1" hidden="1">
      <c r="A608" s="140"/>
      <c r="B608" s="140"/>
      <c r="D608" s="120" t="s">
        <v>253</v>
      </c>
      <c r="E608" s="133" t="str">
        <f>_xlfn.XLOOKUP(E575,CurrentPlans!B:B,CurrentPlans!AO:AO,"NA",0,1)</f>
        <v>NA</v>
      </c>
      <c r="F608" s="122"/>
      <c r="G608" s="122"/>
      <c r="H608" s="122"/>
      <c r="I608" s="133"/>
      <c r="J608" s="123"/>
      <c r="K608"/>
      <c r="L608" s="136" t="str">
        <f>_xlfn.XLOOKUP(L575,RenewalPlans!B:B,RenewalPlans!AR:AR,"NA",0,1)</f>
        <v>NA</v>
      </c>
      <c r="M608" s="122"/>
      <c r="N608" s="122"/>
      <c r="O608" s="122"/>
      <c r="P608" s="133"/>
      <c r="Q608" s="122"/>
      <c r="R608" s="123"/>
      <c r="T608" s="136" t="str">
        <f>_xlfn.XLOOKUP(T575,RenewalPlans!B:B,RenewalPlans!AR:AR,"NA",0,1)</f>
        <v>NA</v>
      </c>
      <c r="U608" s="122"/>
      <c r="V608" s="122"/>
      <c r="W608" s="122"/>
      <c r="X608" s="133"/>
      <c r="Y608" s="122"/>
      <c r="Z608" s="123"/>
    </row>
    <row r="609" spans="1:26" ht="18" customHeight="1" hidden="1">
      <c r="A609" s="140"/>
      <c r="B609" s="140"/>
      <c r="D609" s="223" t="s">
        <v>254</v>
      </c>
      <c r="E609" s="205"/>
      <c r="F609" s="205"/>
      <c r="G609" s="205"/>
      <c r="H609" s="205"/>
      <c r="I609" s="205"/>
      <c r="J609" s="206"/>
      <c r="K609"/>
      <c r="L609" s="203"/>
      <c r="M609" s="205"/>
      <c r="N609" s="205"/>
      <c r="O609" s="205"/>
      <c r="P609" s="205"/>
      <c r="Q609" s="205"/>
      <c r="R609" s="206"/>
      <c r="T609" s="203"/>
      <c r="U609" s="205"/>
      <c r="V609" s="205"/>
      <c r="W609" s="205"/>
      <c r="X609" s="205"/>
      <c r="Y609" s="205"/>
      <c r="Z609" s="206"/>
    </row>
    <row r="610" spans="1:26" ht="18" customHeight="1" hidden="1">
      <c r="A610" s="140"/>
      <c r="B610" s="140"/>
      <c r="D610" s="198" t="s">
        <v>255</v>
      </c>
      <c r="E610" s="130" t="str">
        <f>_xlfn.XLOOKUP(E575,CurrentPlans!B:B,CurrentPlans!AR:AR,"NA",0,1)</f>
        <v>NA</v>
      </c>
      <c r="F610" s="200"/>
      <c r="G610" s="200"/>
      <c r="H610" s="200"/>
      <c r="I610" s="130"/>
      <c r="J610" s="201"/>
      <c r="K610"/>
      <c r="L610" s="131" t="str">
        <f>_xlfn.XLOOKUP(L575,RenewalPlans!B:B,RenewalPlans!AU:AU,"NA",0,1)</f>
        <v>NA</v>
      </c>
      <c r="M610" s="200"/>
      <c r="N610" s="200"/>
      <c r="O610" s="200"/>
      <c r="P610" s="130"/>
      <c r="Q610" s="200"/>
      <c r="R610" s="201"/>
      <c r="T610" s="131" t="str">
        <f>_xlfn.XLOOKUP(T575,RenewalPlans!B:B,RenewalPlans!AU:AU,"NA",0,1)</f>
        <v>NA</v>
      </c>
      <c r="U610" s="200"/>
      <c r="V610" s="200"/>
      <c r="W610" s="200"/>
      <c r="X610" s="130"/>
      <c r="Y610" s="200"/>
      <c r="Z610" s="201"/>
    </row>
    <row r="611" spans="1:26" ht="18" customHeight="1" hidden="1" thickBot="1">
      <c r="A611" s="140"/>
      <c r="B611" s="140"/>
      <c r="D611" s="224" t="s">
        <v>256</v>
      </c>
      <c r="E611" s="137" t="str">
        <f>_xlfn.XLOOKUP(E575,CurrentPlans!B:B,CurrentPlans!AS:AS,"NA",0,1)</f>
        <v>NA</v>
      </c>
      <c r="F611" s="225"/>
      <c r="G611" s="225"/>
      <c r="H611" s="225"/>
      <c r="I611" s="137"/>
      <c r="J611" s="226"/>
      <c r="K611"/>
      <c r="L611" s="138" t="str">
        <f>_xlfn.XLOOKUP(L575,RenewalPlans!B:B,RenewalPlans!AV:AV,"NA",0,1)</f>
        <v>NA</v>
      </c>
      <c r="M611" s="225"/>
      <c r="N611" s="225"/>
      <c r="O611" s="225"/>
      <c r="P611" s="137"/>
      <c r="Q611" s="225"/>
      <c r="R611" s="226"/>
      <c r="T611" s="138" t="str">
        <f>_xlfn.XLOOKUP(T575,RenewalPlans!B:B,RenewalPlans!AV:AV,"NA",0,1)</f>
        <v>NA</v>
      </c>
      <c r="U611" s="225"/>
      <c r="V611" s="225"/>
      <c r="W611" s="225"/>
      <c r="X611" s="137"/>
      <c r="Y611" s="225"/>
      <c r="Z611" s="226"/>
    </row>
    <row r="612" spans="1:26" ht="18" customHeight="1">
      <c r="A612" s="140"/>
      <c r="B612" s="140"/>
      <c r="D612" s="227"/>
      <c r="E612" s="176"/>
      <c r="F612" s="178"/>
      <c r="G612" s="179"/>
      <c r="H612" s="178"/>
      <c r="I612" s="176"/>
      <c r="J612" s="228"/>
      <c r="K612"/>
      <c r="L612" s="178"/>
      <c r="M612" s="176"/>
      <c r="N612" s="139"/>
      <c r="O612" s="178"/>
      <c r="P612" s="178"/>
      <c r="Q612" s="178"/>
      <c r="R612" s="228"/>
      <c r="T612" s="178"/>
      <c r="U612" s="176"/>
      <c r="V612" s="139"/>
      <c r="W612" s="178"/>
      <c r="X612" s="178"/>
      <c r="Y612" s="178"/>
      <c r="Z612" s="228"/>
    </row>
    <row r="613" spans="1:26" ht="5.25" customHeight="1" thickBot="1">
      <c r="A613" s="140"/>
      <c r="B613" s="140"/>
      <c r="D613" s="229"/>
      <c r="E613" s="229"/>
      <c r="F613" s="230"/>
      <c r="G613" s="231"/>
      <c r="H613" s="232"/>
      <c r="I613" s="233"/>
      <c r="J613" s="233"/>
      <c r="K613"/>
      <c r="L613" s="233"/>
      <c r="M613" s="233"/>
      <c r="N613" s="233"/>
      <c r="O613" s="233"/>
      <c r="P613" s="233"/>
      <c r="Q613" s="233"/>
      <c r="R613" s="233"/>
      <c r="T613" s="233"/>
      <c r="U613" s="233"/>
      <c r="V613" s="233"/>
      <c r="W613" s="233"/>
      <c r="X613" s="233"/>
      <c r="Y613" s="233"/>
      <c r="Z613" s="233"/>
    </row>
    <row r="614" spans="1:26" ht="50.15" customHeight="1">
      <c r="A614" s="140"/>
      <c r="B614" s="140"/>
      <c r="C614" s="164" t="s">
        <v>287</v>
      </c>
      <c r="D614" s="275" t="s">
        <v>285</v>
      </c>
      <c r="E614" s="165"/>
      <c r="F614" s="272"/>
      <c r="G614" s="166"/>
      <c r="H614" s="167"/>
      <c r="I614" s="168"/>
      <c r="J614" s="169"/>
      <c r="K614"/>
      <c r="L614" s="274" t="s">
        <v>38</v>
      </c>
      <c r="M614" s="170"/>
      <c r="N614" s="274" t="s">
        <v>237</v>
      </c>
      <c r="O614" s="171"/>
      <c r="P614" s="171"/>
      <c r="Q614" s="171"/>
      <c r="R614" s="169"/>
      <c r="T614" s="274" t="s">
        <v>38</v>
      </c>
      <c r="U614" s="170"/>
      <c r="V614" s="274" t="s">
        <v>237</v>
      </c>
      <c r="W614" s="171"/>
      <c r="X614" s="171"/>
      <c r="Y614" s="171"/>
      <c r="Z614" s="169"/>
    </row>
    <row r="615" spans="1:26" ht="18.75" customHeight="1">
      <c r="A615" s="140"/>
      <c r="B615" s="140"/>
      <c r="D615" s="172" t="s">
        <v>238</v>
      </c>
      <c r="E615" s="407"/>
      <c r="F615" s="449"/>
      <c r="G615" s="470"/>
      <c r="H615" s="449"/>
      <c r="I615" s="450"/>
      <c r="J615" s="410"/>
      <c r="K615" s="411"/>
      <c r="L615" s="408" t="str" cm="1">
        <f t="array" ca="1" aca="1" ref="L615">_xlfn.IFNA(VLOOKUP(INDIRECT("L"&amp;ROW()-1)&amp;"_"&amp;$D$12,BEGIN_RENEW_HEALTH:END_RENEW_HEALTH,RENEW_COL_EO,FALSE),"")</f>
        <v/>
      </c>
      <c r="M615" s="412" t="str">
        <f>IF(E615="","",E615)</f>
        <v/>
      </c>
      <c r="N615" s="413"/>
      <c r="O615" s="414"/>
      <c r="P615" s="415" t="str">
        <f>IFERROR(IF($N614="Keep Contribution Same",H615,IF($N614="Enter Percentages",IF(N615="","",N615*L615),IF($N614="Keep Percentage Same",IF(G615="","",G615*L615),IF($N614="Enter Dollar Amount",IF(O615="","",O615),"")))),"")</f>
        <v/>
      </c>
      <c r="Q615" s="408" t="str">
        <f ca="1">IFERROR(L615-P615,"")</f>
        <v/>
      </c>
      <c r="R615" s="410" t="str">
        <f>IFERROR(IF(P615="","",M615*P615),"")</f>
        <v/>
      </c>
      <c r="S615" s="411"/>
      <c r="T615" s="408" t="str" cm="1">
        <f t="array" ca="1" aca="1" ref="T615">_xlfn.IFNA(VLOOKUP(INDIRECT("T"&amp;ROW()-1)&amp;"_"&amp;$D$12,BEGIN_RENEW_HEALTH:END_RENEW_HEALTH,RENEW_COL_EO,FALSE),"")</f>
        <v/>
      </c>
      <c r="U615" s="412" t="str">
        <f>IF(E615="","",E615)</f>
        <v/>
      </c>
      <c r="V615" s="413"/>
      <c r="W615" s="414"/>
      <c r="X615" s="415" t="str">
        <f>IFERROR(IF($V614="Keep Contribution Same",H615,IF($V614="Enter Percentages",IF(V615="","",V615*T615),IF($V614="Keep Percentage Same",IF(G615="","",G615*T615),IF($V614="Enter Dollar Amount",IF(W615="","",W615),"")))),"")</f>
        <v/>
      </c>
      <c r="Y615" s="408" t="str">
        <f ca="1">IFERROR(T615-X615,"")</f>
        <v/>
      </c>
      <c r="Z615" s="410" t="str">
        <f>IFERROR(IF(X615="","",U615*X615),"")</f>
        <v/>
      </c>
    </row>
    <row r="616" spans="1:26" ht="18.75" customHeight="1">
      <c r="A616" s="140"/>
      <c r="B616" s="140"/>
      <c r="D616" s="172" t="s">
        <v>239</v>
      </c>
      <c r="E616" s="407"/>
      <c r="F616" s="449"/>
      <c r="G616" s="470"/>
      <c r="H616" s="449"/>
      <c r="I616" s="450"/>
      <c r="J616" s="410"/>
      <c r="K616" s="411"/>
      <c r="L616" s="408" t="str" cm="1">
        <f t="array" ca="1" aca="1" ref="L616">_xlfn.IFNA(VLOOKUP(INDIRECT("L"&amp;ROW()-2)&amp;"_"&amp;$D$12,BEGIN_RENEW_HEALTH:END_RENEW_HEALTH,RENEW_COL_ES,FALSE),"")</f>
        <v/>
      </c>
      <c r="M616" s="412" t="str">
        <f>IF(E616="","",E616)</f>
        <v/>
      </c>
      <c r="N616" s="413"/>
      <c r="O616" s="414"/>
      <c r="P616" s="415" t="str">
        <f>IFERROR(IF($N614="Keep Contribution Same",H616,IF($N614="Enter Percentages",IF(N616="","",N616*L616),IF($N614="Keep Percentage Same",IF(G616="","",G616*L616),IF($N614="Enter Dollar Amount",IF(O616="","",O616),"")))),"")</f>
        <v/>
      </c>
      <c r="Q616" s="408" t="str">
        <f ca="1" t="shared" si="58" ref="Q616:Q618">IFERROR(L616-P616,"")</f>
        <v/>
      </c>
      <c r="R616" s="410" t="str">
        <f>IFERROR(IF(P616="","",M616*P616),"")</f>
        <v/>
      </c>
      <c r="S616" s="411"/>
      <c r="T616" s="408" t="str" cm="1">
        <f t="array" ca="1" aca="1" ref="T616">_xlfn.IFNA(VLOOKUP(INDIRECT("T"&amp;ROW()-2)&amp;"_"&amp;$D$12,BEGIN_RENEW_HEALTH:END_RENEW_HEALTH,RENEW_COL_ES,FALSE),"")</f>
        <v/>
      </c>
      <c r="U616" s="412" t="str">
        <f t="shared" si="59" ref="U616:U618">IF(E616="","",E616)</f>
        <v/>
      </c>
      <c r="V616" s="413"/>
      <c r="W616" s="414"/>
      <c r="X616" s="415" t="str">
        <f>IFERROR(IF($V614="Keep Contribution Same",H616,IF($V614="Enter Percentages",IF(V616="","",V616*T616),IF($V614="Keep Percentage Same",IF(G616="","",G616*T616),IF($V614="Enter Dollar Amount",IF(W616="","",W616),"")))),"")</f>
        <v/>
      </c>
      <c r="Y616" s="408" t="str">
        <f ca="1" t="shared" si="60" ref="Y616:Y618">IFERROR(T616-X616,"")</f>
        <v/>
      </c>
      <c r="Z616" s="410" t="str">
        <f t="shared" si="61" ref="Z616:Z618">IFERROR(IF(X616="","",U616*X616),"")</f>
        <v/>
      </c>
    </row>
    <row r="617" spans="1:26" ht="18.75" customHeight="1">
      <c r="A617" s="140"/>
      <c r="B617" s="140"/>
      <c r="D617" s="172" t="s">
        <v>240</v>
      </c>
      <c r="E617" s="407"/>
      <c r="F617" s="449"/>
      <c r="G617" s="470"/>
      <c r="H617" s="449"/>
      <c r="I617" s="450"/>
      <c r="J617" s="410"/>
      <c r="K617" s="411"/>
      <c r="L617" s="408" t="str" cm="1">
        <f t="array" ca="1" aca="1" ref="L617">_xlfn.IFNA(VLOOKUP(INDIRECT("L"&amp;ROW()-3)&amp;"_"&amp;$D$12,BEGIN_RENEW_HEALTH:END_RENEW_HEALTH,RENEW_COL_EC,FALSE),"")</f>
        <v/>
      </c>
      <c r="M617" s="412" t="str">
        <f>IF(E617="","",E617)</f>
        <v/>
      </c>
      <c r="N617" s="413"/>
      <c r="O617" s="414"/>
      <c r="P617" s="415" t="str">
        <f>IFERROR(IF($N614="Keep Contribution Same",H617,IF($N614="Enter Percentages",IF(N617="","",N617*L617),IF($N614="Keep Percentage Same",IF(G617="","",G617*L617),IF($N614="Enter Dollar Amount",IF(O617="","",O617),"")))),"")</f>
        <v/>
      </c>
      <c r="Q617" s="408" t="str">
        <f t="shared" ca="1" si="58"/>
        <v/>
      </c>
      <c r="R617" s="410" t="str">
        <f>IFERROR(IF(P617="","",M617*P617),"")</f>
        <v/>
      </c>
      <c r="S617" s="411"/>
      <c r="T617" s="408" t="str" cm="1">
        <f t="array" ca="1" aca="1" ref="T617">_xlfn.IFNA(VLOOKUP(INDIRECT("T"&amp;ROW()-3)&amp;"_"&amp;$D$12,BEGIN_RENEW_HEALTH:END_RENEW_HEALTH,RENEW_COL_EC,FALSE),"")</f>
        <v/>
      </c>
      <c r="U617" s="412" t="str">
        <f t="shared" si="59"/>
        <v/>
      </c>
      <c r="V617" s="413"/>
      <c r="W617" s="414"/>
      <c r="X617" s="415" t="str">
        <f>IFERROR(IF($V614="Keep Contribution Same",H617,IF($V614="Enter Percentages",IF(V617="","",V617*T617),IF($V614="Keep Percentage Same",IF(G617="","",G617*T617),IF($V614="Enter Dollar Amount",IF(W617="","",W617),"")))),"")</f>
        <v/>
      </c>
      <c r="Y617" s="408" t="str">
        <f t="shared" ca="1" si="60"/>
        <v/>
      </c>
      <c r="Z617" s="410" t="str">
        <f t="shared" si="61"/>
        <v/>
      </c>
    </row>
    <row r="618" spans="1:26" ht="18.75" customHeight="1" thickBot="1">
      <c r="A618" s="140"/>
      <c r="B618" s="140"/>
      <c r="D618" s="174" t="s">
        <v>241</v>
      </c>
      <c r="E618" s="416"/>
      <c r="F618" s="451"/>
      <c r="G618" s="471"/>
      <c r="H618" s="451"/>
      <c r="I618" s="452"/>
      <c r="J618" s="419"/>
      <c r="K618" s="411"/>
      <c r="L618" s="417" t="str" cm="1">
        <f t="array" ca="1" aca="1" ref="L618">_xlfn.IFNA(VLOOKUP(INDIRECT("L"&amp;ROW()-4)&amp;"_"&amp;$D$12,BEGIN_RENEW_HEALTH:END_RENEW_HEALTH,RENEW_COL_FAM,FALSE),"")</f>
        <v/>
      </c>
      <c r="M618" s="423" t="str">
        <f>IF(E618="","",E618)</f>
        <v/>
      </c>
      <c r="N618" s="420"/>
      <c r="O618" s="421"/>
      <c r="P618" s="422" t="str">
        <f>IFERROR(IF($N614="Keep Contribution Same",H618,IF($N614="Enter Percentages",IF(N618="","",N618*L618),IF($N614="Keep Percentage Same",IF(G618="","",G618*L618),IF($N614="Enter Dollar Amount",IF(O618="","",O618),"")))),"")</f>
        <v/>
      </c>
      <c r="Q618" s="417" t="str">
        <f t="shared" ca="1" si="58"/>
        <v/>
      </c>
      <c r="R618" s="419" t="str">
        <f>IFERROR(IF(P618="","",M618*P618),"")</f>
        <v/>
      </c>
      <c r="S618" s="411"/>
      <c r="T618" s="417" t="str" cm="1">
        <f t="array" ca="1" aca="1" ref="T618">_xlfn.IFNA(VLOOKUP(INDIRECT("T"&amp;ROW()-4)&amp;"_"&amp;$D$12,BEGIN_RENEW_HEALTH:END_RENEW_HEALTH,RENEW_COL_FAM,FALSE),"")</f>
        <v/>
      </c>
      <c r="U618" s="423" t="str">
        <f t="shared" si="59"/>
        <v/>
      </c>
      <c r="V618" s="420"/>
      <c r="W618" s="421"/>
      <c r="X618" s="422" t="str">
        <f>IFERROR(IF($V614="Keep Contribution Same",H618,IF($V614="Enter Percentages",IF(V618="","",V618*T618),IF($V614="Keep Percentage Same",IF(G618="","",G618*T618),IF($V614="Enter Dollar Amount",IF(W618="","",W618),"")))),"")</f>
        <v/>
      </c>
      <c r="Y618" s="417" t="str">
        <f t="shared" ca="1" si="60"/>
        <v/>
      </c>
      <c r="Z618" s="419" t="str">
        <f t="shared" si="61"/>
        <v/>
      </c>
    </row>
    <row r="619" spans="1:26" ht="18.75" customHeight="1" thickTop="1">
      <c r="A619" s="140"/>
      <c r="B619" s="140"/>
      <c r="D619" s="175" t="s">
        <v>329</v>
      </c>
      <c r="E619" s="459"/>
      <c r="F619" s="447">
        <f>IFERROR((F615*E615)+(F616*E616)+(F617*E617)+(F618*E618),"")</f>
        <v>0</v>
      </c>
      <c r="G619" s="426"/>
      <c r="H619" s="427"/>
      <c r="I619" s="428"/>
      <c r="J619" s="429" t="str">
        <f>IFERROR(IF(J615="","",SUM(J615:J618)),0)</f>
        <v/>
      </c>
      <c r="K619" s="1"/>
      <c r="L619" s="430" t="str">
        <f ca="1">IFERROR((M615*L615)+(M616*L616)+(M617*L617)+(M618*L618),"")</f>
        <v/>
      </c>
      <c r="M619" s="427"/>
      <c r="N619" s="426"/>
      <c r="O619" s="427"/>
      <c r="P619" s="431"/>
      <c r="Q619" s="432"/>
      <c r="R619" s="429" t="str">
        <f>IFERROR(IF(R615="","",SUM(R615:R618)),0)</f>
        <v/>
      </c>
      <c r="T619" s="430" t="str">
        <f ca="1">IFERROR((U615*T615)+(U616*T616)+(U617*T617)+(U618*T618),"")</f>
        <v/>
      </c>
      <c r="U619" s="427"/>
      <c r="V619" s="426"/>
      <c r="W619" s="427"/>
      <c r="X619" s="431"/>
      <c r="Y619" s="432"/>
      <c r="Z619" s="429" t="str">
        <f>IFERROR(IF(Z615="","",SUM(Z615:Z618)),0)</f>
        <v/>
      </c>
    </row>
    <row r="620" spans="1:26" ht="18.75" customHeight="1">
      <c r="A620" s="140"/>
      <c r="B620" s="140"/>
      <c r="D620" s="177" t="s">
        <v>243</v>
      </c>
      <c r="E620" s="460"/>
      <c r="F620" s="448">
        <f>IFERROR(F619*12,"")</f>
        <v>0</v>
      </c>
      <c r="G620" s="435"/>
      <c r="H620" s="436"/>
      <c r="I620" s="432"/>
      <c r="J620" s="437" t="str">
        <f>IF(J619="","",J619*12)</f>
        <v/>
      </c>
      <c r="K620" s="1"/>
      <c r="L620" s="438" t="str">
        <f ca="1">IFERROR(L619*12,"")</f>
        <v/>
      </c>
      <c r="M620" s="436"/>
      <c r="N620" s="435"/>
      <c r="O620" s="436"/>
      <c r="P620" s="432"/>
      <c r="Q620" s="432"/>
      <c r="R620" s="437" t="str">
        <f>IF(R619="","",R619*12)</f>
        <v/>
      </c>
      <c r="T620" s="438" t="str">
        <f ca="1">IFERROR(T619*12,"")</f>
        <v/>
      </c>
      <c r="U620" s="436"/>
      <c r="V620" s="435"/>
      <c r="W620" s="436"/>
      <c r="X620" s="432"/>
      <c r="Y620" s="432"/>
      <c r="Z620" s="437" t="str">
        <f>IF(Z619="","",Z619*12)</f>
        <v/>
      </c>
    </row>
    <row r="621" spans="1:26" ht="18.75" customHeight="1">
      <c r="A621" s="140"/>
      <c r="B621" s="140"/>
      <c r="D621" s="177" t="s">
        <v>244</v>
      </c>
      <c r="E621" s="433"/>
      <c r="F621" s="436"/>
      <c r="G621" s="435"/>
      <c r="H621" s="436"/>
      <c r="I621" s="432"/>
      <c r="J621" s="437" t="str">
        <f>IFERROR(IF(J620="","",R620-J620),0)</f>
        <v/>
      </c>
      <c r="K621" s="1"/>
      <c r="L621" s="434" t="str">
        <f ca="1">IFERROR(L620-F620,"")</f>
        <v/>
      </c>
      <c r="M621" s="436"/>
      <c r="N621" s="435"/>
      <c r="O621" s="436"/>
      <c r="P621" s="432"/>
      <c r="Q621" s="432"/>
      <c r="R621" s="437" t="str">
        <f>IFERROR(IF(J620="","",R620-J620),0)</f>
        <v/>
      </c>
      <c r="T621" s="434" t="str">
        <f ca="1">IFERROR(T620-F620,"")</f>
        <v/>
      </c>
      <c r="U621" s="436"/>
      <c r="V621" s="435"/>
      <c r="W621" s="436"/>
      <c r="X621" s="432"/>
      <c r="Y621" s="432"/>
      <c r="Z621" s="437" t="str">
        <f>IFERROR(IF(R620="","",Z620-R620),0)</f>
        <v/>
      </c>
    </row>
    <row r="622" spans="1:26" ht="18" customHeight="1" thickBot="1">
      <c r="A622" s="140"/>
      <c r="B622" s="140"/>
      <c r="D622" s="180" t="s">
        <v>245</v>
      </c>
      <c r="E622" s="439"/>
      <c r="F622" s="440"/>
      <c r="G622" s="441"/>
      <c r="H622" s="440"/>
      <c r="I622" s="442"/>
      <c r="J622" s="437" t="str">
        <f>IFERROR(IF(J620="","",(R620/J620)-1),0)</f>
        <v/>
      </c>
      <c r="K622" s="1"/>
      <c r="L622" s="444" t="str">
        <f ca="1">IFERROR(L620/F620-1,"")</f>
        <v/>
      </c>
      <c r="M622" s="440"/>
      <c r="N622" s="441"/>
      <c r="O622" s="440"/>
      <c r="P622" s="445"/>
      <c r="Q622" s="445"/>
      <c r="R622" s="446" t="str">
        <f>IFERROR(IF(J620="","",(R620/J620)-1),0)</f>
        <v/>
      </c>
      <c r="T622" s="444" t="str">
        <f ca="1">IFERROR(T620/F620-1,"")</f>
        <v/>
      </c>
      <c r="U622" s="440"/>
      <c r="V622" s="441"/>
      <c r="W622" s="440"/>
      <c r="X622" s="445"/>
      <c r="Y622" s="445"/>
      <c r="Z622" s="446" t="str">
        <f>IFERROR(IF(R620="","",(Z620/R620)-1),0)</f>
        <v/>
      </c>
    </row>
    <row r="623" spans="1:26" ht="18" customHeight="1">
      <c r="A623" s="140"/>
      <c r="B623" s="140"/>
      <c r="D623" s="181" t="s">
        <v>246</v>
      </c>
      <c r="E623" s="182"/>
      <c r="F623" s="182"/>
      <c r="G623" s="182"/>
      <c r="H623" s="182"/>
      <c r="I623" s="182"/>
      <c r="J623" s="183"/>
      <c r="K623"/>
      <c r="L623" s="184"/>
      <c r="M623" s="182"/>
      <c r="N623" s="182"/>
      <c r="O623" s="182"/>
      <c r="P623" s="182"/>
      <c r="Q623" s="182"/>
      <c r="R623" s="183"/>
      <c r="T623" s="184"/>
      <c r="U623" s="182"/>
      <c r="V623" s="182"/>
      <c r="W623" s="182"/>
      <c r="X623" s="182"/>
      <c r="Y623" s="182"/>
      <c r="Z623" s="183"/>
    </row>
    <row r="624" spans="1:26" ht="18" customHeight="1" hidden="1">
      <c r="A624" s="140"/>
      <c r="B624" s="140"/>
      <c r="D624" s="185" t="s">
        <v>247</v>
      </c>
      <c r="E624" s="186"/>
      <c r="F624" s="186"/>
      <c r="G624" s="186"/>
      <c r="H624" s="186"/>
      <c r="I624" s="186"/>
      <c r="J624" s="187"/>
      <c r="K624"/>
      <c r="L624" s="188"/>
      <c r="M624" s="186"/>
      <c r="N624" s="186"/>
      <c r="O624" s="186"/>
      <c r="P624" s="186"/>
      <c r="Q624" s="186"/>
      <c r="R624" s="187"/>
      <c r="T624" s="188"/>
      <c r="U624" s="186"/>
      <c r="V624" s="186"/>
      <c r="W624" s="186"/>
      <c r="X624" s="186"/>
      <c r="Y624" s="186"/>
      <c r="Z624" s="187"/>
    </row>
    <row r="625" spans="1:26" ht="18" customHeight="1" hidden="1">
      <c r="A625" s="140"/>
      <c r="B625" s="140"/>
      <c r="D625" s="189" t="s">
        <v>248</v>
      </c>
      <c r="E625" s="190" t="str">
        <f>D614&amp;"_"&amp;D12</f>
        <v>NEW PLAN_</v>
      </c>
      <c r="F625" s="191"/>
      <c r="G625" s="191"/>
      <c r="H625" s="191"/>
      <c r="I625" s="190"/>
      <c r="J625" s="192"/>
      <c r="K625"/>
      <c r="L625" s="193" t="str">
        <f>L614&amp;"_"&amp;D12</f>
        <v>SELECT PLAN_</v>
      </c>
      <c r="M625" s="191"/>
      <c r="N625" s="191"/>
      <c r="O625" s="191"/>
      <c r="P625" s="190"/>
      <c r="Q625" s="191"/>
      <c r="R625" s="192"/>
      <c r="T625" s="193" t="str">
        <f>T614&amp;"_"&amp;D12</f>
        <v>SELECT PLAN_</v>
      </c>
      <c r="U625" s="191"/>
      <c r="V625" s="191"/>
      <c r="W625" s="191"/>
      <c r="X625" s="190"/>
      <c r="Y625" s="191"/>
      <c r="Z625" s="192"/>
    </row>
    <row r="626" spans="1:26" ht="18" customHeight="1" hidden="1">
      <c r="A626" s="140"/>
      <c r="B626" s="140"/>
      <c r="D626" s="189" t="s">
        <v>249</v>
      </c>
      <c r="E626" s="191"/>
      <c r="F626" s="191"/>
      <c r="G626" s="191"/>
      <c r="H626" s="191"/>
      <c r="I626" s="191"/>
      <c r="J626" s="192"/>
      <c r="K626"/>
      <c r="L626" s="189"/>
      <c r="M626" s="191"/>
      <c r="N626" s="191"/>
      <c r="O626" s="191"/>
      <c r="P626" s="191"/>
      <c r="Q626" s="191"/>
      <c r="R626" s="192"/>
      <c r="T626" s="189"/>
      <c r="U626" s="191"/>
      <c r="V626" s="191"/>
      <c r="W626" s="191"/>
      <c r="X626" s="191"/>
      <c r="Y626" s="191"/>
      <c r="Z626" s="192"/>
    </row>
    <row r="627" spans="1:26" ht="32.25" customHeight="1" hidden="1">
      <c r="A627" s="140"/>
      <c r="B627" s="140"/>
      <c r="D627" s="194" t="s">
        <v>250</v>
      </c>
      <c r="E627" s="195"/>
      <c r="F627" s="195"/>
      <c r="G627" s="195"/>
      <c r="H627" s="195"/>
      <c r="I627" s="195"/>
      <c r="J627" s="196"/>
      <c r="K627"/>
      <c r="L627" s="197"/>
      <c r="M627" s="195"/>
      <c r="N627" s="195"/>
      <c r="O627" s="195"/>
      <c r="P627" s="195"/>
      <c r="Q627" s="195"/>
      <c r="R627" s="196"/>
      <c r="T627" s="197"/>
      <c r="U627" s="195"/>
      <c r="V627" s="195"/>
      <c r="W627" s="195"/>
      <c r="X627" s="195"/>
      <c r="Y627" s="195"/>
      <c r="Z627" s="196"/>
    </row>
    <row r="628" spans="1:26" ht="18" customHeight="1" hidden="1">
      <c r="A628" s="140"/>
      <c r="B628" s="140"/>
      <c r="D628" s="198" t="s">
        <v>251</v>
      </c>
      <c r="E628" s="199" t="str">
        <f>_xlfn.XLOOKUP(E625,CurrentPlans!B:B,CurrentPlans!X:X,"NA",0,1)</f>
        <v>NA</v>
      </c>
      <c r="F628" s="200"/>
      <c r="G628" s="200"/>
      <c r="H628" s="200"/>
      <c r="I628" s="199"/>
      <c r="J628" s="201"/>
      <c r="K628"/>
      <c r="L628" s="202" t="str">
        <f>_xlfn.XLOOKUP(L625,RenewalPlans!B:B,RenewalPlans!AA:AA,"NA",0,1)</f>
        <v>NA</v>
      </c>
      <c r="M628" s="200"/>
      <c r="N628" s="200"/>
      <c r="O628" s="200"/>
      <c r="P628" s="199"/>
      <c r="Q628" s="200"/>
      <c r="R628" s="201"/>
      <c r="T628" s="202" t="str">
        <f>_xlfn.XLOOKUP(T625,RenewalPlans!B:B,RenewalPlans!AA:AA,"NA",0,1)</f>
        <v>NA</v>
      </c>
      <c r="U628" s="200"/>
      <c r="V628" s="200"/>
      <c r="W628" s="200"/>
      <c r="X628" s="199"/>
      <c r="Y628" s="200"/>
      <c r="Z628" s="201"/>
    </row>
    <row r="629" spans="1:26" ht="18" customHeight="1" hidden="1">
      <c r="A629" s="140"/>
      <c r="B629" s="140"/>
      <c r="D629" s="198" t="s">
        <v>252</v>
      </c>
      <c r="E629" s="199" t="str">
        <f>_xlfn.XLOOKUP(E625,CurrentPlans!B:B,CurrentPlans!Y:Y,"NA",0,1)</f>
        <v>NA</v>
      </c>
      <c r="F629" s="200"/>
      <c r="G629" s="200"/>
      <c r="H629" s="200"/>
      <c r="I629" s="199"/>
      <c r="J629" s="201"/>
      <c r="K629"/>
      <c r="L629" s="202" t="str">
        <f>_xlfn.XLOOKUP(L625,RenewalPlans!B:B,RenewalPlans!AB:AB,"NA",0,1)</f>
        <v>NA</v>
      </c>
      <c r="M629" s="200"/>
      <c r="N629" s="200"/>
      <c r="O629" s="200"/>
      <c r="P629" s="199"/>
      <c r="Q629" s="200"/>
      <c r="R629" s="201"/>
      <c r="T629" s="202" t="str">
        <f>_xlfn.XLOOKUP(T625,RenewalPlans!B:B,RenewalPlans!AB:AB,"NA",0,1)</f>
        <v>NA</v>
      </c>
      <c r="U629" s="200"/>
      <c r="V629" s="200"/>
      <c r="W629" s="200"/>
      <c r="X629" s="199"/>
      <c r="Y629" s="200"/>
      <c r="Z629" s="201"/>
    </row>
    <row r="630" spans="1:26" ht="18" customHeight="1" hidden="1">
      <c r="A630" s="140"/>
      <c r="B630" s="140"/>
      <c r="D630" s="120" t="s">
        <v>253</v>
      </c>
      <c r="E630" s="121" t="str">
        <f>_xlfn.XLOOKUP(E625,CurrentPlans!B:B,CurrentPlans!W:W,"NA",0,1)</f>
        <v>NA</v>
      </c>
      <c r="F630" s="122"/>
      <c r="G630" s="122"/>
      <c r="H630" s="122"/>
      <c r="I630" s="121"/>
      <c r="J630" s="123"/>
      <c r="K630"/>
      <c r="L630" s="124" t="str">
        <f>_xlfn.XLOOKUP(L625,RenewalPlans!B:B,RenewalPlans!Z:Z,"NA",0,1)</f>
        <v>NA</v>
      </c>
      <c r="M630" s="122"/>
      <c r="N630" s="122"/>
      <c r="O630" s="122"/>
      <c r="P630" s="121"/>
      <c r="Q630" s="122"/>
      <c r="R630" s="123"/>
      <c r="T630" s="124" t="str">
        <f>_xlfn.XLOOKUP(T625,RenewalPlans!B:B,RenewalPlans!Z:Z,"NA",0,1)</f>
        <v>NA</v>
      </c>
      <c r="U630" s="122"/>
      <c r="V630" s="122"/>
      <c r="W630" s="122"/>
      <c r="X630" s="121"/>
      <c r="Y630" s="122"/>
      <c r="Z630" s="123"/>
    </row>
    <row r="631" spans="1:26" ht="18" customHeight="1" hidden="1">
      <c r="A631" s="140"/>
      <c r="B631" s="140"/>
      <c r="D631" s="203" t="s">
        <v>254</v>
      </c>
      <c r="E631" s="204"/>
      <c r="F631" s="205"/>
      <c r="G631" s="205"/>
      <c r="H631" s="205"/>
      <c r="I631" s="204"/>
      <c r="J631" s="206"/>
      <c r="K631"/>
      <c r="L631" s="207"/>
      <c r="M631" s="205"/>
      <c r="N631" s="205"/>
      <c r="O631" s="205"/>
      <c r="P631" s="204"/>
      <c r="Q631" s="205"/>
      <c r="R631" s="206"/>
      <c r="T631" s="207"/>
      <c r="U631" s="205"/>
      <c r="V631" s="205"/>
      <c r="W631" s="205"/>
      <c r="X631" s="204"/>
      <c r="Y631" s="205"/>
      <c r="Z631" s="206"/>
    </row>
    <row r="632" spans="1:26" ht="18" customHeight="1" hidden="1">
      <c r="A632" s="140"/>
      <c r="B632" s="140"/>
      <c r="D632" s="125" t="s">
        <v>255</v>
      </c>
      <c r="E632" s="126" t="str">
        <f>_xlfn.XLOOKUP(E625,CurrentPlans!B:B,CurrentPlans!Z:Z,"NA",0,1)</f>
        <v>NA</v>
      </c>
      <c r="F632" s="127"/>
      <c r="G632" s="127"/>
      <c r="H632" s="127"/>
      <c r="I632" s="126"/>
      <c r="J632" s="128"/>
      <c r="K632"/>
      <c r="L632" s="129" t="str">
        <f>_xlfn.XLOOKUP(L625,RenewalPlans!B:B,RenewalPlans!AC:AC,"NA",0,1)</f>
        <v>NA</v>
      </c>
      <c r="M632" s="127"/>
      <c r="N632" s="127"/>
      <c r="O632" s="127"/>
      <c r="P632" s="126"/>
      <c r="Q632" s="127"/>
      <c r="R632" s="128"/>
      <c r="T632" s="129" t="str">
        <f>_xlfn.XLOOKUP(T625,RenewalPlans!B:B,RenewalPlans!AC:AC,"NA",0,1)</f>
        <v>NA</v>
      </c>
      <c r="U632" s="127"/>
      <c r="V632" s="127"/>
      <c r="W632" s="127"/>
      <c r="X632" s="126"/>
      <c r="Y632" s="127"/>
      <c r="Z632" s="128"/>
    </row>
    <row r="633" spans="1:26" ht="18" customHeight="1" hidden="1">
      <c r="A633" s="140"/>
      <c r="B633" s="140"/>
      <c r="D633" s="198" t="s">
        <v>256</v>
      </c>
      <c r="E633" s="208" t="str">
        <f>_xlfn.XLOOKUP(E625,CurrentPlans!B:B,CurrentPlans!AA:AA,"NA",0,1)</f>
        <v>NA</v>
      </c>
      <c r="F633" s="200"/>
      <c r="G633" s="200"/>
      <c r="H633" s="200"/>
      <c r="I633" s="208"/>
      <c r="J633" s="201"/>
      <c r="K633"/>
      <c r="L633" s="209" t="str">
        <f>_xlfn.XLOOKUP(L625,RenewalPlans!B:B,RenewalPlans!AD:AD,"NA",0,1)</f>
        <v>NA</v>
      </c>
      <c r="M633" s="200"/>
      <c r="N633" s="200"/>
      <c r="O633" s="200"/>
      <c r="P633" s="208"/>
      <c r="Q633" s="200"/>
      <c r="R633" s="201"/>
      <c r="T633" s="209" t="str">
        <f>_xlfn.XLOOKUP(T625,RenewalPlans!B:B,RenewalPlans!AD:AD,"NA",0,1)</f>
        <v>NA</v>
      </c>
      <c r="U633" s="200"/>
      <c r="V633" s="200"/>
      <c r="W633" s="200"/>
      <c r="X633" s="208"/>
      <c r="Y633" s="200"/>
      <c r="Z633" s="201"/>
    </row>
    <row r="634" spans="1:26" ht="18" customHeight="1" hidden="1">
      <c r="A634" s="140"/>
      <c r="B634" s="140"/>
      <c r="D634" s="203" t="s">
        <v>257</v>
      </c>
      <c r="E634" s="204"/>
      <c r="F634" s="205"/>
      <c r="G634" s="205"/>
      <c r="H634" s="205"/>
      <c r="I634" s="204"/>
      <c r="J634" s="206"/>
      <c r="K634"/>
      <c r="L634" s="207"/>
      <c r="M634" s="205"/>
      <c r="N634" s="205"/>
      <c r="O634" s="205"/>
      <c r="P634" s="204"/>
      <c r="Q634" s="205"/>
      <c r="R634" s="206"/>
      <c r="T634" s="207"/>
      <c r="U634" s="205"/>
      <c r="V634" s="205"/>
      <c r="W634" s="205"/>
      <c r="X634" s="204"/>
      <c r="Y634" s="205"/>
      <c r="Z634" s="206"/>
    </row>
    <row r="635" spans="1:26" ht="18" customHeight="1" hidden="1">
      <c r="A635" s="140"/>
      <c r="B635" s="140"/>
      <c r="D635" s="198" t="s">
        <v>258</v>
      </c>
      <c r="E635" s="208" t="str">
        <f>_xlfn.XLOOKUP(E625,CurrentPlans!B:B,CurrentPlans!AB:AB,"NA",0,1)</f>
        <v>NA</v>
      </c>
      <c r="F635" s="200"/>
      <c r="G635" s="200"/>
      <c r="H635" s="200"/>
      <c r="I635" s="208"/>
      <c r="J635" s="201"/>
      <c r="K635"/>
      <c r="L635" s="209" t="str">
        <f>_xlfn.XLOOKUP(L625,RenewalPlans!B:B,RenewalPlans!AE:AE,"NA",0,1)</f>
        <v>NA</v>
      </c>
      <c r="M635" s="200"/>
      <c r="N635" s="200"/>
      <c r="O635" s="200"/>
      <c r="P635" s="208"/>
      <c r="Q635" s="200"/>
      <c r="R635" s="201"/>
      <c r="T635" s="209" t="str">
        <f>_xlfn.XLOOKUP(T625,RenewalPlans!B:B,RenewalPlans!AE:AE,"NA",0,1)</f>
        <v>NA</v>
      </c>
      <c r="U635" s="200"/>
      <c r="V635" s="200"/>
      <c r="W635" s="200"/>
      <c r="X635" s="208"/>
      <c r="Y635" s="200"/>
      <c r="Z635" s="201"/>
    </row>
    <row r="636" spans="1:26" ht="18" customHeight="1" hidden="1">
      <c r="A636" s="140"/>
      <c r="B636" s="140"/>
      <c r="D636" s="198" t="s">
        <v>259</v>
      </c>
      <c r="E636" s="208" t="str">
        <f>_xlfn.XLOOKUP(E625,CurrentPlans!B:B,CurrentPlans!AC:AC,"NA",0,1)</f>
        <v>NA</v>
      </c>
      <c r="F636" s="200"/>
      <c r="G636" s="200"/>
      <c r="H636" s="200"/>
      <c r="I636" s="208"/>
      <c r="J636" s="201"/>
      <c r="K636"/>
      <c r="L636" s="209" t="str">
        <f>_xlfn.XLOOKUP(L625,RenewalPlans!B:B,RenewalPlans!AF:AF,"NA",0,1)</f>
        <v>NA</v>
      </c>
      <c r="M636" s="200"/>
      <c r="N636" s="200"/>
      <c r="O636" s="200"/>
      <c r="P636" s="208"/>
      <c r="Q636" s="200"/>
      <c r="R636" s="201"/>
      <c r="T636" s="209" t="str">
        <f>_xlfn.XLOOKUP(T625,RenewalPlans!B:B,RenewalPlans!AF:AF,"NA",0,1)</f>
        <v>NA</v>
      </c>
      <c r="U636" s="200"/>
      <c r="V636" s="200"/>
      <c r="W636" s="200"/>
      <c r="X636" s="208"/>
      <c r="Y636" s="200"/>
      <c r="Z636" s="201"/>
    </row>
    <row r="637" spans="1:26" ht="18" customHeight="1" hidden="1">
      <c r="A637" s="140"/>
      <c r="B637" s="140"/>
      <c r="D637" s="210"/>
      <c r="E637" s="211"/>
      <c r="F637" s="211"/>
      <c r="G637" s="211"/>
      <c r="H637" s="211"/>
      <c r="I637" s="211"/>
      <c r="J637" s="212"/>
      <c r="K637"/>
      <c r="L637" s="210"/>
      <c r="M637" s="211"/>
      <c r="N637" s="211"/>
      <c r="O637" s="211"/>
      <c r="P637" s="211"/>
      <c r="Q637" s="211"/>
      <c r="R637" s="212"/>
      <c r="T637" s="210"/>
      <c r="U637" s="211"/>
      <c r="V637" s="211"/>
      <c r="W637" s="211"/>
      <c r="X637" s="211"/>
      <c r="Y637" s="211"/>
      <c r="Z637" s="212"/>
    </row>
    <row r="638" spans="1:26" ht="18" customHeight="1" hidden="1">
      <c r="A638" s="140"/>
      <c r="B638" s="140"/>
      <c r="D638" s="185" t="s">
        <v>260</v>
      </c>
      <c r="E638" s="186"/>
      <c r="F638" s="186"/>
      <c r="G638" s="186"/>
      <c r="H638" s="186"/>
      <c r="I638" s="186"/>
      <c r="J638" s="187"/>
      <c r="K638"/>
      <c r="L638" s="188"/>
      <c r="M638" s="186"/>
      <c r="N638" s="186"/>
      <c r="O638" s="186"/>
      <c r="P638" s="186"/>
      <c r="Q638" s="186"/>
      <c r="R638" s="187"/>
      <c r="T638" s="188"/>
      <c r="U638" s="186"/>
      <c r="V638" s="186"/>
      <c r="W638" s="186"/>
      <c r="X638" s="186"/>
      <c r="Y638" s="186"/>
      <c r="Z638" s="187"/>
    </row>
    <row r="639" spans="1:26" ht="18" customHeight="1" hidden="1">
      <c r="A639" s="140"/>
      <c r="B639" s="140"/>
      <c r="D639" s="213" t="s">
        <v>261</v>
      </c>
      <c r="E639" s="130" t="str">
        <f>_xlfn.XLOOKUP(E625,CurrentPlans!B:B,CurrentPlans!AJ:AJ,"NA",0,1)</f>
        <v>NA</v>
      </c>
      <c r="F639" s="214"/>
      <c r="G639" s="214"/>
      <c r="H639" s="214"/>
      <c r="I639" s="130"/>
      <c r="J639" s="215"/>
      <c r="K639"/>
      <c r="L639" s="131" t="str">
        <f>_xlfn.XLOOKUP(L625,RenewalPlans!B:B,RenewalPlans!AM:AM,"NA",0,1)</f>
        <v>NA</v>
      </c>
      <c r="M639" s="214"/>
      <c r="N639" s="214"/>
      <c r="O639" s="214"/>
      <c r="P639" s="130"/>
      <c r="Q639" s="214"/>
      <c r="R639" s="215"/>
      <c r="T639" s="131" t="str">
        <f>_xlfn.XLOOKUP(T625,RenewalPlans!B:B,RenewalPlans!AM:AM,"NA",0,1)</f>
        <v>NA</v>
      </c>
      <c r="U639" s="214"/>
      <c r="V639" s="214"/>
      <c r="W639" s="214"/>
      <c r="X639" s="130"/>
      <c r="Y639" s="214"/>
      <c r="Z639" s="215"/>
    </row>
    <row r="640" spans="1:26" ht="18" customHeight="1" hidden="1">
      <c r="A640" s="140"/>
      <c r="B640" s="140"/>
      <c r="D640" s="198" t="s">
        <v>262</v>
      </c>
      <c r="E640" s="130" t="str">
        <f>_xlfn.XLOOKUP(E625,CurrentPlans!B:B,CurrentPlans!AM:AM,"NA",0,1)</f>
        <v>NA</v>
      </c>
      <c r="F640" s="200"/>
      <c r="G640" s="200"/>
      <c r="H640" s="200"/>
      <c r="I640" s="130"/>
      <c r="J640" s="201"/>
      <c r="K640"/>
      <c r="L640" s="131" t="str">
        <f>_xlfn.XLOOKUP(L625,RenewalPlans!B:B,RenewalPlans!AP:AP,"NA",0,1)</f>
        <v>NA</v>
      </c>
      <c r="M640" s="200"/>
      <c r="N640" s="200"/>
      <c r="O640" s="200"/>
      <c r="P640" s="130"/>
      <c r="Q640" s="200"/>
      <c r="R640" s="201"/>
      <c r="T640" s="131" t="str">
        <f>_xlfn.XLOOKUP(T625,RenewalPlans!B:B,RenewalPlans!AP:AP,"NA",0,1)</f>
        <v>NA</v>
      </c>
      <c r="U640" s="200"/>
      <c r="V640" s="200"/>
      <c r="W640" s="200"/>
      <c r="X640" s="130"/>
      <c r="Y640" s="200"/>
      <c r="Z640" s="201"/>
    </row>
    <row r="641" spans="1:26" ht="18" customHeight="1" hidden="1">
      <c r="A641" s="140"/>
      <c r="B641" s="140"/>
      <c r="D641" s="198" t="s">
        <v>263</v>
      </c>
      <c r="E641" s="130" t="str">
        <f>_xlfn.XLOOKUP(E625,CurrentPlans!B:B,CurrentPlans!AI:AI,"NA",0,1)</f>
        <v>NA</v>
      </c>
      <c r="F641" s="200"/>
      <c r="G641" s="200"/>
      <c r="H641" s="200"/>
      <c r="I641" s="130"/>
      <c r="J641" s="201"/>
      <c r="K641"/>
      <c r="L641" s="131" t="str">
        <f>_xlfn.XLOOKUP(L625,RenewalPlans!B:B,RenewalPlans!AL:AL,"NA",0,1)</f>
        <v>NA</v>
      </c>
      <c r="M641" s="200"/>
      <c r="N641" s="200"/>
      <c r="O641" s="200"/>
      <c r="P641" s="130"/>
      <c r="Q641" s="200"/>
      <c r="R641" s="201"/>
      <c r="T641" s="131" t="str">
        <f>_xlfn.XLOOKUP(T625,RenewalPlans!B:B,RenewalPlans!AL:AL,"NA",0,1)</f>
        <v>NA</v>
      </c>
      <c r="U641" s="200"/>
      <c r="V641" s="200"/>
      <c r="W641" s="200"/>
      <c r="X641" s="130"/>
      <c r="Y641" s="200"/>
      <c r="Z641" s="201"/>
    </row>
    <row r="642" spans="1:26" ht="18" customHeight="1" hidden="1">
      <c r="A642" s="140"/>
      <c r="B642" s="140"/>
      <c r="D642" s="198" t="s">
        <v>264</v>
      </c>
      <c r="E642" s="208" t="str">
        <f>_xlfn.XLOOKUP(E625,CurrentPlans!B:B,CurrentPlans!AN:AN,"NA",0,1)</f>
        <v>NA</v>
      </c>
      <c r="F642" s="200"/>
      <c r="G642" s="200"/>
      <c r="H642" s="200"/>
      <c r="I642" s="208"/>
      <c r="J642" s="201"/>
      <c r="K642"/>
      <c r="L642" s="209" t="str">
        <f>_xlfn.XLOOKUP(L625,RenewalPlans!B:B,RenewalPlans!AQ:AQ,"NA",0,1)</f>
        <v>NA</v>
      </c>
      <c r="M642" s="200"/>
      <c r="N642" s="200"/>
      <c r="O642" s="200"/>
      <c r="P642" s="208"/>
      <c r="Q642" s="200"/>
      <c r="R642" s="201"/>
      <c r="T642" s="209" t="str">
        <f>_xlfn.XLOOKUP(T625,RenewalPlans!B:B,RenewalPlans!AQ:AQ,"NA",0,1)</f>
        <v>NA</v>
      </c>
      <c r="U642" s="200"/>
      <c r="V642" s="200"/>
      <c r="W642" s="200"/>
      <c r="X642" s="208"/>
      <c r="Y642" s="200"/>
      <c r="Z642" s="201"/>
    </row>
    <row r="643" spans="1:26" ht="18" customHeight="1" hidden="1">
      <c r="A643" s="140"/>
      <c r="B643" s="140"/>
      <c r="D643" s="210"/>
      <c r="E643" s="211"/>
      <c r="F643" s="211"/>
      <c r="G643" s="211"/>
      <c r="H643" s="211"/>
      <c r="I643" s="211"/>
      <c r="J643" s="212"/>
      <c r="K643"/>
      <c r="L643" s="210"/>
      <c r="M643" s="211"/>
      <c r="N643" s="211"/>
      <c r="O643" s="211"/>
      <c r="P643" s="211"/>
      <c r="Q643" s="211"/>
      <c r="R643" s="212"/>
      <c r="T643" s="210"/>
      <c r="U643" s="211"/>
      <c r="V643" s="211"/>
      <c r="W643" s="211"/>
      <c r="X643" s="211"/>
      <c r="Y643" s="211"/>
      <c r="Z643" s="212"/>
    </row>
    <row r="644" spans="1:26" ht="18" customHeight="1" hidden="1">
      <c r="A644" s="140"/>
      <c r="B644" s="140"/>
      <c r="D644" s="185" t="s">
        <v>265</v>
      </c>
      <c r="E644" s="186"/>
      <c r="F644" s="186"/>
      <c r="G644" s="186"/>
      <c r="H644" s="186"/>
      <c r="I644" s="186"/>
      <c r="J644" s="187"/>
      <c r="K644"/>
      <c r="L644" s="188"/>
      <c r="M644" s="186"/>
      <c r="N644" s="186"/>
      <c r="O644" s="186"/>
      <c r="P644" s="186"/>
      <c r="Q644" s="186"/>
      <c r="R644" s="187"/>
      <c r="T644" s="188"/>
      <c r="U644" s="186"/>
      <c r="V644" s="186"/>
      <c r="W644" s="186"/>
      <c r="X644" s="186"/>
      <c r="Y644" s="186"/>
      <c r="Z644" s="187"/>
    </row>
    <row r="645" spans="1:26" ht="18" customHeight="1" hidden="1">
      <c r="A645" s="140"/>
      <c r="B645" s="140"/>
      <c r="D645" s="132" t="s">
        <v>266</v>
      </c>
      <c r="E645" s="133" t="str">
        <f>_xlfn.XLOOKUP(E625,CurrentPlans!B:B,CurrentPlans!AE:AE,"NA",0,1)</f>
        <v>NA</v>
      </c>
      <c r="F645" s="134"/>
      <c r="G645" s="134"/>
      <c r="H645" s="134"/>
      <c r="I645" s="133"/>
      <c r="J645" s="135"/>
      <c r="K645"/>
      <c r="L645" s="136" t="str">
        <f>_xlfn.XLOOKUP(L625,RenewalPlans!B:B,RenewalPlans!AH:AH,"NA",0,1)</f>
        <v>NA</v>
      </c>
      <c r="M645" s="134"/>
      <c r="N645" s="134"/>
      <c r="O645" s="134"/>
      <c r="P645" s="133"/>
      <c r="Q645" s="134"/>
      <c r="R645" s="135"/>
      <c r="T645" s="136" t="str">
        <f>_xlfn.XLOOKUP(T625,RenewalPlans!B:B,RenewalPlans!AH:AH,"NA",0,1)</f>
        <v>NA</v>
      </c>
      <c r="U645" s="134"/>
      <c r="V645" s="134"/>
      <c r="W645" s="134"/>
      <c r="X645" s="133"/>
      <c r="Y645" s="134"/>
      <c r="Z645" s="135"/>
    </row>
    <row r="646" spans="1:26" ht="18" customHeight="1" hidden="1">
      <c r="A646" s="140"/>
      <c r="B646" s="140"/>
      <c r="D646" s="120" t="s">
        <v>267</v>
      </c>
      <c r="E646" s="130" t="str">
        <f>_xlfn.XLOOKUP(E625,CurrentPlans!B:B,CurrentPlans!AF:AF,"NA",0,1)</f>
        <v>NA</v>
      </c>
      <c r="F646" s="122"/>
      <c r="G646" s="122"/>
      <c r="H646" s="122"/>
      <c r="I646" s="130"/>
      <c r="J646" s="123"/>
      <c r="K646"/>
      <c r="L646" s="131" t="str">
        <f>_xlfn.XLOOKUP(L625,RenewalPlans!B:B,RenewalPlans!AI:AI,"NA",0,1)</f>
        <v>NA</v>
      </c>
      <c r="M646" s="122"/>
      <c r="N646" s="122"/>
      <c r="O646" s="122"/>
      <c r="P646" s="130"/>
      <c r="Q646" s="122"/>
      <c r="R646" s="123"/>
      <c r="T646" s="131" t="str">
        <f>_xlfn.XLOOKUP(T625,RenewalPlans!B:B,RenewalPlans!AI:AI,"NA",0,1)</f>
        <v>NA</v>
      </c>
      <c r="U646" s="122"/>
      <c r="V646" s="122"/>
      <c r="W646" s="122"/>
      <c r="X646" s="130"/>
      <c r="Y646" s="122"/>
      <c r="Z646" s="123"/>
    </row>
    <row r="647" spans="1:26" ht="18" customHeight="1" hidden="1">
      <c r="A647" s="140"/>
      <c r="B647" s="140"/>
      <c r="D647" s="198" t="s">
        <v>268</v>
      </c>
      <c r="E647" s="130" t="str">
        <f>_xlfn.XLOOKUP(E625,CurrentPlans!B:B,CurrentPlans!AH:AH,"NA",0,1)</f>
        <v>NA</v>
      </c>
      <c r="F647" s="200"/>
      <c r="G647" s="200"/>
      <c r="H647" s="200"/>
      <c r="I647" s="130"/>
      <c r="J647" s="201"/>
      <c r="K647"/>
      <c r="L647" s="131" t="str">
        <f>_xlfn.XLOOKUP(L625,RenewalPlans!B:B,RenewalPlans!AK:AK,"NA",0,1)</f>
        <v>NA</v>
      </c>
      <c r="M647" s="200"/>
      <c r="N647" s="200"/>
      <c r="O647" s="200"/>
      <c r="P647" s="130"/>
      <c r="Q647" s="200"/>
      <c r="R647" s="201"/>
      <c r="T647" s="131" t="str">
        <f>_xlfn.XLOOKUP(T625,RenewalPlans!B:B,RenewalPlans!AK:AK,"NA",0,1)</f>
        <v>NA</v>
      </c>
      <c r="U647" s="200"/>
      <c r="V647" s="200"/>
      <c r="W647" s="200"/>
      <c r="X647" s="130"/>
      <c r="Y647" s="200"/>
      <c r="Z647" s="201"/>
    </row>
    <row r="648" spans="1:26" ht="18" customHeight="1" hidden="1">
      <c r="A648" s="140"/>
      <c r="B648" s="140"/>
      <c r="D648" s="198" t="s">
        <v>269</v>
      </c>
      <c r="E648" s="130" t="str">
        <f>_xlfn.XLOOKUP(E625,CurrentPlans!B:B,CurrentPlans!AG:AG,"NA",0,1)</f>
        <v>NA</v>
      </c>
      <c r="F648" s="200"/>
      <c r="G648" s="200"/>
      <c r="H648" s="200"/>
      <c r="I648" s="130"/>
      <c r="J648" s="201"/>
      <c r="K648"/>
      <c r="L648" s="131" t="str">
        <f>_xlfn.XLOOKUP(L625,RenewalPlans!B:B,RenewalPlans!AJ:AJ,"NA",0,1)</f>
        <v>NA</v>
      </c>
      <c r="M648" s="200"/>
      <c r="N648" s="200"/>
      <c r="O648" s="200"/>
      <c r="P648" s="130"/>
      <c r="Q648" s="200"/>
      <c r="R648" s="201"/>
      <c r="T648" s="131" t="str">
        <f>_xlfn.XLOOKUP(T625,RenewalPlans!B:B,RenewalPlans!AJ:AJ,"NA",0,1)</f>
        <v>NA</v>
      </c>
      <c r="U648" s="200"/>
      <c r="V648" s="200"/>
      <c r="W648" s="200"/>
      <c r="X648" s="130"/>
      <c r="Y648" s="200"/>
      <c r="Z648" s="201"/>
    </row>
    <row r="649" spans="1:26" ht="18" customHeight="1" hidden="1">
      <c r="A649" s="140"/>
      <c r="B649" s="140"/>
      <c r="D649" s="213" t="s">
        <v>270</v>
      </c>
      <c r="E649" s="216" t="str">
        <f>_xlfn.XLOOKUP(E625,CurrentPlans!B:B,CurrentPlans!AU:AU,"NA",0,1)</f>
        <v>NA</v>
      </c>
      <c r="F649" s="214"/>
      <c r="G649" s="214"/>
      <c r="H649" s="214"/>
      <c r="I649" s="217"/>
      <c r="J649" s="215"/>
      <c r="K649"/>
      <c r="L649" s="218" t="str">
        <f>_xlfn.XLOOKUP(L625,RenewalPlans!B:B,RenewalPlans!AX:AX,"NA",0,1)</f>
        <v>NA</v>
      </c>
      <c r="M649" s="214"/>
      <c r="N649" s="214"/>
      <c r="O649" s="214"/>
      <c r="P649" s="217"/>
      <c r="Q649" s="214"/>
      <c r="R649" s="215"/>
      <c r="T649" s="218" t="str">
        <f>_xlfn.XLOOKUP(T625,RenewalPlans!B:B,RenewalPlans!AX:AX,"NA",0,1)</f>
        <v>NA</v>
      </c>
      <c r="U649" s="214"/>
      <c r="V649" s="214"/>
      <c r="W649" s="214"/>
      <c r="X649" s="217"/>
      <c r="Y649" s="214"/>
      <c r="Z649" s="215"/>
    </row>
    <row r="650" spans="1:26" ht="18" customHeight="1" hidden="1">
      <c r="A650" s="140"/>
      <c r="B650" s="140"/>
      <c r="D650" s="213" t="s">
        <v>271</v>
      </c>
      <c r="E650" s="216" t="str">
        <f>_xlfn.XLOOKUP(E625,CurrentPlans!B:B,CurrentPlans!AT:AT,"NA",0,1)</f>
        <v>NA</v>
      </c>
      <c r="F650" s="214"/>
      <c r="G650" s="214"/>
      <c r="H650" s="214"/>
      <c r="I650" s="217"/>
      <c r="J650" s="215"/>
      <c r="K650"/>
      <c r="L650" s="218" t="str">
        <f>_xlfn.XLOOKUP(L625,RenewalPlans!B:B,RenewalPlans!AW:AW,"NA",0,1)</f>
        <v>NA</v>
      </c>
      <c r="M650" s="214"/>
      <c r="N650" s="214"/>
      <c r="O650" s="214"/>
      <c r="P650" s="217"/>
      <c r="Q650" s="214"/>
      <c r="R650" s="215"/>
      <c r="T650" s="218" t="str">
        <f>_xlfn.XLOOKUP(T625,RenewalPlans!B:B,RenewalPlans!AW:AW,"NA",0,1)</f>
        <v>NA</v>
      </c>
      <c r="U650" s="214"/>
      <c r="V650" s="214"/>
      <c r="W650" s="214"/>
      <c r="X650" s="217"/>
      <c r="Y650" s="214"/>
      <c r="Z650" s="215"/>
    </row>
    <row r="651" spans="1:26" ht="18" customHeight="1" hidden="1">
      <c r="A651" s="140"/>
      <c r="B651" s="140"/>
      <c r="D651" s="198" t="s">
        <v>272</v>
      </c>
      <c r="E651" s="130" t="str">
        <f>_xlfn.XLOOKUP(E625,CurrentPlans!B:B,CurrentPlans!AD:AD,"NA",0,1)</f>
        <v>NA</v>
      </c>
      <c r="F651" s="200"/>
      <c r="G651" s="200"/>
      <c r="H651" s="200"/>
      <c r="I651" s="130"/>
      <c r="J651" s="201"/>
      <c r="K651"/>
      <c r="L651" s="131" t="str">
        <f>_xlfn.XLOOKUP(L625,RenewalPlans!B:B,RenewalPlans!AG:AG,"NA",0,1)</f>
        <v>NA</v>
      </c>
      <c r="M651" s="200"/>
      <c r="N651" s="200"/>
      <c r="O651" s="200"/>
      <c r="P651" s="130"/>
      <c r="Q651" s="200"/>
      <c r="R651" s="201"/>
      <c r="T651" s="131" t="str">
        <f>_xlfn.XLOOKUP(T625,RenewalPlans!B:B,RenewalPlans!AG:AG,"NA",0,1)</f>
        <v>NA</v>
      </c>
      <c r="U651" s="200"/>
      <c r="V651" s="200"/>
      <c r="W651" s="200"/>
      <c r="X651" s="130"/>
      <c r="Y651" s="200"/>
      <c r="Z651" s="201"/>
    </row>
    <row r="652" spans="1:26" ht="18" customHeight="1" hidden="1">
      <c r="A652" s="140"/>
      <c r="B652" s="140"/>
      <c r="D652" s="198" t="s">
        <v>273</v>
      </c>
      <c r="E652" s="200"/>
      <c r="F652" s="200"/>
      <c r="G652" s="200"/>
      <c r="H652" s="200"/>
      <c r="I652" s="200"/>
      <c r="J652" s="201"/>
      <c r="K652"/>
      <c r="L652" s="198"/>
      <c r="M652" s="200"/>
      <c r="N652" s="200"/>
      <c r="O652" s="200"/>
      <c r="P652" s="200"/>
      <c r="Q652" s="200"/>
      <c r="R652" s="201"/>
      <c r="T652" s="198"/>
      <c r="U652" s="200"/>
      <c r="V652" s="200"/>
      <c r="W652" s="200"/>
      <c r="X652" s="200"/>
      <c r="Y652" s="200"/>
      <c r="Z652" s="201"/>
    </row>
    <row r="653" spans="1:26" ht="18" customHeight="1" hidden="1">
      <c r="A653" s="140"/>
      <c r="B653" s="140"/>
      <c r="D653" s="210"/>
      <c r="E653" s="211"/>
      <c r="F653" s="211"/>
      <c r="G653" s="211"/>
      <c r="H653" s="211"/>
      <c r="I653" s="211"/>
      <c r="J653" s="212"/>
      <c r="K653"/>
      <c r="L653" s="210"/>
      <c r="M653" s="211"/>
      <c r="N653" s="211"/>
      <c r="O653" s="211"/>
      <c r="P653" s="211"/>
      <c r="Q653" s="211"/>
      <c r="R653" s="212"/>
      <c r="T653" s="210"/>
      <c r="U653" s="211"/>
      <c r="V653" s="211"/>
      <c r="W653" s="211"/>
      <c r="X653" s="211"/>
      <c r="Y653" s="211"/>
      <c r="Z653" s="212"/>
    </row>
    <row r="654" spans="1:26" ht="18" customHeight="1" hidden="1">
      <c r="A654" s="140"/>
      <c r="B654" s="140"/>
      <c r="D654" s="219" t="s">
        <v>274</v>
      </c>
      <c r="E654" s="220"/>
      <c r="F654" s="220"/>
      <c r="G654" s="220"/>
      <c r="H654" s="220"/>
      <c r="I654" s="220"/>
      <c r="J654" s="221"/>
      <c r="K654"/>
      <c r="L654" s="222"/>
      <c r="M654" s="220"/>
      <c r="N654" s="220"/>
      <c r="O654" s="220"/>
      <c r="P654" s="220"/>
      <c r="Q654" s="220"/>
      <c r="R654" s="221"/>
      <c r="T654" s="222"/>
      <c r="U654" s="220"/>
      <c r="V654" s="220"/>
      <c r="W654" s="220"/>
      <c r="X654" s="220"/>
      <c r="Y654" s="220"/>
      <c r="Z654" s="221"/>
    </row>
    <row r="655" spans="1:26" ht="18" customHeight="1" hidden="1">
      <c r="A655" s="140"/>
      <c r="B655" s="140"/>
      <c r="D655" s="223" t="s">
        <v>250</v>
      </c>
      <c r="E655" s="205"/>
      <c r="F655" s="205"/>
      <c r="G655" s="205"/>
      <c r="H655" s="205"/>
      <c r="I655" s="205"/>
      <c r="J655" s="206"/>
      <c r="K655"/>
      <c r="L655" s="203"/>
      <c r="M655" s="205"/>
      <c r="N655" s="205"/>
      <c r="O655" s="205"/>
      <c r="P655" s="205"/>
      <c r="Q655" s="205"/>
      <c r="R655" s="206"/>
      <c r="T655" s="203"/>
      <c r="U655" s="205"/>
      <c r="V655" s="205"/>
      <c r="W655" s="205"/>
      <c r="X655" s="205"/>
      <c r="Y655" s="205"/>
      <c r="Z655" s="206"/>
    </row>
    <row r="656" spans="1:26" ht="18" customHeight="1" hidden="1">
      <c r="A656" s="140"/>
      <c r="B656" s="140"/>
      <c r="D656" s="198" t="s">
        <v>251</v>
      </c>
      <c r="E656" s="130" t="str">
        <f>_xlfn.XLOOKUP(E625,CurrentPlans!B:B,CurrentPlans!AP:AP,"NA",0,1)</f>
        <v>NA</v>
      </c>
      <c r="F656" s="200"/>
      <c r="G656" s="200"/>
      <c r="H656" s="200"/>
      <c r="I656" s="130"/>
      <c r="J656" s="201"/>
      <c r="K656"/>
      <c r="L656" s="131" t="str">
        <f>_xlfn.XLOOKUP(L625,RenewalPlans!B:B,RenewalPlans!AS:AS,"NA",0,1)</f>
        <v>NA</v>
      </c>
      <c r="M656" s="200"/>
      <c r="N656" s="200"/>
      <c r="O656" s="200"/>
      <c r="P656" s="130"/>
      <c r="Q656" s="200"/>
      <c r="R656" s="201"/>
      <c r="T656" s="131" t="str">
        <f>_xlfn.XLOOKUP(T625,RenewalPlans!B:B,RenewalPlans!AS:AS,"NA",0,1)</f>
        <v>NA</v>
      </c>
      <c r="U656" s="200"/>
      <c r="V656" s="200"/>
      <c r="W656" s="200"/>
      <c r="X656" s="130"/>
      <c r="Y656" s="200"/>
      <c r="Z656" s="201"/>
    </row>
    <row r="657" spans="1:26" ht="18" customHeight="1" hidden="1">
      <c r="A657" s="140"/>
      <c r="B657" s="140"/>
      <c r="D657" s="198" t="s">
        <v>252</v>
      </c>
      <c r="E657" s="130" t="str">
        <f>_xlfn.XLOOKUP(E625,CurrentPlans!B:B,CurrentPlans!AQ:AQ,"NA",0,1)</f>
        <v>NA</v>
      </c>
      <c r="F657" s="200"/>
      <c r="G657" s="200"/>
      <c r="H657" s="200"/>
      <c r="I657" s="130"/>
      <c r="J657" s="201"/>
      <c r="K657"/>
      <c r="L657" s="131" t="str">
        <f>_xlfn.XLOOKUP(L625,RenewalPlans!B:B,RenewalPlans!AT:AT,"NA",0,1)</f>
        <v>NA</v>
      </c>
      <c r="M657" s="200"/>
      <c r="N657" s="200"/>
      <c r="O657" s="200"/>
      <c r="P657" s="130"/>
      <c r="Q657" s="200"/>
      <c r="R657" s="201"/>
      <c r="T657" s="131" t="str">
        <f>_xlfn.XLOOKUP(T625,RenewalPlans!B:B,RenewalPlans!AT:AT,"NA",0,1)</f>
        <v>NA</v>
      </c>
      <c r="U657" s="200"/>
      <c r="V657" s="200"/>
      <c r="W657" s="200"/>
      <c r="X657" s="130"/>
      <c r="Y657" s="200"/>
      <c r="Z657" s="201"/>
    </row>
    <row r="658" spans="1:26" ht="18" customHeight="1" hidden="1">
      <c r="A658" s="140"/>
      <c r="B658" s="140"/>
      <c r="D658" s="120" t="s">
        <v>253</v>
      </c>
      <c r="E658" s="133" t="str">
        <f>_xlfn.XLOOKUP(E625,CurrentPlans!B:B,CurrentPlans!AO:AO,"NA",0,1)</f>
        <v>NA</v>
      </c>
      <c r="F658" s="122"/>
      <c r="G658" s="122"/>
      <c r="H658" s="122"/>
      <c r="I658" s="133"/>
      <c r="J658" s="123"/>
      <c r="K658"/>
      <c r="L658" s="136" t="str">
        <f>_xlfn.XLOOKUP(L625,RenewalPlans!B:B,RenewalPlans!AR:AR,"NA",0,1)</f>
        <v>NA</v>
      </c>
      <c r="M658" s="122"/>
      <c r="N658" s="122"/>
      <c r="O658" s="122"/>
      <c r="P658" s="133"/>
      <c r="Q658" s="122"/>
      <c r="R658" s="123"/>
      <c r="T658" s="136" t="str">
        <f>_xlfn.XLOOKUP(T625,RenewalPlans!B:B,RenewalPlans!AR:AR,"NA",0,1)</f>
        <v>NA</v>
      </c>
      <c r="U658" s="122"/>
      <c r="V658" s="122"/>
      <c r="W658" s="122"/>
      <c r="X658" s="133"/>
      <c r="Y658" s="122"/>
      <c r="Z658" s="123"/>
    </row>
    <row r="659" spans="1:26" ht="18" customHeight="1" hidden="1">
      <c r="A659" s="140"/>
      <c r="B659" s="140"/>
      <c r="D659" s="223" t="s">
        <v>254</v>
      </c>
      <c r="E659" s="205"/>
      <c r="F659" s="205"/>
      <c r="G659" s="205"/>
      <c r="H659" s="205"/>
      <c r="I659" s="205"/>
      <c r="J659" s="206"/>
      <c r="K659"/>
      <c r="L659" s="203"/>
      <c r="M659" s="205"/>
      <c r="N659" s="205"/>
      <c r="O659" s="205"/>
      <c r="P659" s="205"/>
      <c r="Q659" s="205"/>
      <c r="R659" s="206"/>
      <c r="T659" s="203"/>
      <c r="U659" s="205"/>
      <c r="V659" s="205"/>
      <c r="W659" s="205"/>
      <c r="X659" s="205"/>
      <c r="Y659" s="205"/>
      <c r="Z659" s="206"/>
    </row>
    <row r="660" spans="1:26" ht="18" customHeight="1" hidden="1">
      <c r="A660" s="140"/>
      <c r="B660" s="140"/>
      <c r="D660" s="198" t="s">
        <v>255</v>
      </c>
      <c r="E660" s="130" t="str">
        <f>_xlfn.XLOOKUP(E625,CurrentPlans!B:B,CurrentPlans!AR:AR,"NA",0,1)</f>
        <v>NA</v>
      </c>
      <c r="F660" s="200"/>
      <c r="G660" s="200"/>
      <c r="H660" s="200"/>
      <c r="I660" s="130"/>
      <c r="J660" s="201"/>
      <c r="K660"/>
      <c r="L660" s="131" t="str">
        <f>_xlfn.XLOOKUP(L625,RenewalPlans!B:B,RenewalPlans!AU:AU,"NA",0,1)</f>
        <v>NA</v>
      </c>
      <c r="M660" s="200"/>
      <c r="N660" s="200"/>
      <c r="O660" s="200"/>
      <c r="P660" s="130"/>
      <c r="Q660" s="200"/>
      <c r="R660" s="201"/>
      <c r="T660" s="131" t="str">
        <f>_xlfn.XLOOKUP(T625,RenewalPlans!B:B,RenewalPlans!AU:AU,"NA",0,1)</f>
        <v>NA</v>
      </c>
      <c r="U660" s="200"/>
      <c r="V660" s="200"/>
      <c r="W660" s="200"/>
      <c r="X660" s="130"/>
      <c r="Y660" s="200"/>
      <c r="Z660" s="201"/>
    </row>
    <row r="661" spans="1:26" ht="18" customHeight="1" hidden="1" thickBot="1">
      <c r="A661" s="140"/>
      <c r="B661" s="140"/>
      <c r="D661" s="224" t="s">
        <v>256</v>
      </c>
      <c r="E661" s="137" t="str">
        <f>_xlfn.XLOOKUP(E625,CurrentPlans!B:B,CurrentPlans!AS:AS,"NA",0,1)</f>
        <v>NA</v>
      </c>
      <c r="F661" s="225"/>
      <c r="G661" s="225"/>
      <c r="H661" s="225"/>
      <c r="I661" s="137"/>
      <c r="J661" s="226"/>
      <c r="K661"/>
      <c r="L661" s="138" t="str">
        <f>_xlfn.XLOOKUP(L625,RenewalPlans!B:B,RenewalPlans!AV:AV,"NA",0,1)</f>
        <v>NA</v>
      </c>
      <c r="M661" s="225"/>
      <c r="N661" s="225"/>
      <c r="O661" s="225"/>
      <c r="P661" s="137"/>
      <c r="Q661" s="225"/>
      <c r="R661" s="226"/>
      <c r="T661" s="138" t="str">
        <f>_xlfn.XLOOKUP(T625,RenewalPlans!B:B,RenewalPlans!AV:AV,"NA",0,1)</f>
        <v>NA</v>
      </c>
      <c r="U661" s="225"/>
      <c r="V661" s="225"/>
      <c r="W661" s="225"/>
      <c r="X661" s="137"/>
      <c r="Y661" s="225"/>
      <c r="Z661" s="226"/>
    </row>
    <row r="662" spans="1:27" ht="18" customHeight="1">
      <c r="A662" s="140"/>
      <c r="B662" s="140"/>
      <c r="D662" s="227"/>
      <c r="E662" s="176"/>
      <c r="F662" s="178"/>
      <c r="G662" s="179"/>
      <c r="H662" s="178"/>
      <c r="I662" s="176"/>
      <c r="J662" s="228"/>
      <c r="K662"/>
      <c r="L662" s="178"/>
      <c r="M662" s="176"/>
      <c r="N662" s="139"/>
      <c r="O662" s="178"/>
      <c r="P662" s="178"/>
      <c r="Q662" s="178"/>
      <c r="R662" s="228"/>
      <c r="T662" s="178"/>
      <c r="U662" s="176"/>
      <c r="V662" s="139"/>
      <c r="W662" s="178"/>
      <c r="X662" s="178"/>
      <c r="Y662" s="178"/>
      <c r="Z662" s="228"/>
      <c r="AA662"/>
    </row>
    <row r="663" spans="1:140" s="162" customFormat="1" ht="5.25" customHeight="1" thickBot="1">
      <c r="A663" s="140"/>
      <c r="B663" s="140"/>
      <c r="C663" s="141"/>
      <c r="D663" s="229"/>
      <c r="E663" s="229"/>
      <c r="F663" s="230"/>
      <c r="G663" s="231"/>
      <c r="H663" s="232"/>
      <c r="I663" s="233"/>
      <c r="J663" s="233"/>
      <c r="K663"/>
      <c r="L663" s="233"/>
      <c r="M663" s="233"/>
      <c r="N663" s="233"/>
      <c r="O663" s="233"/>
      <c r="P663" s="233"/>
      <c r="Q663" s="233"/>
      <c r="R663" s="233"/>
      <c r="S663" s="1"/>
      <c r="T663" s="233"/>
      <c r="U663" s="233"/>
      <c r="V663" s="233"/>
      <c r="W663" s="233"/>
      <c r="X663" s="233"/>
      <c r="Y663" s="233"/>
      <c r="Z663" s="23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row>
    <row r="664" spans="1:27" ht="38.25" customHeight="1" thickTop="1" thickBot="1">
      <c r="A664" s="153"/>
      <c r="B664" s="153"/>
      <c r="C664" s="234"/>
      <c r="D664" s="484" t="s">
        <v>288</v>
      </c>
      <c r="E664" s="485"/>
      <c r="F664" s="485"/>
      <c r="G664" s="485"/>
      <c r="H664" s="485"/>
      <c r="I664" s="485"/>
      <c r="J664" s="485"/>
      <c r="K664" s="485"/>
      <c r="L664" s="485"/>
      <c r="M664" s="485"/>
      <c r="N664" s="485"/>
      <c r="O664" s="485"/>
      <c r="P664" s="485"/>
      <c r="Q664" s="485"/>
      <c r="R664" s="486"/>
      <c r="S664" s="162"/>
      <c r="T664" s="235"/>
      <c r="U664" s="236"/>
      <c r="V664" s="236"/>
      <c r="W664" s="236"/>
      <c r="X664" s="236"/>
      <c r="Y664" s="236"/>
      <c r="Z664" s="236"/>
      <c r="AA664"/>
    </row>
    <row r="665" spans="1:27" ht="50.15" customHeight="1">
      <c r="A665" s="140">
        <v>1</v>
      </c>
      <c r="B665" s="140" t="str">
        <f>IF(A665&gt;Class7_CurrentDentalCount,"DELETE",Class7_CurrentDentalStart+A665)</f>
        <v>DELETE</v>
      </c>
      <c r="C665" s="164" t="s">
        <v>289</v>
      </c>
      <c r="D665" s="273" t="str">
        <f>IF(B665="Delete","",VLOOKUP(F665,BEGIN_CURRENT_DENTAL:END_CURRENT_DENTAL,3,FALSE))</f>
        <v/>
      </c>
      <c r="E665" s="165"/>
      <c r="F665" s="272" t="str" cm="1">
        <f t="array" ca="1" aca="1" ref="F665">IF(B665="Delete","",INDIRECT("CurrentPlans!A"&amp;B665,TRUE))</f>
        <v/>
      </c>
      <c r="G665" s="166"/>
      <c r="H665" s="167"/>
      <c r="I665" s="168"/>
      <c r="J665" s="169"/>
      <c r="K665"/>
      <c r="L665" s="274" t="str">
        <f ca="1">_xlfn.IFNA(VLOOKUP(F665,BEGIN_RENEWEDFROM_DENTAL:ROW_RenewDental_PlanID,3,FALSE),"SELECT PLAN")</f>
        <v>SELECT PLAN</v>
      </c>
      <c r="M665" s="170"/>
      <c r="N665" s="274" t="s">
        <v>237</v>
      </c>
      <c r="O665" s="171"/>
      <c r="P665" s="171"/>
      <c r="Q665" s="171"/>
      <c r="R665" s="169"/>
      <c r="T665" s="274" t="s">
        <v>38</v>
      </c>
      <c r="U665" s="170"/>
      <c r="V665" s="274" t="s">
        <v>237</v>
      </c>
      <c r="W665" s="171"/>
      <c r="X665" s="171"/>
      <c r="Y665" s="171"/>
      <c r="Z665" s="169"/>
      <c r="AA665"/>
    </row>
    <row r="666" spans="1:26" ht="18.75" customHeight="1">
      <c r="A666" s="140"/>
      <c r="B666" s="140"/>
      <c r="D666" s="172" t="s">
        <v>238</v>
      </c>
      <c r="E666" s="407" t="str">
        <f ca="1">_xlfn.IFNA(VLOOKUP(F665,BEGIN_CURRENT_DENTAL:END_CURRENT_DENTAL,CURRENT_COL_EO_count,FALSE),"")</f>
        <v/>
      </c>
      <c r="F666" s="408" t="str">
        <f ca="1">_xlfn.IFNA(VLOOKUP(F665,BEGIN_CURRENT_DENTAL:END_CURRENT_DENTAL,CURRENT_COL_EO,FALSE),"")</f>
        <v/>
      </c>
      <c r="G666" s="468" t="str">
        <f ca="1" t="shared" si="62" ref="G666:G669">IF(F666="","",H666/F666)</f>
        <v/>
      </c>
      <c r="H666" s="408" t="str">
        <f ca="1">_xlfn.IFNA(VLOOKUP(F665,BEGIN_CURRENT_DENTAL:END_CURRENT_DENTAL,CURRENT_COL_EOContrib,FALSE),"")</f>
        <v/>
      </c>
      <c r="I666" s="409" t="str">
        <f ca="1">IFERROR(F666-H666,"")</f>
        <v/>
      </c>
      <c r="J666" s="410" t="str">
        <f ca="1">IF(F666="","",H666*E666)</f>
        <v/>
      </c>
      <c r="K666" s="411"/>
      <c r="L666" s="408" t="str" cm="1">
        <f t="array" ca="1" aca="1" ref="L666">_xlfn.IFNA(VLOOKUP(INDIRECT("L"&amp;ROW()-1)&amp;"_"&amp;$D$12,BEGIN_Renew_Dental:END_RENEW_DENTAL,RENEW_COL_EO,FALSE),"")</f>
        <v/>
      </c>
      <c r="M666" s="412" t="str">
        <f ca="1">IF(E666="","",E666)</f>
        <v/>
      </c>
      <c r="N666" s="413"/>
      <c r="O666" s="414"/>
      <c r="P666" s="415" t="str">
        <f>IFERROR(IF($N665="Keep Contribution Same",H666,IF($N665="Enter Percentages",IF(N666="","",N666*L666),IF($N665="Keep Percentage Same",IF(G666="","",G666*L666),IF($N665="Enter Dollar Amount",IF(O666="","",O666),"")))),"")</f>
        <v/>
      </c>
      <c r="Q666" s="408" t="str">
        <f ca="1">IFERROR(L666-P666,"")</f>
        <v/>
      </c>
      <c r="R666" s="410" t="str">
        <f>IFERROR(IF(P666="","",M666*P666),"")</f>
        <v/>
      </c>
      <c r="S666" s="411"/>
      <c r="T666" s="408" t="str" cm="1">
        <f t="array" ca="1" aca="1" ref="T666">_xlfn.IFNA(VLOOKUP(INDIRECT("T"&amp;ROW()-1)&amp;"_"&amp;$D$12,BEGIN_Renew_Dental:END_RENEW_DENTAL,RENEW_COL_EO,FALSE),"")</f>
        <v/>
      </c>
      <c r="U666" s="412" t="str">
        <f ca="1">IF(E666="","",E666)</f>
        <v/>
      </c>
      <c r="V666" s="413"/>
      <c r="W666" s="414"/>
      <c r="X666" s="415" t="str">
        <f>IFERROR(IF($V665="Keep Contribution Same",H666,IF($V665="Enter Percentages",IF(V666="","",V666*T666),IF($V665="Keep Percentage Same",IF(G666="","",G666*T666),IF($V665="Enter Dollar Amount",IF(W666="","",W666),"")))),"")</f>
        <v/>
      </c>
      <c r="Y666" s="408" t="str">
        <f ca="1">IFERROR(T666-X666,"")</f>
        <v/>
      </c>
      <c r="Z666" s="410" t="str">
        <f>IFERROR(IF(X666="","",U666*X666),"")</f>
        <v/>
      </c>
    </row>
    <row r="667" spans="1:26" ht="18.75" customHeight="1">
      <c r="A667" s="140"/>
      <c r="B667" s="140"/>
      <c r="D667" s="172" t="s">
        <v>239</v>
      </c>
      <c r="E667" s="407" t="str">
        <f ca="1">_xlfn.IFNA(VLOOKUP(F665,BEGIN_CURRENT_DENTAL:END_CURRENT_DENTAL,CURRENT_COL_ES_count,FALSE),"")</f>
        <v/>
      </c>
      <c r="F667" s="408" t="str">
        <f ca="1">_xlfn.IFNA(VLOOKUP(F665,BEGIN_CURRENT_DENTAL:END_CURRENT_DENTAL,CURRENT_COL_ES,FALSE),"")</f>
        <v/>
      </c>
      <c r="G667" s="468" t="str">
        <f t="shared" ca="1" si="62"/>
        <v/>
      </c>
      <c r="H667" s="408" t="str">
        <f ca="1">_xlfn.IFNA(VLOOKUP(F665,BEGIN_CURRENT_DENTAL:END_CURRENT_DENTAL,CURRENT_COL_ESContrib,FALSE),"")</f>
        <v/>
      </c>
      <c r="I667" s="409" t="str">
        <f ca="1" t="shared" si="63" ref="I667:I669">IFERROR(F667-H667,"")</f>
        <v/>
      </c>
      <c r="J667" s="410" t="str">
        <f ca="1">IF(F667="","",H667*E667)</f>
        <v/>
      </c>
      <c r="K667" s="411"/>
      <c r="L667" s="408" t="str" cm="1">
        <f t="array" ca="1" aca="1" ref="L667">_xlfn.IFNA(VLOOKUP(INDIRECT("L"&amp;ROW()-2)&amp;"_"&amp;$D$12,BEGIN_Renew_Dental:END_RENEW_DENTAL,RENEW_COL_ES,FALSE),"")</f>
        <v/>
      </c>
      <c r="M667" s="412" t="str">
        <f ca="1">IF(E667="","",E667)</f>
        <v/>
      </c>
      <c r="N667" s="413"/>
      <c r="O667" s="414"/>
      <c r="P667" s="415" t="str">
        <f>IFERROR(IF($N665="Keep Contribution Same",H667,IF($N665="Enter Percentages",IF(N667="","",N667*L667),IF($N665="Keep Percentage Same",IF(G667="","",G667*L667),IF($N665="Enter Dollar Amount",IF(O667="","",O667),"")))),"")</f>
        <v/>
      </c>
      <c r="Q667" s="408" t="str">
        <f ca="1">IFERROR(L667-P667,"")</f>
        <v/>
      </c>
      <c r="R667" s="410" t="str">
        <f>IFERROR(IF(P667="","",M667*P667),"")</f>
        <v/>
      </c>
      <c r="S667" s="411"/>
      <c r="T667" s="408" t="str" cm="1">
        <f t="array" ca="1" aca="1" ref="T667">_xlfn.IFNA(VLOOKUP(INDIRECT("T"&amp;ROW()-2)&amp;"_"&amp;$D$12,BEGIN_Renew_Dental:END_RENEW_DENTAL,RENEW_COL_ES,FALSE),"")</f>
        <v/>
      </c>
      <c r="U667" s="412" t="str">
        <f ca="1" t="shared" si="64" ref="U667:U669">IF(E667="","",E667)</f>
        <v/>
      </c>
      <c r="V667" s="413"/>
      <c r="W667" s="414"/>
      <c r="X667" s="415" t="str">
        <f>IFERROR(IF($V665="Keep Contribution Same",H667,IF($V665="Enter Percentages",IF(V667="","",V667*T667),IF($V665="Keep Percentage Same",IF(G667="","",G667*T667),IF($V665="Enter Dollar Amount",IF(W667="","",W667),"")))),"")</f>
        <v/>
      </c>
      <c r="Y667" s="408" t="str">
        <f ca="1" t="shared" si="65" ref="Y667:Y669">IFERROR(T667-X667,"")</f>
        <v/>
      </c>
      <c r="Z667" s="410" t="str">
        <f t="shared" si="66" ref="Z667:Z669">IFERROR(IF(X667="","",U667*X667),"")</f>
        <v/>
      </c>
    </row>
    <row r="668" spans="1:26" ht="18.75" customHeight="1">
      <c r="A668" s="140"/>
      <c r="B668" s="140"/>
      <c r="D668" s="172" t="s">
        <v>240</v>
      </c>
      <c r="E668" s="407" t="str">
        <f ca="1">_xlfn.IFNA(VLOOKUP(F665,BEGIN_CURRENT_DENTAL:END_CURRENT_DENTAL,CURRENT_COL_EC_count,FALSE),"")</f>
        <v/>
      </c>
      <c r="F668" s="408" t="str">
        <f ca="1">_xlfn.IFNA(VLOOKUP(F665,BEGIN_CURRENT_DENTAL:END_CURRENT_DENTAL,CURRENT_COL_EC,FALSE),"")</f>
        <v/>
      </c>
      <c r="G668" s="468" t="str">
        <f t="shared" ca="1" si="62"/>
        <v/>
      </c>
      <c r="H668" s="408" t="str">
        <f ca="1">_xlfn.IFNA(VLOOKUP(F665,BEGIN_CURRENT_DENTAL:END_CURRENT_DENTAL,CURRENT_COL_ECContrib,FALSE),"")</f>
        <v/>
      </c>
      <c r="I668" s="409" t="str">
        <f t="shared" ca="1" si="63"/>
        <v/>
      </c>
      <c r="J668" s="410" t="str">
        <f ca="1">IF(F668="","",H668*E668)</f>
        <v/>
      </c>
      <c r="K668" s="411"/>
      <c r="L668" s="408" t="str" cm="1">
        <f t="array" ca="1" aca="1" ref="L668">_xlfn.IFNA(VLOOKUP(INDIRECT("L"&amp;ROW()-3)&amp;"_"&amp;$D$12,BEGIN_Renew_Dental:END_RENEW_DENTAL,RENEW_COL_EC,FALSE),"")</f>
        <v/>
      </c>
      <c r="M668" s="412" t="str">
        <f ca="1">IF(E668="","",E668)</f>
        <v/>
      </c>
      <c r="N668" s="413"/>
      <c r="O668" s="414"/>
      <c r="P668" s="415" t="str">
        <f>IFERROR(IF($N665="Keep Contribution Same",H668,IF($N665="Enter Percentages",IF(N668="","",N668*L668),IF($N665="Keep Percentage Same",IF(G668="","",G668*L668),IF($N665="Enter Dollar Amount",IF(O668="","",O668),"")))),"")</f>
        <v/>
      </c>
      <c r="Q668" s="408" t="str">
        <f ca="1">IFERROR(L668-P668,"")</f>
        <v/>
      </c>
      <c r="R668" s="410" t="str">
        <f>IFERROR(IF(P668="","",M668*P668),"")</f>
        <v/>
      </c>
      <c r="S668" s="411"/>
      <c r="T668" s="408" t="str" cm="1">
        <f t="array" ca="1" aca="1" ref="T668">_xlfn.IFNA(VLOOKUP(INDIRECT("T"&amp;ROW()-3)&amp;"_"&amp;$D$12,BEGIN_Renew_Dental:END_RENEW_DENTAL,RENEW_COL_EC,FALSE),"")</f>
        <v/>
      </c>
      <c r="U668" s="412" t="str">
        <f t="shared" ca="1" si="64"/>
        <v/>
      </c>
      <c r="V668" s="413"/>
      <c r="W668" s="414"/>
      <c r="X668" s="415" t="str">
        <f>IFERROR(IF($V665="Keep Contribution Same",H668,IF($V665="Enter Percentages",IF(V668="","",V668*T668),IF($V665="Keep Percentage Same",IF(G668="","",G668*T668),IF($V665="Enter Dollar Amount",IF(W668="","",W668),"")))),"")</f>
        <v/>
      </c>
      <c r="Y668" s="408" t="str">
        <f t="shared" ca="1" si="65"/>
        <v/>
      </c>
      <c r="Z668" s="410" t="str">
        <f t="shared" si="66"/>
        <v/>
      </c>
    </row>
    <row r="669" spans="1:26" ht="18.75" customHeight="1" thickBot="1">
      <c r="A669" s="140"/>
      <c r="B669" s="140"/>
      <c r="D669" s="174" t="s">
        <v>241</v>
      </c>
      <c r="E669" s="416" t="str">
        <f ca="1">_xlfn.IFNA(VLOOKUP(F665,BEGIN_CURRENT_DENTAL:END_CURRENT_DENTAL,CURRENT_COL_FAM_count,FALSE),"")</f>
        <v/>
      </c>
      <c r="F669" s="417" t="str">
        <f ca="1">_xlfn.IFNA(VLOOKUP(F665,BEGIN_CURRENT_DENTAL:END_CURRENT_DENTAL,CURRENT_COL_FAM,FALSE),"")</f>
        <v/>
      </c>
      <c r="G669" s="469" t="str">
        <f t="shared" ca="1" si="62"/>
        <v/>
      </c>
      <c r="H669" s="417" t="str">
        <f ca="1">_xlfn.IFNA(VLOOKUP(F665,BEGIN_CURRENT_DENTAL:END_CURRENT_DENTAL,CURRENT_COL_FAMContrib,FALSE),"")</f>
        <v/>
      </c>
      <c r="I669" s="418" t="str">
        <f t="shared" ca="1" si="63"/>
        <v/>
      </c>
      <c r="J669" s="419" t="str">
        <f ca="1">IF(F669="","",H669*E669)</f>
        <v/>
      </c>
      <c r="K669" s="411"/>
      <c r="L669" s="417" t="str" cm="1">
        <f t="array" ca="1" aca="1" ref="L669">_xlfn.IFNA(VLOOKUP(INDIRECT("L"&amp;ROW()-4)&amp;"_"&amp;$D$12,BEGIN_Renew_Dental:END_RENEW_DENTAL,RENEW_COL_FAM,FALSE),"")</f>
        <v/>
      </c>
      <c r="M669" s="423" t="str">
        <f ca="1">IF(E669="","",E669)</f>
        <v/>
      </c>
      <c r="N669" s="420"/>
      <c r="O669" s="421"/>
      <c r="P669" s="422" t="str">
        <f>IFERROR(IF($N665="Keep Contribution Same",H669,IF($N665="Enter Percentages",IF(N669="","",N669*L669),IF($N665="Keep Percentage Same",IF(G669="","",G669*L669),IF($N665="Enter Dollar Amount",IF(O669="","",O669),"")))),"")</f>
        <v/>
      </c>
      <c r="Q669" s="417" t="str">
        <f ca="1">IFERROR(L669-P669,"")</f>
        <v/>
      </c>
      <c r="R669" s="419" t="str">
        <f>IFERROR(IF(P669="","",M669*P669),"")</f>
        <v/>
      </c>
      <c r="S669" s="411"/>
      <c r="T669" s="417" t="str" cm="1">
        <f t="array" ca="1" aca="1" ref="T669">_xlfn.IFNA(VLOOKUP(INDIRECT("T"&amp;ROW()-4)&amp;"_"&amp;$D$12,BEGIN_Renew_Dental:END_RENEW_DENTAL,RENEW_COL_FAM,FALSE),"")</f>
        <v/>
      </c>
      <c r="U669" s="423" t="str">
        <f t="shared" ca="1" si="64"/>
        <v/>
      </c>
      <c r="V669" s="420"/>
      <c r="W669" s="421"/>
      <c r="X669" s="422" t="str">
        <f>IFERROR(IF($V665="Keep Contribution Same",H669,IF($V665="Enter Percentages",IF(V669="","",V669*T669),IF($V665="Keep Percentage Same",IF(G669="","",G669*T669),IF($V665="Enter Dollar Amount",IF(W669="","",W669),"")))),"")</f>
        <v/>
      </c>
      <c r="Y669" s="417" t="str">
        <f t="shared" ca="1" si="65"/>
        <v/>
      </c>
      <c r="Z669" s="419" t="str">
        <f t="shared" si="66"/>
        <v/>
      </c>
    </row>
    <row r="670" spans="1:26" ht="18.75" customHeight="1" thickTop="1">
      <c r="A670" s="140"/>
      <c r="B670" s="140"/>
      <c r="D670" s="175" t="s">
        <v>242</v>
      </c>
      <c r="E670" s="424"/>
      <c r="F670" s="427"/>
      <c r="G670" s="426"/>
      <c r="H670" s="427"/>
      <c r="I670" s="428"/>
      <c r="J670" s="429" t="str">
        <f ca="1">IFERROR(IF(J666="","",SUM(J666:J669)),0)</f>
        <v/>
      </c>
      <c r="K670" s="1"/>
      <c r="L670" s="424"/>
      <c r="M670" s="427"/>
      <c r="N670" s="426"/>
      <c r="O670" s="427"/>
      <c r="P670" s="431"/>
      <c r="Q670" s="432"/>
      <c r="R670" s="429" t="str">
        <f>IFERROR(IF(R666="","",SUM(R666:R669)),0)</f>
        <v/>
      </c>
      <c r="T670" s="424"/>
      <c r="U670" s="427"/>
      <c r="V670" s="426"/>
      <c r="W670" s="427"/>
      <c r="X670" s="431"/>
      <c r="Y670" s="432"/>
      <c r="Z670" s="429" t="str">
        <f>IFERROR(IF(Z666="","",SUM(Z666:Z669)),0)</f>
        <v/>
      </c>
    </row>
    <row r="671" spans="1:26" ht="18.75" customHeight="1">
      <c r="A671" s="140"/>
      <c r="B671" s="140"/>
      <c r="D671" s="177" t="s">
        <v>243</v>
      </c>
      <c r="E671" s="433"/>
      <c r="F671" s="436"/>
      <c r="G671" s="435"/>
      <c r="H671" s="436"/>
      <c r="I671" s="432"/>
      <c r="J671" s="437" t="str">
        <f ca="1">IF(J670="","",J670*12)</f>
        <v/>
      </c>
      <c r="K671" s="1"/>
      <c r="L671" s="433"/>
      <c r="M671" s="436"/>
      <c r="N671" s="435"/>
      <c r="O671" s="436"/>
      <c r="P671" s="432"/>
      <c r="Q671" s="432"/>
      <c r="R671" s="437" t="str">
        <f>IF(R670="","",R670*12)</f>
        <v/>
      </c>
      <c r="T671" s="433"/>
      <c r="U671" s="436"/>
      <c r="V671" s="435"/>
      <c r="W671" s="436"/>
      <c r="X671" s="432"/>
      <c r="Y671" s="432"/>
      <c r="Z671" s="437" t="str">
        <f>IF(Z670="","",Z670*12)</f>
        <v/>
      </c>
    </row>
    <row r="672" spans="1:26" ht="18.75" customHeight="1">
      <c r="A672" s="140"/>
      <c r="B672" s="140"/>
      <c r="D672" s="177" t="s">
        <v>244</v>
      </c>
      <c r="E672" s="433"/>
      <c r="F672" s="436"/>
      <c r="G672" s="435"/>
      <c r="H672" s="436"/>
      <c r="I672" s="432"/>
      <c r="J672" s="437"/>
      <c r="K672" s="1"/>
      <c r="L672" s="433"/>
      <c r="M672" s="436"/>
      <c r="N672" s="435"/>
      <c r="O672" s="436"/>
      <c r="P672" s="432"/>
      <c r="Q672" s="432"/>
      <c r="R672" s="437" t="str">
        <f ca="1">IFERROR(IF(J671="","",R671-J671),0)</f>
        <v/>
      </c>
      <c r="T672" s="433"/>
      <c r="U672" s="436"/>
      <c r="V672" s="435"/>
      <c r="W672" s="436"/>
      <c r="X672" s="432"/>
      <c r="Y672" s="432"/>
      <c r="Z672" s="437" t="str">
        <f>IFERROR(IF(R671="","",Z671-R671),0)</f>
        <v/>
      </c>
    </row>
    <row r="673" spans="1:26" ht="18" customHeight="1" thickBot="1">
      <c r="A673" s="140"/>
      <c r="B673" s="140"/>
      <c r="D673" s="180" t="s">
        <v>245</v>
      </c>
      <c r="E673" s="439"/>
      <c r="F673" s="440"/>
      <c r="G673" s="441"/>
      <c r="H673" s="440"/>
      <c r="I673" s="442"/>
      <c r="J673" s="437"/>
      <c r="K673" s="1"/>
      <c r="L673" s="439"/>
      <c r="M673" s="440"/>
      <c r="N673" s="441"/>
      <c r="O673" s="440"/>
      <c r="P673" s="445"/>
      <c r="Q673" s="445"/>
      <c r="R673" s="446" t="str">
        <f ca="1">IFERROR(IF(J671="","",(R671/J671)-1),0)</f>
        <v/>
      </c>
      <c r="T673" s="439"/>
      <c r="U673" s="440"/>
      <c r="V673" s="441"/>
      <c r="W673" s="440"/>
      <c r="X673" s="445"/>
      <c r="Y673" s="445"/>
      <c r="Z673" s="446" t="str">
        <f>IFERROR(IF(R671="","",(Z671/R671)-1),0)</f>
        <v/>
      </c>
    </row>
    <row r="674" spans="1:26" ht="5.25" customHeight="1" thickBot="1">
      <c r="A674" s="140"/>
      <c r="B674" s="140"/>
      <c r="D674" s="229"/>
      <c r="E674" s="454"/>
      <c r="F674" s="455"/>
      <c r="G674" s="456"/>
      <c r="H674" s="457"/>
      <c r="I674" s="458"/>
      <c r="J674" s="458"/>
      <c r="K674" s="1"/>
      <c r="L674" s="458"/>
      <c r="M674" s="458"/>
      <c r="N674" s="458"/>
      <c r="O674" s="458"/>
      <c r="P674" s="458"/>
      <c r="Q674" s="458"/>
      <c r="R674" s="458"/>
      <c r="T674" s="458"/>
      <c r="U674" s="458"/>
      <c r="V674" s="458"/>
      <c r="W674" s="458"/>
      <c r="X674" s="458"/>
      <c r="Y674" s="458"/>
      <c r="Z674" s="458"/>
    </row>
    <row r="675" spans="1:26" ht="50.15" customHeight="1">
      <c r="A675" s="140">
        <v>2</v>
      </c>
      <c r="B675" s="140" t="str">
        <f>IF(A675&gt;Class7_CurrentDentalCount,"DELETE",Class7_CurrentDentalStart+A675)</f>
        <v>DELETE</v>
      </c>
      <c r="C675" s="164" t="s">
        <v>290</v>
      </c>
      <c r="D675" s="273" t="str">
        <f>IF(B675="Delete","",VLOOKUP(F675,BEGIN_CURRENT_DENTAL:END_CURRENT_DENTAL,3,FALSE))</f>
        <v/>
      </c>
      <c r="E675" s="165"/>
      <c r="F675" s="272" t="str" cm="1">
        <f t="array" ca="1" aca="1" ref="F675">IF(B675="Delete","",INDIRECT("CurrentPlans!A"&amp;B675,TRUE))</f>
        <v/>
      </c>
      <c r="G675" s="166"/>
      <c r="H675" s="167"/>
      <c r="I675" s="168"/>
      <c r="J675" s="169"/>
      <c r="K675"/>
      <c r="L675" s="274" t="str">
        <f ca="1">_xlfn.IFNA(VLOOKUP(F675,BEGIN_RENEWEDFROM_DENTAL:ROW_RenewDental_PlanID,3,FALSE),"SELECT PLAN")</f>
        <v>SELECT PLAN</v>
      </c>
      <c r="M675" s="170"/>
      <c r="N675" s="274" t="s">
        <v>237</v>
      </c>
      <c r="O675" s="171"/>
      <c r="P675" s="171"/>
      <c r="Q675" s="171"/>
      <c r="R675" s="169"/>
      <c r="T675" s="274" t="s">
        <v>38</v>
      </c>
      <c r="U675" s="170"/>
      <c r="V675" s="274" t="s">
        <v>237</v>
      </c>
      <c r="W675" s="171"/>
      <c r="X675" s="171"/>
      <c r="Y675" s="171"/>
      <c r="Z675" s="169"/>
    </row>
    <row r="676" spans="1:26" ht="18.75" customHeight="1">
      <c r="A676" s="140"/>
      <c r="B676" s="140"/>
      <c r="D676" s="172" t="s">
        <v>238</v>
      </c>
      <c r="E676" s="407" t="str">
        <f ca="1">_xlfn.IFNA(VLOOKUP(F675,BEGIN_CURRENT_DENTAL:END_CURRENT_DENTAL,CURRENT_COL_EO_count,FALSE),"")</f>
        <v/>
      </c>
      <c r="F676" s="408" t="str">
        <f ca="1">_xlfn.IFNA(VLOOKUP(F675,BEGIN_CURRENT_DENTAL:END_CURRENT_DENTAL,CURRENT_COL_EO,FALSE),"")</f>
        <v/>
      </c>
      <c r="G676" s="468" t="str">
        <f ca="1" t="shared" si="67" ref="G676:G679">IF(F676="","",H676/F676)</f>
        <v/>
      </c>
      <c r="H676" s="408" t="str">
        <f ca="1">_xlfn.IFNA(VLOOKUP(F675,BEGIN_CURRENT_DENTAL:END_CURRENT_DENTAL,CURRENT_COL_EOContrib,FALSE),"")</f>
        <v/>
      </c>
      <c r="I676" s="409" t="str">
        <f ca="1">IFERROR(F676-H676,"")</f>
        <v/>
      </c>
      <c r="J676" s="410" t="str">
        <f ca="1">IF(F676="","",H676*E676)</f>
        <v/>
      </c>
      <c r="K676" s="411"/>
      <c r="L676" s="408" t="str" cm="1">
        <f t="array" ca="1" aca="1" ref="L676">_xlfn.IFNA(VLOOKUP(INDIRECT("L"&amp;ROW()-1)&amp;"_"&amp;$D$12,BEGIN_Renew_Dental:END_RENEW_DENTAL,RENEW_COL_EO,FALSE),"")</f>
        <v/>
      </c>
      <c r="M676" s="412" t="str">
        <f ca="1">IF(E676="","",E676)</f>
        <v/>
      </c>
      <c r="N676" s="413"/>
      <c r="O676" s="414"/>
      <c r="P676" s="415" t="str">
        <f>IFERROR(IF($N675="Keep Contribution Same",H676,IF($N675="Enter Percentages",IF(N676="","",N676*L676),IF($N675="Keep Percentage Same",IF(G676="","",G676*L676),IF($N675="Enter Dollar Amount",IF(O676="","",O676),"")))),"")</f>
        <v/>
      </c>
      <c r="Q676" s="408" t="str">
        <f ca="1">IFERROR(L676-P676,"")</f>
        <v/>
      </c>
      <c r="R676" s="410" t="str">
        <f>IFERROR(IF(P676="","",M676*P676),"")</f>
        <v/>
      </c>
      <c r="S676" s="411"/>
      <c r="T676" s="408" t="str" cm="1">
        <f t="array" ca="1" aca="1" ref="T676">_xlfn.IFNA(VLOOKUP(INDIRECT("T"&amp;ROW()-1)&amp;"_"&amp;$D$12,BEGIN_Renew_Dental:END_RENEW_DENTAL,RENEW_COL_EO,FALSE),"")</f>
        <v/>
      </c>
      <c r="U676" s="412" t="str">
        <f ca="1">IF(E676="","",E676)</f>
        <v/>
      </c>
      <c r="V676" s="413"/>
      <c r="W676" s="414"/>
      <c r="X676" s="415" t="str">
        <f>IFERROR(IF($V675="Keep Contribution Same",H676,IF($V675="Enter Percentages",IF(V676="","",V676*T676),IF($V675="Keep Percentage Same",IF(G676="","",G676*T676),IF($V675="Enter Dollar Amount",IF(W676="","",W676),"")))),"")</f>
        <v/>
      </c>
      <c r="Y676" s="408" t="str">
        <f ca="1">IFERROR(T676-X676,"")</f>
        <v/>
      </c>
      <c r="Z676" s="410" t="str">
        <f>IFERROR(IF(X676="","",U676*X676),"")</f>
        <v/>
      </c>
    </row>
    <row r="677" spans="1:26" ht="18.75" customHeight="1">
      <c r="A677" s="140"/>
      <c r="B677" s="140"/>
      <c r="D677" s="172" t="s">
        <v>239</v>
      </c>
      <c r="E677" s="407" t="str">
        <f ca="1">_xlfn.IFNA(VLOOKUP(F675,BEGIN_CURRENT_DENTAL:END_CURRENT_DENTAL,CURRENT_COL_ES_count,FALSE),"")</f>
        <v/>
      </c>
      <c r="F677" s="408" t="str">
        <f ca="1">_xlfn.IFNA(VLOOKUP(F675,BEGIN_CURRENT_DENTAL:END_CURRENT_DENTAL,CURRENT_COL_ES,FALSE),"")</f>
        <v/>
      </c>
      <c r="G677" s="468" t="str">
        <f t="shared" ca="1" si="67"/>
        <v/>
      </c>
      <c r="H677" s="408" t="str">
        <f ca="1">_xlfn.IFNA(VLOOKUP(F675,BEGIN_CURRENT_DENTAL:END_CURRENT_DENTAL,CURRENT_COL_ESContrib,FALSE),"")</f>
        <v/>
      </c>
      <c r="I677" s="409" t="str">
        <f ca="1" t="shared" si="68" ref="I677:I679">IFERROR(F677-H677,"")</f>
        <v/>
      </c>
      <c r="J677" s="410" t="str">
        <f ca="1">IF(F677="","",H677*E677)</f>
        <v/>
      </c>
      <c r="K677" s="411"/>
      <c r="L677" s="408" t="str" cm="1">
        <f t="array" ca="1" aca="1" ref="L677">_xlfn.IFNA(VLOOKUP(INDIRECT("L"&amp;ROW()-2)&amp;"_"&amp;$D$12,BEGIN_Renew_Dental:END_RENEW_DENTAL,RENEW_COL_ES,FALSE),"")</f>
        <v/>
      </c>
      <c r="M677" s="412" t="str">
        <f ca="1">IF(E677="","",E677)</f>
        <v/>
      </c>
      <c r="N677" s="413"/>
      <c r="O677" s="414"/>
      <c r="P677" s="415" t="str">
        <f>IFERROR(IF($N675="Keep Contribution Same",H677,IF($N675="Enter Percentages",IF(N677="","",N677*L677),IF($N675="Keep Percentage Same",IF(G677="","",G677*L677),IF($N675="Enter Dollar Amount",IF(O677="","",O677),"")))),"")</f>
        <v/>
      </c>
      <c r="Q677" s="408" t="str">
        <f ca="1">IFERROR(L677-P677,"")</f>
        <v/>
      </c>
      <c r="R677" s="410" t="str">
        <f>IFERROR(IF(P677="","",M677*P677),"")</f>
        <v/>
      </c>
      <c r="S677" s="411"/>
      <c r="T677" s="408" t="str" cm="1">
        <f t="array" ca="1" aca="1" ref="T677">_xlfn.IFNA(VLOOKUP(INDIRECT("T"&amp;ROW()-2)&amp;"_"&amp;$D$12,BEGIN_Renew_Dental:END_RENEW_DENTAL,RENEW_COL_ES,FALSE),"")</f>
        <v/>
      </c>
      <c r="U677" s="412" t="str">
        <f ca="1" t="shared" si="69" ref="U677:U679">IF(E677="","",E677)</f>
        <v/>
      </c>
      <c r="V677" s="413"/>
      <c r="W677" s="414"/>
      <c r="X677" s="415" t="str">
        <f>IFERROR(IF($V675="Keep Contribution Same",H677,IF($V675="Enter Percentages",IF(V677="","",V677*T677),IF($V675="Keep Percentage Same",IF(G677="","",G677*T677),IF($V675="Enter Dollar Amount",IF(W677="","",W677),"")))),"")</f>
        <v/>
      </c>
      <c r="Y677" s="408" t="str">
        <f ca="1" t="shared" si="70" ref="Y677:Y679">IFERROR(T677-X677,"")</f>
        <v/>
      </c>
      <c r="Z677" s="410" t="str">
        <f t="shared" si="71" ref="Z677:Z679">IFERROR(IF(X677="","",U677*X677),"")</f>
        <v/>
      </c>
    </row>
    <row r="678" spans="1:26" ht="18.75" customHeight="1">
      <c r="A678" s="140"/>
      <c r="B678" s="140"/>
      <c r="D678" s="172" t="s">
        <v>240</v>
      </c>
      <c r="E678" s="407" t="str">
        <f ca="1">_xlfn.IFNA(VLOOKUP(F675,BEGIN_CURRENT_DENTAL:END_CURRENT_DENTAL,CURRENT_COL_EC_count,FALSE),"")</f>
        <v/>
      </c>
      <c r="F678" s="408" t="str">
        <f ca="1">_xlfn.IFNA(VLOOKUP(F675,BEGIN_CURRENT_DENTAL:END_CURRENT_DENTAL,CURRENT_COL_EC,FALSE),"")</f>
        <v/>
      </c>
      <c r="G678" s="468" t="str">
        <f t="shared" ca="1" si="67"/>
        <v/>
      </c>
      <c r="H678" s="408" t="str">
        <f ca="1">_xlfn.IFNA(VLOOKUP(F675,BEGIN_CURRENT_DENTAL:END_CURRENT_DENTAL,CURRENT_COL_ECContrib,FALSE),"")</f>
        <v/>
      </c>
      <c r="I678" s="409" t="str">
        <f t="shared" ca="1" si="68"/>
        <v/>
      </c>
      <c r="J678" s="410" t="str">
        <f ca="1">IF(F678="","",H678*E678)</f>
        <v/>
      </c>
      <c r="K678" s="411"/>
      <c r="L678" s="408" t="str" cm="1">
        <f t="array" ca="1" aca="1" ref="L678">_xlfn.IFNA(VLOOKUP(INDIRECT("L"&amp;ROW()-3)&amp;"_"&amp;$D$12,BEGIN_Renew_Dental:END_RENEW_DENTAL,RENEW_COL_EC,FALSE),"")</f>
        <v/>
      </c>
      <c r="M678" s="412" t="str">
        <f ca="1">IF(E678="","",E678)</f>
        <v/>
      </c>
      <c r="N678" s="413"/>
      <c r="O678" s="414"/>
      <c r="P678" s="415" t="str">
        <f>IFERROR(IF($N675="Keep Contribution Same",H678,IF($N675="Enter Percentages",IF(N678="","",N678*L678),IF($N675="Keep Percentage Same",IF(G678="","",G678*L678),IF($N675="Enter Dollar Amount",IF(O678="","",O678),"")))),"")</f>
        <v/>
      </c>
      <c r="Q678" s="408" t="str">
        <f ca="1">IFERROR(L678-P678,"")</f>
        <v/>
      </c>
      <c r="R678" s="410" t="str">
        <f>IFERROR(IF(P678="","",M678*P678),"")</f>
        <v/>
      </c>
      <c r="S678" s="411"/>
      <c r="T678" s="408" t="str" cm="1">
        <f t="array" ca="1" aca="1" ref="T678">_xlfn.IFNA(VLOOKUP(INDIRECT("T"&amp;ROW()-3)&amp;"_"&amp;$D$12,BEGIN_Renew_Dental:END_RENEW_DENTAL,RENEW_COL_EC,FALSE),"")</f>
        <v/>
      </c>
      <c r="U678" s="412" t="str">
        <f t="shared" ca="1" si="69"/>
        <v/>
      </c>
      <c r="V678" s="413"/>
      <c r="W678" s="414"/>
      <c r="X678" s="415" t="str">
        <f>IFERROR(IF($V675="Keep Contribution Same",H678,IF($V675="Enter Percentages",IF(V678="","",V678*T678),IF($V675="Keep Percentage Same",IF(G678="","",G678*T678),IF($V675="Enter Dollar Amount",IF(W678="","",W678),"")))),"")</f>
        <v/>
      </c>
      <c r="Y678" s="408" t="str">
        <f t="shared" ca="1" si="70"/>
        <v/>
      </c>
      <c r="Z678" s="410" t="str">
        <f t="shared" si="71"/>
        <v/>
      </c>
    </row>
    <row r="679" spans="1:26" ht="18.75" customHeight="1" thickBot="1">
      <c r="A679" s="140"/>
      <c r="B679" s="140"/>
      <c r="D679" s="174" t="s">
        <v>241</v>
      </c>
      <c r="E679" s="416" t="str">
        <f ca="1">_xlfn.IFNA(VLOOKUP(F675,BEGIN_CURRENT_DENTAL:END_CURRENT_DENTAL,CURRENT_COL_FAM_count,FALSE),"")</f>
        <v/>
      </c>
      <c r="F679" s="417" t="str">
        <f ca="1">_xlfn.IFNA(VLOOKUP(F675,BEGIN_CURRENT_DENTAL:END_CURRENT_DENTAL,CURRENT_COL_FAM,FALSE),"")</f>
        <v/>
      </c>
      <c r="G679" s="469" t="str">
        <f t="shared" ca="1" si="67"/>
        <v/>
      </c>
      <c r="H679" s="417" t="str">
        <f ca="1">_xlfn.IFNA(VLOOKUP(F675,BEGIN_CURRENT_DENTAL:END_CURRENT_DENTAL,CURRENT_COL_FAMContrib,FALSE),"")</f>
        <v/>
      </c>
      <c r="I679" s="418" t="str">
        <f t="shared" ca="1" si="68"/>
        <v/>
      </c>
      <c r="J679" s="419" t="str">
        <f ca="1">IF(F679="","",H679*E679)</f>
        <v/>
      </c>
      <c r="K679" s="411"/>
      <c r="L679" s="417" t="str" cm="1">
        <f t="array" ca="1" aca="1" ref="L679">_xlfn.IFNA(VLOOKUP(INDIRECT("L"&amp;ROW()-4)&amp;"_"&amp;$D$12,BEGIN_Renew_Dental:END_RENEW_DENTAL,RENEW_COL_FAM,FALSE),"")</f>
        <v/>
      </c>
      <c r="M679" s="423" t="str">
        <f ca="1">IF(E679="","",E679)</f>
        <v/>
      </c>
      <c r="N679" s="420"/>
      <c r="O679" s="421"/>
      <c r="P679" s="422" t="str">
        <f>IFERROR(IF($N675="Keep Contribution Same",H679,IF($N675="Enter Percentages",IF(N679="","",N679*L679),IF($N675="Keep Percentage Same",IF(G679="","",G679*L679),IF($N675="Enter Dollar Amount",IF(O679="","",O679),"")))),"")</f>
        <v/>
      </c>
      <c r="Q679" s="417" t="str">
        <f ca="1">IFERROR(L679-P679,"")</f>
        <v/>
      </c>
      <c r="R679" s="419" t="str">
        <f>IFERROR(IF(P679="","",M679*P679),"")</f>
        <v/>
      </c>
      <c r="S679" s="411"/>
      <c r="T679" s="417" t="str" cm="1">
        <f t="array" ca="1" aca="1" ref="T679">_xlfn.IFNA(VLOOKUP(INDIRECT("T"&amp;ROW()-4)&amp;"_"&amp;$D$12,BEGIN_Renew_Dental:END_RENEW_DENTAL,RENEW_COL_FAM,FALSE),"")</f>
        <v/>
      </c>
      <c r="U679" s="423" t="str">
        <f t="shared" ca="1" si="69"/>
        <v/>
      </c>
      <c r="V679" s="420"/>
      <c r="W679" s="421"/>
      <c r="X679" s="422" t="str">
        <f>IFERROR(IF($V675="Keep Contribution Same",H679,IF($V675="Enter Percentages",IF(V679="","",V679*T679),IF($V675="Keep Percentage Same",IF(G679="","",G679*T679),IF($V675="Enter Dollar Amount",IF(W679="","",W679),"")))),"")</f>
        <v/>
      </c>
      <c r="Y679" s="417" t="str">
        <f t="shared" ca="1" si="70"/>
        <v/>
      </c>
      <c r="Z679" s="419" t="str">
        <f t="shared" si="71"/>
        <v/>
      </c>
    </row>
    <row r="680" spans="1:26" ht="18.75" customHeight="1" thickTop="1">
      <c r="A680" s="140"/>
      <c r="B680" s="140"/>
      <c r="D680" s="175" t="s">
        <v>242</v>
      </c>
      <c r="E680" s="424"/>
      <c r="F680" s="427"/>
      <c r="G680" s="426"/>
      <c r="H680" s="427"/>
      <c r="I680" s="428"/>
      <c r="J680" s="429" t="str">
        <f ca="1">IFERROR(IF(J676="","",SUM(J676:J679)),0)</f>
        <v/>
      </c>
      <c r="K680" s="1"/>
      <c r="L680" s="424"/>
      <c r="M680" s="427"/>
      <c r="N680" s="426"/>
      <c r="O680" s="427"/>
      <c r="P680" s="431"/>
      <c r="Q680" s="432"/>
      <c r="R680" s="429" t="str">
        <f>IFERROR(IF(R676="","",SUM(R676:R679)),0)</f>
        <v/>
      </c>
      <c r="T680" s="424"/>
      <c r="U680" s="427"/>
      <c r="V680" s="426"/>
      <c r="W680" s="427"/>
      <c r="X680" s="431"/>
      <c r="Y680" s="432"/>
      <c r="Z680" s="429" t="str">
        <f>IFERROR(IF(Z676="","",SUM(Z676:Z679)),0)</f>
        <v/>
      </c>
    </row>
    <row r="681" spans="1:26" ht="18.75" customHeight="1">
      <c r="A681" s="140"/>
      <c r="B681" s="140"/>
      <c r="D681" s="177" t="s">
        <v>243</v>
      </c>
      <c r="E681" s="433"/>
      <c r="F681" s="436"/>
      <c r="G681" s="435"/>
      <c r="H681" s="436"/>
      <c r="I681" s="432"/>
      <c r="J681" s="437" t="str">
        <f ca="1">IF(J680="","",J680*12)</f>
        <v/>
      </c>
      <c r="K681" s="1"/>
      <c r="L681" s="433"/>
      <c r="M681" s="436"/>
      <c r="N681" s="435"/>
      <c r="O681" s="436"/>
      <c r="P681" s="432"/>
      <c r="Q681" s="432"/>
      <c r="R681" s="437" t="str">
        <f>IF(R680="","",R680*12)</f>
        <v/>
      </c>
      <c r="T681" s="433"/>
      <c r="U681" s="436"/>
      <c r="V681" s="435"/>
      <c r="W681" s="436"/>
      <c r="X681" s="432"/>
      <c r="Y681" s="432"/>
      <c r="Z681" s="437" t="str">
        <f>IF(Z680="","",Z680*12)</f>
        <v/>
      </c>
    </row>
    <row r="682" spans="1:26" ht="18" customHeight="1">
      <c r="A682" s="140"/>
      <c r="B682" s="140"/>
      <c r="D682" s="177" t="s">
        <v>244</v>
      </c>
      <c r="E682" s="433"/>
      <c r="F682" s="436"/>
      <c r="G682" s="435"/>
      <c r="H682" s="436"/>
      <c r="I682" s="432"/>
      <c r="J682" s="437"/>
      <c r="K682" s="1"/>
      <c r="L682" s="433"/>
      <c r="M682" s="436"/>
      <c r="N682" s="435"/>
      <c r="O682" s="436"/>
      <c r="P682" s="432"/>
      <c r="Q682" s="432"/>
      <c r="R682" s="437" t="str">
        <f ca="1">IFERROR(IF(J681="","",R681-J681),0)</f>
        <v/>
      </c>
      <c r="T682" s="433"/>
      <c r="U682" s="436"/>
      <c r="V682" s="435"/>
      <c r="W682" s="436"/>
      <c r="X682" s="432"/>
      <c r="Y682" s="432"/>
      <c r="Z682" s="437" t="str">
        <f>IFERROR(IF(R681="","",Z681-R681),0)</f>
        <v/>
      </c>
    </row>
    <row r="683" spans="1:26" ht="18" customHeight="1" thickBot="1">
      <c r="A683" s="140"/>
      <c r="B683" s="140"/>
      <c r="D683" s="180" t="s">
        <v>245</v>
      </c>
      <c r="E683" s="439"/>
      <c r="F683" s="440"/>
      <c r="G683" s="441"/>
      <c r="H683" s="440"/>
      <c r="I683" s="442"/>
      <c r="J683" s="437"/>
      <c r="K683" s="1"/>
      <c r="L683" s="439"/>
      <c r="M683" s="440"/>
      <c r="N683" s="441"/>
      <c r="O683" s="440"/>
      <c r="P683" s="445"/>
      <c r="Q683" s="445"/>
      <c r="R683" s="446" t="str">
        <f ca="1">IFERROR(IF(J681="","",(R681/J681)-1),0)</f>
        <v/>
      </c>
      <c r="T683" s="439"/>
      <c r="U683" s="440"/>
      <c r="V683" s="441"/>
      <c r="W683" s="440"/>
      <c r="X683" s="445"/>
      <c r="Y683" s="445"/>
      <c r="Z683" s="446" t="str">
        <f>IFERROR(IF(R681="","",(Z681/R681)-1),0)</f>
        <v/>
      </c>
    </row>
    <row r="684" spans="1:26" ht="5.25" customHeight="1" thickBot="1">
      <c r="A684" s="140"/>
      <c r="B684" s="140"/>
      <c r="D684" s="229"/>
      <c r="E684" s="229"/>
      <c r="F684" s="230"/>
      <c r="G684" s="231"/>
      <c r="H684" s="232"/>
      <c r="I684" s="233"/>
      <c r="J684" s="233"/>
      <c r="K684"/>
      <c r="L684" s="233"/>
      <c r="M684" s="233"/>
      <c r="N684" s="233"/>
      <c r="O684" s="233"/>
      <c r="P684" s="233"/>
      <c r="Q684" s="233"/>
      <c r="R684" s="233"/>
      <c r="T684" s="233"/>
      <c r="U684" s="233"/>
      <c r="V684" s="233"/>
      <c r="W684" s="233"/>
      <c r="X684" s="233"/>
      <c r="Y684" s="233"/>
      <c r="Z684" s="233"/>
    </row>
    <row r="685" spans="1:26" ht="50.15" customHeight="1">
      <c r="A685" s="140">
        <v>3</v>
      </c>
      <c r="B685" s="140" t="str">
        <f>IF(A685&gt;Class7_CurrentDentalCount,"DELETE",Class7_CurrentDentalStart+A685)</f>
        <v>DELETE</v>
      </c>
      <c r="C685" s="164" t="s">
        <v>291</v>
      </c>
      <c r="D685" s="273" t="str">
        <f>IF(B685="Delete","",VLOOKUP(F685,BEGIN_CURRENT_DENTAL:END_CURRENT_DENTAL,3,FALSE))</f>
        <v/>
      </c>
      <c r="E685" s="165"/>
      <c r="F685" s="272" t="str" cm="1">
        <f t="array" ca="1" aca="1" ref="F685">IF(B685="Delete","",INDIRECT("CurrentPlans!A"&amp;B685,TRUE))</f>
        <v/>
      </c>
      <c r="G685" s="166"/>
      <c r="H685" s="167"/>
      <c r="I685" s="168"/>
      <c r="J685" s="169"/>
      <c r="K685"/>
      <c r="L685" s="274" t="str">
        <f ca="1">_xlfn.IFNA(VLOOKUP(F685,BEGIN_RENEWEDFROM_DENTAL:ROW_RenewDental_PlanID,3,FALSE),"SELECT PLAN")</f>
        <v>SELECT PLAN</v>
      </c>
      <c r="M685" s="170"/>
      <c r="N685" s="274" t="s">
        <v>237</v>
      </c>
      <c r="O685" s="171"/>
      <c r="P685" s="171"/>
      <c r="Q685" s="171"/>
      <c r="R685" s="169"/>
      <c r="T685" s="274" t="s">
        <v>38</v>
      </c>
      <c r="U685" s="170"/>
      <c r="V685" s="274" t="s">
        <v>237</v>
      </c>
      <c r="W685" s="171"/>
      <c r="X685" s="171"/>
      <c r="Y685" s="171"/>
      <c r="Z685" s="169"/>
    </row>
    <row r="686" spans="1:26" ht="18.75" customHeight="1">
      <c r="A686" s="140"/>
      <c r="B686" s="140"/>
      <c r="D686" s="172" t="s">
        <v>238</v>
      </c>
      <c r="E686" s="407" t="str">
        <f ca="1">_xlfn.IFNA(VLOOKUP(F685,BEGIN_CURRENT_DENTAL:END_CURRENT_DENTAL,CURRENT_COL_EO_count,FALSE),"")</f>
        <v/>
      </c>
      <c r="F686" s="408" t="str">
        <f ca="1">_xlfn.IFNA(VLOOKUP(F685,BEGIN_CURRENT_DENTAL:END_CURRENT_DENTAL,CURRENT_COL_EO,FALSE),"")</f>
        <v/>
      </c>
      <c r="G686" s="468" t="str">
        <f ca="1" t="shared" si="72" ref="G686:G689">IF(F686="","",H686/F686)</f>
        <v/>
      </c>
      <c r="H686" s="408" t="str">
        <f ca="1">_xlfn.IFNA(VLOOKUP(F685,BEGIN_CURRENT_DENTAL:END_CURRENT_DENTAL,CURRENT_COL_EOContrib,FALSE),"")</f>
        <v/>
      </c>
      <c r="I686" s="409" t="str">
        <f ca="1">IFERROR(F686-H686,"")</f>
        <v/>
      </c>
      <c r="J686" s="410" t="str">
        <f ca="1">IF(F686="","",H686*E686)</f>
        <v/>
      </c>
      <c r="K686" s="411"/>
      <c r="L686" s="408" t="str" cm="1">
        <f t="array" ca="1" aca="1" ref="L686">_xlfn.IFNA(VLOOKUP(INDIRECT("L"&amp;ROW()-1)&amp;"_"&amp;$D$12,BEGIN_Renew_Dental:END_RENEW_DENTAL,RENEW_COL_EO,FALSE),"")</f>
        <v/>
      </c>
      <c r="M686" s="412" t="str">
        <f ca="1">IF(E686="","",E686)</f>
        <v/>
      </c>
      <c r="N686" s="413"/>
      <c r="O686" s="414"/>
      <c r="P686" s="415" t="str">
        <f>IFERROR(IF($N685="Keep Contribution Same",H686,IF($N685="Enter Percentages",IF(N686="","",N686*L686),IF($N685="Keep Percentage Same",IF(G686="","",G686*L686),IF($N685="Enter Dollar Amount",IF(O686="","",O686),"")))),"")</f>
        <v/>
      </c>
      <c r="Q686" s="408" t="str">
        <f ca="1">IFERROR(L686-P686,"")</f>
        <v/>
      </c>
      <c r="R686" s="410" t="str">
        <f>IFERROR(IF(P686="","",M686*P686),"")</f>
        <v/>
      </c>
      <c r="S686" s="411"/>
      <c r="T686" s="408" t="str" cm="1">
        <f t="array" ca="1" aca="1" ref="T686">_xlfn.IFNA(VLOOKUP(INDIRECT("T"&amp;ROW()-1)&amp;"_"&amp;$D$12,BEGIN_Renew_Dental:END_RENEW_DENTAL,RENEW_COL_EO,FALSE),"")</f>
        <v/>
      </c>
      <c r="U686" s="412" t="str">
        <f ca="1">IF(E686="","",E686)</f>
        <v/>
      </c>
      <c r="V686" s="413"/>
      <c r="W686" s="414"/>
      <c r="X686" s="415" t="str">
        <f>IFERROR(IF($V685="Keep Contribution Same",H686,IF($V685="Enter Percentages",IF(V686="","",V686*T686),IF($V685="Keep Percentage Same",IF(G686="","",G686*T686),IF($V685="Enter Dollar Amount",IF(W686="","",W686),"")))),"")</f>
        <v/>
      </c>
      <c r="Y686" s="408" t="str">
        <f ca="1">IFERROR(T686-X686,"")</f>
        <v/>
      </c>
      <c r="Z686" s="410" t="str">
        <f>IFERROR(IF(X686="","",U686*X686),"")</f>
        <v/>
      </c>
    </row>
    <row r="687" spans="1:26" ht="18.75" customHeight="1">
      <c r="A687" s="140"/>
      <c r="B687" s="140"/>
      <c r="D687" s="172" t="s">
        <v>239</v>
      </c>
      <c r="E687" s="407" t="str">
        <f ca="1">_xlfn.IFNA(VLOOKUP(F685,BEGIN_CURRENT_DENTAL:END_CURRENT_DENTAL,CURRENT_COL_ES_count,FALSE),"")</f>
        <v/>
      </c>
      <c r="F687" s="408" t="str">
        <f ca="1">_xlfn.IFNA(VLOOKUP(F685,BEGIN_CURRENT_DENTAL:END_CURRENT_DENTAL,CURRENT_COL_ES,FALSE),"")</f>
        <v/>
      </c>
      <c r="G687" s="468" t="str">
        <f t="shared" ca="1" si="72"/>
        <v/>
      </c>
      <c r="H687" s="408" t="str">
        <f ca="1">_xlfn.IFNA(VLOOKUP(F685,BEGIN_CURRENT_DENTAL:END_CURRENT_DENTAL,CURRENT_COL_ESContrib,FALSE),"")</f>
        <v/>
      </c>
      <c r="I687" s="409" t="str">
        <f ca="1" t="shared" si="73" ref="I687:I689">IFERROR(F687-H687,"")</f>
        <v/>
      </c>
      <c r="J687" s="410" t="str">
        <f ca="1">IF(F687="","",H687*E687)</f>
        <v/>
      </c>
      <c r="K687" s="411"/>
      <c r="L687" s="408" t="str" cm="1">
        <f t="array" ca="1" aca="1" ref="L687">_xlfn.IFNA(VLOOKUP(INDIRECT("L"&amp;ROW()-2)&amp;"_"&amp;$D$12,BEGIN_Renew_Dental:END_RENEW_DENTAL,RENEW_COL_ES,FALSE),"")</f>
        <v/>
      </c>
      <c r="M687" s="412" t="str">
        <f ca="1">IF(E687="","",E687)</f>
        <v/>
      </c>
      <c r="N687" s="413"/>
      <c r="O687" s="414"/>
      <c r="P687" s="415" t="str">
        <f>IFERROR(IF($N685="Keep Contribution Same",H687,IF($N685="Enter Percentages",IF(N687="","",N687*L687),IF($N685="Keep Percentage Same",IF(G687="","",G687*L687),IF($N685="Enter Dollar Amount",IF(O687="","",O687),"")))),"")</f>
        <v/>
      </c>
      <c r="Q687" s="408" t="str">
        <f ca="1">IFERROR(L687-P687,"")</f>
        <v/>
      </c>
      <c r="R687" s="410" t="str">
        <f>IFERROR(IF(P687="","",M687*P687),"")</f>
        <v/>
      </c>
      <c r="S687" s="411"/>
      <c r="T687" s="408" t="str" cm="1">
        <f t="array" ca="1" aca="1" ref="T687">_xlfn.IFNA(VLOOKUP(INDIRECT("T"&amp;ROW()-2)&amp;"_"&amp;$D$12,BEGIN_Renew_Dental:END_RENEW_DENTAL,RENEW_COL_ES,FALSE),"")</f>
        <v/>
      </c>
      <c r="U687" s="412" t="str">
        <f ca="1" t="shared" si="74" ref="U687:U689">IF(E687="","",E687)</f>
        <v/>
      </c>
      <c r="V687" s="413"/>
      <c r="W687" s="414"/>
      <c r="X687" s="415" t="str">
        <f>IFERROR(IF($V685="Keep Contribution Same",H687,IF($V685="Enter Percentages",IF(V687="","",V687*T687),IF($V685="Keep Percentage Same",IF(G687="","",G687*T687),IF($V685="Enter Dollar Amount",IF(W687="","",W687),"")))),"")</f>
        <v/>
      </c>
      <c r="Y687" s="408" t="str">
        <f ca="1" t="shared" si="75" ref="Y687:Y689">IFERROR(T687-X687,"")</f>
        <v/>
      </c>
      <c r="Z687" s="410" t="str">
        <f t="shared" si="76" ref="Z687:Z689">IFERROR(IF(X687="","",U687*X687),"")</f>
        <v/>
      </c>
    </row>
    <row r="688" spans="1:26" ht="18.75" customHeight="1">
      <c r="A688" s="140"/>
      <c r="B688" s="140"/>
      <c r="D688" s="172" t="s">
        <v>240</v>
      </c>
      <c r="E688" s="407" t="str">
        <f ca="1">_xlfn.IFNA(VLOOKUP(F685,BEGIN_CURRENT_DENTAL:END_CURRENT_DENTAL,CURRENT_COL_EC_count,FALSE),"")</f>
        <v/>
      </c>
      <c r="F688" s="408" t="str">
        <f ca="1">_xlfn.IFNA(VLOOKUP(F685,BEGIN_CURRENT_DENTAL:END_CURRENT_DENTAL,CURRENT_COL_EC,FALSE),"")</f>
        <v/>
      </c>
      <c r="G688" s="468" t="str">
        <f t="shared" ca="1" si="72"/>
        <v/>
      </c>
      <c r="H688" s="408" t="str">
        <f ca="1">_xlfn.IFNA(VLOOKUP(F685,BEGIN_CURRENT_DENTAL:END_CURRENT_DENTAL,CURRENT_COL_ECContrib,FALSE),"")</f>
        <v/>
      </c>
      <c r="I688" s="409" t="str">
        <f t="shared" ca="1" si="73"/>
        <v/>
      </c>
      <c r="J688" s="410" t="str">
        <f ca="1">IF(F688="","",H688*E688)</f>
        <v/>
      </c>
      <c r="K688" s="411"/>
      <c r="L688" s="408" t="str" cm="1">
        <f t="array" ca="1" aca="1" ref="L688">_xlfn.IFNA(VLOOKUP(INDIRECT("L"&amp;ROW()-3)&amp;"_"&amp;$D$12,BEGIN_Renew_Dental:END_RENEW_DENTAL,RENEW_COL_EC,FALSE),"")</f>
        <v/>
      </c>
      <c r="M688" s="412" t="str">
        <f ca="1">IF(E688="","",E688)</f>
        <v/>
      </c>
      <c r="N688" s="413"/>
      <c r="O688" s="414"/>
      <c r="P688" s="415" t="str">
        <f>IFERROR(IF($N685="Keep Contribution Same",H688,IF($N685="Enter Percentages",IF(N688="","",N688*L688),IF($N685="Keep Percentage Same",IF(G688="","",G688*L688),IF($N685="Enter Dollar Amount",IF(O688="","",O688),"")))),"")</f>
        <v/>
      </c>
      <c r="Q688" s="408" t="str">
        <f ca="1">IFERROR(L688-P688,"")</f>
        <v/>
      </c>
      <c r="R688" s="410" t="str">
        <f>IFERROR(IF(P688="","",M688*P688),"")</f>
        <v/>
      </c>
      <c r="S688" s="411"/>
      <c r="T688" s="408" t="str" cm="1">
        <f t="array" ca="1" aca="1" ref="T688">_xlfn.IFNA(VLOOKUP(INDIRECT("T"&amp;ROW()-3)&amp;"_"&amp;$D$12,BEGIN_Renew_Dental:END_RENEW_DENTAL,RENEW_COL_EC,FALSE),"")</f>
        <v/>
      </c>
      <c r="U688" s="412" t="str">
        <f t="shared" ca="1" si="74"/>
        <v/>
      </c>
      <c r="V688" s="413"/>
      <c r="W688" s="414"/>
      <c r="X688" s="415" t="str">
        <f>IFERROR(IF($V685="Keep Contribution Same",H688,IF($V685="Enter Percentages",IF(V688="","",V688*T688),IF($V685="Keep Percentage Same",IF(G688="","",G688*T688),IF($V685="Enter Dollar Amount",IF(W688="","",W688),"")))),"")</f>
        <v/>
      </c>
      <c r="Y688" s="408" t="str">
        <f t="shared" ca="1" si="75"/>
        <v/>
      </c>
      <c r="Z688" s="410" t="str">
        <f t="shared" si="76"/>
        <v/>
      </c>
    </row>
    <row r="689" spans="1:26" ht="18.75" customHeight="1" thickBot="1">
      <c r="A689" s="140"/>
      <c r="B689" s="140"/>
      <c r="D689" s="174" t="s">
        <v>241</v>
      </c>
      <c r="E689" s="416" t="str">
        <f ca="1">_xlfn.IFNA(VLOOKUP(F685,BEGIN_CURRENT_DENTAL:END_CURRENT_DENTAL,CURRENT_COL_FAM_count,FALSE),"")</f>
        <v/>
      </c>
      <c r="F689" s="417" t="str">
        <f ca="1">_xlfn.IFNA(VLOOKUP(F685,BEGIN_CURRENT_DENTAL:END_CURRENT_DENTAL,CURRENT_COL_FAM,FALSE),"")</f>
        <v/>
      </c>
      <c r="G689" s="469" t="str">
        <f t="shared" ca="1" si="72"/>
        <v/>
      </c>
      <c r="H689" s="417" t="str">
        <f ca="1">_xlfn.IFNA(VLOOKUP(F685,BEGIN_CURRENT_DENTAL:END_CURRENT_DENTAL,CURRENT_COL_FAMContrib,FALSE),"")</f>
        <v/>
      </c>
      <c r="I689" s="418" t="str">
        <f t="shared" ca="1" si="73"/>
        <v/>
      </c>
      <c r="J689" s="419" t="str">
        <f ca="1">IF(F689="","",H689*E689)</f>
        <v/>
      </c>
      <c r="K689" s="411"/>
      <c r="L689" s="417" t="str" cm="1">
        <f t="array" ca="1" aca="1" ref="L689">_xlfn.IFNA(VLOOKUP(INDIRECT("L"&amp;ROW()-4)&amp;"_"&amp;$D$12,BEGIN_Renew_Dental:END_RENEW_DENTAL,RENEW_COL_FAM,FALSE),"")</f>
        <v/>
      </c>
      <c r="M689" s="423" t="str">
        <f ca="1">IF(E689="","",E689)</f>
        <v/>
      </c>
      <c r="N689" s="420"/>
      <c r="O689" s="421"/>
      <c r="P689" s="422" t="str">
        <f>IFERROR(IF($N685="Keep Contribution Same",H689,IF($N685="Enter Percentages",IF(N689="","",N689*L689),IF($N685="Keep Percentage Same",IF(G689="","",G689*L689),IF($N685="Enter Dollar Amount",IF(O689="","",O689),"")))),"")</f>
        <v/>
      </c>
      <c r="Q689" s="417" t="str">
        <f ca="1">IFERROR(L689-P689,"")</f>
        <v/>
      </c>
      <c r="R689" s="419" t="str">
        <f>IFERROR(IF(P689="","",M689*P689),"")</f>
        <v/>
      </c>
      <c r="S689" s="411"/>
      <c r="T689" s="417" t="str" cm="1">
        <f t="array" ca="1" aca="1" ref="T689">_xlfn.IFNA(VLOOKUP(INDIRECT("T"&amp;ROW()-4)&amp;"_"&amp;$D$12,BEGIN_Renew_Dental:END_RENEW_DENTAL,RENEW_COL_FAM,FALSE),"")</f>
        <v/>
      </c>
      <c r="U689" s="423" t="str">
        <f t="shared" ca="1" si="74"/>
        <v/>
      </c>
      <c r="V689" s="420"/>
      <c r="W689" s="421"/>
      <c r="X689" s="422" t="str">
        <f>IFERROR(IF($V685="Keep Contribution Same",H689,IF($V685="Enter Percentages",IF(V689="","",V689*T689),IF($V685="Keep Percentage Same",IF(G689="","",G689*T689),IF($V685="Enter Dollar Amount",IF(W689="","",W689),"")))),"")</f>
        <v/>
      </c>
      <c r="Y689" s="417" t="str">
        <f t="shared" ca="1" si="75"/>
        <v/>
      </c>
      <c r="Z689" s="419" t="str">
        <f t="shared" si="76"/>
        <v/>
      </c>
    </row>
    <row r="690" spans="1:26" ht="18.75" customHeight="1" thickTop="1">
      <c r="A690" s="140"/>
      <c r="B690" s="140"/>
      <c r="D690" s="175" t="s">
        <v>242</v>
      </c>
      <c r="E690" s="424"/>
      <c r="F690" s="427"/>
      <c r="G690" s="426"/>
      <c r="H690" s="427"/>
      <c r="I690" s="428"/>
      <c r="J690" s="429" t="str">
        <f ca="1">IFERROR(IF(J686="","",SUM(J686:J689)),0)</f>
        <v/>
      </c>
      <c r="K690" s="1"/>
      <c r="L690" s="424"/>
      <c r="M690" s="427"/>
      <c r="N690" s="426"/>
      <c r="O690" s="427"/>
      <c r="P690" s="431"/>
      <c r="Q690" s="432"/>
      <c r="R690" s="429" t="str">
        <f>IFERROR(IF(R686="","",SUM(R686:R689)),0)</f>
        <v/>
      </c>
      <c r="T690" s="424"/>
      <c r="U690" s="427"/>
      <c r="V690" s="426"/>
      <c r="W690" s="427"/>
      <c r="X690" s="431"/>
      <c r="Y690" s="432"/>
      <c r="Z690" s="429" t="str">
        <f>IFERROR(IF(Z686="","",SUM(Z686:Z689)),0)</f>
        <v/>
      </c>
    </row>
    <row r="691" spans="1:26" ht="18.75" customHeight="1">
      <c r="A691" s="140"/>
      <c r="B691" s="140"/>
      <c r="D691" s="177" t="s">
        <v>243</v>
      </c>
      <c r="E691" s="433"/>
      <c r="F691" s="436"/>
      <c r="G691" s="435"/>
      <c r="H691" s="436"/>
      <c r="I691" s="432"/>
      <c r="J691" s="437" t="str">
        <f ca="1">IF(J690="","",J690*12)</f>
        <v/>
      </c>
      <c r="K691" s="1"/>
      <c r="L691" s="433"/>
      <c r="M691" s="436"/>
      <c r="N691" s="435"/>
      <c r="O691" s="436"/>
      <c r="P691" s="432"/>
      <c r="Q691" s="432"/>
      <c r="R691" s="437" t="str">
        <f>IF(R690="","",R690*12)</f>
        <v/>
      </c>
      <c r="T691" s="433"/>
      <c r="U691" s="436"/>
      <c r="V691" s="435"/>
      <c r="W691" s="436"/>
      <c r="X691" s="432"/>
      <c r="Y691" s="432"/>
      <c r="Z691" s="437" t="str">
        <f>IF(Z690="","",Z690*12)</f>
        <v/>
      </c>
    </row>
    <row r="692" spans="1:26" ht="18" customHeight="1">
      <c r="A692" s="140"/>
      <c r="B692" s="140"/>
      <c r="D692" s="177" t="s">
        <v>244</v>
      </c>
      <c r="E692" s="433"/>
      <c r="F692" s="436"/>
      <c r="G692" s="435"/>
      <c r="H692" s="436"/>
      <c r="I692" s="432"/>
      <c r="J692" s="437"/>
      <c r="K692" s="1"/>
      <c r="L692" s="433"/>
      <c r="M692" s="436"/>
      <c r="N692" s="435"/>
      <c r="O692" s="436"/>
      <c r="P692" s="432"/>
      <c r="Q692" s="432"/>
      <c r="R692" s="437" t="str">
        <f ca="1">IFERROR(IF(J691="","",R691-J691),0)</f>
        <v/>
      </c>
      <c r="T692" s="433"/>
      <c r="U692" s="436"/>
      <c r="V692" s="435"/>
      <c r="W692" s="436"/>
      <c r="X692" s="432"/>
      <c r="Y692" s="432"/>
      <c r="Z692" s="437" t="str">
        <f>IFERROR(IF(R691="","",Z691-R691),0)</f>
        <v/>
      </c>
    </row>
    <row r="693" spans="1:26" ht="18" customHeight="1" thickBot="1">
      <c r="A693" s="140"/>
      <c r="B693" s="140"/>
      <c r="D693" s="180" t="s">
        <v>245</v>
      </c>
      <c r="E693" s="439"/>
      <c r="F693" s="440"/>
      <c r="G693" s="441"/>
      <c r="H693" s="440"/>
      <c r="I693" s="442"/>
      <c r="J693" s="437"/>
      <c r="K693" s="1"/>
      <c r="L693" s="439"/>
      <c r="M693" s="440"/>
      <c r="N693" s="441"/>
      <c r="O693" s="440"/>
      <c r="P693" s="445"/>
      <c r="Q693" s="445"/>
      <c r="R693" s="446" t="str">
        <f ca="1">IFERROR(IF(J691="","",(R691/J691)-1),0)</f>
        <v/>
      </c>
      <c r="T693" s="439"/>
      <c r="U693" s="440"/>
      <c r="V693" s="441"/>
      <c r="W693" s="440"/>
      <c r="X693" s="445"/>
      <c r="Y693" s="445"/>
      <c r="Z693" s="446" t="str">
        <f>IFERROR(IF(R691="","",(Z691/R691)-1),0)</f>
        <v/>
      </c>
    </row>
    <row r="694" spans="1:26" ht="5.25" customHeight="1" thickBot="1">
      <c r="A694" s="140"/>
      <c r="B694" s="140"/>
      <c r="D694" s="229"/>
      <c r="E694" s="229"/>
      <c r="F694" s="230"/>
      <c r="G694" s="231"/>
      <c r="H694" s="232"/>
      <c r="I694" s="233"/>
      <c r="J694" s="233"/>
      <c r="K694"/>
      <c r="L694" s="233"/>
      <c r="M694" s="233"/>
      <c r="N694" s="233"/>
      <c r="O694" s="233"/>
      <c r="P694" s="233"/>
      <c r="Q694" s="233"/>
      <c r="R694" s="233"/>
      <c r="T694" s="233"/>
      <c r="U694" s="233"/>
      <c r="V694" s="233"/>
      <c r="W694" s="233"/>
      <c r="X694" s="233"/>
      <c r="Y694" s="233"/>
      <c r="Z694" s="233"/>
    </row>
    <row r="695" spans="1:26" ht="50.15" customHeight="1">
      <c r="A695" s="140">
        <v>4</v>
      </c>
      <c r="B695" s="140" t="str">
        <f>IF(A695&gt;Class7_CurrentDentalCount,"DELETE",Class7_CurrentDentalStart+A695)</f>
        <v>DELETE</v>
      </c>
      <c r="C695" s="164" t="s">
        <v>292</v>
      </c>
      <c r="D695" s="273" t="str">
        <f>IF(B695="Delete","",VLOOKUP(F695,BEGIN_CURRENT_DENTAL:END_CURRENT_DENTAL,3,FALSE))</f>
        <v/>
      </c>
      <c r="E695" s="165"/>
      <c r="F695" s="272" t="str" cm="1">
        <f t="array" ca="1" aca="1" ref="F695">IF(B695="Delete","",INDIRECT("CurrentPlans!A"&amp;B695,TRUE))</f>
        <v/>
      </c>
      <c r="G695" s="166"/>
      <c r="H695" s="167"/>
      <c r="I695" s="168"/>
      <c r="J695" s="169"/>
      <c r="K695"/>
      <c r="L695" s="274" t="str">
        <f ca="1">_xlfn.IFNA(VLOOKUP(F695,BEGIN_RENEWEDFROM_DENTAL:ROW_RenewDental_PlanID,3,FALSE),"SELECT PLAN")</f>
        <v>SELECT PLAN</v>
      </c>
      <c r="M695" s="170"/>
      <c r="N695" s="274" t="s">
        <v>237</v>
      </c>
      <c r="O695" s="171"/>
      <c r="P695" s="171"/>
      <c r="Q695" s="171"/>
      <c r="R695" s="169"/>
      <c r="T695" s="274" t="s">
        <v>38</v>
      </c>
      <c r="U695" s="170"/>
      <c r="V695" s="274" t="s">
        <v>237</v>
      </c>
      <c r="W695" s="171"/>
      <c r="X695" s="171"/>
      <c r="Y695" s="171"/>
      <c r="Z695" s="169"/>
    </row>
    <row r="696" spans="1:26" ht="18.75" customHeight="1">
      <c r="A696" s="140"/>
      <c r="B696" s="140"/>
      <c r="D696" s="172" t="s">
        <v>238</v>
      </c>
      <c r="E696" s="407" t="str">
        <f ca="1">_xlfn.IFNA(VLOOKUP(F695,BEGIN_CURRENT_DENTAL:END_CURRENT_DENTAL,CURRENT_COL_EO_count,FALSE),"")</f>
        <v/>
      </c>
      <c r="F696" s="408" t="str">
        <f ca="1">_xlfn.IFNA(VLOOKUP(F695,BEGIN_CURRENT_DENTAL:END_CURRENT_DENTAL,CURRENT_COL_EO,FALSE),"")</f>
        <v/>
      </c>
      <c r="G696" s="468" t="str">
        <f ca="1" t="shared" si="77" ref="G696:G699">IF(F696="","",H696/F696)</f>
        <v/>
      </c>
      <c r="H696" s="408" t="str">
        <f ca="1">_xlfn.IFNA(VLOOKUP(F695,BEGIN_CURRENT_DENTAL:END_CURRENT_DENTAL,CURRENT_COL_EOContrib,FALSE),"")</f>
        <v/>
      </c>
      <c r="I696" s="409" t="str">
        <f ca="1">IFERROR(F696-H696,"")</f>
        <v/>
      </c>
      <c r="J696" s="410" t="str">
        <f ca="1">IF(F696="","",H696*E696)</f>
        <v/>
      </c>
      <c r="K696" s="411"/>
      <c r="L696" s="408" t="str" cm="1">
        <f t="array" ca="1" aca="1" ref="L696">_xlfn.IFNA(VLOOKUP(INDIRECT("L"&amp;ROW()-1)&amp;"_"&amp;$D$12,BEGIN_Renew_Dental:END_RENEW_DENTAL,RENEW_COL_EO,FALSE),"")</f>
        <v/>
      </c>
      <c r="M696" s="412" t="str">
        <f ca="1">IF(E696="","",E696)</f>
        <v/>
      </c>
      <c r="N696" s="413"/>
      <c r="O696" s="414"/>
      <c r="P696" s="415" t="str">
        <f>IFERROR(IF($N695="Keep Contribution Same",H696,IF($N695="Enter Percentages",IF(N696="","",N696*L696),IF($N695="Keep Percentage Same",IF(G696="","",G696*L696),IF($N695="Enter Dollar Amount",IF(O696="","",O696),"")))),"")</f>
        <v/>
      </c>
      <c r="Q696" s="408" t="str">
        <f ca="1">IFERROR(L696-P696,"")</f>
        <v/>
      </c>
      <c r="R696" s="410" t="str">
        <f>IFERROR(IF(P696="","",M696*P696),"")</f>
        <v/>
      </c>
      <c r="S696" s="411"/>
      <c r="T696" s="408" t="str" cm="1">
        <f t="array" ca="1" aca="1" ref="T696">_xlfn.IFNA(VLOOKUP(INDIRECT("T"&amp;ROW()-1)&amp;"_"&amp;$D$12,BEGIN_Renew_Dental:END_RENEW_DENTAL,RENEW_COL_EO,FALSE),"")</f>
        <v/>
      </c>
      <c r="U696" s="412" t="str">
        <f ca="1">IF(E696="","",E696)</f>
        <v/>
      </c>
      <c r="V696" s="413"/>
      <c r="W696" s="414"/>
      <c r="X696" s="415" t="str">
        <f>IFERROR(IF($V695="Keep Contribution Same",H696,IF($V695="Enter Percentages",IF(V696="","",V696*T696),IF($V695="Keep Percentage Same",IF(G696="","",G696*T696),IF($V695="Enter Dollar Amount",IF(W696="","",W696),"")))),"")</f>
        <v/>
      </c>
      <c r="Y696" s="408" t="str">
        <f ca="1">IFERROR(T696-X696,"")</f>
        <v/>
      </c>
      <c r="Z696" s="410" t="str">
        <f>IFERROR(IF(X696="","",U696*X696),"")</f>
        <v/>
      </c>
    </row>
    <row r="697" spans="1:26" ht="18.75" customHeight="1">
      <c r="A697" s="140"/>
      <c r="B697" s="140"/>
      <c r="D697" s="172" t="s">
        <v>239</v>
      </c>
      <c r="E697" s="407" t="str">
        <f ca="1">_xlfn.IFNA(VLOOKUP(F695,BEGIN_CURRENT_DENTAL:END_CURRENT_DENTAL,CURRENT_COL_ES_count,FALSE),"")</f>
        <v/>
      </c>
      <c r="F697" s="408" t="str">
        <f ca="1">_xlfn.IFNA(VLOOKUP(F695,BEGIN_CURRENT_DENTAL:END_CURRENT_DENTAL,CURRENT_COL_ES,FALSE),"")</f>
        <v/>
      </c>
      <c r="G697" s="468" t="str">
        <f t="shared" ca="1" si="77"/>
        <v/>
      </c>
      <c r="H697" s="408" t="str">
        <f ca="1">_xlfn.IFNA(VLOOKUP(F695,BEGIN_CURRENT_DENTAL:END_CURRENT_DENTAL,CURRENT_COL_ESContrib,FALSE),"")</f>
        <v/>
      </c>
      <c r="I697" s="409" t="str">
        <f ca="1" t="shared" si="78" ref="I697:I699">IFERROR(F697-H697,"")</f>
        <v/>
      </c>
      <c r="J697" s="410" t="str">
        <f ca="1">IF(F697="","",H697*E697)</f>
        <v/>
      </c>
      <c r="K697" s="411"/>
      <c r="L697" s="408" t="str" cm="1">
        <f t="array" ca="1" aca="1" ref="L697">_xlfn.IFNA(VLOOKUP(INDIRECT("L"&amp;ROW()-2)&amp;"_"&amp;$D$12,BEGIN_Renew_Dental:END_RENEW_DENTAL,RENEW_COL_ES,FALSE),"")</f>
        <v/>
      </c>
      <c r="M697" s="412" t="str">
        <f ca="1">IF(E697="","",E697)</f>
        <v/>
      </c>
      <c r="N697" s="413"/>
      <c r="O697" s="414"/>
      <c r="P697" s="415" t="str">
        <f>IFERROR(IF($N695="Keep Contribution Same",H697,IF($N695="Enter Percentages",IF(N697="","",N697*L697),IF($N695="Keep Percentage Same",IF(G697="","",G697*L697),IF($N695="Enter Dollar Amount",IF(O697="","",O697),"")))),"")</f>
        <v/>
      </c>
      <c r="Q697" s="408" t="str">
        <f ca="1">IFERROR(L697-P697,"")</f>
        <v/>
      </c>
      <c r="R697" s="410" t="str">
        <f>IFERROR(IF(P697="","",M697*P697),"")</f>
        <v/>
      </c>
      <c r="S697" s="411"/>
      <c r="T697" s="408" t="str" cm="1">
        <f t="array" ca="1" aca="1" ref="T697">_xlfn.IFNA(VLOOKUP(INDIRECT("T"&amp;ROW()-2)&amp;"_"&amp;$D$12,BEGIN_Renew_Dental:END_RENEW_DENTAL,RENEW_COL_ES,FALSE),"")</f>
        <v/>
      </c>
      <c r="U697" s="412" t="str">
        <f ca="1" t="shared" si="79" ref="U697:U699">IF(E697="","",E697)</f>
        <v/>
      </c>
      <c r="V697" s="413"/>
      <c r="W697" s="414"/>
      <c r="X697" s="415" t="str">
        <f>IFERROR(IF($V695="Keep Contribution Same",H697,IF($V695="Enter Percentages",IF(V697="","",V697*T697),IF($V695="Keep Percentage Same",IF(G697="","",G697*T697),IF($V695="Enter Dollar Amount",IF(W697="","",W697),"")))),"")</f>
        <v/>
      </c>
      <c r="Y697" s="408" t="str">
        <f ca="1" t="shared" si="80" ref="Y697:Y699">IFERROR(T697-X697,"")</f>
        <v/>
      </c>
      <c r="Z697" s="410" t="str">
        <f t="shared" si="81" ref="Z697:Z699">IFERROR(IF(X697="","",U697*X697),"")</f>
        <v/>
      </c>
    </row>
    <row r="698" spans="1:26" ht="18.75" customHeight="1">
      <c r="A698" s="140"/>
      <c r="B698" s="140"/>
      <c r="D698" s="172" t="s">
        <v>240</v>
      </c>
      <c r="E698" s="407" t="str">
        <f ca="1">_xlfn.IFNA(VLOOKUP(F695,BEGIN_CURRENT_DENTAL:END_CURRENT_DENTAL,CURRENT_COL_EC_count,FALSE),"")</f>
        <v/>
      </c>
      <c r="F698" s="408" t="str">
        <f ca="1">_xlfn.IFNA(VLOOKUP(F695,BEGIN_CURRENT_DENTAL:END_CURRENT_DENTAL,CURRENT_COL_EC,FALSE),"")</f>
        <v/>
      </c>
      <c r="G698" s="468" t="str">
        <f t="shared" ca="1" si="77"/>
        <v/>
      </c>
      <c r="H698" s="408" t="str">
        <f ca="1">_xlfn.IFNA(VLOOKUP(F695,BEGIN_CURRENT_DENTAL:END_CURRENT_DENTAL,CURRENT_COL_ECContrib,FALSE),"")</f>
        <v/>
      </c>
      <c r="I698" s="409" t="str">
        <f t="shared" ca="1" si="78"/>
        <v/>
      </c>
      <c r="J698" s="410" t="str">
        <f ca="1">IF(F698="","",H698*E698)</f>
        <v/>
      </c>
      <c r="K698" s="411"/>
      <c r="L698" s="408" t="str" cm="1">
        <f t="array" ca="1" aca="1" ref="L698">_xlfn.IFNA(VLOOKUP(INDIRECT("L"&amp;ROW()-3)&amp;"_"&amp;$D$12,BEGIN_Renew_Dental:END_RENEW_DENTAL,RENEW_COL_EC,FALSE),"")</f>
        <v/>
      </c>
      <c r="M698" s="412" t="str">
        <f ca="1">IF(E698="","",E698)</f>
        <v/>
      </c>
      <c r="N698" s="413"/>
      <c r="O698" s="414"/>
      <c r="P698" s="415" t="str">
        <f>IFERROR(IF($N695="Keep Contribution Same",H698,IF($N695="Enter Percentages",IF(N698="","",N698*L698),IF($N695="Keep Percentage Same",IF(G698="","",G698*L698),IF($N695="Enter Dollar Amount",IF(O698="","",O698),"")))),"")</f>
        <v/>
      </c>
      <c r="Q698" s="408" t="str">
        <f ca="1">IFERROR(L698-P698,"")</f>
        <v/>
      </c>
      <c r="R698" s="410" t="str">
        <f>IFERROR(IF(P698="","",M698*P698),"")</f>
        <v/>
      </c>
      <c r="S698" s="411"/>
      <c r="T698" s="408" t="str" cm="1">
        <f t="array" ca="1" aca="1" ref="T698">_xlfn.IFNA(VLOOKUP(INDIRECT("T"&amp;ROW()-3)&amp;"_"&amp;$D$12,BEGIN_Renew_Dental:END_RENEW_DENTAL,RENEW_COL_EC,FALSE),"")</f>
        <v/>
      </c>
      <c r="U698" s="412" t="str">
        <f t="shared" ca="1" si="79"/>
        <v/>
      </c>
      <c r="V698" s="413"/>
      <c r="W698" s="414"/>
      <c r="X698" s="415" t="str">
        <f>IFERROR(IF($V695="Keep Contribution Same",H698,IF($V695="Enter Percentages",IF(V698="","",V698*T698),IF($V695="Keep Percentage Same",IF(G698="","",G698*T698),IF($V695="Enter Dollar Amount",IF(W698="","",W698),"")))),"")</f>
        <v/>
      </c>
      <c r="Y698" s="408" t="str">
        <f t="shared" ca="1" si="80"/>
        <v/>
      </c>
      <c r="Z698" s="410" t="str">
        <f t="shared" si="81"/>
        <v/>
      </c>
    </row>
    <row r="699" spans="1:26" ht="18.75" customHeight="1" thickBot="1">
      <c r="A699" s="140"/>
      <c r="B699" s="140"/>
      <c r="D699" s="174" t="s">
        <v>241</v>
      </c>
      <c r="E699" s="416" t="str">
        <f ca="1">_xlfn.IFNA(VLOOKUP(F695,BEGIN_CURRENT_DENTAL:END_CURRENT_DENTAL,CURRENT_COL_FAM_count,FALSE),"")</f>
        <v/>
      </c>
      <c r="F699" s="417" t="str">
        <f ca="1">_xlfn.IFNA(VLOOKUP(F695,BEGIN_CURRENT_DENTAL:END_CURRENT_DENTAL,CURRENT_COL_FAM,FALSE),"")</f>
        <v/>
      </c>
      <c r="G699" s="469" t="str">
        <f t="shared" ca="1" si="77"/>
        <v/>
      </c>
      <c r="H699" s="417" t="str">
        <f ca="1">_xlfn.IFNA(VLOOKUP(F695,BEGIN_CURRENT_DENTAL:END_CURRENT_DENTAL,CURRENT_COL_FAMContrib,FALSE),"")</f>
        <v/>
      </c>
      <c r="I699" s="418" t="str">
        <f t="shared" ca="1" si="78"/>
        <v/>
      </c>
      <c r="J699" s="419" t="str">
        <f ca="1">IF(F699="","",H699*E699)</f>
        <v/>
      </c>
      <c r="K699" s="411"/>
      <c r="L699" s="417" t="str" cm="1">
        <f t="array" ca="1" aca="1" ref="L699">_xlfn.IFNA(VLOOKUP(INDIRECT("L"&amp;ROW()-4)&amp;"_"&amp;$D$12,BEGIN_Renew_Dental:END_RENEW_DENTAL,RENEW_COL_FAM,FALSE),"")</f>
        <v/>
      </c>
      <c r="M699" s="423" t="str">
        <f ca="1">IF(E699="","",E699)</f>
        <v/>
      </c>
      <c r="N699" s="420"/>
      <c r="O699" s="421"/>
      <c r="P699" s="422" t="str">
        <f>IFERROR(IF($N695="Keep Contribution Same",H699,IF($N695="Enter Percentages",IF(N699="","",N699*L699),IF($N695="Keep Percentage Same",IF(G699="","",G699*L699),IF($N695="Enter Dollar Amount",IF(O699="","",O699),"")))),"")</f>
        <v/>
      </c>
      <c r="Q699" s="417" t="str">
        <f ca="1">IFERROR(L699-P699,"")</f>
        <v/>
      </c>
      <c r="R699" s="419" t="str">
        <f>IFERROR(IF(P699="","",M699*P699),"")</f>
        <v/>
      </c>
      <c r="S699" s="411"/>
      <c r="T699" s="417" t="str" cm="1">
        <f t="array" ca="1" aca="1" ref="T699">_xlfn.IFNA(VLOOKUP(INDIRECT("T"&amp;ROW()-4)&amp;"_"&amp;$D$12,BEGIN_Renew_Dental:END_RENEW_DENTAL,RENEW_COL_FAM,FALSE),"")</f>
        <v/>
      </c>
      <c r="U699" s="423" t="str">
        <f t="shared" ca="1" si="79"/>
        <v/>
      </c>
      <c r="V699" s="420"/>
      <c r="W699" s="421"/>
      <c r="X699" s="422" t="str">
        <f>IFERROR(IF($V695="Keep Contribution Same",H699,IF($V695="Enter Percentages",IF(V699="","",V699*T699),IF($V695="Keep Percentage Same",IF(G699="","",G699*T699),IF($V695="Enter Dollar Amount",IF(W699="","",W699),"")))),"")</f>
        <v/>
      </c>
      <c r="Y699" s="417" t="str">
        <f t="shared" ca="1" si="80"/>
        <v/>
      </c>
      <c r="Z699" s="419" t="str">
        <f t="shared" si="81"/>
        <v/>
      </c>
    </row>
    <row r="700" spans="1:26" ht="18.75" customHeight="1" thickTop="1">
      <c r="A700" s="140"/>
      <c r="B700" s="140"/>
      <c r="D700" s="175" t="s">
        <v>242</v>
      </c>
      <c r="E700" s="424"/>
      <c r="F700" s="427"/>
      <c r="G700" s="426"/>
      <c r="H700" s="427"/>
      <c r="I700" s="428"/>
      <c r="J700" s="429" t="str">
        <f ca="1">IFERROR(IF(J696="","",SUM(J696:J699)),0)</f>
        <v/>
      </c>
      <c r="K700" s="1"/>
      <c r="L700" s="424"/>
      <c r="M700" s="427"/>
      <c r="N700" s="426"/>
      <c r="O700" s="427"/>
      <c r="P700" s="431"/>
      <c r="Q700" s="432"/>
      <c r="R700" s="429" t="str">
        <f>IFERROR(IF(R696="","",SUM(R696:R699)),0)</f>
        <v/>
      </c>
      <c r="T700" s="424"/>
      <c r="U700" s="427"/>
      <c r="V700" s="426"/>
      <c r="W700" s="427"/>
      <c r="X700" s="431"/>
      <c r="Y700" s="432"/>
      <c r="Z700" s="429" t="str">
        <f>IFERROR(IF(Z696="","",SUM(Z696:Z699)),0)</f>
        <v/>
      </c>
    </row>
    <row r="701" spans="1:26" ht="18.75" customHeight="1">
      <c r="A701" s="140"/>
      <c r="B701" s="140"/>
      <c r="D701" s="177" t="s">
        <v>243</v>
      </c>
      <c r="E701" s="433"/>
      <c r="F701" s="436"/>
      <c r="G701" s="435"/>
      <c r="H701" s="436"/>
      <c r="I701" s="432"/>
      <c r="J701" s="437" t="str">
        <f ca="1">IF(J700="","",J700*12)</f>
        <v/>
      </c>
      <c r="K701" s="1"/>
      <c r="L701" s="433"/>
      <c r="M701" s="436"/>
      <c r="N701" s="435"/>
      <c r="O701" s="436"/>
      <c r="P701" s="432"/>
      <c r="Q701" s="432"/>
      <c r="R701" s="437" t="str">
        <f>IF(R700="","",R700*12)</f>
        <v/>
      </c>
      <c r="T701" s="433"/>
      <c r="U701" s="436"/>
      <c r="V701" s="435"/>
      <c r="W701" s="436"/>
      <c r="X701" s="432"/>
      <c r="Y701" s="432"/>
      <c r="Z701" s="437" t="str">
        <f>IF(Z700="","",Z700*12)</f>
        <v/>
      </c>
    </row>
    <row r="702" spans="1:26" ht="18" customHeight="1">
      <c r="A702" s="140"/>
      <c r="B702" s="140"/>
      <c r="D702" s="177" t="s">
        <v>244</v>
      </c>
      <c r="E702" s="433"/>
      <c r="F702" s="436"/>
      <c r="G702" s="435"/>
      <c r="H702" s="436"/>
      <c r="I702" s="432"/>
      <c r="J702" s="437"/>
      <c r="K702" s="1"/>
      <c r="L702" s="433"/>
      <c r="M702" s="436"/>
      <c r="N702" s="435"/>
      <c r="O702" s="436"/>
      <c r="P702" s="432"/>
      <c r="Q702" s="432"/>
      <c r="R702" s="437" t="str">
        <f ca="1">IFERROR(IF(J701="","",R701-J701),0)</f>
        <v/>
      </c>
      <c r="T702" s="433"/>
      <c r="U702" s="436"/>
      <c r="V702" s="435"/>
      <c r="W702" s="436"/>
      <c r="X702" s="432"/>
      <c r="Y702" s="432"/>
      <c r="Z702" s="437" t="str">
        <f>IFERROR(IF(R701="","",Z701-R701),0)</f>
        <v/>
      </c>
    </row>
    <row r="703" spans="1:26" ht="18" customHeight="1" thickBot="1">
      <c r="A703" s="140"/>
      <c r="B703" s="140"/>
      <c r="D703" s="180" t="s">
        <v>245</v>
      </c>
      <c r="E703" s="439"/>
      <c r="F703" s="440"/>
      <c r="G703" s="441"/>
      <c r="H703" s="440"/>
      <c r="I703" s="442"/>
      <c r="J703" s="437"/>
      <c r="K703" s="1"/>
      <c r="L703" s="439"/>
      <c r="M703" s="440"/>
      <c r="N703" s="441"/>
      <c r="O703" s="440"/>
      <c r="P703" s="445"/>
      <c r="Q703" s="445"/>
      <c r="R703" s="446" t="str">
        <f ca="1">IFERROR(IF(J701="","",(R701/J701)-1),0)</f>
        <v/>
      </c>
      <c r="T703" s="439"/>
      <c r="U703" s="440"/>
      <c r="V703" s="441"/>
      <c r="W703" s="440"/>
      <c r="X703" s="445"/>
      <c r="Y703" s="445"/>
      <c r="Z703" s="446" t="str">
        <f>IFERROR(IF(R701="","",(Z701/R701)-1),0)</f>
        <v/>
      </c>
    </row>
    <row r="704" spans="1:26" ht="5.25" customHeight="1" thickBot="1">
      <c r="A704" s="140"/>
      <c r="B704" s="140"/>
      <c r="D704" s="229"/>
      <c r="E704" s="229"/>
      <c r="F704" s="230"/>
      <c r="G704" s="231"/>
      <c r="H704" s="232"/>
      <c r="I704" s="233"/>
      <c r="J704" s="233"/>
      <c r="K704"/>
      <c r="L704" s="233"/>
      <c r="M704" s="233"/>
      <c r="N704" s="233"/>
      <c r="O704" s="233"/>
      <c r="P704" s="233"/>
      <c r="Q704" s="233"/>
      <c r="R704" s="233"/>
      <c r="T704" s="233"/>
      <c r="U704" s="233"/>
      <c r="V704" s="233"/>
      <c r="W704" s="233"/>
      <c r="X704" s="233"/>
      <c r="Y704" s="233"/>
      <c r="Z704" s="233"/>
    </row>
    <row r="705" spans="1:26" ht="50.15" customHeight="1">
      <c r="A705" s="140">
        <v>5</v>
      </c>
      <c r="B705" s="140" t="str">
        <f>IF(A705&gt;Class7_CurrentDentalCount,"DELETE",Class7_CurrentDentalStart+A705)</f>
        <v>DELETE</v>
      </c>
      <c r="C705" s="164" t="s">
        <v>293</v>
      </c>
      <c r="D705" s="273" t="str">
        <f>IF(B705="Delete","",VLOOKUP(F705,BEGIN_CURRENT_DENTAL:END_CURRENT_DENTAL,3,FALSE))</f>
        <v/>
      </c>
      <c r="E705" s="165"/>
      <c r="F705" s="272" t="str" cm="1">
        <f t="array" ca="1" aca="1" ref="F705">IF(B705="Delete","",INDIRECT("CurrentPlans!A"&amp;B705,TRUE))</f>
        <v/>
      </c>
      <c r="G705" s="166"/>
      <c r="H705" s="167"/>
      <c r="I705" s="168"/>
      <c r="J705" s="169"/>
      <c r="K705"/>
      <c r="L705" s="274" t="str">
        <f ca="1">_xlfn.IFNA(VLOOKUP(F705,BEGIN_RENEWEDFROM_DENTAL:ROW_RenewDental_PlanID,3,FALSE),"SELECT PLAN")</f>
        <v>SELECT PLAN</v>
      </c>
      <c r="M705" s="170"/>
      <c r="N705" s="274" t="s">
        <v>237</v>
      </c>
      <c r="O705" s="171"/>
      <c r="P705" s="171"/>
      <c r="Q705" s="171"/>
      <c r="R705" s="169"/>
      <c r="T705" s="274" t="s">
        <v>38</v>
      </c>
      <c r="U705" s="170"/>
      <c r="V705" s="274" t="s">
        <v>237</v>
      </c>
      <c r="W705" s="171"/>
      <c r="X705" s="171"/>
      <c r="Y705" s="171"/>
      <c r="Z705" s="169"/>
    </row>
    <row r="706" spans="1:26" ht="18.75" customHeight="1">
      <c r="A706" s="140"/>
      <c r="B706" s="140"/>
      <c r="D706" s="172" t="s">
        <v>238</v>
      </c>
      <c r="E706" s="407" t="str">
        <f ca="1">_xlfn.IFNA(VLOOKUP(F705,BEGIN_CURRENT_DENTAL:END_CURRENT_DENTAL,CURRENT_COL_EO_count,FALSE),"")</f>
        <v/>
      </c>
      <c r="F706" s="408" t="str">
        <f ca="1">_xlfn.IFNA(VLOOKUP(F705,BEGIN_CURRENT_DENTAL:END_CURRENT_DENTAL,CURRENT_COL_EO,FALSE),"")</f>
        <v/>
      </c>
      <c r="G706" s="468" t="str">
        <f ca="1" t="shared" si="82" ref="G706:G709">IF(F706="","",H706/F706)</f>
        <v/>
      </c>
      <c r="H706" s="408" t="str">
        <f ca="1">_xlfn.IFNA(VLOOKUP(F705,BEGIN_CURRENT_DENTAL:END_CURRENT_DENTAL,CURRENT_COL_EOContrib,FALSE),"")</f>
        <v/>
      </c>
      <c r="I706" s="409" t="str">
        <f ca="1">IFERROR(F706-H706,"")</f>
        <v/>
      </c>
      <c r="J706" s="410" t="str">
        <f ca="1">IF(F706="","",H706*E706)</f>
        <v/>
      </c>
      <c r="K706" s="411"/>
      <c r="L706" s="408" t="str" cm="1">
        <f t="array" ca="1" aca="1" ref="L706">_xlfn.IFNA(VLOOKUP(INDIRECT("L"&amp;ROW()-1)&amp;"_"&amp;$D$12,BEGIN_Renew_Dental:END_RENEW_DENTAL,RENEW_COL_EO,FALSE),"")</f>
        <v/>
      </c>
      <c r="M706" s="412" t="str">
        <f ca="1">IF(E706="","",E706)</f>
        <v/>
      </c>
      <c r="N706" s="413"/>
      <c r="O706" s="414"/>
      <c r="P706" s="415" t="str">
        <f>IFERROR(IF($N705="Keep Contribution Same",H706,IF($N705="Enter Percentages",IF(N706="","",N706*L706),IF($N705="Keep Percentage Same",IF(G706="","",G706*L706),IF($N705="Enter Dollar Amount",IF(O706="","",O706),"")))),"")</f>
        <v/>
      </c>
      <c r="Q706" s="408" t="str">
        <f ca="1">IFERROR(L706-P706,"")</f>
        <v/>
      </c>
      <c r="R706" s="410" t="str">
        <f>IFERROR(IF(P706="","",M706*P706),"")</f>
        <v/>
      </c>
      <c r="S706" s="411"/>
      <c r="T706" s="408" t="str" cm="1">
        <f t="array" ca="1" aca="1" ref="T706">_xlfn.IFNA(VLOOKUP(INDIRECT("T"&amp;ROW()-1)&amp;"_"&amp;$D$12,BEGIN_Renew_Dental:END_RENEW_DENTAL,RENEW_COL_EO,FALSE),"")</f>
        <v/>
      </c>
      <c r="U706" s="412" t="str">
        <f ca="1">IF(E706="","",E706)</f>
        <v/>
      </c>
      <c r="V706" s="413"/>
      <c r="W706" s="414"/>
      <c r="X706" s="415" t="str">
        <f>IFERROR(IF($V705="Keep Contribution Same",H706,IF($V705="Enter Percentages",IF(V706="","",V706*T706),IF($V705="Keep Percentage Same",IF(G706="","",G706*T706),IF($V705="Enter Dollar Amount",IF(W706="","",W706),"")))),"")</f>
        <v/>
      </c>
      <c r="Y706" s="408" t="str">
        <f ca="1">IFERROR(T706-X706,"")</f>
        <v/>
      </c>
      <c r="Z706" s="410" t="str">
        <f>IFERROR(IF(X706="","",U706*X706),"")</f>
        <v/>
      </c>
    </row>
    <row r="707" spans="1:26" ht="18.75" customHeight="1">
      <c r="A707" s="140"/>
      <c r="B707" s="140"/>
      <c r="D707" s="172" t="s">
        <v>239</v>
      </c>
      <c r="E707" s="407" t="str">
        <f ca="1">_xlfn.IFNA(VLOOKUP(F705,BEGIN_CURRENT_DENTAL:END_CURRENT_DENTAL,CURRENT_COL_ES_count,FALSE),"")</f>
        <v/>
      </c>
      <c r="F707" s="408" t="str">
        <f ca="1">_xlfn.IFNA(VLOOKUP(F705,BEGIN_CURRENT_DENTAL:END_CURRENT_DENTAL,CURRENT_COL_ES,FALSE),"")</f>
        <v/>
      </c>
      <c r="G707" s="468" t="str">
        <f t="shared" ca="1" si="82"/>
        <v/>
      </c>
      <c r="H707" s="408" t="str">
        <f ca="1">_xlfn.IFNA(VLOOKUP(F705,BEGIN_CURRENT_DENTAL:END_CURRENT_DENTAL,CURRENT_COL_ESContrib,FALSE),"")</f>
        <v/>
      </c>
      <c r="I707" s="409" t="str">
        <f ca="1" t="shared" si="83" ref="I707:I709">IFERROR(F707-H707,"")</f>
        <v/>
      </c>
      <c r="J707" s="410" t="str">
        <f ca="1">IF(F707="","",H707*E707)</f>
        <v/>
      </c>
      <c r="K707" s="411"/>
      <c r="L707" s="408" t="str" cm="1">
        <f t="array" ca="1" aca="1" ref="L707">_xlfn.IFNA(VLOOKUP(INDIRECT("L"&amp;ROW()-2)&amp;"_"&amp;$D$12,BEGIN_Renew_Dental:END_RENEW_DENTAL,RENEW_COL_ES,FALSE),"")</f>
        <v/>
      </c>
      <c r="M707" s="412" t="str">
        <f ca="1">IF(E707="","",E707)</f>
        <v/>
      </c>
      <c r="N707" s="413"/>
      <c r="O707" s="414"/>
      <c r="P707" s="415" t="str">
        <f>IFERROR(IF($N705="Keep Contribution Same",H707,IF($N705="Enter Percentages",IF(N707="","",N707*L707),IF($N705="Keep Percentage Same",IF(G707="","",G707*L707),IF($N705="Enter Dollar Amount",IF(O707="","",O707),"")))),"")</f>
        <v/>
      </c>
      <c r="Q707" s="408" t="str">
        <f ca="1">IFERROR(L707-P707,"")</f>
        <v/>
      </c>
      <c r="R707" s="410" t="str">
        <f>IFERROR(IF(P707="","",M707*P707),"")</f>
        <v/>
      </c>
      <c r="S707" s="411"/>
      <c r="T707" s="408" t="str" cm="1">
        <f t="array" ca="1" aca="1" ref="T707">_xlfn.IFNA(VLOOKUP(INDIRECT("T"&amp;ROW()-2)&amp;"_"&amp;$D$12,BEGIN_Renew_Dental:END_RENEW_DENTAL,RENEW_COL_ES,FALSE),"")</f>
        <v/>
      </c>
      <c r="U707" s="412" t="str">
        <f ca="1" t="shared" si="84" ref="U707:U709">IF(E707="","",E707)</f>
        <v/>
      </c>
      <c r="V707" s="413"/>
      <c r="W707" s="414"/>
      <c r="X707" s="415" t="str">
        <f>IFERROR(IF($V705="Keep Contribution Same",H707,IF($V705="Enter Percentages",IF(V707="","",V707*T707),IF($V705="Keep Percentage Same",IF(G707="","",G707*T707),IF($V705="Enter Dollar Amount",IF(W707="","",W707),"")))),"")</f>
        <v/>
      </c>
      <c r="Y707" s="408" t="str">
        <f ca="1" t="shared" si="85" ref="Y707:Y709">IFERROR(T707-X707,"")</f>
        <v/>
      </c>
      <c r="Z707" s="410" t="str">
        <f t="shared" si="86" ref="Z707:Z709">IFERROR(IF(X707="","",U707*X707),"")</f>
        <v/>
      </c>
    </row>
    <row r="708" spans="1:26" ht="18.75" customHeight="1">
      <c r="A708" s="140"/>
      <c r="B708" s="140"/>
      <c r="D708" s="172" t="s">
        <v>240</v>
      </c>
      <c r="E708" s="407" t="str">
        <f ca="1">_xlfn.IFNA(VLOOKUP(F705,BEGIN_CURRENT_DENTAL:END_CURRENT_DENTAL,CURRENT_COL_EC_count,FALSE),"")</f>
        <v/>
      </c>
      <c r="F708" s="408" t="str">
        <f ca="1">_xlfn.IFNA(VLOOKUP(F705,BEGIN_CURRENT_DENTAL:END_CURRENT_DENTAL,CURRENT_COL_EC,FALSE),"")</f>
        <v/>
      </c>
      <c r="G708" s="468" t="str">
        <f t="shared" ca="1" si="82"/>
        <v/>
      </c>
      <c r="H708" s="408" t="str">
        <f ca="1">_xlfn.IFNA(VLOOKUP(F705,BEGIN_CURRENT_DENTAL:END_CURRENT_DENTAL,CURRENT_COL_ECContrib,FALSE),"")</f>
        <v/>
      </c>
      <c r="I708" s="409" t="str">
        <f t="shared" ca="1" si="83"/>
        <v/>
      </c>
      <c r="J708" s="410" t="str">
        <f ca="1">IF(F708="","",H708*E708)</f>
        <v/>
      </c>
      <c r="K708" s="411"/>
      <c r="L708" s="408" t="str" cm="1">
        <f t="array" ca="1" aca="1" ref="L708">_xlfn.IFNA(VLOOKUP(INDIRECT("L"&amp;ROW()-3)&amp;"_"&amp;$D$12,BEGIN_Renew_Dental:END_RENEW_DENTAL,RENEW_COL_EC,FALSE),"")</f>
        <v/>
      </c>
      <c r="M708" s="412" t="str">
        <f ca="1">IF(E708="","",E708)</f>
        <v/>
      </c>
      <c r="N708" s="413"/>
      <c r="O708" s="414"/>
      <c r="P708" s="415" t="str">
        <f>IFERROR(IF($N705="Keep Contribution Same",H708,IF($N705="Enter Percentages",IF(N708="","",N708*L708),IF($N705="Keep Percentage Same",IF(G708="","",G708*L708),IF($N705="Enter Dollar Amount",IF(O708="","",O708),"")))),"")</f>
        <v/>
      </c>
      <c r="Q708" s="408" t="str">
        <f ca="1">IFERROR(L708-P708,"")</f>
        <v/>
      </c>
      <c r="R708" s="410" t="str">
        <f>IFERROR(IF(P708="","",M708*P708),"")</f>
        <v/>
      </c>
      <c r="S708" s="411"/>
      <c r="T708" s="408" t="str" cm="1">
        <f t="array" ca="1" aca="1" ref="T708">_xlfn.IFNA(VLOOKUP(INDIRECT("T"&amp;ROW()-3)&amp;"_"&amp;$D$12,BEGIN_Renew_Dental:END_RENEW_DENTAL,RENEW_COL_EC,FALSE),"")</f>
        <v/>
      </c>
      <c r="U708" s="412" t="str">
        <f t="shared" ca="1" si="84"/>
        <v/>
      </c>
      <c r="V708" s="413"/>
      <c r="W708" s="414"/>
      <c r="X708" s="415" t="str">
        <f>IFERROR(IF($V705="Keep Contribution Same",H708,IF($V705="Enter Percentages",IF(V708="","",V708*T708),IF($V705="Keep Percentage Same",IF(G708="","",G708*T708),IF($V705="Enter Dollar Amount",IF(W708="","",W708),"")))),"")</f>
        <v/>
      </c>
      <c r="Y708" s="408" t="str">
        <f t="shared" ca="1" si="85"/>
        <v/>
      </c>
      <c r="Z708" s="410" t="str">
        <f t="shared" si="86"/>
        <v/>
      </c>
    </row>
    <row r="709" spans="1:26" ht="18.75" customHeight="1" thickBot="1">
      <c r="A709" s="140"/>
      <c r="B709" s="140"/>
      <c r="D709" s="174" t="s">
        <v>241</v>
      </c>
      <c r="E709" s="416" t="str">
        <f ca="1">_xlfn.IFNA(VLOOKUP(F705,BEGIN_CURRENT_DENTAL:END_CURRENT_DENTAL,CURRENT_COL_FAM_count,FALSE),"")</f>
        <v/>
      </c>
      <c r="F709" s="417" t="str">
        <f ca="1">_xlfn.IFNA(VLOOKUP(F705,BEGIN_CURRENT_DENTAL:END_CURRENT_DENTAL,CURRENT_COL_FAM,FALSE),"")</f>
        <v/>
      </c>
      <c r="G709" s="469" t="str">
        <f t="shared" ca="1" si="82"/>
        <v/>
      </c>
      <c r="H709" s="417" t="str">
        <f ca="1">_xlfn.IFNA(VLOOKUP(F705,BEGIN_CURRENT_DENTAL:END_CURRENT_DENTAL,CURRENT_COL_FAMContrib,FALSE),"")</f>
        <v/>
      </c>
      <c r="I709" s="418" t="str">
        <f t="shared" ca="1" si="83"/>
        <v/>
      </c>
      <c r="J709" s="419" t="str">
        <f ca="1">IF(F709="","",H709*E709)</f>
        <v/>
      </c>
      <c r="K709" s="411"/>
      <c r="L709" s="417" t="str" cm="1">
        <f t="array" ca="1" aca="1" ref="L709">_xlfn.IFNA(VLOOKUP(INDIRECT("L"&amp;ROW()-4)&amp;"_"&amp;$D$12,BEGIN_Renew_Dental:END_RENEW_DENTAL,RENEW_COL_FAM,FALSE),"")</f>
        <v/>
      </c>
      <c r="M709" s="423" t="str">
        <f ca="1">IF(E709="","",E709)</f>
        <v/>
      </c>
      <c r="N709" s="420"/>
      <c r="O709" s="421"/>
      <c r="P709" s="422" t="str">
        <f>IFERROR(IF($N705="Keep Contribution Same",H709,IF($N705="Enter Percentages",IF(N709="","",N709*L709),IF($N705="Keep Percentage Same",IF(G709="","",G709*L709),IF($N705="Enter Dollar Amount",IF(O709="","",O709),"")))),"")</f>
        <v/>
      </c>
      <c r="Q709" s="417" t="str">
        <f ca="1">IFERROR(L709-P709,"")</f>
        <v/>
      </c>
      <c r="R709" s="419" t="str">
        <f>IFERROR(IF(P709="","",M709*P709),"")</f>
        <v/>
      </c>
      <c r="S709" s="411"/>
      <c r="T709" s="417" t="str" cm="1">
        <f t="array" ca="1" aca="1" ref="T709">_xlfn.IFNA(VLOOKUP(INDIRECT("T"&amp;ROW()-4)&amp;"_"&amp;$D$12,BEGIN_Renew_Dental:END_RENEW_DENTAL,RENEW_COL_FAM,FALSE),"")</f>
        <v/>
      </c>
      <c r="U709" s="423" t="str">
        <f t="shared" ca="1" si="84"/>
        <v/>
      </c>
      <c r="V709" s="420"/>
      <c r="W709" s="421"/>
      <c r="X709" s="422" t="str">
        <f>IFERROR(IF($V705="Keep Contribution Same",H709,IF($V705="Enter Percentages",IF(V709="","",V709*T709),IF($V705="Keep Percentage Same",IF(G709="","",G709*T709),IF($V705="Enter Dollar Amount",IF(W709="","",W709),"")))),"")</f>
        <v/>
      </c>
      <c r="Y709" s="417" t="str">
        <f t="shared" ca="1" si="85"/>
        <v/>
      </c>
      <c r="Z709" s="419" t="str">
        <f t="shared" si="86"/>
        <v/>
      </c>
    </row>
    <row r="710" spans="1:26" ht="18.75" customHeight="1" thickTop="1">
      <c r="A710" s="140"/>
      <c r="B710" s="140"/>
      <c r="D710" s="175" t="s">
        <v>242</v>
      </c>
      <c r="E710" s="424"/>
      <c r="F710" s="427"/>
      <c r="G710" s="426"/>
      <c r="H710" s="427"/>
      <c r="I710" s="428"/>
      <c r="J710" s="429" t="str">
        <f ca="1">IFERROR(IF(J706="","",SUM(J706:J709)),0)</f>
        <v/>
      </c>
      <c r="K710" s="1"/>
      <c r="L710" s="424"/>
      <c r="M710" s="427"/>
      <c r="N710" s="426"/>
      <c r="O710" s="427"/>
      <c r="P710" s="431"/>
      <c r="Q710" s="432"/>
      <c r="R710" s="429" t="str">
        <f>IFERROR(IF(R706="","",SUM(R706:R709)),0)</f>
        <v/>
      </c>
      <c r="T710" s="424"/>
      <c r="U710" s="427"/>
      <c r="V710" s="426"/>
      <c r="W710" s="427"/>
      <c r="X710" s="431"/>
      <c r="Y710" s="432"/>
      <c r="Z710" s="429" t="str">
        <f>IFERROR(IF(Z706="","",SUM(Z706:Z709)),0)</f>
        <v/>
      </c>
    </row>
    <row r="711" spans="1:26" ht="18.75" customHeight="1">
      <c r="A711" s="140"/>
      <c r="B711" s="140"/>
      <c r="D711" s="177" t="s">
        <v>243</v>
      </c>
      <c r="E711" s="433"/>
      <c r="F711" s="436"/>
      <c r="G711" s="435"/>
      <c r="H711" s="436"/>
      <c r="I711" s="432"/>
      <c r="J711" s="437" t="str">
        <f ca="1">IF(J710="","",J710*12)</f>
        <v/>
      </c>
      <c r="K711" s="1"/>
      <c r="L711" s="433"/>
      <c r="M711" s="436"/>
      <c r="N711" s="435"/>
      <c r="O711" s="436"/>
      <c r="P711" s="432"/>
      <c r="Q711" s="432"/>
      <c r="R711" s="437" t="str">
        <f>IF(R710="","",R710*12)</f>
        <v/>
      </c>
      <c r="T711" s="433"/>
      <c r="U711" s="436"/>
      <c r="V711" s="435"/>
      <c r="W711" s="436"/>
      <c r="X711" s="432"/>
      <c r="Y711" s="432"/>
      <c r="Z711" s="437" t="str">
        <f>IF(Z710="","",Z710*12)</f>
        <v/>
      </c>
    </row>
    <row r="712" spans="1:26" ht="18" customHeight="1">
      <c r="A712" s="140"/>
      <c r="B712" s="140"/>
      <c r="D712" s="177" t="s">
        <v>244</v>
      </c>
      <c r="E712" s="433"/>
      <c r="F712" s="436"/>
      <c r="G712" s="435"/>
      <c r="H712" s="436"/>
      <c r="I712" s="432"/>
      <c r="J712" s="437"/>
      <c r="K712" s="1"/>
      <c r="L712" s="433"/>
      <c r="M712" s="436"/>
      <c r="N712" s="435"/>
      <c r="O712" s="436"/>
      <c r="P712" s="432"/>
      <c r="Q712" s="432"/>
      <c r="R712" s="437" t="str">
        <f ca="1">IFERROR(IF(J711="","",R711-J711),0)</f>
        <v/>
      </c>
      <c r="T712" s="433"/>
      <c r="U712" s="436"/>
      <c r="V712" s="435"/>
      <c r="W712" s="436"/>
      <c r="X712" s="432"/>
      <c r="Y712" s="432"/>
      <c r="Z712" s="437" t="str">
        <f>IFERROR(IF(R711="","",Z711-R711),0)</f>
        <v/>
      </c>
    </row>
    <row r="713" spans="1:26" ht="18" customHeight="1" thickBot="1">
      <c r="A713" s="140"/>
      <c r="B713" s="140"/>
      <c r="D713" s="180" t="s">
        <v>245</v>
      </c>
      <c r="E713" s="439"/>
      <c r="F713" s="440"/>
      <c r="G713" s="441"/>
      <c r="H713" s="440"/>
      <c r="I713" s="442"/>
      <c r="J713" s="437"/>
      <c r="K713" s="1"/>
      <c r="L713" s="439"/>
      <c r="M713" s="440"/>
      <c r="N713" s="441"/>
      <c r="O713" s="440"/>
      <c r="P713" s="445"/>
      <c r="Q713" s="445"/>
      <c r="R713" s="446" t="str">
        <f ca="1">IFERROR(IF(J711="","",(R711/J711)-1),0)</f>
        <v/>
      </c>
      <c r="T713" s="439"/>
      <c r="U713" s="440"/>
      <c r="V713" s="441"/>
      <c r="W713" s="440"/>
      <c r="X713" s="445"/>
      <c r="Y713" s="445"/>
      <c r="Z713" s="446" t="str">
        <f>IFERROR(IF(R711="","",(Z711/R711)-1),0)</f>
        <v/>
      </c>
    </row>
    <row r="714" spans="1:26" ht="5.25" customHeight="1" thickBot="1">
      <c r="A714" s="140"/>
      <c r="B714" s="140"/>
      <c r="D714" s="229"/>
      <c r="E714" s="229"/>
      <c r="F714" s="230"/>
      <c r="G714" s="231"/>
      <c r="H714" s="232"/>
      <c r="I714" s="233"/>
      <c r="J714" s="233"/>
      <c r="K714"/>
      <c r="L714" s="233"/>
      <c r="M714" s="233"/>
      <c r="N714" s="233"/>
      <c r="O714" s="233"/>
      <c r="P714" s="233"/>
      <c r="Q714" s="233"/>
      <c r="R714" s="233"/>
      <c r="T714" s="233"/>
      <c r="U714" s="233"/>
      <c r="V714" s="233"/>
      <c r="W714" s="233"/>
      <c r="X714" s="233"/>
      <c r="Y714" s="233"/>
      <c r="Z714" s="233"/>
    </row>
    <row r="715" spans="1:26" ht="50.15" customHeight="1">
      <c r="A715" s="140"/>
      <c r="B715" s="140"/>
      <c r="C715" s="164" t="s">
        <v>294</v>
      </c>
      <c r="D715" s="275" t="s">
        <v>285</v>
      </c>
      <c r="E715" s="165"/>
      <c r="F715" s="272"/>
      <c r="G715" s="166"/>
      <c r="H715" s="167"/>
      <c r="I715" s="168"/>
      <c r="J715" s="169"/>
      <c r="K715"/>
      <c r="L715" s="274" t="s">
        <v>38</v>
      </c>
      <c r="M715" s="170"/>
      <c r="N715" s="274" t="s">
        <v>237</v>
      </c>
      <c r="O715" s="171"/>
      <c r="P715" s="171"/>
      <c r="Q715" s="171"/>
      <c r="R715" s="169"/>
      <c r="T715" s="274" t="s">
        <v>38</v>
      </c>
      <c r="U715" s="170"/>
      <c r="V715" s="274" t="s">
        <v>237</v>
      </c>
      <c r="W715" s="171"/>
      <c r="X715" s="171"/>
      <c r="Y715" s="171"/>
      <c r="Z715" s="169"/>
    </row>
    <row r="716" spans="1:26" ht="18.75" customHeight="1">
      <c r="A716" s="140"/>
      <c r="B716" s="140"/>
      <c r="D716" s="172" t="s">
        <v>238</v>
      </c>
      <c r="E716" s="407"/>
      <c r="F716" s="449"/>
      <c r="G716" s="470"/>
      <c r="H716" s="449"/>
      <c r="I716" s="450"/>
      <c r="J716" s="410"/>
      <c r="K716" s="411"/>
      <c r="L716" s="408" t="str" cm="1">
        <f t="array" ca="1" aca="1" ref="L716">_xlfn.IFNA(VLOOKUP(INDIRECT("L"&amp;ROW()-1)&amp;"_"&amp;$D$12,BEGIN_Renew_Dental:END_RENEW_DENTAL,RENEW_COL_EO,FALSE),"")</f>
        <v/>
      </c>
      <c r="M716" s="412" t="str">
        <f>IF(E716="","",E716)</f>
        <v/>
      </c>
      <c r="N716" s="413"/>
      <c r="O716" s="414"/>
      <c r="P716" s="415" t="str">
        <f>IFERROR(IF($N715="Keep Contribution Same",H716,IF($N715="Enter Percentages",IF(N716="","",N716*L716),IF($N715="Keep Percentage Same",IF(G716="","",G716*L716),IF($N715="Enter Dollar Amount",IF(O716="","",O716),"")))),"")</f>
        <v/>
      </c>
      <c r="Q716" s="408" t="str">
        <f>IFERROR(R716-P716,"")</f>
        <v/>
      </c>
      <c r="R716" s="410" t="str">
        <f>IFERROR(IF(P716="","",M716*P716),"")</f>
        <v/>
      </c>
      <c r="S716" s="411"/>
      <c r="T716" s="408" t="str" cm="1">
        <f t="array" ca="1" aca="1" ref="T716">_xlfn.IFNA(VLOOKUP(INDIRECT("T"&amp;ROW()-1)&amp;"_"&amp;$D$12,BEGIN_Renew_Dental:END_RENEW_DENTAL,RENEW_COL_EO,FALSE),"")</f>
        <v/>
      </c>
      <c r="U716" s="412" t="str">
        <f>IF(E716="","",E716)</f>
        <v/>
      </c>
      <c r="V716" s="413"/>
      <c r="W716" s="414"/>
      <c r="X716" s="415" t="str">
        <f>IFERROR(IF($V715="Keep Contribution Same",H716,IF($V715="Enter Percentages",IF(V716="","",V716*T716),IF($V715="Keep Percentage Same",IF(G716="","",G716*T716),IF($V715="Enter Dollar Amount",IF(W716="","",W716),"")))),"")</f>
        <v/>
      </c>
      <c r="Y716" s="408" t="str">
        <f ca="1">IFERROR(T716-X716,"")</f>
        <v/>
      </c>
      <c r="Z716" s="410" t="str">
        <f>IFERROR(IF(X716="","",U716*X716),"")</f>
        <v/>
      </c>
    </row>
    <row r="717" spans="1:26" ht="18.75" customHeight="1">
      <c r="A717" s="140"/>
      <c r="B717" s="140"/>
      <c r="D717" s="172" t="s">
        <v>239</v>
      </c>
      <c r="E717" s="407"/>
      <c r="F717" s="449"/>
      <c r="G717" s="470"/>
      <c r="H717" s="449"/>
      <c r="I717" s="450"/>
      <c r="J717" s="410"/>
      <c r="K717" s="411"/>
      <c r="L717" s="408" t="str" cm="1">
        <f t="array" ca="1" aca="1" ref="L717">_xlfn.IFNA(VLOOKUP(INDIRECT("L"&amp;ROW()-2)&amp;"_"&amp;$D$12,BEGIN_Renew_Dental:END_RENEW_DENTAL,RENEW_COL_ES,FALSE),"")</f>
        <v/>
      </c>
      <c r="M717" s="412" t="str">
        <f>IF(E717="","",E717)</f>
        <v/>
      </c>
      <c r="N717" s="413"/>
      <c r="O717" s="414"/>
      <c r="P717" s="415" t="str">
        <f>IFERROR(IF($N715="Keep Contribution Same",H717,IF($N715="Enter Percentages",IF(N717="","",N717*L717),IF($N715="Keep Percentage Same",IF(G717="","",G717*L717),IF($N715="Enter Dollar Amount",IF(O717="","",O717),"")))),"")</f>
        <v/>
      </c>
      <c r="Q717" s="408" t="str">
        <f t="shared" si="87" ref="Q717">IFERROR(R717-P717,"")</f>
        <v/>
      </c>
      <c r="R717" s="410" t="str">
        <f>IFERROR(IF(P717="","",M717*P717),"")</f>
        <v/>
      </c>
      <c r="S717" s="411"/>
      <c r="T717" s="408" t="str" cm="1">
        <f t="array" ca="1" aca="1" ref="T717">_xlfn.IFNA(VLOOKUP(INDIRECT("T"&amp;ROW()-2)&amp;"_"&amp;$D$12,BEGIN_Renew_Dental:END_RENEW_DENTAL,RENEW_COL_ES,FALSE),"")</f>
        <v/>
      </c>
      <c r="U717" s="412" t="str">
        <f t="shared" si="88" ref="U717:U719">IF(E717="","",E717)</f>
        <v/>
      </c>
      <c r="V717" s="413"/>
      <c r="W717" s="414"/>
      <c r="X717" s="415" t="str">
        <f>IFERROR(IF($V715="Keep Contribution Same",H717,IF($V715="Enter Percentages",IF(V717="","",V717*T717),IF($V715="Keep Percentage Same",IF(G717="","",G717*T717),IF($V715="Enter Dollar Amount",IF(W717="","",W717),"")))),"")</f>
        <v/>
      </c>
      <c r="Y717" s="408" t="str">
        <f ca="1" t="shared" si="89" ref="Y717:Y719">IFERROR(T717-X717,"")</f>
        <v/>
      </c>
      <c r="Z717" s="410" t="str">
        <f t="shared" si="90" ref="Z717:Z719">IFERROR(IF(X717="","",U717*X717),"")</f>
        <v/>
      </c>
    </row>
    <row r="718" spans="1:26" ht="18.75" customHeight="1">
      <c r="A718" s="140"/>
      <c r="B718" s="140"/>
      <c r="D718" s="172" t="s">
        <v>240</v>
      </c>
      <c r="E718" s="407"/>
      <c r="F718" s="449"/>
      <c r="G718" s="470"/>
      <c r="H718" s="449"/>
      <c r="I718" s="450"/>
      <c r="J718" s="410"/>
      <c r="K718" s="411"/>
      <c r="L718" s="408" t="str" cm="1">
        <f t="array" ca="1" aca="1" ref="L718">_xlfn.IFNA(VLOOKUP(INDIRECT("L"&amp;ROW()-3)&amp;"_"&amp;$D$12,BEGIN_Renew_Dental:END_RENEW_DENTAL,RENEW_COL_EC,FALSE),"")</f>
        <v/>
      </c>
      <c r="M718" s="412" t="str">
        <f>IF(E718="","",E718)</f>
        <v/>
      </c>
      <c r="N718" s="413"/>
      <c r="O718" s="414"/>
      <c r="P718" s="415" t="str">
        <f>IFERROR(IF($N715="Keep Contribution Same",H718,IF($N715="Enter Percentages",IF(N718="","",N718*L718),IF($N715="Keep Percentage Same",IF(G718="","",G718*L718),IF($N715="Enter Dollar Amount",IF(O718="","",O718),"")))),"")</f>
        <v/>
      </c>
      <c r="Q718" s="408" t="str">
        <f>IFERROR(R718-P718,"")</f>
        <v/>
      </c>
      <c r="R718" s="410" t="str">
        <f>IFERROR(IF(P718="","",M718*P718),"")</f>
        <v/>
      </c>
      <c r="S718" s="411"/>
      <c r="T718" s="408" t="str" cm="1">
        <f t="array" ca="1" aca="1" ref="T718">_xlfn.IFNA(VLOOKUP(INDIRECT("T"&amp;ROW()-3)&amp;"_"&amp;$D$12,BEGIN_Renew_Dental:END_RENEW_DENTAL,RENEW_COL_EC,FALSE),"")</f>
        <v/>
      </c>
      <c r="U718" s="412" t="str">
        <f t="shared" si="88"/>
        <v/>
      </c>
      <c r="V718" s="413"/>
      <c r="W718" s="414"/>
      <c r="X718" s="415" t="str">
        <f>IFERROR(IF($V715="Keep Contribution Same",H718,IF($V715="Enter Percentages",IF(V718="","",V718*T718),IF($V715="Keep Percentage Same",IF(G718="","",G718*T718),IF($V715="Enter Dollar Amount",IF(W718="","",W718),"")))),"")</f>
        <v/>
      </c>
      <c r="Y718" s="408" t="str">
        <f t="shared" ca="1" si="89"/>
        <v/>
      </c>
      <c r="Z718" s="410" t="str">
        <f t="shared" si="90"/>
        <v/>
      </c>
    </row>
    <row r="719" spans="1:26" ht="18.75" customHeight="1" thickBot="1">
      <c r="A719" s="140"/>
      <c r="B719" s="140"/>
      <c r="D719" s="174" t="s">
        <v>241</v>
      </c>
      <c r="E719" s="416"/>
      <c r="F719" s="451"/>
      <c r="G719" s="471"/>
      <c r="H719" s="451"/>
      <c r="I719" s="452"/>
      <c r="J719" s="419"/>
      <c r="K719" s="411"/>
      <c r="L719" s="417" t="str" cm="1">
        <f t="array" ca="1" aca="1" ref="L719">_xlfn.IFNA(VLOOKUP(INDIRECT("L"&amp;ROW()-4)&amp;"_"&amp;$D$12,BEGIN_Renew_Dental:END_RENEW_DENTAL,RENEW_COL_FAM,FALSE),"")</f>
        <v/>
      </c>
      <c r="M719" s="423" t="str">
        <f>IF(E719="","",E719)</f>
        <v/>
      </c>
      <c r="N719" s="420"/>
      <c r="O719" s="421"/>
      <c r="P719" s="422" t="str">
        <f>IFERROR(IF($N715="Keep Contribution Same",H719,IF($N715="Enter Percentages",IF(N719="","",N719*L719),IF($N715="Keep Percentage Same",IF(G719="","",G719*L719),IF($N715="Enter Dollar Amount",IF(O719="","",O719),"")))),"")</f>
        <v/>
      </c>
      <c r="Q719" s="417" t="str">
        <f>IFERROR(R719-P719,"")</f>
        <v/>
      </c>
      <c r="R719" s="419" t="str">
        <f>IFERROR(IF(P719="","",M719*P719),"")</f>
        <v/>
      </c>
      <c r="S719" s="411"/>
      <c r="T719" s="417" t="str" cm="1">
        <f t="array" ca="1" aca="1" ref="T719">_xlfn.IFNA(VLOOKUP(INDIRECT("T"&amp;ROW()-4)&amp;"_"&amp;$D$12,BEGIN_Renew_Dental:END_RENEW_DENTAL,RENEW_COL_FAM,FALSE),"")</f>
        <v/>
      </c>
      <c r="U719" s="423" t="str">
        <f t="shared" si="88"/>
        <v/>
      </c>
      <c r="V719" s="420"/>
      <c r="W719" s="421"/>
      <c r="X719" s="422" t="str">
        <f>IFERROR(IF($V715="Keep Contribution Same",H719,IF($V715="Enter Percentages",IF(V719="","",V719*T719),IF($V715="Keep Percentage Same",IF(G719="","",G719*T719),IF($V715="Enter Dollar Amount",IF(W719="","",W719),"")))),"")</f>
        <v/>
      </c>
      <c r="Y719" s="417" t="str">
        <f t="shared" ca="1" si="89"/>
        <v/>
      </c>
      <c r="Z719" s="419" t="str">
        <f t="shared" si="90"/>
        <v/>
      </c>
    </row>
    <row r="720" spans="1:26" ht="18.75" customHeight="1" thickTop="1">
      <c r="A720" s="140"/>
      <c r="B720" s="140"/>
      <c r="D720" s="175" t="s">
        <v>329</v>
      </c>
      <c r="E720" s="424"/>
      <c r="F720" s="427"/>
      <c r="G720" s="426"/>
      <c r="H720" s="427"/>
      <c r="I720" s="428"/>
      <c r="J720" s="429" t="str">
        <f>IFERROR(IF(J716="","",SUM(J716:J719)),0)</f>
        <v/>
      </c>
      <c r="K720" s="1"/>
      <c r="L720" s="424"/>
      <c r="M720" s="427"/>
      <c r="N720" s="426"/>
      <c r="O720" s="427"/>
      <c r="P720" s="431"/>
      <c r="Q720" s="432"/>
      <c r="R720" s="429" t="str">
        <f>IFERROR(IF(R716="","",SUM(R716:R719)),0)</f>
        <v/>
      </c>
      <c r="T720" s="424"/>
      <c r="U720" s="427"/>
      <c r="V720" s="426"/>
      <c r="W720" s="427"/>
      <c r="X720" s="431"/>
      <c r="Y720" s="432"/>
      <c r="Z720" s="429" t="str">
        <f>IFERROR(IF(Z716="","",SUM(Z716:Z719)),0)</f>
        <v/>
      </c>
    </row>
    <row r="721" spans="1:26" ht="18.75" customHeight="1">
      <c r="A721" s="140"/>
      <c r="B721" s="140"/>
      <c r="D721" s="177" t="s">
        <v>243</v>
      </c>
      <c r="E721" s="433"/>
      <c r="F721" s="436"/>
      <c r="G721" s="435"/>
      <c r="H721" s="436"/>
      <c r="I721" s="432"/>
      <c r="J721" s="437" t="str">
        <f>IF(J720="","",J720*12)</f>
        <v/>
      </c>
      <c r="K721" s="1"/>
      <c r="L721" s="433"/>
      <c r="M721" s="436"/>
      <c r="N721" s="435"/>
      <c r="O721" s="436"/>
      <c r="P721" s="432"/>
      <c r="Q721" s="432"/>
      <c r="R721" s="437" t="str">
        <f>IF(R720="","",R720*12)</f>
        <v/>
      </c>
      <c r="T721" s="433"/>
      <c r="U721" s="436"/>
      <c r="V721" s="435"/>
      <c r="W721" s="436"/>
      <c r="X721" s="432"/>
      <c r="Y721" s="432"/>
      <c r="Z721" s="437" t="str">
        <f>IF(Z720="","",Z720*12)</f>
        <v/>
      </c>
    </row>
    <row r="722" spans="1:26" ht="18" customHeight="1">
      <c r="A722" s="140"/>
      <c r="B722" s="140"/>
      <c r="D722" s="177" t="s">
        <v>244</v>
      </c>
      <c r="E722" s="433"/>
      <c r="F722" s="436"/>
      <c r="G722" s="435"/>
      <c r="H722" s="436"/>
      <c r="I722" s="432"/>
      <c r="J722" s="437" t="str">
        <f>IFERROR(IF(J721="","",R721-J721),0)</f>
        <v/>
      </c>
      <c r="K722" s="1"/>
      <c r="L722" s="433"/>
      <c r="M722" s="436"/>
      <c r="N722" s="435"/>
      <c r="O722" s="436"/>
      <c r="P722" s="432"/>
      <c r="Q722" s="432"/>
      <c r="R722" s="437" t="str">
        <f>IFERROR(IF(J721="","",R721-J721),0)</f>
        <v/>
      </c>
      <c r="T722" s="433"/>
      <c r="U722" s="436"/>
      <c r="V722" s="435"/>
      <c r="W722" s="436"/>
      <c r="X722" s="432"/>
      <c r="Y722" s="432"/>
      <c r="Z722" s="437" t="str">
        <f>IFERROR(IF(R721="","",Z721-R721),0)</f>
        <v/>
      </c>
    </row>
    <row r="723" spans="1:26" ht="18" customHeight="1" thickBot="1">
      <c r="A723" s="140"/>
      <c r="B723" s="140"/>
      <c r="D723" s="180" t="s">
        <v>245</v>
      </c>
      <c r="E723" s="439"/>
      <c r="F723" s="440"/>
      <c r="G723" s="441"/>
      <c r="H723" s="440"/>
      <c r="I723" s="442"/>
      <c r="J723" s="437" t="str">
        <f>IFERROR(IF(J721="","",(R721/J721)-1),0)</f>
        <v/>
      </c>
      <c r="K723" s="1"/>
      <c r="L723" s="439"/>
      <c r="M723" s="440"/>
      <c r="N723" s="441"/>
      <c r="O723" s="440"/>
      <c r="P723" s="445"/>
      <c r="Q723" s="445"/>
      <c r="R723" s="446" t="str">
        <f>IFERROR(IF(J721="","",(R721/J721)-1),0)</f>
        <v/>
      </c>
      <c r="T723" s="439"/>
      <c r="U723" s="440"/>
      <c r="V723" s="441"/>
      <c r="W723" s="440"/>
      <c r="X723" s="445"/>
      <c r="Y723" s="445"/>
      <c r="Z723" s="446" t="str">
        <f>IFERROR(IF(R721="","",(Z721/R721)-1),0)</f>
        <v/>
      </c>
    </row>
    <row r="724" spans="1:26" ht="5.25" customHeight="1" thickBot="1">
      <c r="A724" s="140"/>
      <c r="B724" s="140"/>
      <c r="D724" s="229"/>
      <c r="E724" s="229"/>
      <c r="F724" s="230"/>
      <c r="G724" s="231"/>
      <c r="H724" s="232"/>
      <c r="I724" s="233"/>
      <c r="J724" s="233"/>
      <c r="K724"/>
      <c r="L724" s="233"/>
      <c r="M724" s="233"/>
      <c r="N724" s="233"/>
      <c r="O724" s="233"/>
      <c r="P724" s="233"/>
      <c r="Q724" s="233"/>
      <c r="R724" s="233"/>
      <c r="T724" s="233"/>
      <c r="U724" s="233"/>
      <c r="V724" s="233"/>
      <c r="W724" s="233"/>
      <c r="X724" s="233"/>
      <c r="Y724" s="233"/>
      <c r="Z724" s="233"/>
    </row>
    <row r="725" spans="1:26" ht="50.15" customHeight="1">
      <c r="A725" s="140"/>
      <c r="B725" s="140"/>
      <c r="C725" s="164" t="s">
        <v>295</v>
      </c>
      <c r="D725" s="275" t="s">
        <v>285</v>
      </c>
      <c r="E725" s="165"/>
      <c r="F725" s="272"/>
      <c r="G725" s="166"/>
      <c r="H725" s="167"/>
      <c r="I725" s="168"/>
      <c r="J725" s="169"/>
      <c r="K725"/>
      <c r="L725" s="274" t="s">
        <v>38</v>
      </c>
      <c r="M725" s="170"/>
      <c r="N725" s="274" t="s">
        <v>237</v>
      </c>
      <c r="O725" s="171"/>
      <c r="P725" s="171"/>
      <c r="Q725" s="171"/>
      <c r="R725" s="169"/>
      <c r="T725" s="274" t="s">
        <v>38</v>
      </c>
      <c r="U725" s="170"/>
      <c r="V725" s="274" t="s">
        <v>237</v>
      </c>
      <c r="W725" s="171"/>
      <c r="X725" s="171"/>
      <c r="Y725" s="171"/>
      <c r="Z725" s="169"/>
    </row>
    <row r="726" spans="1:26" ht="18.75" customHeight="1">
      <c r="A726" s="140"/>
      <c r="B726" s="140"/>
      <c r="D726" s="172" t="s">
        <v>238</v>
      </c>
      <c r="E726" s="407"/>
      <c r="F726" s="449"/>
      <c r="G726" s="470"/>
      <c r="H726" s="449"/>
      <c r="I726" s="450"/>
      <c r="J726" s="410"/>
      <c r="K726" s="411"/>
      <c r="L726" s="408" t="str" cm="1">
        <f t="array" ca="1" aca="1" ref="L726">_xlfn.IFNA(VLOOKUP(INDIRECT("L"&amp;ROW()-1)&amp;"_"&amp;$D$12,BEGIN_Renew_Dental:END_RENEW_DENTAL,RENEW_COL_EO,FALSE),"")</f>
        <v/>
      </c>
      <c r="M726" s="412" t="str">
        <f>IF(E726="","",E726)</f>
        <v/>
      </c>
      <c r="N726" s="413"/>
      <c r="O726" s="414"/>
      <c r="P726" s="415" t="str">
        <f>IFERROR(IF($N725="Keep Contribution Same",H726,IF($N725="Enter Percentages",IF(N726="","",N726*L726),IF($N725="Keep Percentage Same",IF(G726="","",G726*L726),IF($N725="Enter Dollar Amount",IF(O726="","",O726),"")))),"")</f>
        <v/>
      </c>
      <c r="Q726" s="408" t="str">
        <f>IFERROR(R726-P726,"")</f>
        <v/>
      </c>
      <c r="R726" s="410" t="str">
        <f>IFERROR(IF(P726="","",M726*P726),"")</f>
        <v/>
      </c>
      <c r="S726" s="411"/>
      <c r="T726" s="408" t="str" cm="1">
        <f t="array" ca="1" aca="1" ref="T726">_xlfn.IFNA(VLOOKUP(INDIRECT("T"&amp;ROW()-1)&amp;"_"&amp;$D$12,BEGIN_Renew_Dental:END_RENEW_DENTAL,RENEW_COL_EO,FALSE),"")</f>
        <v/>
      </c>
      <c r="U726" s="412" t="str">
        <f>IF(E726="","",E726)</f>
        <v/>
      </c>
      <c r="V726" s="413"/>
      <c r="W726" s="414"/>
      <c r="X726" s="415" t="str">
        <f>IFERROR(IF($V725="Keep Contribution Same",H726,IF($V725="Enter Percentages",IF(V726="","",V726*T726),IF($V725="Keep Percentage Same",IF(G726="","",G726*T726),IF($V725="Enter Dollar Amount",IF(W726="","",W726),"")))),"")</f>
        <v/>
      </c>
      <c r="Y726" s="408" t="str">
        <f ca="1">IFERROR(T726-X726,"")</f>
        <v/>
      </c>
      <c r="Z726" s="410" t="str">
        <f>IFERROR(IF(X726="","",U726*X726),"")</f>
        <v/>
      </c>
    </row>
    <row r="727" spans="1:26" ht="18.75" customHeight="1">
      <c r="A727" s="140"/>
      <c r="B727" s="140"/>
      <c r="D727" s="172" t="s">
        <v>239</v>
      </c>
      <c r="E727" s="407"/>
      <c r="F727" s="449"/>
      <c r="G727" s="470"/>
      <c r="H727" s="449"/>
      <c r="I727" s="450"/>
      <c r="J727" s="410"/>
      <c r="K727" s="411"/>
      <c r="L727" s="408" t="str" cm="1">
        <f t="array" ca="1" aca="1" ref="L727">_xlfn.IFNA(VLOOKUP(INDIRECT("L"&amp;ROW()-2)&amp;"_"&amp;$D$12,BEGIN_Renew_Dental:END_RENEW_DENTAL,RENEW_COL_ES,FALSE),"")</f>
        <v/>
      </c>
      <c r="M727" s="412" t="str">
        <f>IF(E727="","",E727)</f>
        <v/>
      </c>
      <c r="N727" s="413"/>
      <c r="O727" s="414"/>
      <c r="P727" s="415" t="str">
        <f>IFERROR(IF($N725="Keep Contribution Same",H727,IF($N725="Enter Percentages",IF(N727="","",N727*L727),IF($N725="Keep Percentage Same",IF(G727="","",G727*L727),IF($N725="Enter Dollar Amount",IF(O727="","",O727),"")))),"")</f>
        <v/>
      </c>
      <c r="Q727" s="408" t="str">
        <f t="shared" si="91" ref="Q727">IFERROR(R727-P727,"")</f>
        <v/>
      </c>
      <c r="R727" s="410" t="str">
        <f>IFERROR(IF(P727="","",M727*P727),"")</f>
        <v/>
      </c>
      <c r="S727" s="411"/>
      <c r="T727" s="408" t="str" cm="1">
        <f t="array" ca="1" aca="1" ref="T727">_xlfn.IFNA(VLOOKUP(INDIRECT("T"&amp;ROW()-2)&amp;"_"&amp;$D$12,BEGIN_Renew_Dental:END_RENEW_DENTAL,RENEW_COL_ES,FALSE),"")</f>
        <v/>
      </c>
      <c r="U727" s="412" t="str">
        <f t="shared" si="92" ref="U727:U729">IF(E727="","",E727)</f>
        <v/>
      </c>
      <c r="V727" s="413"/>
      <c r="W727" s="414"/>
      <c r="X727" s="415" t="str">
        <f>IFERROR(IF($V725="Keep Contribution Same",H727,IF($V725="Enter Percentages",IF(V727="","",V727*T727),IF($V725="Keep Percentage Same",IF(G727="","",G727*T727),IF($V725="Enter Dollar Amount",IF(W727="","",W727),"")))),"")</f>
        <v/>
      </c>
      <c r="Y727" s="408" t="str">
        <f ca="1" t="shared" si="93" ref="Y727:Y729">IFERROR(T727-X727,"")</f>
        <v/>
      </c>
      <c r="Z727" s="410" t="str">
        <f t="shared" si="94" ref="Z727:Z729">IFERROR(IF(X727="","",U727*X727),"")</f>
        <v/>
      </c>
    </row>
    <row r="728" spans="1:26" ht="18.75" customHeight="1">
      <c r="A728" s="140"/>
      <c r="B728" s="140"/>
      <c r="D728" s="172" t="s">
        <v>240</v>
      </c>
      <c r="E728" s="407"/>
      <c r="F728" s="449"/>
      <c r="G728" s="470"/>
      <c r="H728" s="449"/>
      <c r="I728" s="450"/>
      <c r="J728" s="410"/>
      <c r="K728" s="411"/>
      <c r="L728" s="408" t="str" cm="1">
        <f t="array" ca="1" aca="1" ref="L728">_xlfn.IFNA(VLOOKUP(INDIRECT("L"&amp;ROW()-3)&amp;"_"&amp;$D$12,BEGIN_Renew_Dental:END_RENEW_DENTAL,RENEW_COL_EC,FALSE),"")</f>
        <v/>
      </c>
      <c r="M728" s="412" t="str">
        <f>IF(E728="","",E728)</f>
        <v/>
      </c>
      <c r="N728" s="413"/>
      <c r="O728" s="414"/>
      <c r="P728" s="415" t="str">
        <f>IFERROR(IF($N725="Keep Contribution Same",H728,IF($N725="Enter Percentages",IF(N728="","",N728*L728),IF($N725="Keep Percentage Same",IF(G728="","",G728*L728),IF($N725="Enter Dollar Amount",IF(O728="","",O728),"")))),"")</f>
        <v/>
      </c>
      <c r="Q728" s="408" t="str">
        <f>IFERROR(R728-P728,"")</f>
        <v/>
      </c>
      <c r="R728" s="410" t="str">
        <f>IFERROR(IF(P728="","",M728*P728),"")</f>
        <v/>
      </c>
      <c r="S728" s="411"/>
      <c r="T728" s="408" t="str" cm="1">
        <f t="array" ca="1" aca="1" ref="T728">_xlfn.IFNA(VLOOKUP(INDIRECT("T"&amp;ROW()-3)&amp;"_"&amp;$D$12,BEGIN_Renew_Dental:END_RENEW_DENTAL,RENEW_COL_EC,FALSE),"")</f>
        <v/>
      </c>
      <c r="U728" s="412" t="str">
        <f t="shared" si="92"/>
        <v/>
      </c>
      <c r="V728" s="413"/>
      <c r="W728" s="414"/>
      <c r="X728" s="415" t="str">
        <f>IFERROR(IF($V725="Keep Contribution Same",H728,IF($V725="Enter Percentages",IF(V728="","",V728*T728),IF($V725="Keep Percentage Same",IF(G728="","",G728*T728),IF($V725="Enter Dollar Amount",IF(W728="","",W728),"")))),"")</f>
        <v/>
      </c>
      <c r="Y728" s="408" t="str">
        <f t="shared" ca="1" si="93"/>
        <v/>
      </c>
      <c r="Z728" s="410" t="str">
        <f t="shared" si="94"/>
        <v/>
      </c>
    </row>
    <row r="729" spans="1:26" ht="18.75" customHeight="1" thickBot="1">
      <c r="A729" s="140"/>
      <c r="B729" s="140"/>
      <c r="D729" s="174" t="s">
        <v>241</v>
      </c>
      <c r="E729" s="416"/>
      <c r="F729" s="451"/>
      <c r="G729" s="471"/>
      <c r="H729" s="451"/>
      <c r="I729" s="452"/>
      <c r="J729" s="419"/>
      <c r="K729" s="411"/>
      <c r="L729" s="417" t="str" cm="1">
        <f t="array" ca="1" aca="1" ref="L729">_xlfn.IFNA(VLOOKUP(INDIRECT("L"&amp;ROW()-4)&amp;"_"&amp;$D$12,BEGIN_Renew_Dental:END_RENEW_DENTAL,RENEW_COL_FAM,FALSE),"")</f>
        <v/>
      </c>
      <c r="M729" s="423" t="str">
        <f>IF(E729="","",E729)</f>
        <v/>
      </c>
      <c r="N729" s="420"/>
      <c r="O729" s="421"/>
      <c r="P729" s="422" t="str">
        <f>IFERROR(IF($N725="Keep Contribution Same",H729,IF($N725="Enter Percentages",IF(N729="","",N729*L729),IF($N725="Keep Percentage Same",IF(G729="","",G729*L729),IF($N725="Enter Dollar Amount",IF(O729="","",O729),"")))),"")</f>
        <v/>
      </c>
      <c r="Q729" s="417" t="str">
        <f>IFERROR(R729-P729,"")</f>
        <v/>
      </c>
      <c r="R729" s="419" t="str">
        <f>IFERROR(IF(P729="","",M729*P729),"")</f>
        <v/>
      </c>
      <c r="S729" s="411"/>
      <c r="T729" s="417" t="str" cm="1">
        <f t="array" ca="1" aca="1" ref="T729">_xlfn.IFNA(VLOOKUP(INDIRECT("T"&amp;ROW()-4)&amp;"_"&amp;$D$12,BEGIN_Renew_Dental:END_RENEW_DENTAL,RENEW_COL_FAM,FALSE),"")</f>
        <v/>
      </c>
      <c r="U729" s="423" t="str">
        <f t="shared" si="92"/>
        <v/>
      </c>
      <c r="V729" s="420"/>
      <c r="W729" s="421"/>
      <c r="X729" s="422" t="str">
        <f>IFERROR(IF($V725="Keep Contribution Same",H729,IF($V725="Enter Percentages",IF(V729="","",V729*T729),IF($V725="Keep Percentage Same",IF(G729="","",G729*T729),IF($V725="Enter Dollar Amount",IF(W729="","",W729),"")))),"")</f>
        <v/>
      </c>
      <c r="Y729" s="417" t="str">
        <f t="shared" ca="1" si="93"/>
        <v/>
      </c>
      <c r="Z729" s="419" t="str">
        <f t="shared" si="94"/>
        <v/>
      </c>
    </row>
    <row r="730" spans="1:26" ht="18.75" customHeight="1" thickTop="1">
      <c r="A730" s="140"/>
      <c r="B730" s="140"/>
      <c r="D730" s="175" t="s">
        <v>329</v>
      </c>
      <c r="E730" s="424"/>
      <c r="F730" s="427"/>
      <c r="G730" s="426"/>
      <c r="H730" s="427"/>
      <c r="I730" s="428"/>
      <c r="J730" s="429" t="str">
        <f>IFERROR(IF(J726="","",SUM(J726:J729)),0)</f>
        <v/>
      </c>
      <c r="K730" s="1"/>
      <c r="L730" s="424"/>
      <c r="M730" s="427"/>
      <c r="N730" s="426"/>
      <c r="O730" s="427"/>
      <c r="P730" s="431"/>
      <c r="Q730" s="432"/>
      <c r="R730" s="429" t="str">
        <f>IFERROR(IF(R726="","",SUM(R726:R729)),0)</f>
        <v/>
      </c>
      <c r="T730" s="424"/>
      <c r="U730" s="427"/>
      <c r="V730" s="426"/>
      <c r="W730" s="427"/>
      <c r="X730" s="431"/>
      <c r="Y730" s="432"/>
      <c r="Z730" s="429" t="str">
        <f>IFERROR(IF(Z726="","",SUM(Z726:Z729)),0)</f>
        <v/>
      </c>
    </row>
    <row r="731" spans="1:26" ht="18.75" customHeight="1">
      <c r="A731" s="140"/>
      <c r="B731" s="140"/>
      <c r="D731" s="177" t="s">
        <v>243</v>
      </c>
      <c r="E731" s="433"/>
      <c r="F731" s="436"/>
      <c r="G731" s="435"/>
      <c r="H731" s="436"/>
      <c r="I731" s="432"/>
      <c r="J731" s="437" t="str">
        <f>IF(J730="","",J730*12)</f>
        <v/>
      </c>
      <c r="K731" s="1"/>
      <c r="L731" s="433"/>
      <c r="M731" s="436"/>
      <c r="N731" s="435"/>
      <c r="O731" s="436"/>
      <c r="P731" s="432"/>
      <c r="Q731" s="432"/>
      <c r="R731" s="437" t="str">
        <f>IF(R730="","",R730*12)</f>
        <v/>
      </c>
      <c r="T731" s="433"/>
      <c r="U731" s="436"/>
      <c r="V731" s="435"/>
      <c r="W731" s="436"/>
      <c r="X731" s="432"/>
      <c r="Y731" s="432"/>
      <c r="Z731" s="437" t="str">
        <f>IF(Z730="","",Z730*12)</f>
        <v/>
      </c>
    </row>
    <row r="732" spans="1:26" ht="18" customHeight="1">
      <c r="A732" s="140"/>
      <c r="B732" s="140"/>
      <c r="D732" s="177" t="s">
        <v>244</v>
      </c>
      <c r="E732" s="433"/>
      <c r="F732" s="436"/>
      <c r="G732" s="435"/>
      <c r="H732" s="436"/>
      <c r="I732" s="432"/>
      <c r="J732" s="437" t="str">
        <f>IFERROR(IF(J731="","",R731-J731),0)</f>
        <v/>
      </c>
      <c r="K732" s="1"/>
      <c r="L732" s="433"/>
      <c r="M732" s="436"/>
      <c r="N732" s="435"/>
      <c r="O732" s="436"/>
      <c r="P732" s="432"/>
      <c r="Q732" s="432"/>
      <c r="R732" s="437" t="str">
        <f>IFERROR(IF(J731="","",R731-J731),0)</f>
        <v/>
      </c>
      <c r="T732" s="433"/>
      <c r="U732" s="436"/>
      <c r="V732" s="435"/>
      <c r="W732" s="436"/>
      <c r="X732" s="432"/>
      <c r="Y732" s="432"/>
      <c r="Z732" s="437" t="str">
        <f>IFERROR(IF(R731="","",Z731-R731),0)</f>
        <v/>
      </c>
    </row>
    <row r="733" spans="1:26" ht="18" customHeight="1" thickBot="1">
      <c r="A733" s="140"/>
      <c r="B733" s="140"/>
      <c r="D733" s="180" t="s">
        <v>245</v>
      </c>
      <c r="E733" s="439"/>
      <c r="F733" s="440"/>
      <c r="G733" s="441"/>
      <c r="H733" s="440"/>
      <c r="I733" s="442"/>
      <c r="J733" s="437" t="str">
        <f>IFERROR(IF(J731="","",(R731/J731)-1),0)</f>
        <v/>
      </c>
      <c r="K733" s="1"/>
      <c r="L733" s="439"/>
      <c r="M733" s="440"/>
      <c r="N733" s="441"/>
      <c r="O733" s="440"/>
      <c r="P733" s="445"/>
      <c r="Q733" s="445"/>
      <c r="R733" s="446" t="str">
        <f>IFERROR(IF(J731="","",(R731/J731)-1),0)</f>
        <v/>
      </c>
      <c r="T733" s="439"/>
      <c r="U733" s="440"/>
      <c r="V733" s="441"/>
      <c r="W733" s="440"/>
      <c r="X733" s="445"/>
      <c r="Y733" s="445"/>
      <c r="Z733" s="446" t="str">
        <f>IFERROR(IF(R731="","",(Z731/R731)-1),0)</f>
        <v/>
      </c>
    </row>
    <row r="734" spans="1:26" ht="5.25" customHeight="1" thickBot="1">
      <c r="A734" s="140"/>
      <c r="B734" s="140"/>
      <c r="D734" s="229"/>
      <c r="E734" s="229"/>
      <c r="F734" s="230"/>
      <c r="G734" s="231"/>
      <c r="H734" s="232"/>
      <c r="I734" s="233"/>
      <c r="J734" s="233"/>
      <c r="K734"/>
      <c r="L734" s="233"/>
      <c r="M734" s="233"/>
      <c r="N734" s="233"/>
      <c r="O734" s="233"/>
      <c r="P734" s="233"/>
      <c r="Q734" s="233"/>
      <c r="R734" s="233"/>
      <c r="T734" s="233"/>
      <c r="U734" s="233"/>
      <c r="V734" s="233"/>
      <c r="W734" s="233"/>
      <c r="X734" s="233"/>
      <c r="Y734" s="233"/>
      <c r="Z734" s="233"/>
    </row>
    <row r="735" spans="1:26" ht="50.15" customHeight="1">
      <c r="A735" s="140"/>
      <c r="B735" s="140"/>
      <c r="C735" s="164" t="s">
        <v>296</v>
      </c>
      <c r="D735" s="275" t="s">
        <v>285</v>
      </c>
      <c r="E735" s="165"/>
      <c r="F735" s="272"/>
      <c r="G735" s="166"/>
      <c r="H735" s="167"/>
      <c r="I735" s="168"/>
      <c r="J735" s="169"/>
      <c r="K735"/>
      <c r="L735" s="274" t="s">
        <v>38</v>
      </c>
      <c r="M735" s="170"/>
      <c r="N735" s="274" t="s">
        <v>237</v>
      </c>
      <c r="O735" s="171"/>
      <c r="P735" s="171"/>
      <c r="Q735" s="171"/>
      <c r="R735" s="169"/>
      <c r="T735" s="274" t="s">
        <v>38</v>
      </c>
      <c r="U735" s="170"/>
      <c r="V735" s="274" t="s">
        <v>237</v>
      </c>
      <c r="W735" s="171"/>
      <c r="X735" s="171"/>
      <c r="Y735" s="171"/>
      <c r="Z735" s="169"/>
    </row>
    <row r="736" spans="1:26" ht="18.75" customHeight="1">
      <c r="A736" s="140"/>
      <c r="B736" s="140"/>
      <c r="D736" s="172" t="s">
        <v>238</v>
      </c>
      <c r="E736" s="407"/>
      <c r="F736" s="449"/>
      <c r="G736" s="470"/>
      <c r="H736" s="449"/>
      <c r="I736" s="450"/>
      <c r="J736" s="410"/>
      <c r="K736" s="411"/>
      <c r="L736" s="408" t="str" cm="1">
        <f t="array" ca="1" aca="1" ref="L736">_xlfn.IFNA(VLOOKUP(INDIRECT("L"&amp;ROW()-1)&amp;"_"&amp;$D$12,BEGIN_Renew_Dental:END_RENEW_DENTAL,RENEW_COL_EO,FALSE),"")</f>
        <v/>
      </c>
      <c r="M736" s="412" t="str">
        <f>IF(E736="","",E736)</f>
        <v/>
      </c>
      <c r="N736" s="413"/>
      <c r="O736" s="414"/>
      <c r="P736" s="415" t="str">
        <f>IFERROR(IF($N735="Keep Contribution Same",H736,IF($N735="Enter Percentages",IF(N736="","",N736*L736),IF($N735="Keep Percentage Same",IF(G736="","",G736*L736),IF($N735="Enter Dollar Amount",IF(O736="","",O736),"")))),"")</f>
        <v/>
      </c>
      <c r="Q736" s="408" t="str">
        <f>IFERROR(R736-P736,"")</f>
        <v/>
      </c>
      <c r="R736" s="410" t="str">
        <f>IFERROR(IF(P736="","",M736*P736),"")</f>
        <v/>
      </c>
      <c r="S736" s="411"/>
      <c r="T736" s="408" t="str" cm="1">
        <f t="array" ca="1" aca="1" ref="T736">_xlfn.IFNA(VLOOKUP(INDIRECT("T"&amp;ROW()-1)&amp;"_"&amp;$D$12,BEGIN_Renew_Dental:END_RENEW_DENTAL,RENEW_COL_EO,FALSE),"")</f>
        <v/>
      </c>
      <c r="U736" s="412" t="str">
        <f>IF(E736="","",E736)</f>
        <v/>
      </c>
      <c r="V736" s="413"/>
      <c r="W736" s="414"/>
      <c r="X736" s="415" t="str">
        <f>IFERROR(IF($V735="Keep Contribution Same",H736,IF($V735="Enter Percentages",IF(V736="","",V736*T736),IF($V735="Keep Percentage Same",IF(G736="","",G736*T736),IF($V735="Enter Dollar Amount",IF(W736="","",W736),"")))),"")</f>
        <v/>
      </c>
      <c r="Y736" s="408" t="str">
        <f ca="1">IFERROR(T736-X736,"")</f>
        <v/>
      </c>
      <c r="Z736" s="410" t="str">
        <f>IFERROR(IF(X736="","",U736*X736),"")</f>
        <v/>
      </c>
    </row>
    <row r="737" spans="1:26" ht="18.75" customHeight="1">
      <c r="A737" s="140"/>
      <c r="B737" s="140"/>
      <c r="D737" s="172" t="s">
        <v>239</v>
      </c>
      <c r="E737" s="407"/>
      <c r="F737" s="449"/>
      <c r="G737" s="470"/>
      <c r="H737" s="449"/>
      <c r="I737" s="450"/>
      <c r="J737" s="410"/>
      <c r="K737" s="411"/>
      <c r="L737" s="408" t="str" cm="1">
        <f t="array" ca="1" aca="1" ref="L737">_xlfn.IFNA(VLOOKUP(INDIRECT("L"&amp;ROW()-2)&amp;"_"&amp;$D$12,BEGIN_Renew_Dental:END_RENEW_DENTAL,RENEW_COL_ES,FALSE),"")</f>
        <v/>
      </c>
      <c r="M737" s="412" t="str">
        <f>IF(E737="","",E737)</f>
        <v/>
      </c>
      <c r="N737" s="413"/>
      <c r="O737" s="414"/>
      <c r="P737" s="415" t="str">
        <f>IFERROR(IF($N735="Keep Contribution Same",H737,IF($N735="Enter Percentages",IF(N737="","",N737*L737),IF($N735="Keep Percentage Same",IF(G737="","",G737*L737),IF($N735="Enter Dollar Amount",IF(O737="","",O737),"")))),"")</f>
        <v/>
      </c>
      <c r="Q737" s="408" t="str">
        <f t="shared" si="95" ref="Q737">IFERROR(R737-P737,"")</f>
        <v/>
      </c>
      <c r="R737" s="410" t="str">
        <f>IFERROR(IF(P737="","",M737*P737),"")</f>
        <v/>
      </c>
      <c r="S737" s="411"/>
      <c r="T737" s="408" t="str" cm="1">
        <f t="array" ca="1" aca="1" ref="T737">_xlfn.IFNA(VLOOKUP(INDIRECT("T"&amp;ROW()-2)&amp;"_"&amp;$D$12,BEGIN_Renew_Dental:END_RENEW_DENTAL,RENEW_COL_ES,FALSE),"")</f>
        <v/>
      </c>
      <c r="U737" s="412" t="str">
        <f t="shared" si="96" ref="U737:U739">IF(E737="","",E737)</f>
        <v/>
      </c>
      <c r="V737" s="413"/>
      <c r="W737" s="414"/>
      <c r="X737" s="415" t="str">
        <f>IFERROR(IF($V735="Keep Contribution Same",H737,IF($V735="Enter Percentages",IF(V737="","",V737*T737),IF($V735="Keep Percentage Same",IF(G737="","",G737*T737),IF($V735="Enter Dollar Amount",IF(W737="","",W737),"")))),"")</f>
        <v/>
      </c>
      <c r="Y737" s="408" t="str">
        <f ca="1" t="shared" si="97" ref="Y737:Y739">IFERROR(T737-X737,"")</f>
        <v/>
      </c>
      <c r="Z737" s="410" t="str">
        <f t="shared" si="98" ref="Z737:Z739">IFERROR(IF(X737="","",U737*X737),"")</f>
        <v/>
      </c>
    </row>
    <row r="738" spans="1:26" ht="18.75" customHeight="1">
      <c r="A738" s="140"/>
      <c r="B738" s="140"/>
      <c r="D738" s="172" t="s">
        <v>240</v>
      </c>
      <c r="E738" s="407"/>
      <c r="F738" s="449"/>
      <c r="G738" s="470"/>
      <c r="H738" s="449"/>
      <c r="I738" s="450"/>
      <c r="J738" s="410"/>
      <c r="K738" s="411"/>
      <c r="L738" s="408" t="str" cm="1">
        <f t="array" ca="1" aca="1" ref="L738">_xlfn.IFNA(VLOOKUP(INDIRECT("L"&amp;ROW()-3)&amp;"_"&amp;$D$12,BEGIN_Renew_Dental:END_RENEW_DENTAL,RENEW_COL_EC,FALSE),"")</f>
        <v/>
      </c>
      <c r="M738" s="412" t="str">
        <f>IF(E738="","",E738)</f>
        <v/>
      </c>
      <c r="N738" s="413"/>
      <c r="O738" s="414"/>
      <c r="P738" s="415" t="str">
        <f>IFERROR(IF($N735="Keep Contribution Same",H738,IF($N735="Enter Percentages",IF(N738="","",N738*L738),IF($N735="Keep Percentage Same",IF(G738="","",G738*L738),IF($N735="Enter Dollar Amount",IF(O738="","",O738),"")))),"")</f>
        <v/>
      </c>
      <c r="Q738" s="408" t="str">
        <f>IFERROR(R738-P738,"")</f>
        <v/>
      </c>
      <c r="R738" s="410" t="str">
        <f>IFERROR(IF(P738="","",M738*P738),"")</f>
        <v/>
      </c>
      <c r="S738" s="411"/>
      <c r="T738" s="408" t="str" cm="1">
        <f t="array" ca="1" aca="1" ref="T738">_xlfn.IFNA(VLOOKUP(INDIRECT("T"&amp;ROW()-3)&amp;"_"&amp;$D$12,BEGIN_Renew_Dental:END_RENEW_DENTAL,RENEW_COL_EC,FALSE),"")</f>
        <v/>
      </c>
      <c r="U738" s="412" t="str">
        <f t="shared" si="96"/>
        <v/>
      </c>
      <c r="V738" s="413"/>
      <c r="W738" s="414"/>
      <c r="X738" s="415" t="str">
        <f>IFERROR(IF($V735="Keep Contribution Same",H738,IF($V735="Enter Percentages",IF(V738="","",V738*T738),IF($V735="Keep Percentage Same",IF(G738="","",G738*T738),IF($V735="Enter Dollar Amount",IF(W738="","",W738),"")))),"")</f>
        <v/>
      </c>
      <c r="Y738" s="408" t="str">
        <f t="shared" ca="1" si="97"/>
        <v/>
      </c>
      <c r="Z738" s="410" t="str">
        <f t="shared" si="98"/>
        <v/>
      </c>
    </row>
    <row r="739" spans="1:26" ht="18.75" customHeight="1" thickBot="1">
      <c r="A739" s="140"/>
      <c r="B739" s="140"/>
      <c r="D739" s="174" t="s">
        <v>241</v>
      </c>
      <c r="E739" s="416"/>
      <c r="F739" s="451"/>
      <c r="G739" s="471"/>
      <c r="H739" s="451"/>
      <c r="I739" s="452"/>
      <c r="J739" s="419"/>
      <c r="K739" s="411"/>
      <c r="L739" s="417" t="str" cm="1">
        <f t="array" ca="1" aca="1" ref="L739">_xlfn.IFNA(VLOOKUP(INDIRECT("L"&amp;ROW()-4)&amp;"_"&amp;$D$12,BEGIN_Renew_Dental:END_RENEW_DENTAL,RENEW_COL_FAM,FALSE),"")</f>
        <v/>
      </c>
      <c r="M739" s="423" t="str">
        <f>IF(E739="","",E739)</f>
        <v/>
      </c>
      <c r="N739" s="420"/>
      <c r="O739" s="421"/>
      <c r="P739" s="422" t="str">
        <f>IFERROR(IF($N735="Keep Contribution Same",H739,IF($N735="Enter Percentages",IF(N739="","",N739*L739),IF($N735="Keep Percentage Same",IF(G739="","",G739*L739),IF($N735="Enter Dollar Amount",IF(O739="","",O739),"")))),"")</f>
        <v/>
      </c>
      <c r="Q739" s="417" t="str">
        <f>IFERROR(R739-P739,"")</f>
        <v/>
      </c>
      <c r="R739" s="419" t="str">
        <f>IFERROR(IF(P739="","",M739*P739),"")</f>
        <v/>
      </c>
      <c r="S739" s="411"/>
      <c r="T739" s="417" t="str" cm="1">
        <f t="array" ca="1" aca="1" ref="T739">_xlfn.IFNA(VLOOKUP(INDIRECT("T"&amp;ROW()-4)&amp;"_"&amp;$D$12,BEGIN_Renew_Dental:END_RENEW_DENTAL,RENEW_COL_FAM,FALSE),"")</f>
        <v/>
      </c>
      <c r="U739" s="423" t="str">
        <f t="shared" si="96"/>
        <v/>
      </c>
      <c r="V739" s="420"/>
      <c r="W739" s="421"/>
      <c r="X739" s="422" t="str">
        <f>IFERROR(IF($V735="Keep Contribution Same",H739,IF($V735="Enter Percentages",IF(V739="","",V739*T739),IF($V735="Keep Percentage Same",IF(G739="","",G739*T739),IF($V735="Enter Dollar Amount",IF(W739="","",W739),"")))),"")</f>
        <v/>
      </c>
      <c r="Y739" s="417" t="str">
        <f t="shared" ca="1" si="97"/>
        <v/>
      </c>
      <c r="Z739" s="419" t="str">
        <f t="shared" si="98"/>
        <v/>
      </c>
    </row>
    <row r="740" spans="1:26" ht="18.75" customHeight="1" thickTop="1">
      <c r="A740" s="140"/>
      <c r="B740" s="140"/>
      <c r="D740" s="175" t="s">
        <v>329</v>
      </c>
      <c r="E740" s="424"/>
      <c r="F740" s="427"/>
      <c r="G740" s="426"/>
      <c r="H740" s="427"/>
      <c r="I740" s="428"/>
      <c r="J740" s="429" t="str">
        <f>IFERROR(IF(J736="","",SUM(J736:J739)),0)</f>
        <v/>
      </c>
      <c r="K740" s="1"/>
      <c r="L740" s="424"/>
      <c r="M740" s="427"/>
      <c r="N740" s="426"/>
      <c r="O740" s="427"/>
      <c r="P740" s="431"/>
      <c r="Q740" s="432"/>
      <c r="R740" s="429" t="str">
        <f>IFERROR(IF(R736="","",SUM(R736:R739)),0)</f>
        <v/>
      </c>
      <c r="T740" s="424"/>
      <c r="U740" s="427"/>
      <c r="V740" s="426"/>
      <c r="W740" s="427"/>
      <c r="X740" s="431"/>
      <c r="Y740" s="432"/>
      <c r="Z740" s="429" t="str">
        <f>IFERROR(IF(Z736="","",SUM(Z736:Z739)),0)</f>
        <v/>
      </c>
    </row>
    <row r="741" spans="1:26" ht="18.75" customHeight="1">
      <c r="A741" s="140"/>
      <c r="B741" s="140"/>
      <c r="D741" s="177" t="s">
        <v>243</v>
      </c>
      <c r="E741" s="433"/>
      <c r="F741" s="436"/>
      <c r="G741" s="435"/>
      <c r="H741" s="436"/>
      <c r="I741" s="432"/>
      <c r="J741" s="437" t="str">
        <f>IF(J740="","",J740*12)</f>
        <v/>
      </c>
      <c r="K741" s="1"/>
      <c r="L741" s="433"/>
      <c r="M741" s="436"/>
      <c r="N741" s="435"/>
      <c r="O741" s="436"/>
      <c r="P741" s="432"/>
      <c r="Q741" s="432"/>
      <c r="R741" s="437" t="str">
        <f>IF(R740="","",R740*12)</f>
        <v/>
      </c>
      <c r="T741" s="433"/>
      <c r="U741" s="436"/>
      <c r="V741" s="435"/>
      <c r="W741" s="436"/>
      <c r="X741" s="432"/>
      <c r="Y741" s="432"/>
      <c r="Z741" s="437" t="str">
        <f>IF(Z740="","",Z740*12)</f>
        <v/>
      </c>
    </row>
    <row r="742" spans="1:26" ht="18" customHeight="1">
      <c r="A742" s="140"/>
      <c r="B742" s="140"/>
      <c r="D742" s="177" t="s">
        <v>244</v>
      </c>
      <c r="E742" s="433"/>
      <c r="F742" s="436"/>
      <c r="G742" s="435"/>
      <c r="H742" s="436"/>
      <c r="I742" s="432"/>
      <c r="J742" s="437" t="str">
        <f>IFERROR(IF(J741="","",R741-J741),0)</f>
        <v/>
      </c>
      <c r="K742" s="1"/>
      <c r="L742" s="433"/>
      <c r="M742" s="436"/>
      <c r="N742" s="435"/>
      <c r="O742" s="436"/>
      <c r="P742" s="432"/>
      <c r="Q742" s="432"/>
      <c r="R742" s="437" t="str">
        <f>IFERROR(IF(J741="","",R741-J741),0)</f>
        <v/>
      </c>
      <c r="T742" s="433"/>
      <c r="U742" s="436"/>
      <c r="V742" s="435"/>
      <c r="W742" s="436"/>
      <c r="X742" s="432"/>
      <c r="Y742" s="432"/>
      <c r="Z742" s="437" t="str">
        <f>IFERROR(IF(R741="","",Z741-R741),0)</f>
        <v/>
      </c>
    </row>
    <row r="743" spans="1:26" ht="18" customHeight="1" thickBot="1">
      <c r="A743" s="140"/>
      <c r="B743" s="140"/>
      <c r="D743" s="180" t="s">
        <v>245</v>
      </c>
      <c r="E743" s="439"/>
      <c r="F743" s="440"/>
      <c r="G743" s="441"/>
      <c r="H743" s="440"/>
      <c r="I743" s="442"/>
      <c r="J743" s="437" t="str">
        <f>IFERROR(IF(J741="","",(R741/J741)-1),0)</f>
        <v/>
      </c>
      <c r="K743" s="1"/>
      <c r="L743" s="439"/>
      <c r="M743" s="440"/>
      <c r="N743" s="441"/>
      <c r="O743" s="440"/>
      <c r="P743" s="445"/>
      <c r="Q743" s="445"/>
      <c r="R743" s="446" t="str">
        <f>IFERROR(IF(J741="","",(R741/J741)-1),0)</f>
        <v/>
      </c>
      <c r="T743" s="439"/>
      <c r="U743" s="440"/>
      <c r="V743" s="441"/>
      <c r="W743" s="440"/>
      <c r="X743" s="445"/>
      <c r="Y743" s="445"/>
      <c r="Z743" s="446" t="str">
        <f>IFERROR(IF(R741="","",(Z741/R741)-1),0)</f>
        <v/>
      </c>
    </row>
    <row r="744" spans="1:26" ht="5.25" customHeight="1" thickBot="1">
      <c r="A744" s="140"/>
      <c r="B744" s="140"/>
      <c r="D744" s="229"/>
      <c r="E744" s="229"/>
      <c r="F744" s="230"/>
      <c r="G744" s="231"/>
      <c r="H744" s="232"/>
      <c r="I744" s="233"/>
      <c r="J744" s="233"/>
      <c r="K744"/>
      <c r="L744" s="233"/>
      <c r="M744" s="233"/>
      <c r="N744" s="233"/>
      <c r="O744" s="233"/>
      <c r="P744" s="233"/>
      <c r="Q744" s="233"/>
      <c r="R744" s="233"/>
      <c r="T744" s="233"/>
      <c r="U744" s="233"/>
      <c r="V744" s="233"/>
      <c r="W744" s="233"/>
      <c r="X744" s="233"/>
      <c r="Y744" s="233"/>
      <c r="Z744" s="233"/>
    </row>
    <row r="745" spans="1:26" ht="50.15" customHeight="1">
      <c r="A745" s="140"/>
      <c r="B745" s="140"/>
      <c r="C745" s="164" t="s">
        <v>297</v>
      </c>
      <c r="D745" s="275" t="s">
        <v>285</v>
      </c>
      <c r="E745" s="165"/>
      <c r="F745" s="272"/>
      <c r="G745" s="166"/>
      <c r="H745" s="167"/>
      <c r="I745" s="168"/>
      <c r="J745" s="169"/>
      <c r="K745"/>
      <c r="L745" s="274" t="s">
        <v>38</v>
      </c>
      <c r="M745" s="170"/>
      <c r="N745" s="274" t="s">
        <v>237</v>
      </c>
      <c r="O745" s="171"/>
      <c r="P745" s="171"/>
      <c r="Q745" s="171"/>
      <c r="R745" s="169"/>
      <c r="T745" s="274" t="s">
        <v>38</v>
      </c>
      <c r="U745" s="170"/>
      <c r="V745" s="274" t="s">
        <v>237</v>
      </c>
      <c r="W745" s="171"/>
      <c r="X745" s="171"/>
      <c r="Y745" s="171"/>
      <c r="Z745" s="169"/>
    </row>
    <row r="746" spans="1:26" ht="18.75" customHeight="1">
      <c r="A746" s="140"/>
      <c r="B746" s="140"/>
      <c r="D746" s="172" t="s">
        <v>238</v>
      </c>
      <c r="E746" s="407"/>
      <c r="F746" s="449"/>
      <c r="G746" s="470"/>
      <c r="H746" s="449"/>
      <c r="I746" s="450"/>
      <c r="J746" s="410"/>
      <c r="K746" s="411"/>
      <c r="L746" s="408" t="str" cm="1">
        <f t="array" ca="1" aca="1" ref="L746">_xlfn.IFNA(VLOOKUP(INDIRECT("L"&amp;ROW()-1)&amp;"_"&amp;$D$12,BEGIN_Renew_Dental:END_RENEW_DENTAL,RENEW_COL_EO,FALSE),"")</f>
        <v/>
      </c>
      <c r="M746" s="412" t="str">
        <f>IF(E746="","",E746)</f>
        <v/>
      </c>
      <c r="N746" s="413"/>
      <c r="O746" s="414"/>
      <c r="P746" s="415" t="str">
        <f>IFERROR(IF($N745="Keep Contribution Same",H746,IF($N745="Enter Percentages",IF(N746="","",N746*L746),IF($N745="Keep Percentage Same",IF(G746="","",G746*L746),IF($N745="Enter Dollar Amount",IF(O746="","",O746),"")))),"")</f>
        <v/>
      </c>
      <c r="Q746" s="408" t="str">
        <f>IFERROR(R746-P746,"")</f>
        <v/>
      </c>
      <c r="R746" s="410" t="str">
        <f>IFERROR(IF(P746="","",M746*P746),"")</f>
        <v/>
      </c>
      <c r="S746" s="411"/>
      <c r="T746" s="408" t="str" cm="1">
        <f t="array" ca="1" aca="1" ref="T746">_xlfn.IFNA(VLOOKUP(INDIRECT("T"&amp;ROW()-1)&amp;"_"&amp;$D$12,BEGIN_Renew_Dental:END_RENEW_DENTAL,RENEW_COL_EO,FALSE),"")</f>
        <v/>
      </c>
      <c r="U746" s="412" t="str">
        <f>IF(E746="","",E746)</f>
        <v/>
      </c>
      <c r="V746" s="413"/>
      <c r="W746" s="414"/>
      <c r="X746" s="415" t="str">
        <f>IFERROR(IF($V745="Keep Contribution Same",H746,IF($V745="Enter Percentages",IF(V746="","",V746*T746),IF($V745="Keep Percentage Same",IF(G746="","",G746*T746),IF($V745="Enter Dollar Amount",IF(W746="","",W746),"")))),"")</f>
        <v/>
      </c>
      <c r="Y746" s="408" t="str">
        <f ca="1">IFERROR(T746-X746,"")</f>
        <v/>
      </c>
      <c r="Z746" s="410" t="str">
        <f>IFERROR(IF(X746="","",U746*X746),"")</f>
        <v/>
      </c>
    </row>
    <row r="747" spans="1:26" ht="18.75" customHeight="1">
      <c r="A747" s="140"/>
      <c r="B747" s="140"/>
      <c r="D747" s="172" t="s">
        <v>239</v>
      </c>
      <c r="E747" s="407"/>
      <c r="F747" s="449"/>
      <c r="G747" s="470"/>
      <c r="H747" s="449"/>
      <c r="I747" s="450"/>
      <c r="J747" s="410"/>
      <c r="K747" s="411"/>
      <c r="L747" s="408" t="str" cm="1">
        <f t="array" ca="1" aca="1" ref="L747">_xlfn.IFNA(VLOOKUP(INDIRECT("L"&amp;ROW()-2)&amp;"_"&amp;$D$12,BEGIN_Renew_Dental:END_RENEW_DENTAL,RENEW_COL_ES,FALSE),"")</f>
        <v/>
      </c>
      <c r="M747" s="412" t="str">
        <f>IF(E747="","",E747)</f>
        <v/>
      </c>
      <c r="N747" s="413"/>
      <c r="O747" s="414"/>
      <c r="P747" s="415" t="str">
        <f>IFERROR(IF($N745="Keep Contribution Same",H747,IF($N745="Enter Percentages",IF(N747="","",N747*L747),IF($N745="Keep Percentage Same",IF(G747="","",G747*L747),IF($N745="Enter Dollar Amount",IF(O747="","",O747),"")))),"")</f>
        <v/>
      </c>
      <c r="Q747" s="408" t="str">
        <f t="shared" si="99" ref="Q747">IFERROR(R747-P747,"")</f>
        <v/>
      </c>
      <c r="R747" s="410" t="str">
        <f>IFERROR(IF(P747="","",M747*P747),"")</f>
        <v/>
      </c>
      <c r="S747" s="411"/>
      <c r="T747" s="408" t="str" cm="1">
        <f t="array" ca="1" aca="1" ref="T747">_xlfn.IFNA(VLOOKUP(INDIRECT("T"&amp;ROW()-2)&amp;"_"&amp;$D$12,BEGIN_Renew_Dental:END_RENEW_DENTAL,RENEW_COL_ES,FALSE),"")</f>
        <v/>
      </c>
      <c r="U747" s="412" t="str">
        <f t="shared" si="100" ref="U747:U749">IF(E747="","",E747)</f>
        <v/>
      </c>
      <c r="V747" s="413"/>
      <c r="W747" s="414"/>
      <c r="X747" s="415" t="str">
        <f>IFERROR(IF($V745="Keep Contribution Same",H747,IF($V745="Enter Percentages",IF(V747="","",V747*T747),IF($V745="Keep Percentage Same",IF(G747="","",G747*T747),IF($V745="Enter Dollar Amount",IF(W747="","",W747),"")))),"")</f>
        <v/>
      </c>
      <c r="Y747" s="408" t="str">
        <f ca="1" t="shared" si="101" ref="Y747:Y749">IFERROR(T747-X747,"")</f>
        <v/>
      </c>
      <c r="Z747" s="410" t="str">
        <f t="shared" si="102" ref="Z747:Z749">IFERROR(IF(X747="","",U747*X747),"")</f>
        <v/>
      </c>
    </row>
    <row r="748" spans="1:26" ht="18.75" customHeight="1">
      <c r="A748" s="140"/>
      <c r="B748" s="140"/>
      <c r="D748" s="172" t="s">
        <v>240</v>
      </c>
      <c r="E748" s="407"/>
      <c r="F748" s="449"/>
      <c r="G748" s="470"/>
      <c r="H748" s="449"/>
      <c r="I748" s="450"/>
      <c r="J748" s="410"/>
      <c r="K748" s="411"/>
      <c r="L748" s="408" t="str" cm="1">
        <f t="array" ca="1" aca="1" ref="L748">_xlfn.IFNA(VLOOKUP(INDIRECT("L"&amp;ROW()-3)&amp;"_"&amp;$D$12,BEGIN_Renew_Dental:END_RENEW_DENTAL,RENEW_COL_EC,FALSE),"")</f>
        <v/>
      </c>
      <c r="M748" s="412" t="str">
        <f>IF(E748="","",E748)</f>
        <v/>
      </c>
      <c r="N748" s="413"/>
      <c r="O748" s="414"/>
      <c r="P748" s="415" t="str">
        <f>IFERROR(IF($N745="Keep Contribution Same",H748,IF($N745="Enter Percentages",IF(N748="","",N748*L748),IF($N745="Keep Percentage Same",IF(G748="","",G748*L748),IF($N745="Enter Dollar Amount",IF(O748="","",O748),"")))),"")</f>
        <v/>
      </c>
      <c r="Q748" s="408" t="str">
        <f>IFERROR(R748-P748,"")</f>
        <v/>
      </c>
      <c r="R748" s="410" t="str">
        <f>IFERROR(IF(P748="","",M748*P748),"")</f>
        <v/>
      </c>
      <c r="S748" s="411"/>
      <c r="T748" s="408" t="str" cm="1">
        <f t="array" ca="1" aca="1" ref="T748">_xlfn.IFNA(VLOOKUP(INDIRECT("T"&amp;ROW()-3)&amp;"_"&amp;$D$12,BEGIN_Renew_Dental:END_RENEW_DENTAL,RENEW_COL_EC,FALSE),"")</f>
        <v/>
      </c>
      <c r="U748" s="412" t="str">
        <f t="shared" si="100"/>
        <v/>
      </c>
      <c r="V748" s="413"/>
      <c r="W748" s="414"/>
      <c r="X748" s="415" t="str">
        <f>IFERROR(IF($V745="Keep Contribution Same",H748,IF($V745="Enter Percentages",IF(V748="","",V748*T748),IF($V745="Keep Percentage Same",IF(G748="","",G748*T748),IF($V745="Enter Dollar Amount",IF(W748="","",W748),"")))),"")</f>
        <v/>
      </c>
      <c r="Y748" s="408" t="str">
        <f t="shared" ca="1" si="101"/>
        <v/>
      </c>
      <c r="Z748" s="410" t="str">
        <f t="shared" si="102"/>
        <v/>
      </c>
    </row>
    <row r="749" spans="1:26" ht="18.75" customHeight="1" thickBot="1">
      <c r="A749" s="140"/>
      <c r="B749" s="140"/>
      <c r="D749" s="174" t="s">
        <v>241</v>
      </c>
      <c r="E749" s="416"/>
      <c r="F749" s="451"/>
      <c r="G749" s="471"/>
      <c r="H749" s="451"/>
      <c r="I749" s="452"/>
      <c r="J749" s="419"/>
      <c r="K749" s="411"/>
      <c r="L749" s="417" t="str" cm="1">
        <f t="array" ca="1" aca="1" ref="L749">_xlfn.IFNA(VLOOKUP(INDIRECT("L"&amp;ROW()-4)&amp;"_"&amp;$D$12,BEGIN_Renew_Dental:END_RENEW_DENTAL,RENEW_COL_FAM,FALSE),"")</f>
        <v/>
      </c>
      <c r="M749" s="423" t="str">
        <f>IF(E749="","",E749)</f>
        <v/>
      </c>
      <c r="N749" s="420"/>
      <c r="O749" s="421"/>
      <c r="P749" s="422" t="str">
        <f>IFERROR(IF($N745="Keep Contribution Same",H749,IF($N745="Enter Percentages",IF(N749="","",N749*L749),IF($N745="Keep Percentage Same",IF(G749="","",G749*L749),IF($N745="Enter Dollar Amount",IF(O749="","",O749),"")))),"")</f>
        <v/>
      </c>
      <c r="Q749" s="417" t="str">
        <f>IFERROR(R749-P749,"")</f>
        <v/>
      </c>
      <c r="R749" s="419" t="str">
        <f>IFERROR(IF(P749="","",M749*P749),"")</f>
        <v/>
      </c>
      <c r="S749" s="411"/>
      <c r="T749" s="417" t="str" cm="1">
        <f t="array" ca="1" aca="1" ref="T749">_xlfn.IFNA(VLOOKUP(INDIRECT("T"&amp;ROW()-4)&amp;"_"&amp;$D$12,BEGIN_Renew_Dental:END_RENEW_DENTAL,RENEW_COL_FAM,FALSE),"")</f>
        <v/>
      </c>
      <c r="U749" s="423" t="str">
        <f t="shared" si="100"/>
        <v/>
      </c>
      <c r="V749" s="420"/>
      <c r="W749" s="421"/>
      <c r="X749" s="422" t="str">
        <f>IFERROR(IF($V745="Keep Contribution Same",H749,IF($V745="Enter Percentages",IF(V749="","",V749*T749),IF($V745="Keep Percentage Same",IF(G749="","",G749*T749),IF($V745="Enter Dollar Amount",IF(W749="","",W749),"")))),"")</f>
        <v/>
      </c>
      <c r="Y749" s="417" t="str">
        <f t="shared" ca="1" si="101"/>
        <v/>
      </c>
      <c r="Z749" s="419" t="str">
        <f t="shared" si="102"/>
        <v/>
      </c>
    </row>
    <row r="750" spans="1:26" ht="18.75" customHeight="1" thickTop="1">
      <c r="A750" s="140"/>
      <c r="B750" s="140"/>
      <c r="D750" s="175" t="s">
        <v>329</v>
      </c>
      <c r="E750" s="424"/>
      <c r="F750" s="427"/>
      <c r="G750" s="426"/>
      <c r="H750" s="427"/>
      <c r="I750" s="428"/>
      <c r="J750" s="429" t="str">
        <f>IFERROR(IF(J746="","",SUM(J746:J749)),0)</f>
        <v/>
      </c>
      <c r="K750" s="1"/>
      <c r="L750" s="424"/>
      <c r="M750" s="427"/>
      <c r="N750" s="426"/>
      <c r="O750" s="427"/>
      <c r="P750" s="431"/>
      <c r="Q750" s="432"/>
      <c r="R750" s="429" t="str">
        <f>IFERROR(IF(R746="","",SUM(R746:R749)),0)</f>
        <v/>
      </c>
      <c r="T750" s="424"/>
      <c r="U750" s="427"/>
      <c r="V750" s="426"/>
      <c r="W750" s="427"/>
      <c r="X750" s="431"/>
      <c r="Y750" s="432"/>
      <c r="Z750" s="429" t="str">
        <f>IFERROR(IF(Z746="","",SUM(Z746:Z749)),0)</f>
        <v/>
      </c>
    </row>
    <row r="751" spans="1:26" ht="18.75" customHeight="1">
      <c r="A751" s="140"/>
      <c r="B751" s="140"/>
      <c r="D751" s="177" t="s">
        <v>243</v>
      </c>
      <c r="E751" s="433"/>
      <c r="F751" s="436"/>
      <c r="G751" s="435"/>
      <c r="H751" s="436"/>
      <c r="I751" s="432"/>
      <c r="J751" s="437" t="str">
        <f>IF(J750="","",J750*12)</f>
        <v/>
      </c>
      <c r="K751" s="1"/>
      <c r="L751" s="433"/>
      <c r="M751" s="436"/>
      <c r="N751" s="435"/>
      <c r="O751" s="436"/>
      <c r="P751" s="432"/>
      <c r="Q751" s="432"/>
      <c r="R751" s="437" t="str">
        <f>IF(R750="","",R750*12)</f>
        <v/>
      </c>
      <c r="T751" s="433"/>
      <c r="U751" s="436"/>
      <c r="V751" s="435"/>
      <c r="W751" s="436"/>
      <c r="X751" s="432"/>
      <c r="Y751" s="432"/>
      <c r="Z751" s="437" t="str">
        <f>IF(Z750="","",Z750*12)</f>
        <v/>
      </c>
    </row>
    <row r="752" spans="1:26" ht="18" customHeight="1">
      <c r="A752" s="140"/>
      <c r="B752" s="140"/>
      <c r="D752" s="177" t="s">
        <v>244</v>
      </c>
      <c r="E752" s="433"/>
      <c r="F752" s="436"/>
      <c r="G752" s="435"/>
      <c r="H752" s="436"/>
      <c r="I752" s="432"/>
      <c r="J752" s="437" t="str">
        <f>IFERROR(IF(J751="","",R751-J751),0)</f>
        <v/>
      </c>
      <c r="K752" s="1"/>
      <c r="L752" s="433"/>
      <c r="M752" s="436"/>
      <c r="N752" s="435"/>
      <c r="O752" s="436"/>
      <c r="P752" s="432"/>
      <c r="Q752" s="432"/>
      <c r="R752" s="437" t="str">
        <f>IFERROR(IF(J751="","",R751-J751),0)</f>
        <v/>
      </c>
      <c r="T752" s="433"/>
      <c r="U752" s="436"/>
      <c r="V752" s="435"/>
      <c r="W752" s="436"/>
      <c r="X752" s="432"/>
      <c r="Y752" s="432"/>
      <c r="Z752" s="437" t="str">
        <f>IFERROR(IF(R751="","",Z751-R751),0)</f>
        <v/>
      </c>
    </row>
    <row r="753" spans="1:26" ht="18" customHeight="1" thickBot="1">
      <c r="A753" s="140"/>
      <c r="B753" s="140"/>
      <c r="D753" s="180" t="s">
        <v>245</v>
      </c>
      <c r="E753" s="439"/>
      <c r="F753" s="440"/>
      <c r="G753" s="441"/>
      <c r="H753" s="440"/>
      <c r="I753" s="442"/>
      <c r="J753" s="437" t="str">
        <f>IFERROR(IF(J751="","",(R751/J751)-1),0)</f>
        <v/>
      </c>
      <c r="K753" s="1"/>
      <c r="L753" s="439"/>
      <c r="M753" s="440"/>
      <c r="N753" s="441"/>
      <c r="O753" s="440"/>
      <c r="P753" s="445"/>
      <c r="Q753" s="445"/>
      <c r="R753" s="446" t="str">
        <f>IFERROR(IF(J751="","",(R751/J751)-1),0)</f>
        <v/>
      </c>
      <c r="T753" s="439"/>
      <c r="U753" s="440"/>
      <c r="V753" s="441"/>
      <c r="W753" s="440"/>
      <c r="X753" s="445"/>
      <c r="Y753" s="445"/>
      <c r="Z753" s="446" t="str">
        <f>IFERROR(IF(R751="","",(Z751/R751)-1),0)</f>
        <v/>
      </c>
    </row>
    <row r="754" spans="1:26" ht="5.25" customHeight="1" thickBot="1">
      <c r="A754" s="140"/>
      <c r="B754" s="140"/>
      <c r="D754" s="229"/>
      <c r="E754" s="229"/>
      <c r="F754" s="230"/>
      <c r="G754" s="231"/>
      <c r="H754" s="232"/>
      <c r="I754" s="233"/>
      <c r="J754" s="233"/>
      <c r="K754"/>
      <c r="L754" s="233"/>
      <c r="M754" s="233"/>
      <c r="N754" s="233"/>
      <c r="O754" s="233"/>
      <c r="P754" s="233"/>
      <c r="Q754" s="233"/>
      <c r="R754" s="233"/>
      <c r="T754" s="233"/>
      <c r="U754" s="233"/>
      <c r="V754" s="233"/>
      <c r="W754" s="233"/>
      <c r="X754" s="233"/>
      <c r="Y754" s="233"/>
      <c r="Z754" s="233"/>
    </row>
    <row r="755" spans="1:26" ht="50.15" customHeight="1">
      <c r="A755" s="140"/>
      <c r="B755" s="140"/>
      <c r="C755" s="164" t="s">
        <v>298</v>
      </c>
      <c r="D755" s="275" t="s">
        <v>285</v>
      </c>
      <c r="E755" s="165"/>
      <c r="F755" s="272"/>
      <c r="G755" s="166"/>
      <c r="H755" s="167"/>
      <c r="I755" s="168"/>
      <c r="J755" s="169"/>
      <c r="K755"/>
      <c r="L755" s="274" t="s">
        <v>38</v>
      </c>
      <c r="M755" s="170"/>
      <c r="N755" s="274" t="s">
        <v>237</v>
      </c>
      <c r="O755" s="171"/>
      <c r="P755" s="171"/>
      <c r="Q755" s="171"/>
      <c r="R755" s="169"/>
      <c r="T755" s="274" t="s">
        <v>38</v>
      </c>
      <c r="U755" s="170"/>
      <c r="V755" s="274" t="s">
        <v>237</v>
      </c>
      <c r="W755" s="171"/>
      <c r="X755" s="171"/>
      <c r="Y755" s="171"/>
      <c r="Z755" s="169"/>
    </row>
    <row r="756" spans="1:26" ht="18.75" customHeight="1">
      <c r="A756" s="140"/>
      <c r="B756" s="140"/>
      <c r="D756" s="172" t="s">
        <v>238</v>
      </c>
      <c r="E756" s="407"/>
      <c r="F756" s="449"/>
      <c r="G756" s="470"/>
      <c r="H756" s="449"/>
      <c r="I756" s="450"/>
      <c r="J756" s="410"/>
      <c r="K756" s="411"/>
      <c r="L756" s="408" t="str" cm="1">
        <f t="array" ca="1" aca="1" ref="L756">_xlfn.IFNA(VLOOKUP(INDIRECT("L"&amp;ROW()-1)&amp;"_"&amp;$D$12,BEGIN_Renew_Dental:END_RENEW_DENTAL,RENEW_COL_EO,FALSE),"")</f>
        <v/>
      </c>
      <c r="M756" s="412" t="str">
        <f>IF(E756="","",E756)</f>
        <v/>
      </c>
      <c r="N756" s="413"/>
      <c r="O756" s="414"/>
      <c r="P756" s="415" t="str">
        <f>IFERROR(IF($N755="Keep Contribution Same",H756,IF($N755="Enter Percentages",IF(N756="","",N756*L756),IF($N755="Keep Percentage Same",IF(G756="","",G756*L756),IF($N755="Enter Dollar Amount",IF(O756="","",O756),"")))),"")</f>
        <v/>
      </c>
      <c r="Q756" s="408" t="str">
        <f>IFERROR(R756-P756,"")</f>
        <v/>
      </c>
      <c r="R756" s="410" t="str">
        <f>IFERROR(IF(P756="","",M756*P756),"")</f>
        <v/>
      </c>
      <c r="S756" s="411"/>
      <c r="T756" s="408" t="str" cm="1">
        <f t="array" ca="1" aca="1" ref="T756">_xlfn.IFNA(VLOOKUP(INDIRECT("T"&amp;ROW()-1)&amp;"_"&amp;$D$12,BEGIN_Renew_Dental:END_RENEW_DENTAL,RENEW_COL_EO,FALSE),"")</f>
        <v/>
      </c>
      <c r="U756" s="412" t="str">
        <f>IF(E756="","",E756)</f>
        <v/>
      </c>
      <c r="V756" s="413"/>
      <c r="W756" s="414"/>
      <c r="X756" s="415" t="str">
        <f>IFERROR(IF($V755="Keep Contribution Same",H756,IF($V755="Enter Percentages",IF(V756="","",V756*T756),IF($V755="Keep Percentage Same",IF(G756="","",G756*T756),IF($V755="Enter Dollar Amount",IF(W756="","",W756),"")))),"")</f>
        <v/>
      </c>
      <c r="Y756" s="408" t="str">
        <f ca="1">IFERROR(T756-X756,"")</f>
        <v/>
      </c>
      <c r="Z756" s="410" t="str">
        <f>IFERROR(IF(X756="","",U756*X756),"")</f>
        <v/>
      </c>
    </row>
    <row r="757" spans="1:26" ht="18.75" customHeight="1">
      <c r="A757" s="140"/>
      <c r="B757" s="140"/>
      <c r="D757" s="172" t="s">
        <v>239</v>
      </c>
      <c r="E757" s="407"/>
      <c r="F757" s="449"/>
      <c r="G757" s="470"/>
      <c r="H757" s="449"/>
      <c r="I757" s="450"/>
      <c r="J757" s="410"/>
      <c r="K757" s="411"/>
      <c r="L757" s="408" t="str" cm="1">
        <f t="array" ca="1" aca="1" ref="L757">_xlfn.IFNA(VLOOKUP(INDIRECT("L"&amp;ROW()-2)&amp;"_"&amp;$D$12,BEGIN_Renew_Dental:END_RENEW_DENTAL,RENEW_COL_ES,FALSE),"")</f>
        <v/>
      </c>
      <c r="M757" s="412" t="str">
        <f>IF(E757="","",E757)</f>
        <v/>
      </c>
      <c r="N757" s="413"/>
      <c r="O757" s="414"/>
      <c r="P757" s="415" t="str">
        <f>IFERROR(IF($N755="Keep Contribution Same",H757,IF($N755="Enter Percentages",IF(N757="","",N757*L757),IF($N755="Keep Percentage Same",IF(G757="","",G757*L757),IF($N755="Enter Dollar Amount",IF(O757="","",O757),"")))),"")</f>
        <v/>
      </c>
      <c r="Q757" s="408" t="str">
        <f t="shared" si="103" ref="Q757">IFERROR(R757-P757,"")</f>
        <v/>
      </c>
      <c r="R757" s="410" t="str">
        <f>IFERROR(IF(P757="","",M757*P757),"")</f>
        <v/>
      </c>
      <c r="S757" s="411"/>
      <c r="T757" s="408" t="str" cm="1">
        <f t="array" ca="1" aca="1" ref="T757">_xlfn.IFNA(VLOOKUP(INDIRECT("T"&amp;ROW()-2)&amp;"_"&amp;$D$12,BEGIN_Renew_Dental:END_RENEW_DENTAL,RENEW_COL_ES,FALSE),"")</f>
        <v/>
      </c>
      <c r="U757" s="412" t="str">
        <f t="shared" si="104" ref="U757:U759">IF(E757="","",E757)</f>
        <v/>
      </c>
      <c r="V757" s="413"/>
      <c r="W757" s="414"/>
      <c r="X757" s="415" t="str">
        <f>IFERROR(IF($V755="Keep Contribution Same",H757,IF($V755="Enter Percentages",IF(V757="","",V757*T757),IF($V755="Keep Percentage Same",IF(G757="","",G757*T757),IF($V755="Enter Dollar Amount",IF(W757="","",W757),"")))),"")</f>
        <v/>
      </c>
      <c r="Y757" s="408" t="str">
        <f ca="1" t="shared" si="105" ref="Y757:Y759">IFERROR(T757-X757,"")</f>
        <v/>
      </c>
      <c r="Z757" s="410" t="str">
        <f t="shared" si="106" ref="Z757:Z759">IFERROR(IF(X757="","",U757*X757),"")</f>
        <v/>
      </c>
    </row>
    <row r="758" spans="1:26" ht="18.75" customHeight="1">
      <c r="A758" s="140"/>
      <c r="B758" s="140"/>
      <c r="D758" s="172" t="s">
        <v>240</v>
      </c>
      <c r="E758" s="407"/>
      <c r="F758" s="449"/>
      <c r="G758" s="470"/>
      <c r="H758" s="449"/>
      <c r="I758" s="450"/>
      <c r="J758" s="410"/>
      <c r="K758" s="411"/>
      <c r="L758" s="408" t="str" cm="1">
        <f t="array" ca="1" aca="1" ref="L758">_xlfn.IFNA(VLOOKUP(INDIRECT("L"&amp;ROW()-3)&amp;"_"&amp;$D$12,BEGIN_Renew_Dental:END_RENEW_DENTAL,RENEW_COL_EC,FALSE),"")</f>
        <v/>
      </c>
      <c r="M758" s="412" t="str">
        <f>IF(E758="","",E758)</f>
        <v/>
      </c>
      <c r="N758" s="413"/>
      <c r="O758" s="414"/>
      <c r="P758" s="415" t="str">
        <f>IFERROR(IF($N755="Keep Contribution Same",H758,IF($N755="Enter Percentages",IF(N758="","",N758*L758),IF($N755="Keep Percentage Same",IF(G758="","",G758*L758),IF($N755="Enter Dollar Amount",IF(O758="","",O758),"")))),"")</f>
        <v/>
      </c>
      <c r="Q758" s="408" t="str">
        <f>IFERROR(R758-P758,"")</f>
        <v/>
      </c>
      <c r="R758" s="410" t="str">
        <f>IFERROR(IF(P758="","",M758*P758),"")</f>
        <v/>
      </c>
      <c r="S758" s="411"/>
      <c r="T758" s="408" t="str" cm="1">
        <f t="array" ca="1" aca="1" ref="T758">_xlfn.IFNA(VLOOKUP(INDIRECT("T"&amp;ROW()-3)&amp;"_"&amp;$D$12,BEGIN_Renew_Dental:END_RENEW_DENTAL,RENEW_COL_EC,FALSE),"")</f>
        <v/>
      </c>
      <c r="U758" s="412" t="str">
        <f t="shared" si="104"/>
        <v/>
      </c>
      <c r="V758" s="413"/>
      <c r="W758" s="414"/>
      <c r="X758" s="415" t="str">
        <f>IFERROR(IF($V755="Keep Contribution Same",H758,IF($V755="Enter Percentages",IF(V758="","",V758*T758),IF($V755="Keep Percentage Same",IF(G758="","",G758*T758),IF($V755="Enter Dollar Amount",IF(W758="","",W758),"")))),"")</f>
        <v/>
      </c>
      <c r="Y758" s="408" t="str">
        <f t="shared" ca="1" si="105"/>
        <v/>
      </c>
      <c r="Z758" s="410" t="str">
        <f t="shared" si="106"/>
        <v/>
      </c>
    </row>
    <row r="759" spans="1:26" ht="18.75" customHeight="1" thickBot="1">
      <c r="A759" s="140"/>
      <c r="B759" s="140"/>
      <c r="D759" s="174" t="s">
        <v>241</v>
      </c>
      <c r="E759" s="416"/>
      <c r="F759" s="451"/>
      <c r="G759" s="471"/>
      <c r="H759" s="451"/>
      <c r="I759" s="452"/>
      <c r="J759" s="419"/>
      <c r="K759" s="411"/>
      <c r="L759" s="417" t="str" cm="1">
        <f t="array" ca="1" aca="1" ref="L759">_xlfn.IFNA(VLOOKUP(INDIRECT("L"&amp;ROW()-4)&amp;"_"&amp;$D$12,BEGIN_Renew_Dental:END_RENEW_DENTAL,RENEW_COL_FAM,FALSE),"")</f>
        <v/>
      </c>
      <c r="M759" s="423" t="str">
        <f>IF(E759="","",E759)</f>
        <v/>
      </c>
      <c r="N759" s="420"/>
      <c r="O759" s="421"/>
      <c r="P759" s="422" t="str">
        <f>IFERROR(IF($N755="Keep Contribution Same",H759,IF($N755="Enter Percentages",IF(N759="","",N759*L759),IF($N755="Keep Percentage Same",IF(G759="","",G759*L759),IF($N755="Enter Dollar Amount",IF(O759="","",O759),"")))),"")</f>
        <v/>
      </c>
      <c r="Q759" s="417" t="str">
        <f>IFERROR(R759-P759,"")</f>
        <v/>
      </c>
      <c r="R759" s="419" t="str">
        <f>IFERROR(IF(P759="","",M759*P759),"")</f>
        <v/>
      </c>
      <c r="S759" s="411"/>
      <c r="T759" s="417" t="str" cm="1">
        <f t="array" ca="1" aca="1" ref="T759">_xlfn.IFNA(VLOOKUP(INDIRECT("T"&amp;ROW()-4)&amp;"_"&amp;$D$12,BEGIN_Renew_Dental:END_RENEW_DENTAL,RENEW_COL_FAM,FALSE),"")</f>
        <v/>
      </c>
      <c r="U759" s="423" t="str">
        <f t="shared" si="104"/>
        <v/>
      </c>
      <c r="V759" s="420"/>
      <c r="W759" s="421"/>
      <c r="X759" s="422" t="str">
        <f>IFERROR(IF($V755="Keep Contribution Same",H759,IF($V755="Enter Percentages",IF(V759="","",V759*T759),IF($V755="Keep Percentage Same",IF(G759="","",G759*T759),IF($V755="Enter Dollar Amount",IF(W759="","",W759),"")))),"")</f>
        <v/>
      </c>
      <c r="Y759" s="417" t="str">
        <f t="shared" ca="1" si="105"/>
        <v/>
      </c>
      <c r="Z759" s="419" t="str">
        <f t="shared" si="106"/>
        <v/>
      </c>
    </row>
    <row r="760" spans="1:26" ht="18.75" customHeight="1" thickTop="1">
      <c r="A760" s="140"/>
      <c r="B760" s="140"/>
      <c r="D760" s="175" t="s">
        <v>329</v>
      </c>
      <c r="E760" s="424"/>
      <c r="F760" s="427"/>
      <c r="G760" s="426"/>
      <c r="H760" s="427"/>
      <c r="I760" s="428"/>
      <c r="J760" s="429" t="str">
        <f>IFERROR(IF(J756="","",SUM(J756:J759)),0)</f>
        <v/>
      </c>
      <c r="K760" s="1"/>
      <c r="L760" s="424"/>
      <c r="M760" s="427"/>
      <c r="N760" s="426"/>
      <c r="O760" s="427"/>
      <c r="P760" s="431"/>
      <c r="Q760" s="432"/>
      <c r="R760" s="429" t="str">
        <f>IFERROR(IF(R756="","",SUM(R756:R759)),0)</f>
        <v/>
      </c>
      <c r="T760" s="424"/>
      <c r="U760" s="427"/>
      <c r="V760" s="426"/>
      <c r="W760" s="427"/>
      <c r="X760" s="431"/>
      <c r="Y760" s="432"/>
      <c r="Z760" s="429" t="str">
        <f>IFERROR(IF(Z756="","",SUM(Z756:Z759)),0)</f>
        <v/>
      </c>
    </row>
    <row r="761" spans="1:26" ht="18.75" customHeight="1">
      <c r="A761" s="140"/>
      <c r="B761" s="140"/>
      <c r="D761" s="177" t="s">
        <v>243</v>
      </c>
      <c r="E761" s="433"/>
      <c r="F761" s="436"/>
      <c r="G761" s="435"/>
      <c r="H761" s="436"/>
      <c r="I761" s="432"/>
      <c r="J761" s="437" t="str">
        <f>IF(J760="","",J760*12)</f>
        <v/>
      </c>
      <c r="K761" s="1"/>
      <c r="L761" s="433"/>
      <c r="M761" s="436"/>
      <c r="N761" s="435"/>
      <c r="O761" s="436"/>
      <c r="P761" s="432"/>
      <c r="Q761" s="432"/>
      <c r="R761" s="437" t="str">
        <f>IF(R760="","",R760*12)</f>
        <v/>
      </c>
      <c r="T761" s="433"/>
      <c r="U761" s="436"/>
      <c r="V761" s="435"/>
      <c r="W761" s="436"/>
      <c r="X761" s="432"/>
      <c r="Y761" s="432"/>
      <c r="Z761" s="437" t="str">
        <f>IF(Z760="","",Z760*12)</f>
        <v/>
      </c>
    </row>
    <row r="762" spans="1:26" ht="18" customHeight="1">
      <c r="A762" s="140"/>
      <c r="B762" s="140"/>
      <c r="D762" s="177" t="s">
        <v>244</v>
      </c>
      <c r="E762" s="433"/>
      <c r="F762" s="436"/>
      <c r="G762" s="435"/>
      <c r="H762" s="436"/>
      <c r="I762" s="432"/>
      <c r="J762" s="437" t="str">
        <f>IFERROR(IF(J761="","",R761-J761),0)</f>
        <v/>
      </c>
      <c r="K762" s="1"/>
      <c r="L762" s="433"/>
      <c r="M762" s="436"/>
      <c r="N762" s="435"/>
      <c r="O762" s="436"/>
      <c r="P762" s="432"/>
      <c r="Q762" s="432"/>
      <c r="R762" s="437" t="str">
        <f>IFERROR(IF(J761="","",R761-J761),0)</f>
        <v/>
      </c>
      <c r="T762" s="433"/>
      <c r="U762" s="436"/>
      <c r="V762" s="435"/>
      <c r="W762" s="436"/>
      <c r="X762" s="432"/>
      <c r="Y762" s="432"/>
      <c r="Z762" s="437" t="str">
        <f>IFERROR(IF(R761="","",Z761-R761),0)</f>
        <v/>
      </c>
    </row>
    <row r="763" spans="1:26" ht="18" customHeight="1" thickBot="1">
      <c r="A763" s="140"/>
      <c r="B763" s="140"/>
      <c r="D763" s="180" t="s">
        <v>245</v>
      </c>
      <c r="E763" s="439"/>
      <c r="F763" s="440"/>
      <c r="G763" s="441"/>
      <c r="H763" s="440"/>
      <c r="I763" s="442"/>
      <c r="J763" s="437" t="str">
        <f>IFERROR(IF(J761="","",(R761/J761)-1),0)</f>
        <v/>
      </c>
      <c r="K763" s="1"/>
      <c r="L763" s="439"/>
      <c r="M763" s="440"/>
      <c r="N763" s="441"/>
      <c r="O763" s="440"/>
      <c r="P763" s="445"/>
      <c r="Q763" s="445"/>
      <c r="R763" s="446" t="str">
        <f>IFERROR(IF(J761="","",(R761/J761)-1),0)</f>
        <v/>
      </c>
      <c r="T763" s="439"/>
      <c r="U763" s="440"/>
      <c r="V763" s="441"/>
      <c r="W763" s="440"/>
      <c r="X763" s="445"/>
      <c r="Y763" s="445"/>
      <c r="Z763" s="446" t="str">
        <f>IFERROR(IF(R761="","",(Z761/R761)-1),0)</f>
        <v/>
      </c>
    </row>
    <row r="764" spans="1:140" s="162" customFormat="1" ht="5.25" customHeight="1" thickBot="1">
      <c r="A764" s="140"/>
      <c r="B764" s="140"/>
      <c r="C764" s="141"/>
      <c r="D764" s="229"/>
      <c r="E764" s="229"/>
      <c r="F764" s="230"/>
      <c r="G764" s="231"/>
      <c r="H764" s="232"/>
      <c r="I764" s="233"/>
      <c r="J764" s="233"/>
      <c r="K764"/>
      <c r="L764" s="233"/>
      <c r="M764" s="233"/>
      <c r="N764" s="233"/>
      <c r="O764" s="233"/>
      <c r="P764" s="233"/>
      <c r="Q764" s="233"/>
      <c r="R764" s="233"/>
      <c r="S764" s="1"/>
      <c r="T764" s="233"/>
      <c r="U764" s="233"/>
      <c r="V764" s="233"/>
      <c r="W764" s="233"/>
      <c r="X764" s="233"/>
      <c r="Y764" s="233"/>
      <c r="Z764" s="233"/>
      <c r="AA764" s="1"/>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row>
    <row r="765" spans="1:27" ht="38.25" customHeight="1" thickTop="1" thickBot="1">
      <c r="A765" s="153"/>
      <c r="B765" s="153"/>
      <c r="C765" s="234"/>
      <c r="D765" s="484" t="s">
        <v>299</v>
      </c>
      <c r="E765" s="485"/>
      <c r="F765" s="485"/>
      <c r="G765" s="485"/>
      <c r="H765" s="485"/>
      <c r="I765" s="485"/>
      <c r="J765" s="485"/>
      <c r="K765" s="485"/>
      <c r="L765" s="485"/>
      <c r="M765" s="485"/>
      <c r="N765" s="485"/>
      <c r="O765" s="485"/>
      <c r="P765" s="485"/>
      <c r="Q765" s="485"/>
      <c r="R765" s="486"/>
      <c r="S765" s="162"/>
      <c r="T765" s="163"/>
      <c r="U765" s="163"/>
      <c r="V765" s="163"/>
      <c r="W765" s="163"/>
      <c r="X765" s="163"/>
      <c r="Y765" s="163"/>
      <c r="Z765" s="163"/>
      <c r="AA765" s="162"/>
    </row>
    <row r="766" spans="1:26" ht="50.15" customHeight="1">
      <c r="A766" s="140">
        <v>1</v>
      </c>
      <c r="B766" s="140" t="str">
        <f>IF(A766&gt;Class7_CurrentVisionCount,"DELETE",Class7_CurrentVisionStart+A766)</f>
        <v>DELETE</v>
      </c>
      <c r="C766" s="164" t="s">
        <v>300</v>
      </c>
      <c r="D766" s="273" t="str">
        <f>IF(B766="Delete","",VLOOKUP(F766,BEGIN_CURRENT_VISION:END_CURRENT_VISION,3,FALSE))</f>
        <v/>
      </c>
      <c r="E766" s="165"/>
      <c r="F766" s="272" t="str" cm="1">
        <f t="array" ca="1" aca="1" ref="F766">IF(B766="Delete","",INDIRECT("CurrentPlans!A"&amp;B766,TRUE))</f>
        <v/>
      </c>
      <c r="G766" s="166"/>
      <c r="H766" s="167"/>
      <c r="I766" s="168"/>
      <c r="J766" s="169"/>
      <c r="K766"/>
      <c r="L766" s="274" t="str">
        <f ca="1">_xlfn.IFNA(VLOOKUP(F766,BEGIN_RENEWEDFROM_DENTAL:ROW_RenewDental_PlanID,3,FALSE),"SELECT PLAN")</f>
        <v>SELECT PLAN</v>
      </c>
      <c r="M766" s="170"/>
      <c r="N766" s="274" t="s">
        <v>237</v>
      </c>
      <c r="O766" s="171"/>
      <c r="P766" s="171"/>
      <c r="Q766" s="171"/>
      <c r="R766" s="169"/>
      <c r="T766" s="274" t="s">
        <v>38</v>
      </c>
      <c r="U766" s="170"/>
      <c r="V766" s="274" t="s">
        <v>237</v>
      </c>
      <c r="W766" s="171"/>
      <c r="X766" s="171"/>
      <c r="Y766" s="171"/>
      <c r="Z766" s="169"/>
    </row>
    <row r="767" spans="1:26" ht="18.75" customHeight="1">
      <c r="A767" s="140"/>
      <c r="B767" s="140"/>
      <c r="D767" s="172" t="s">
        <v>238</v>
      </c>
      <c r="E767" s="407" t="str">
        <f ca="1">_xlfn.IFNA(VLOOKUP(F766,BEGIN_CURRENT_VISION:END_CURRENT_VISION,CURRENT_COL_EO_count,FALSE),"")</f>
        <v/>
      </c>
      <c r="F767" s="408" t="str">
        <f ca="1">_xlfn.IFNA(VLOOKUP(F766,BEGIN_CURRENT_VISION:END_CURRENT_VISION,CURRENT_COL_EO,FALSE),"")</f>
        <v/>
      </c>
      <c r="G767" s="468" t="str">
        <f ca="1" t="shared" si="107" ref="G767:G770">IF(F767="","",H767/F767)</f>
        <v/>
      </c>
      <c r="H767" s="408" t="str">
        <f ca="1">_xlfn.IFNA(VLOOKUP(F766,BEGIN_CURRENT_VISION:END_CURRENT_VISION,CURRENT_COL_EOContrib,FALSE),"")</f>
        <v/>
      </c>
      <c r="I767" s="409" t="str">
        <f ca="1">IFERROR(F767-H767,"")</f>
        <v/>
      </c>
      <c r="J767" s="410" t="str">
        <f ca="1">IF(F767="","",H767*E767)</f>
        <v/>
      </c>
      <c r="K767" s="411"/>
      <c r="L767" s="408" t="str" cm="1">
        <f t="array" ca="1" aca="1" ref="L767">_xlfn.IFNA(VLOOKUP(INDIRECT("L"&amp;ROW()-1)&amp;"_"&amp;$D$12,BEGIN_Renew_Vision:END_RENEW_VISION,RENEW_COL_EO,FALSE),"")</f>
        <v/>
      </c>
      <c r="M767" s="412" t="str">
        <f ca="1">IF(E767="","",E767)</f>
        <v/>
      </c>
      <c r="N767" s="413"/>
      <c r="O767" s="414"/>
      <c r="P767" s="415" t="str">
        <f>IFERROR(IF($N766="Keep Contribution Same",H767,IF($N766="Enter Percentages",IF(N767="","",N767*L767),IF($N766="Keep Percentage Same",IF(G767="","",G767*L767),IF($N766="Enter Dollar Amount",IF(O767="","",O767),"")))),"")</f>
        <v/>
      </c>
      <c r="Q767" s="408" t="str">
        <f ca="1">IFERROR(L767-P767,"")</f>
        <v/>
      </c>
      <c r="R767" s="410" t="str">
        <f>IFERROR(IF(P767="","",M767*P767),"")</f>
        <v/>
      </c>
      <c r="S767" s="411"/>
      <c r="T767" s="408" t="str" cm="1">
        <f t="array" ca="1" aca="1" ref="T767">_xlfn.IFNA(VLOOKUP(INDIRECT("T"&amp;ROW()-1)&amp;"_"&amp;$D$12,BEGIN_Renew_Vision:END_RENEW_VISION,RENEW_COL_EO,FALSE),"")</f>
        <v/>
      </c>
      <c r="U767" s="412" t="str">
        <f ca="1">IF(E767="","",E767)</f>
        <v/>
      </c>
      <c r="V767" s="413"/>
      <c r="W767" s="414"/>
      <c r="X767" s="415" t="str">
        <f>IFERROR(IF($V766="Keep Contribution Same",H767,IF($V766="Enter Percentages",IF(V767="","",V767*T767),IF($V766="Keep Percentage Same",IF(G767="","",G767*T767),IF($V766="Enter Dollar Amount",IF(W767="","",W767),"")))),"")</f>
        <v/>
      </c>
      <c r="Y767" s="408" t="str">
        <f ca="1">IFERROR(T767-X767,"")</f>
        <v/>
      </c>
      <c r="Z767" s="410" t="str">
        <f>IFERROR(IF(X767="","",U767*X767),"")</f>
        <v/>
      </c>
    </row>
    <row r="768" spans="1:26" ht="18.75" customHeight="1">
      <c r="A768" s="140"/>
      <c r="B768" s="140"/>
      <c r="D768" s="172" t="s">
        <v>239</v>
      </c>
      <c r="E768" s="407" t="str">
        <f ca="1">_xlfn.IFNA(VLOOKUP(F766,BEGIN_CURRENT_VISION:END_CURRENT_VISION,CURRENT_COL_ES_count,FALSE),"")</f>
        <v/>
      </c>
      <c r="F768" s="408" t="str">
        <f ca="1">_xlfn.IFNA(VLOOKUP(F766,BEGIN_CURRENT_VISION:END_CURRENT_VISION,CURRENT_COL_ES,FALSE),"")</f>
        <v/>
      </c>
      <c r="G768" s="468" t="str">
        <f t="shared" ca="1" si="107"/>
        <v/>
      </c>
      <c r="H768" s="408" t="str">
        <f ca="1">_xlfn.IFNA(VLOOKUP(F766,BEGIN_CURRENT_VISION:END_CURRENT_VISION,CURRENT_COL_ESContrib,FALSE),"")</f>
        <v/>
      </c>
      <c r="I768" s="409" t="str">
        <f ca="1" t="shared" si="108" ref="I768:I770">IFERROR(F768-H768,"")</f>
        <v/>
      </c>
      <c r="J768" s="410" t="str">
        <f ca="1" t="shared" si="109" ref="J768:J770">IF(F768="","",H768*E768)</f>
        <v/>
      </c>
      <c r="K768" s="411"/>
      <c r="L768" s="408" t="str" cm="1">
        <f t="array" ca="1" aca="1" ref="L768">_xlfn.IFNA(VLOOKUP(INDIRECT("L"&amp;ROW()-2)&amp;"_"&amp;$D$12,BEGIN_Renew_Vision:END_RENEW_VISION,RENEW_COL_ES,FALSE),"")</f>
        <v/>
      </c>
      <c r="M768" s="412" t="str">
        <f ca="1">IF(E768="","",E768)</f>
        <v/>
      </c>
      <c r="N768" s="413"/>
      <c r="O768" s="414"/>
      <c r="P768" s="415" t="str">
        <f>IFERROR(IF($N766="Keep Contribution Same",H768,IF($N766="Enter Percentages",IF(N768="","",N768*L768),IF($N766="Keep Percentage Same",IF(G768="","",G768*L768),IF($N766="Enter Dollar Amount",IF(O768="","",O768),"")))),"")</f>
        <v/>
      </c>
      <c r="Q768" s="408" t="str">
        <f ca="1" t="shared" si="110" ref="Q768:Q770">IFERROR(L768-P768,"")</f>
        <v/>
      </c>
      <c r="R768" s="410" t="str">
        <f>IFERROR(IF(P768="","",M768*P768),"")</f>
        <v/>
      </c>
      <c r="S768" s="411"/>
      <c r="T768" s="408" t="str" cm="1">
        <f t="array" ca="1" aca="1" ref="T768">_xlfn.IFNA(VLOOKUP(INDIRECT("T"&amp;ROW()-2)&amp;"_"&amp;$D$12,BEGIN_Renew_Vision:END_RENEW_VISION,RENEW_COL_ES,FALSE),"")</f>
        <v/>
      </c>
      <c r="U768" s="412" t="str">
        <f ca="1" t="shared" si="111" ref="U768:U770">IF(E768="","",E768)</f>
        <v/>
      </c>
      <c r="V768" s="413"/>
      <c r="W768" s="414"/>
      <c r="X768" s="415" t="str">
        <f>IFERROR(IF($V766="Keep Contribution Same",H768,IF($V766="Enter Percentages",IF(V768="","",V768*T768),IF($V766="Keep Percentage Same",IF(G768="","",G768*T768),IF($V766="Enter Dollar Amount",IF(W768="","",W768),"")))),"")</f>
        <v/>
      </c>
      <c r="Y768" s="408" t="str">
        <f ca="1" t="shared" si="112" ref="Y768:Y770">IFERROR(T768-X768,"")</f>
        <v/>
      </c>
      <c r="Z768" s="410" t="str">
        <f t="shared" si="113" ref="Z768:Z770">IFERROR(IF(X768="","",U768*X768),"")</f>
        <v/>
      </c>
    </row>
    <row r="769" spans="1:26" ht="18.75" customHeight="1">
      <c r="A769" s="140"/>
      <c r="B769" s="140"/>
      <c r="D769" s="172" t="s">
        <v>240</v>
      </c>
      <c r="E769" s="407" t="str">
        <f ca="1">_xlfn.IFNA(VLOOKUP(F766,BEGIN_CURRENT_VISION:END_CURRENT_VISION,CURRENT_COL_EC_count,FALSE),"")</f>
        <v/>
      </c>
      <c r="F769" s="408" t="str">
        <f ca="1">_xlfn.IFNA(VLOOKUP(F766,BEGIN_CURRENT_VISION:END_CURRENT_VISION,CURRENT_COL_EC,FALSE),"")</f>
        <v/>
      </c>
      <c r="G769" s="468" t="str">
        <f t="shared" ca="1" si="107"/>
        <v/>
      </c>
      <c r="H769" s="408" t="str">
        <f ca="1">_xlfn.IFNA(VLOOKUP(F766,BEGIN_CURRENT_VISION:END_CURRENT_VISION,CURRENT_COL_ECContrib,FALSE),"")</f>
        <v/>
      </c>
      <c r="I769" s="409" t="str">
        <f t="shared" ca="1" si="108"/>
        <v/>
      </c>
      <c r="J769" s="410" t="str">
        <f t="shared" ca="1" si="109"/>
        <v/>
      </c>
      <c r="K769" s="411"/>
      <c r="L769" s="408" t="str" cm="1">
        <f t="array" ca="1" aca="1" ref="L769">_xlfn.IFNA(VLOOKUP(INDIRECT("L"&amp;ROW()-3)&amp;"_"&amp;$D$12,BEGIN_Renew_Vision:END_RENEW_VISION,RENEW_COL_EC,FALSE),"")</f>
        <v/>
      </c>
      <c r="M769" s="412" t="str">
        <f ca="1">IF(E769="","",E769)</f>
        <v/>
      </c>
      <c r="N769" s="413"/>
      <c r="O769" s="414"/>
      <c r="P769" s="415" t="str">
        <f>IFERROR(IF($N766="Keep Contribution Same",H769,IF($N766="Enter Percentages",IF(N769="","",N769*L769),IF($N766="Keep Percentage Same",IF(G769="","",G769*L769),IF($N766="Enter Dollar Amount",IF(O769="","",O769),"")))),"")</f>
        <v/>
      </c>
      <c r="Q769" s="408" t="str">
        <f t="shared" ca="1" si="110"/>
        <v/>
      </c>
      <c r="R769" s="410" t="str">
        <f>IFERROR(IF(P769="","",M769*P769),"")</f>
        <v/>
      </c>
      <c r="S769" s="411"/>
      <c r="T769" s="408" t="str" cm="1">
        <f t="array" ca="1" aca="1" ref="T769">_xlfn.IFNA(VLOOKUP(INDIRECT("T"&amp;ROW()-3)&amp;"_"&amp;$D$12,BEGIN_Renew_Vision:END_RENEW_VISION,RENEW_COL_EC,FALSE),"")</f>
        <v/>
      </c>
      <c r="U769" s="412" t="str">
        <f t="shared" ca="1" si="111"/>
        <v/>
      </c>
      <c r="V769" s="413"/>
      <c r="W769" s="414"/>
      <c r="X769" s="415" t="str">
        <f>IFERROR(IF($V766="Keep Contribution Same",H769,IF($V766="Enter Percentages",IF(V769="","",V769*T769),IF($V766="Keep Percentage Same",IF(G769="","",G769*T769),IF($V766="Enter Dollar Amount",IF(W769="","",W769),"")))),"")</f>
        <v/>
      </c>
      <c r="Y769" s="408" t="str">
        <f t="shared" ca="1" si="112"/>
        <v/>
      </c>
      <c r="Z769" s="410" t="str">
        <f t="shared" si="113"/>
        <v/>
      </c>
    </row>
    <row r="770" spans="1:26" ht="18.75" customHeight="1" thickBot="1">
      <c r="A770" s="140"/>
      <c r="B770" s="140"/>
      <c r="D770" s="174" t="s">
        <v>241</v>
      </c>
      <c r="E770" s="416" t="str">
        <f ca="1">_xlfn.IFNA(VLOOKUP(F766,BEGIN_CURRENT_VISION:END_CURRENT_VISION,CURRENT_COL_FAM_count,FALSE),"")</f>
        <v/>
      </c>
      <c r="F770" s="417" t="str">
        <f ca="1">_xlfn.IFNA(VLOOKUP(F766,BEGIN_CURRENT_VISION:END_CURRENT_VISION,CURRENT_COL_FAM,FALSE),"")</f>
        <v/>
      </c>
      <c r="G770" s="469" t="str">
        <f t="shared" ca="1" si="107"/>
        <v/>
      </c>
      <c r="H770" s="417" t="str">
        <f ca="1">_xlfn.IFNA(VLOOKUP(F766,BEGIN_CURRENT_VISION:END_CURRENT_VISION,CURRENT_COL_FAMContrib,FALSE),"")</f>
        <v/>
      </c>
      <c r="I770" s="409" t="str">
        <f t="shared" ca="1" si="108"/>
        <v/>
      </c>
      <c r="J770" s="410" t="str">
        <f t="shared" ca="1" si="109"/>
        <v/>
      </c>
      <c r="K770" s="411"/>
      <c r="L770" s="417" t="str" cm="1">
        <f t="array" ca="1" aca="1" ref="L770">_xlfn.IFNA(VLOOKUP(INDIRECT("L"&amp;ROW()-4)&amp;"_"&amp;$D$12,BEGIN_Renew_Vision:END_RENEW_VISION,RENEW_COL_FAM,FALSE),"")</f>
        <v/>
      </c>
      <c r="M770" s="423" t="str">
        <f ca="1">IF(E770="","",E770)</f>
        <v/>
      </c>
      <c r="N770" s="420"/>
      <c r="O770" s="421"/>
      <c r="P770" s="422" t="str">
        <f>IFERROR(IF($N766="Keep Contribution Same",H770,IF($N766="Enter Percentages",IF(N770="","",N770*L770),IF($N766="Keep Percentage Same",IF(G770="","",G770*L770),IF($N766="Enter Dollar Amount",IF(O770="","",O770),"")))),"")</f>
        <v/>
      </c>
      <c r="Q770" s="417" t="str">
        <f t="shared" ca="1" si="110"/>
        <v/>
      </c>
      <c r="R770" s="419" t="str">
        <f>IFERROR(IF(P770="","",M770*P770),"")</f>
        <v/>
      </c>
      <c r="S770" s="411"/>
      <c r="T770" s="417" t="str" cm="1">
        <f t="array" ca="1" aca="1" ref="T770">_xlfn.IFNA(VLOOKUP(INDIRECT("T"&amp;ROW()-4)&amp;"_"&amp;$D$12,BEGIN_Renew_Vision:END_RENEW_VISION,RENEW_COL_FAM,FALSE),"")</f>
        <v/>
      </c>
      <c r="U770" s="423" t="str">
        <f t="shared" ca="1" si="111"/>
        <v/>
      </c>
      <c r="V770" s="420"/>
      <c r="W770" s="421"/>
      <c r="X770" s="422" t="str">
        <f>IFERROR(IF($V766="Keep Contribution Same",H770,IF($V766="Enter Percentages",IF(V770="","",V770*T770),IF($V766="Keep Percentage Same",IF(G770="","",G770*T770),IF($V766="Enter Dollar Amount",IF(W770="","",W770),"")))),"")</f>
        <v/>
      </c>
      <c r="Y770" s="417" t="str">
        <f t="shared" ca="1" si="112"/>
        <v/>
      </c>
      <c r="Z770" s="419" t="str">
        <f t="shared" si="113"/>
        <v/>
      </c>
    </row>
    <row r="771" spans="1:26" ht="18.75" customHeight="1" thickTop="1">
      <c r="A771" s="140"/>
      <c r="B771" s="140"/>
      <c r="D771" s="175" t="s">
        <v>329</v>
      </c>
      <c r="E771" s="424"/>
      <c r="F771" s="427"/>
      <c r="G771" s="426"/>
      <c r="H771" s="427"/>
      <c r="I771" s="428"/>
      <c r="J771" s="429" t="str">
        <f ca="1">IFERROR(IF(J767="","",SUM(J767:J770)),0)</f>
        <v/>
      </c>
      <c r="K771" s="1"/>
      <c r="L771" s="424"/>
      <c r="M771" s="427"/>
      <c r="N771" s="426"/>
      <c r="O771" s="427"/>
      <c r="P771" s="431"/>
      <c r="Q771" s="432"/>
      <c r="R771" s="429" t="str">
        <f>IFERROR(IF(R767="","",SUM(R767:R770)),0)</f>
        <v/>
      </c>
      <c r="T771" s="424"/>
      <c r="U771" s="427"/>
      <c r="V771" s="426"/>
      <c r="W771" s="427"/>
      <c r="X771" s="431"/>
      <c r="Y771" s="432"/>
      <c r="Z771" s="429" t="str">
        <f>IFERROR(IF(Z767="","",SUM(Z767:Z770)),0)</f>
        <v/>
      </c>
    </row>
    <row r="772" spans="1:26" ht="18.75" customHeight="1">
      <c r="A772" s="140"/>
      <c r="B772" s="140"/>
      <c r="D772" s="177" t="s">
        <v>243</v>
      </c>
      <c r="E772" s="433"/>
      <c r="F772" s="436"/>
      <c r="G772" s="435"/>
      <c r="H772" s="436"/>
      <c r="I772" s="432"/>
      <c r="J772" s="437" t="str">
        <f ca="1">IF(J771="","",J771*12)</f>
        <v/>
      </c>
      <c r="K772" s="1"/>
      <c r="L772" s="433"/>
      <c r="M772" s="436"/>
      <c r="N772" s="435"/>
      <c r="O772" s="436"/>
      <c r="P772" s="432"/>
      <c r="Q772" s="432"/>
      <c r="R772" s="437" t="str">
        <f>IF(R771="","",R771*12)</f>
        <v/>
      </c>
      <c r="T772" s="433"/>
      <c r="U772" s="436"/>
      <c r="V772" s="435"/>
      <c r="W772" s="436"/>
      <c r="X772" s="432"/>
      <c r="Y772" s="432"/>
      <c r="Z772" s="437" t="str">
        <f>IF(Z771="","",Z771*12)</f>
        <v/>
      </c>
    </row>
    <row r="773" spans="1:26" ht="18" customHeight="1">
      <c r="A773" s="140"/>
      <c r="B773" s="140"/>
      <c r="D773" s="177" t="s">
        <v>244</v>
      </c>
      <c r="E773" s="433"/>
      <c r="F773" s="436"/>
      <c r="G773" s="435"/>
      <c r="H773" s="436"/>
      <c r="I773" s="432"/>
      <c r="J773" s="437" t="str">
        <f ca="1">IFERROR(IF(J772="","",R772-J772),0)</f>
        <v/>
      </c>
      <c r="K773" s="1"/>
      <c r="L773" s="433"/>
      <c r="M773" s="436"/>
      <c r="N773" s="435"/>
      <c r="O773" s="436"/>
      <c r="P773" s="432"/>
      <c r="Q773" s="432"/>
      <c r="R773" s="437" t="str">
        <f ca="1">IFERROR(IF(J772="","",R772-J772),0)</f>
        <v/>
      </c>
      <c r="T773" s="433"/>
      <c r="U773" s="436"/>
      <c r="V773" s="435"/>
      <c r="W773" s="436"/>
      <c r="X773" s="432"/>
      <c r="Y773" s="432"/>
      <c r="Z773" s="437" t="str">
        <f>IFERROR(IF(R772="","",Z772-R772),0)</f>
        <v/>
      </c>
    </row>
    <row r="774" spans="1:26" ht="18" customHeight="1" thickBot="1">
      <c r="A774" s="140"/>
      <c r="B774" s="140"/>
      <c r="D774" s="180" t="s">
        <v>245</v>
      </c>
      <c r="E774" s="439"/>
      <c r="F774" s="440"/>
      <c r="G774" s="441"/>
      <c r="H774" s="440"/>
      <c r="I774" s="442"/>
      <c r="J774" s="437" t="str">
        <f ca="1">IFERROR(IF(J772="","",(R772/J772)-1),0)</f>
        <v/>
      </c>
      <c r="K774" s="1"/>
      <c r="L774" s="439"/>
      <c r="M774" s="440"/>
      <c r="N774" s="441"/>
      <c r="O774" s="440"/>
      <c r="P774" s="445"/>
      <c r="Q774" s="445"/>
      <c r="R774" s="446" t="str">
        <f ca="1">IFERROR(IF(J772="","",(R772/J772)-1),0)</f>
        <v/>
      </c>
      <c r="T774" s="439"/>
      <c r="U774" s="440"/>
      <c r="V774" s="441"/>
      <c r="W774" s="440"/>
      <c r="X774" s="445"/>
      <c r="Y774" s="445"/>
      <c r="Z774" s="446" t="str">
        <f>IFERROR(IF(R772="","",(Z772/R772)-1),0)</f>
        <v/>
      </c>
    </row>
    <row r="775" spans="1:26" ht="5.25" customHeight="1" thickBot="1">
      <c r="A775" s="140"/>
      <c r="B775" s="140"/>
      <c r="D775" s="229"/>
      <c r="E775" s="229"/>
      <c r="F775" s="230"/>
      <c r="G775" s="231"/>
      <c r="H775" s="232"/>
      <c r="I775" s="233"/>
      <c r="J775" s="233"/>
      <c r="K775"/>
      <c r="L775" s="233"/>
      <c r="M775" s="233"/>
      <c r="N775" s="233"/>
      <c r="O775" s="233"/>
      <c r="P775" s="233"/>
      <c r="Q775" s="233"/>
      <c r="R775" s="233"/>
      <c r="T775" s="233"/>
      <c r="U775" s="233"/>
      <c r="V775" s="233"/>
      <c r="W775" s="233"/>
      <c r="X775" s="233"/>
      <c r="Y775" s="233"/>
      <c r="Z775" s="233"/>
    </row>
    <row r="776" spans="1:26" ht="50.15" customHeight="1">
      <c r="A776" s="140">
        <v>2</v>
      </c>
      <c r="B776" s="140" t="str">
        <f>IF(A776&gt;Class7_CurrentVisionCount,"DELETE",Class7_CurrentVisionStart+A776)</f>
        <v>DELETE</v>
      </c>
      <c r="C776" s="164" t="s">
        <v>301</v>
      </c>
      <c r="D776" s="273" t="str">
        <f>IF(B776="Delete","",VLOOKUP(F776,BEGIN_CURRENT_VISION:END_CURRENT_VISION,3,FALSE))</f>
        <v/>
      </c>
      <c r="E776" s="165"/>
      <c r="F776" s="272" t="str" cm="1">
        <f t="array" ca="1" aca="1" ref="F776">IF(B776="Delete","",INDIRECT("CurrentPlans!A"&amp;B776,TRUE))</f>
        <v/>
      </c>
      <c r="G776" s="166"/>
      <c r="H776" s="167"/>
      <c r="I776" s="168"/>
      <c r="J776" s="169"/>
      <c r="K776"/>
      <c r="L776" s="274" t="str">
        <f ca="1">_xlfn.IFNA(VLOOKUP(F776,BEGIN_RENEWEDFROM_DENTAL:ROW_RenewDental_PlanID,3,FALSE),"SELECT PLAN")</f>
        <v>SELECT PLAN</v>
      </c>
      <c r="M776" s="170"/>
      <c r="N776" s="274" t="s">
        <v>237</v>
      </c>
      <c r="O776" s="171"/>
      <c r="P776" s="171"/>
      <c r="Q776" s="171"/>
      <c r="R776" s="169"/>
      <c r="T776" s="274" t="s">
        <v>38</v>
      </c>
      <c r="U776" s="170"/>
      <c r="V776" s="274" t="s">
        <v>237</v>
      </c>
      <c r="W776" s="171"/>
      <c r="X776" s="171"/>
      <c r="Y776" s="171"/>
      <c r="Z776" s="169"/>
    </row>
    <row r="777" spans="1:26" ht="18.75" customHeight="1">
      <c r="A777" s="140"/>
      <c r="B777" s="140"/>
      <c r="D777" s="172" t="s">
        <v>238</v>
      </c>
      <c r="E777" s="407" t="str">
        <f ca="1">_xlfn.IFNA(VLOOKUP(F776,BEGIN_CURRENT_VISION:END_CURRENT_VISION,CURRENT_COL_EO_count,FALSE),"")</f>
        <v/>
      </c>
      <c r="F777" s="408" t="str">
        <f ca="1">_xlfn.IFNA(VLOOKUP(F776,BEGIN_CURRENT_VISION:END_CURRENT_VISION,CURRENT_COL_EO,FALSE),"")</f>
        <v/>
      </c>
      <c r="G777" s="468" t="str">
        <f ca="1" t="shared" si="114" ref="G777:G780">IF(F777="","",H777/F777)</f>
        <v/>
      </c>
      <c r="H777" s="408" t="str">
        <f ca="1">_xlfn.IFNA(VLOOKUP(F776,BEGIN_CURRENT_VISION:END_CURRENT_VISION,CURRENT_COL_EOContrib,FALSE),"")</f>
        <v/>
      </c>
      <c r="I777" s="409" t="str">
        <f ca="1">IFERROR(F777-H777,"")</f>
        <v/>
      </c>
      <c r="J777" s="410" t="str">
        <f ca="1">IF(F777="","",H777*E777)</f>
        <v/>
      </c>
      <c r="K777" s="411"/>
      <c r="L777" s="408" t="str" cm="1">
        <f t="array" ca="1" aca="1" ref="L777">_xlfn.IFNA(VLOOKUP(INDIRECT("L"&amp;ROW()-1)&amp;"_"&amp;$D$12,BEGIN_Renew_Vision:END_RENEW_VISION,RENEW_COL_EO,FALSE),"")</f>
        <v/>
      </c>
      <c r="M777" s="412" t="str">
        <f ca="1">IF(E777="","",E777)</f>
        <v/>
      </c>
      <c r="N777" s="413"/>
      <c r="O777" s="414"/>
      <c r="P777" s="415" t="str">
        <f>IFERROR(IF($N776="Keep Contribution Same",H777,IF($N776="Enter Percentages",IF(N777="","",N777*L777),IF($N776="Keep Percentage Same",IF(G777="","",G777*L777),IF($N776="Enter Dollar Amount",IF(O777="","",O777),"")))),"")</f>
        <v/>
      </c>
      <c r="Q777" s="408" t="str">
        <f ca="1">IFERROR(L777-P777,"")</f>
        <v/>
      </c>
      <c r="R777" s="410" t="str">
        <f>IFERROR(IF(P777="","",M777*P777),"")</f>
        <v/>
      </c>
      <c r="S777" s="411"/>
      <c r="T777" s="408" t="str" cm="1">
        <f t="array" ca="1" aca="1" ref="T777">_xlfn.IFNA(VLOOKUP(INDIRECT("T"&amp;ROW()-1)&amp;"_"&amp;$D$12,BEGIN_Renew_Vision:END_RENEW_VISION,RENEW_COL_EO,FALSE),"")</f>
        <v/>
      </c>
      <c r="U777" s="412" t="str">
        <f ca="1">IF(E777="","",E777)</f>
        <v/>
      </c>
      <c r="V777" s="413"/>
      <c r="W777" s="414"/>
      <c r="X777" s="415" t="str">
        <f>IFERROR(IF($V776="Keep Contribution Same",H777,IF($V776="Enter Percentages",IF(V777="","",V777*T777),IF($V776="Keep Percentage Same",IF(G777="","",G777*T777),IF($V776="Enter Dollar Amount",IF(W777="","",W777),"")))),"")</f>
        <v/>
      </c>
      <c r="Y777" s="408" t="str">
        <f ca="1">IFERROR(T777-X777,"")</f>
        <v/>
      </c>
      <c r="Z777" s="410" t="str">
        <f>IFERROR(IF(X777="","",U777*X777),"")</f>
        <v/>
      </c>
    </row>
    <row r="778" spans="1:26" ht="18.75" customHeight="1">
      <c r="A778" s="140"/>
      <c r="B778" s="140"/>
      <c r="D778" s="172" t="s">
        <v>239</v>
      </c>
      <c r="E778" s="407" t="str">
        <f ca="1">_xlfn.IFNA(VLOOKUP(F776,BEGIN_CURRENT_VISION:END_CURRENT_VISION,CURRENT_COL_ES_count,FALSE),"")</f>
        <v/>
      </c>
      <c r="F778" s="408" t="str">
        <f ca="1">_xlfn.IFNA(VLOOKUP(F776,BEGIN_CURRENT_VISION:END_CURRENT_VISION,CURRENT_COL_ES,FALSE),"")</f>
        <v/>
      </c>
      <c r="G778" s="468" t="str">
        <f t="shared" ca="1" si="114"/>
        <v/>
      </c>
      <c r="H778" s="408" t="str">
        <f ca="1">_xlfn.IFNA(VLOOKUP(F776,BEGIN_CURRENT_VISION:END_CURRENT_VISION,CURRENT_COL_ESContrib,FALSE),"")</f>
        <v/>
      </c>
      <c r="I778" s="409" t="str">
        <f ca="1" t="shared" si="115" ref="I778:I780">IFERROR(F778-H778,"")</f>
        <v/>
      </c>
      <c r="J778" s="410" t="str">
        <f ca="1" t="shared" si="116" ref="J778:J780">IF(F778="","",H778*E778)</f>
        <v/>
      </c>
      <c r="K778" s="411"/>
      <c r="L778" s="408" t="str" cm="1">
        <f t="array" ca="1" aca="1" ref="L778">_xlfn.IFNA(VLOOKUP(INDIRECT("L"&amp;ROW()-2)&amp;"_"&amp;$D$12,BEGIN_Renew_Vision:END_RENEW_VISION,RENEW_COL_ES,FALSE),"")</f>
        <v/>
      </c>
      <c r="M778" s="412" t="str">
        <f ca="1">IF(E778="","",E778)</f>
        <v/>
      </c>
      <c r="N778" s="413"/>
      <c r="O778" s="414"/>
      <c r="P778" s="415" t="str">
        <f>IFERROR(IF($N776="Keep Contribution Same",H778,IF($N776="Enter Percentages",IF(N778="","",N778*L778),IF($N776="Keep Percentage Same",IF(G778="","",G778*L778),IF($N776="Enter Dollar Amount",IF(O778="","",O778),"")))),"")</f>
        <v/>
      </c>
      <c r="Q778" s="408" t="str">
        <f ca="1" t="shared" si="117" ref="Q778:Q780">IFERROR(L778-P778,"")</f>
        <v/>
      </c>
      <c r="R778" s="410" t="str">
        <f>IFERROR(IF(P778="","",M778*P778),"")</f>
        <v/>
      </c>
      <c r="S778" s="411"/>
      <c r="T778" s="408" t="str" cm="1">
        <f t="array" ca="1" aca="1" ref="T778">_xlfn.IFNA(VLOOKUP(INDIRECT("T"&amp;ROW()-2)&amp;"_"&amp;$D$12,BEGIN_Renew_Vision:END_RENEW_VISION,RENEW_COL_ES,FALSE),"")</f>
        <v/>
      </c>
      <c r="U778" s="412" t="str">
        <f ca="1" t="shared" si="118" ref="U778:U780">IF(E778="","",E778)</f>
        <v/>
      </c>
      <c r="V778" s="413"/>
      <c r="W778" s="414"/>
      <c r="X778" s="415" t="str">
        <f>IFERROR(IF($V776="Keep Contribution Same",H778,IF($V776="Enter Percentages",IF(V778="","",V778*T778),IF($V776="Keep Percentage Same",IF(G778="","",G778*T778),IF($V776="Enter Dollar Amount",IF(W778="","",W778),"")))),"")</f>
        <v/>
      </c>
      <c r="Y778" s="408" t="str">
        <f ca="1" t="shared" si="119" ref="Y778:Y780">IFERROR(T778-X778,"")</f>
        <v/>
      </c>
      <c r="Z778" s="410" t="str">
        <f t="shared" si="120" ref="Z778:Z780">IFERROR(IF(X778="","",U778*X778),"")</f>
        <v/>
      </c>
    </row>
    <row r="779" spans="1:26" ht="18.75" customHeight="1">
      <c r="A779" s="140"/>
      <c r="B779" s="140"/>
      <c r="D779" s="172" t="s">
        <v>240</v>
      </c>
      <c r="E779" s="407" t="str">
        <f ca="1">_xlfn.IFNA(VLOOKUP(F776,BEGIN_CURRENT_VISION:END_CURRENT_VISION,CURRENT_COL_EC_count,FALSE),"")</f>
        <v/>
      </c>
      <c r="F779" s="408" t="str">
        <f ca="1">_xlfn.IFNA(VLOOKUP(F776,BEGIN_CURRENT_VISION:END_CURRENT_VISION,CURRENT_COL_EC,FALSE),"")</f>
        <v/>
      </c>
      <c r="G779" s="468" t="str">
        <f t="shared" ca="1" si="114"/>
        <v/>
      </c>
      <c r="H779" s="408" t="str">
        <f ca="1">_xlfn.IFNA(VLOOKUP(F776,BEGIN_CURRENT_VISION:END_CURRENT_VISION,CURRENT_COL_ECContrib,FALSE),"")</f>
        <v/>
      </c>
      <c r="I779" s="409" t="str">
        <f t="shared" ca="1" si="115"/>
        <v/>
      </c>
      <c r="J779" s="410" t="str">
        <f t="shared" ca="1" si="116"/>
        <v/>
      </c>
      <c r="K779" s="411"/>
      <c r="L779" s="408" t="str" cm="1">
        <f t="array" ca="1" aca="1" ref="L779">_xlfn.IFNA(VLOOKUP(INDIRECT("L"&amp;ROW()-3)&amp;"_"&amp;$D$12,BEGIN_Renew_Vision:END_RENEW_VISION,RENEW_COL_EC,FALSE),"")</f>
        <v/>
      </c>
      <c r="M779" s="412" t="str">
        <f ca="1">IF(E779="","",E779)</f>
        <v/>
      </c>
      <c r="N779" s="413"/>
      <c r="O779" s="414"/>
      <c r="P779" s="415" t="str">
        <f>IFERROR(IF($N776="Keep Contribution Same",H779,IF($N776="Enter Percentages",IF(N779="","",N779*L779),IF($N776="Keep Percentage Same",IF(G779="","",G779*L779),IF($N776="Enter Dollar Amount",IF(O779="","",O779),"")))),"")</f>
        <v/>
      </c>
      <c r="Q779" s="408" t="str">
        <f t="shared" ca="1" si="117"/>
        <v/>
      </c>
      <c r="R779" s="410" t="str">
        <f>IFERROR(IF(P779="","",M779*P779),"")</f>
        <v/>
      </c>
      <c r="S779" s="411"/>
      <c r="T779" s="408" t="str" cm="1">
        <f t="array" ca="1" aca="1" ref="T779">_xlfn.IFNA(VLOOKUP(INDIRECT("T"&amp;ROW()-3)&amp;"_"&amp;$D$12,BEGIN_Renew_Vision:END_RENEW_VISION,RENEW_COL_EC,FALSE),"")</f>
        <v/>
      </c>
      <c r="U779" s="412" t="str">
        <f t="shared" ca="1" si="118"/>
        <v/>
      </c>
      <c r="V779" s="413"/>
      <c r="W779" s="414"/>
      <c r="X779" s="415" t="str">
        <f>IFERROR(IF($V776="Keep Contribution Same",H779,IF($V776="Enter Percentages",IF(V779="","",V779*T779),IF($V776="Keep Percentage Same",IF(G779="","",G779*T779),IF($V776="Enter Dollar Amount",IF(W779="","",W779),"")))),"")</f>
        <v/>
      </c>
      <c r="Y779" s="408" t="str">
        <f t="shared" ca="1" si="119"/>
        <v/>
      </c>
      <c r="Z779" s="410" t="str">
        <f t="shared" si="120"/>
        <v/>
      </c>
    </row>
    <row r="780" spans="1:26" ht="18.75" customHeight="1" thickBot="1">
      <c r="A780" s="140"/>
      <c r="B780" s="140"/>
      <c r="D780" s="174" t="s">
        <v>241</v>
      </c>
      <c r="E780" s="416" t="str">
        <f ca="1">_xlfn.IFNA(VLOOKUP(F776,BEGIN_CURRENT_VISION:END_CURRENT_VISION,CURRENT_COL_FAM_count,FALSE),"")</f>
        <v/>
      </c>
      <c r="F780" s="417" t="str">
        <f ca="1">_xlfn.IFNA(VLOOKUP(F776,BEGIN_CURRENT_VISION:END_CURRENT_VISION,CURRENT_COL_FAM,FALSE),"")</f>
        <v/>
      </c>
      <c r="G780" s="469" t="str">
        <f t="shared" ca="1" si="114"/>
        <v/>
      </c>
      <c r="H780" s="417" t="str">
        <f ca="1">_xlfn.IFNA(VLOOKUP(F776,BEGIN_CURRENT_VISION:END_CURRENT_VISION,CURRENT_COL_FAMContrib,FALSE),"")</f>
        <v/>
      </c>
      <c r="I780" s="409" t="str">
        <f t="shared" ca="1" si="115"/>
        <v/>
      </c>
      <c r="J780" s="410" t="str">
        <f t="shared" ca="1" si="116"/>
        <v/>
      </c>
      <c r="K780" s="411"/>
      <c r="L780" s="417" t="str" cm="1">
        <f t="array" ca="1" aca="1" ref="L780">_xlfn.IFNA(VLOOKUP(INDIRECT("L"&amp;ROW()-4)&amp;"_"&amp;$D$12,BEGIN_Renew_Vision:END_RENEW_VISION,RENEW_COL_FAM,FALSE),"")</f>
        <v/>
      </c>
      <c r="M780" s="423" t="str">
        <f ca="1">IF(E780="","",E780)</f>
        <v/>
      </c>
      <c r="N780" s="420"/>
      <c r="O780" s="421"/>
      <c r="P780" s="422" t="str">
        <f>IFERROR(IF($N776="Keep Contribution Same",H780,IF($N776="Enter Percentages",IF(N780="","",N780*L780),IF($N776="Keep Percentage Same",IF(G780="","",G780*L780),IF($N776="Enter Dollar Amount",IF(O780="","",O780),"")))),"")</f>
        <v/>
      </c>
      <c r="Q780" s="417" t="str">
        <f t="shared" ca="1" si="117"/>
        <v/>
      </c>
      <c r="R780" s="419" t="str">
        <f>IFERROR(IF(P780="","",M780*P780),"")</f>
        <v/>
      </c>
      <c r="S780" s="411"/>
      <c r="T780" s="417" t="str" cm="1">
        <f t="array" ca="1" aca="1" ref="T780">_xlfn.IFNA(VLOOKUP(INDIRECT("T"&amp;ROW()-4)&amp;"_"&amp;$D$12,BEGIN_Renew_Vision:END_RENEW_VISION,RENEW_COL_FAM,FALSE),"")</f>
        <v/>
      </c>
      <c r="U780" s="423" t="str">
        <f t="shared" ca="1" si="118"/>
        <v/>
      </c>
      <c r="V780" s="420"/>
      <c r="W780" s="421"/>
      <c r="X780" s="422" t="str">
        <f>IFERROR(IF($V776="Keep Contribution Same",H780,IF($V776="Enter Percentages",IF(V780="","",V780*T780),IF($V776="Keep Percentage Same",IF(G780="","",G780*T780),IF($V776="Enter Dollar Amount",IF(W780="","",W780),"")))),"")</f>
        <v/>
      </c>
      <c r="Y780" s="417" t="str">
        <f t="shared" ca="1" si="119"/>
        <v/>
      </c>
      <c r="Z780" s="419" t="str">
        <f t="shared" si="120"/>
        <v/>
      </c>
    </row>
    <row r="781" spans="1:26" ht="18.75" customHeight="1" thickTop="1">
      <c r="A781" s="140"/>
      <c r="B781" s="140"/>
      <c r="D781" s="175" t="s">
        <v>329</v>
      </c>
      <c r="E781" s="424"/>
      <c r="F781" s="427"/>
      <c r="G781" s="426"/>
      <c r="H781" s="427"/>
      <c r="I781" s="428"/>
      <c r="J781" s="429" t="str">
        <f ca="1">IFERROR(IF(J777="","",SUM(J777:J780)),0)</f>
        <v/>
      </c>
      <c r="K781" s="1"/>
      <c r="L781" s="424"/>
      <c r="M781" s="427"/>
      <c r="N781" s="426"/>
      <c r="O781" s="427"/>
      <c r="P781" s="431"/>
      <c r="Q781" s="432"/>
      <c r="R781" s="429" t="str">
        <f>IFERROR(IF(R777="","",SUM(R777:R780)),0)</f>
        <v/>
      </c>
      <c r="T781" s="424"/>
      <c r="U781" s="427"/>
      <c r="V781" s="426"/>
      <c r="W781" s="427"/>
      <c r="X781" s="431"/>
      <c r="Y781" s="432"/>
      <c r="Z781" s="429" t="str">
        <f>IFERROR(IF(Z777="","",SUM(Z777:Z780)),0)</f>
        <v/>
      </c>
    </row>
    <row r="782" spans="1:26" ht="18" customHeight="1">
      <c r="A782" s="140"/>
      <c r="B782" s="140"/>
      <c r="D782" s="177" t="s">
        <v>243</v>
      </c>
      <c r="E782" s="433"/>
      <c r="F782" s="436"/>
      <c r="G782" s="435"/>
      <c r="H782" s="436"/>
      <c r="I782" s="432"/>
      <c r="J782" s="437" t="str">
        <f ca="1">IF(J781="","",J781*12)</f>
        <v/>
      </c>
      <c r="K782" s="1"/>
      <c r="L782" s="433"/>
      <c r="M782" s="436"/>
      <c r="N782" s="435"/>
      <c r="O782" s="436"/>
      <c r="P782" s="432"/>
      <c r="Q782" s="432"/>
      <c r="R782" s="437" t="str">
        <f>IF(R781="","",R781*12)</f>
        <v/>
      </c>
      <c r="T782" s="433"/>
      <c r="U782" s="436"/>
      <c r="V782" s="435"/>
      <c r="W782" s="436"/>
      <c r="X782" s="432"/>
      <c r="Y782" s="432"/>
      <c r="Z782" s="437" t="str">
        <f>IF(Z781="","",Z781*12)</f>
        <v/>
      </c>
    </row>
    <row r="783" spans="1:26" ht="18" customHeight="1">
      <c r="A783" s="140"/>
      <c r="B783" s="140"/>
      <c r="D783" s="177" t="s">
        <v>244</v>
      </c>
      <c r="E783" s="433"/>
      <c r="F783" s="436"/>
      <c r="G783" s="435"/>
      <c r="H783" s="436"/>
      <c r="I783" s="432"/>
      <c r="J783" s="437" t="str">
        <f ca="1">IFERROR(IF(J782="","",R782-J782),0)</f>
        <v/>
      </c>
      <c r="K783" s="1"/>
      <c r="L783" s="433"/>
      <c r="M783" s="436"/>
      <c r="N783" s="435"/>
      <c r="O783" s="436"/>
      <c r="P783" s="432"/>
      <c r="Q783" s="432"/>
      <c r="R783" s="437" t="str">
        <f ca="1">IFERROR(IF(J782="","",R782-J782),0)</f>
        <v/>
      </c>
      <c r="T783" s="433"/>
      <c r="U783" s="436"/>
      <c r="V783" s="435"/>
      <c r="W783" s="436"/>
      <c r="X783" s="432"/>
      <c r="Y783" s="432"/>
      <c r="Z783" s="437" t="str">
        <f>IFERROR(IF(R782="","",Z782-R782),0)</f>
        <v/>
      </c>
    </row>
    <row r="784" spans="1:26" ht="18" customHeight="1" thickBot="1">
      <c r="A784" s="140"/>
      <c r="B784" s="140"/>
      <c r="D784" s="180" t="s">
        <v>245</v>
      </c>
      <c r="E784" s="439"/>
      <c r="F784" s="440"/>
      <c r="G784" s="441"/>
      <c r="H784" s="440"/>
      <c r="I784" s="442"/>
      <c r="J784" s="437" t="str">
        <f ca="1">IFERROR(IF(J782="","",(R782/J782)-1),0)</f>
        <v/>
      </c>
      <c r="K784" s="1"/>
      <c r="L784" s="439"/>
      <c r="M784" s="440"/>
      <c r="N784" s="441"/>
      <c r="O784" s="440"/>
      <c r="P784" s="445"/>
      <c r="Q784" s="445"/>
      <c r="R784" s="446" t="str">
        <f ca="1">IFERROR(IF(J782="","",(R782/J782)-1),0)</f>
        <v/>
      </c>
      <c r="T784" s="439"/>
      <c r="U784" s="440"/>
      <c r="V784" s="441"/>
      <c r="W784" s="440"/>
      <c r="X784" s="445"/>
      <c r="Y784" s="445"/>
      <c r="Z784" s="446" t="str">
        <f>IFERROR(IF(R782="","",(Z782/R782)-1),0)</f>
        <v/>
      </c>
    </row>
    <row r="785" spans="1:26" ht="5.25" customHeight="1" thickBot="1">
      <c r="A785" s="140"/>
      <c r="B785" s="140"/>
      <c r="D785" s="229"/>
      <c r="E785" s="229"/>
      <c r="F785" s="230"/>
      <c r="G785" s="231"/>
      <c r="H785" s="232"/>
      <c r="I785" s="233"/>
      <c r="J785" s="233"/>
      <c r="K785"/>
      <c r="L785" s="233"/>
      <c r="M785" s="233"/>
      <c r="N785" s="233"/>
      <c r="O785" s="233"/>
      <c r="P785" s="233"/>
      <c r="Q785" s="233"/>
      <c r="R785" s="233"/>
      <c r="T785" s="233"/>
      <c r="U785" s="233"/>
      <c r="V785" s="233"/>
      <c r="W785" s="233"/>
      <c r="X785" s="233"/>
      <c r="Y785" s="233"/>
      <c r="Z785" s="233"/>
    </row>
    <row r="786" spans="1:26" ht="50.15" customHeight="1">
      <c r="A786" s="140">
        <v>3</v>
      </c>
      <c r="B786" s="140" t="str">
        <f>IF(A786&gt;Class7_CurrentVisionCount,"DELETE",Class7_CurrentVisionStart+A786)</f>
        <v>DELETE</v>
      </c>
      <c r="C786" s="164" t="s">
        <v>302</v>
      </c>
      <c r="D786" s="273" t="str">
        <f>IF(B786="Delete","",VLOOKUP(F786,BEGIN_CURRENT_VISION:END_CURRENT_VISION,3,FALSE))</f>
        <v/>
      </c>
      <c r="E786" s="165"/>
      <c r="F786" s="272" t="str" cm="1">
        <f t="array" ca="1" aca="1" ref="F786">IF(B786="Delete","",INDIRECT("CurrentPlans!A"&amp;B786,TRUE))</f>
        <v/>
      </c>
      <c r="G786" s="166"/>
      <c r="H786" s="167"/>
      <c r="I786" s="168"/>
      <c r="J786" s="169"/>
      <c r="K786"/>
      <c r="L786" s="274" t="str">
        <f ca="1">_xlfn.IFNA(VLOOKUP(F786,BEGIN_RENEWEDFROM_DENTAL:ROW_RenewDental_PlanID,3,FALSE),"SELECT PLAN")</f>
        <v>SELECT PLAN</v>
      </c>
      <c r="M786" s="170"/>
      <c r="N786" s="274" t="s">
        <v>237</v>
      </c>
      <c r="O786" s="171"/>
      <c r="P786" s="171"/>
      <c r="Q786" s="171"/>
      <c r="R786" s="169"/>
      <c r="T786" s="274" t="s">
        <v>38</v>
      </c>
      <c r="U786" s="170"/>
      <c r="V786" s="274" t="s">
        <v>237</v>
      </c>
      <c r="W786" s="171"/>
      <c r="X786" s="171"/>
      <c r="Y786" s="171"/>
      <c r="Z786" s="169"/>
    </row>
    <row r="787" spans="1:26" ht="18.75" customHeight="1">
      <c r="A787" s="140"/>
      <c r="B787" s="140"/>
      <c r="D787" s="172" t="s">
        <v>238</v>
      </c>
      <c r="E787" s="407" t="str">
        <f ca="1">_xlfn.IFNA(VLOOKUP(F786,BEGIN_CURRENT_VISION:END_CURRENT_VISION,CURRENT_COL_EO_count,FALSE),"")</f>
        <v/>
      </c>
      <c r="F787" s="408" t="str">
        <f ca="1">_xlfn.IFNA(VLOOKUP(F786,BEGIN_CURRENT_VISION:END_CURRENT_VISION,CURRENT_COL_EO,FALSE),"")</f>
        <v/>
      </c>
      <c r="G787" s="468" t="str">
        <f ca="1" t="shared" si="121" ref="G787:G790">IF(F787="","",H787/F787)</f>
        <v/>
      </c>
      <c r="H787" s="408" t="str">
        <f ca="1">_xlfn.IFNA(VLOOKUP(F786,BEGIN_CURRENT_VISION:END_CURRENT_VISION,CURRENT_COL_EOContrib,FALSE),"")</f>
        <v/>
      </c>
      <c r="I787" s="409" t="str">
        <f ca="1">IFERROR(F787-H787,"")</f>
        <v/>
      </c>
      <c r="J787" s="410" t="str">
        <f ca="1">IF(F787="","",H787*E787)</f>
        <v/>
      </c>
      <c r="K787" s="411"/>
      <c r="L787" s="408" t="str" cm="1">
        <f t="array" ca="1" aca="1" ref="L787">_xlfn.IFNA(VLOOKUP(INDIRECT("L"&amp;ROW()-1)&amp;"_"&amp;$D$12,BEGIN_Renew_Vision:END_RENEW_VISION,RENEW_COL_EO,FALSE),"")</f>
        <v/>
      </c>
      <c r="M787" s="412" t="str">
        <f ca="1">IF(E787="","",E787)</f>
        <v/>
      </c>
      <c r="N787" s="413"/>
      <c r="O787" s="414"/>
      <c r="P787" s="415" t="str">
        <f>IFERROR(IF($N786="Keep Contribution Same",H787,IF($N786="Enter Percentages",IF(N787="","",N787*L787),IF($N786="Keep Percentage Same",IF(G787="","",G787*L787),IF($N786="Enter Dollar Amount",IF(O787="","",O787),"")))),"")</f>
        <v/>
      </c>
      <c r="Q787" s="408" t="str">
        <f ca="1">IFERROR(L787-P787,"")</f>
        <v/>
      </c>
      <c r="R787" s="410" t="str">
        <f>IFERROR(IF(P787="","",M787*P787),"")</f>
        <v/>
      </c>
      <c r="S787" s="411"/>
      <c r="T787" s="408" t="str" cm="1">
        <f t="array" ca="1" aca="1" ref="T787">_xlfn.IFNA(VLOOKUP(INDIRECT("T"&amp;ROW()-1)&amp;"_"&amp;$D$12,BEGIN_Renew_Vision:END_RENEW_VISION,RENEW_COL_EO,FALSE),"")</f>
        <v/>
      </c>
      <c r="U787" s="412" t="str">
        <f ca="1">IF(E787="","",E787)</f>
        <v/>
      </c>
      <c r="V787" s="413"/>
      <c r="W787" s="414"/>
      <c r="X787" s="415" t="str">
        <f>IFERROR(IF($V786="Keep Contribution Same",H787,IF($V786="Enter Percentages",IF(V787="","",V787*T787),IF($V786="Keep Percentage Same",IF(G787="","",G787*T787),IF($V786="Enter Dollar Amount",IF(W787="","",W787),"")))),"")</f>
        <v/>
      </c>
      <c r="Y787" s="408" t="str">
        <f ca="1">IFERROR(T787-X787,"")</f>
        <v/>
      </c>
      <c r="Z787" s="410" t="str">
        <f>IFERROR(IF(X787="","",U787*X787),"")</f>
        <v/>
      </c>
    </row>
    <row r="788" spans="1:26" ht="18.75" customHeight="1">
      <c r="A788" s="140"/>
      <c r="B788" s="140"/>
      <c r="D788" s="172" t="s">
        <v>239</v>
      </c>
      <c r="E788" s="407" t="str">
        <f ca="1">_xlfn.IFNA(VLOOKUP(F786,BEGIN_CURRENT_VISION:END_CURRENT_VISION,CURRENT_COL_ES_count,FALSE),"")</f>
        <v/>
      </c>
      <c r="F788" s="408" t="str">
        <f ca="1">_xlfn.IFNA(VLOOKUP(F786,BEGIN_CURRENT_VISION:END_CURRENT_VISION,CURRENT_COL_ES,FALSE),"")</f>
        <v/>
      </c>
      <c r="G788" s="468" t="str">
        <f t="shared" ca="1" si="121"/>
        <v/>
      </c>
      <c r="H788" s="408" t="str">
        <f ca="1">_xlfn.IFNA(VLOOKUP(F786,BEGIN_CURRENT_VISION:END_CURRENT_VISION,CURRENT_COL_ESContrib,FALSE),"")</f>
        <v/>
      </c>
      <c r="I788" s="409" t="str">
        <f ca="1" t="shared" si="122" ref="I788:I790">IFERROR(F788-H788,"")</f>
        <v/>
      </c>
      <c r="J788" s="410" t="str">
        <f ca="1" t="shared" si="123" ref="J788:J790">IF(F788="","",H788*E788)</f>
        <v/>
      </c>
      <c r="K788" s="411"/>
      <c r="L788" s="408" t="str" cm="1">
        <f t="array" ca="1" aca="1" ref="L788">_xlfn.IFNA(VLOOKUP(INDIRECT("L"&amp;ROW()-2)&amp;"_"&amp;$D$12,BEGIN_Renew_Vision:END_RENEW_VISION,RENEW_COL_ES,FALSE),"")</f>
        <v/>
      </c>
      <c r="M788" s="412" t="str">
        <f ca="1">IF(E788="","",E788)</f>
        <v/>
      </c>
      <c r="N788" s="413"/>
      <c r="O788" s="414"/>
      <c r="P788" s="415" t="str">
        <f>IFERROR(IF($N786="Keep Contribution Same",H788,IF($N786="Enter Percentages",IF(N788="","",N788*L788),IF($N786="Keep Percentage Same",IF(G788="","",G788*L788),IF($N786="Enter Dollar Amount",IF(O788="","",O788),"")))),"")</f>
        <v/>
      </c>
      <c r="Q788" s="408" t="str">
        <f ca="1" t="shared" si="124" ref="Q788:Q790">IFERROR(L788-P788,"")</f>
        <v/>
      </c>
      <c r="R788" s="410" t="str">
        <f>IFERROR(IF(P788="","",M788*P788),"")</f>
        <v/>
      </c>
      <c r="S788" s="411"/>
      <c r="T788" s="408" t="str" cm="1">
        <f t="array" ca="1" aca="1" ref="T788">_xlfn.IFNA(VLOOKUP(INDIRECT("T"&amp;ROW()-2)&amp;"_"&amp;$D$12,BEGIN_Renew_Vision:END_RENEW_VISION,RENEW_COL_ES,FALSE),"")</f>
        <v/>
      </c>
      <c r="U788" s="412" t="str">
        <f ca="1" t="shared" si="125" ref="U788:U790">IF(E788="","",E788)</f>
        <v/>
      </c>
      <c r="V788" s="413"/>
      <c r="W788" s="414"/>
      <c r="X788" s="415" t="str">
        <f>IFERROR(IF($V786="Keep Contribution Same",H788,IF($V786="Enter Percentages",IF(V788="","",V788*T788),IF($V786="Keep Percentage Same",IF(G788="","",G788*T788),IF($V786="Enter Dollar Amount",IF(W788="","",W788),"")))),"")</f>
        <v/>
      </c>
      <c r="Y788" s="408" t="str">
        <f ca="1" t="shared" si="126" ref="Y788:Y790">IFERROR(T788-X788,"")</f>
        <v/>
      </c>
      <c r="Z788" s="410" t="str">
        <f t="shared" si="127" ref="Z788:Z790">IFERROR(IF(X788="","",U788*X788),"")</f>
        <v/>
      </c>
    </row>
    <row r="789" spans="1:26" ht="18.75" customHeight="1">
      <c r="A789" s="140"/>
      <c r="B789" s="140"/>
      <c r="D789" s="172" t="s">
        <v>240</v>
      </c>
      <c r="E789" s="407" t="str">
        <f ca="1">_xlfn.IFNA(VLOOKUP(F786,BEGIN_CURRENT_VISION:END_CURRENT_VISION,CURRENT_COL_EC_count,FALSE),"")</f>
        <v/>
      </c>
      <c r="F789" s="408" t="str">
        <f ca="1">_xlfn.IFNA(VLOOKUP(F786,BEGIN_CURRENT_VISION:END_CURRENT_VISION,CURRENT_COL_EC,FALSE),"")</f>
        <v/>
      </c>
      <c r="G789" s="468" t="str">
        <f t="shared" ca="1" si="121"/>
        <v/>
      </c>
      <c r="H789" s="408" t="str">
        <f ca="1">_xlfn.IFNA(VLOOKUP(F786,BEGIN_CURRENT_VISION:END_CURRENT_VISION,CURRENT_COL_ECContrib,FALSE),"")</f>
        <v/>
      </c>
      <c r="I789" s="409" t="str">
        <f t="shared" ca="1" si="122"/>
        <v/>
      </c>
      <c r="J789" s="410" t="str">
        <f t="shared" ca="1" si="123"/>
        <v/>
      </c>
      <c r="K789" s="411"/>
      <c r="L789" s="408" t="str" cm="1">
        <f t="array" ca="1" aca="1" ref="L789">_xlfn.IFNA(VLOOKUP(INDIRECT("L"&amp;ROW()-3)&amp;"_"&amp;$D$12,BEGIN_Renew_Vision:END_RENEW_VISION,RENEW_COL_EC,FALSE),"")</f>
        <v/>
      </c>
      <c r="M789" s="412" t="str">
        <f ca="1">IF(E789="","",E789)</f>
        <v/>
      </c>
      <c r="N789" s="413"/>
      <c r="O789" s="414"/>
      <c r="P789" s="415" t="str">
        <f>IFERROR(IF($N786="Keep Contribution Same",H789,IF($N786="Enter Percentages",IF(N789="","",N789*L789),IF($N786="Keep Percentage Same",IF(G789="","",G789*L789),IF($N786="Enter Dollar Amount",IF(O789="","",O789),"")))),"")</f>
        <v/>
      </c>
      <c r="Q789" s="408" t="str">
        <f t="shared" ca="1" si="124"/>
        <v/>
      </c>
      <c r="R789" s="410" t="str">
        <f>IFERROR(IF(P789="","",M789*P789),"")</f>
        <v/>
      </c>
      <c r="S789" s="411"/>
      <c r="T789" s="408" t="str" cm="1">
        <f t="array" ca="1" aca="1" ref="T789">_xlfn.IFNA(VLOOKUP(INDIRECT("T"&amp;ROW()-3)&amp;"_"&amp;$D$12,BEGIN_Renew_Vision:END_RENEW_VISION,RENEW_COL_EC,FALSE),"")</f>
        <v/>
      </c>
      <c r="U789" s="412" t="str">
        <f t="shared" ca="1" si="125"/>
        <v/>
      </c>
      <c r="V789" s="413"/>
      <c r="W789" s="414"/>
      <c r="X789" s="415" t="str">
        <f>IFERROR(IF($V786="Keep Contribution Same",H789,IF($V786="Enter Percentages",IF(V789="","",V789*T789),IF($V786="Keep Percentage Same",IF(G789="","",G789*T789),IF($V786="Enter Dollar Amount",IF(W789="","",W789),"")))),"")</f>
        <v/>
      </c>
      <c r="Y789" s="408" t="str">
        <f t="shared" ca="1" si="126"/>
        <v/>
      </c>
      <c r="Z789" s="410" t="str">
        <f t="shared" si="127"/>
        <v/>
      </c>
    </row>
    <row r="790" spans="1:26" ht="18.75" customHeight="1" thickBot="1">
      <c r="A790" s="140"/>
      <c r="B790" s="140"/>
      <c r="D790" s="174" t="s">
        <v>241</v>
      </c>
      <c r="E790" s="416" t="str">
        <f ca="1">_xlfn.IFNA(VLOOKUP(F786,BEGIN_CURRENT_VISION:END_CURRENT_VISION,CURRENT_COL_FAM_count,FALSE),"")</f>
        <v/>
      </c>
      <c r="F790" s="417" t="str">
        <f ca="1">_xlfn.IFNA(VLOOKUP(F786,BEGIN_CURRENT_VISION:END_CURRENT_VISION,CURRENT_COL_FAM,FALSE),"")</f>
        <v/>
      </c>
      <c r="G790" s="469" t="str">
        <f t="shared" ca="1" si="121"/>
        <v/>
      </c>
      <c r="H790" s="417" t="str">
        <f ca="1">_xlfn.IFNA(VLOOKUP(F786,BEGIN_CURRENT_VISION:END_CURRENT_VISION,CURRENT_COL_FAMContrib,FALSE),"")</f>
        <v/>
      </c>
      <c r="I790" s="409" t="str">
        <f t="shared" ca="1" si="122"/>
        <v/>
      </c>
      <c r="J790" s="410" t="str">
        <f t="shared" ca="1" si="123"/>
        <v/>
      </c>
      <c r="K790" s="411"/>
      <c r="L790" s="417" t="str" cm="1">
        <f t="array" ca="1" aca="1" ref="L790">_xlfn.IFNA(VLOOKUP(INDIRECT("L"&amp;ROW()-4)&amp;"_"&amp;$D$12,BEGIN_Renew_Vision:END_RENEW_VISION,RENEW_COL_FAM,FALSE),"")</f>
        <v/>
      </c>
      <c r="M790" s="423" t="str">
        <f ca="1">IF(E790="","",E790)</f>
        <v/>
      </c>
      <c r="N790" s="420"/>
      <c r="O790" s="421"/>
      <c r="P790" s="422" t="str">
        <f>IFERROR(IF($N786="Keep Contribution Same",H790,IF($N786="Enter Percentages",IF(N790="","",N790*L790),IF($N786="Keep Percentage Same",IF(G790="","",G790*L790),IF($N786="Enter Dollar Amount",IF(O790="","",O790),"")))),"")</f>
        <v/>
      </c>
      <c r="Q790" s="417" t="str">
        <f t="shared" ca="1" si="124"/>
        <v/>
      </c>
      <c r="R790" s="419" t="str">
        <f>IFERROR(IF(P790="","",M790*P790),"")</f>
        <v/>
      </c>
      <c r="S790" s="411"/>
      <c r="T790" s="417" t="str" cm="1">
        <f t="array" ca="1" aca="1" ref="T790">_xlfn.IFNA(VLOOKUP(INDIRECT("T"&amp;ROW()-4)&amp;"_"&amp;$D$12,BEGIN_Renew_Vision:END_RENEW_VISION,RENEW_COL_FAM,FALSE),"")</f>
        <v/>
      </c>
      <c r="U790" s="423" t="str">
        <f t="shared" ca="1" si="125"/>
        <v/>
      </c>
      <c r="V790" s="420"/>
      <c r="W790" s="421"/>
      <c r="X790" s="422" t="str">
        <f>IFERROR(IF($V786="Keep Contribution Same",H790,IF($V786="Enter Percentages",IF(V790="","",V790*T790),IF($V786="Keep Percentage Same",IF(G790="","",G790*T790),IF($V786="Enter Dollar Amount",IF(W790="","",W790),"")))),"")</f>
        <v/>
      </c>
      <c r="Y790" s="417" t="str">
        <f t="shared" ca="1" si="126"/>
        <v/>
      </c>
      <c r="Z790" s="419" t="str">
        <f t="shared" si="127"/>
        <v/>
      </c>
    </row>
    <row r="791" spans="1:26" ht="18.75" customHeight="1" thickTop="1">
      <c r="A791" s="140"/>
      <c r="B791" s="140"/>
      <c r="D791" s="175" t="s">
        <v>329</v>
      </c>
      <c r="E791" s="424"/>
      <c r="F791" s="427"/>
      <c r="G791" s="426"/>
      <c r="H791" s="427"/>
      <c r="I791" s="428"/>
      <c r="J791" s="429" t="str">
        <f ca="1">IFERROR(IF(J787="","",SUM(J787:J790)),0)</f>
        <v/>
      </c>
      <c r="K791" s="1"/>
      <c r="L791" s="424"/>
      <c r="M791" s="427"/>
      <c r="N791" s="426"/>
      <c r="O791" s="427"/>
      <c r="P791" s="431"/>
      <c r="Q791" s="432"/>
      <c r="R791" s="429" t="str">
        <f>IFERROR(IF(R787="","",SUM(R787:R790)),0)</f>
        <v/>
      </c>
      <c r="T791" s="424"/>
      <c r="U791" s="427"/>
      <c r="V791" s="426"/>
      <c r="W791" s="427"/>
      <c r="X791" s="431"/>
      <c r="Y791" s="432"/>
      <c r="Z791" s="429" t="str">
        <f>IFERROR(IF(Z787="","",SUM(Z787:Z790)),0)</f>
        <v/>
      </c>
    </row>
    <row r="792" spans="1:26" ht="18.75" customHeight="1">
      <c r="A792" s="140"/>
      <c r="B792" s="140"/>
      <c r="D792" s="177" t="s">
        <v>243</v>
      </c>
      <c r="E792" s="433"/>
      <c r="F792" s="436"/>
      <c r="G792" s="435"/>
      <c r="H792" s="436"/>
      <c r="I792" s="432"/>
      <c r="J792" s="437" t="str">
        <f ca="1">IF(J791="","",J791*12)</f>
        <v/>
      </c>
      <c r="K792" s="1"/>
      <c r="L792" s="433"/>
      <c r="M792" s="436"/>
      <c r="N792" s="435"/>
      <c r="O792" s="436"/>
      <c r="P792" s="432"/>
      <c r="Q792" s="432"/>
      <c r="R792" s="437" t="str">
        <f>IF(R791="","",R791*12)</f>
        <v/>
      </c>
      <c r="T792" s="433"/>
      <c r="U792" s="436"/>
      <c r="V792" s="435"/>
      <c r="W792" s="436"/>
      <c r="X792" s="432"/>
      <c r="Y792" s="432"/>
      <c r="Z792" s="437" t="str">
        <f>IF(Z791="","",Z791*12)</f>
        <v/>
      </c>
    </row>
    <row r="793" spans="1:26" ht="18" customHeight="1">
      <c r="A793" s="140"/>
      <c r="B793" s="140"/>
      <c r="D793" s="177" t="s">
        <v>244</v>
      </c>
      <c r="E793" s="433"/>
      <c r="F793" s="436"/>
      <c r="G793" s="435"/>
      <c r="H793" s="436"/>
      <c r="I793" s="432"/>
      <c r="J793" s="437" t="str">
        <f ca="1">IFERROR(IF(J792="","",R792-J792),0)</f>
        <v/>
      </c>
      <c r="K793" s="1"/>
      <c r="L793" s="433"/>
      <c r="M793" s="436"/>
      <c r="N793" s="435"/>
      <c r="O793" s="436"/>
      <c r="P793" s="432"/>
      <c r="Q793" s="432"/>
      <c r="R793" s="437" t="str">
        <f ca="1">IFERROR(IF(J792="","",R792-J792),0)</f>
        <v/>
      </c>
      <c r="T793" s="433"/>
      <c r="U793" s="436"/>
      <c r="V793" s="435"/>
      <c r="W793" s="436"/>
      <c r="X793" s="432"/>
      <c r="Y793" s="432"/>
      <c r="Z793" s="437" t="str">
        <f>IFERROR(IF(R792="","",Z792-R792),0)</f>
        <v/>
      </c>
    </row>
    <row r="794" spans="1:26" ht="18" customHeight="1" thickBot="1">
      <c r="A794" s="140"/>
      <c r="B794" s="140"/>
      <c r="D794" s="180" t="s">
        <v>245</v>
      </c>
      <c r="E794" s="439"/>
      <c r="F794" s="440"/>
      <c r="G794" s="441"/>
      <c r="H794" s="440"/>
      <c r="I794" s="442"/>
      <c r="J794" s="437" t="str">
        <f ca="1">IFERROR(IF(J792="","",(R792/J792)-1),0)</f>
        <v/>
      </c>
      <c r="K794" s="1"/>
      <c r="L794" s="439"/>
      <c r="M794" s="440"/>
      <c r="N794" s="441"/>
      <c r="O794" s="440"/>
      <c r="P794" s="445"/>
      <c r="Q794" s="445"/>
      <c r="R794" s="446" t="str">
        <f ca="1">IFERROR(IF(J792="","",(R792/J792)-1),0)</f>
        <v/>
      </c>
      <c r="T794" s="439"/>
      <c r="U794" s="440"/>
      <c r="V794" s="441"/>
      <c r="W794" s="440"/>
      <c r="X794" s="445"/>
      <c r="Y794" s="445"/>
      <c r="Z794" s="446" t="str">
        <f>IFERROR(IF(R792="","",(Z792/R792)-1),0)</f>
        <v/>
      </c>
    </row>
    <row r="795" spans="1:26" ht="5.25" customHeight="1" thickBot="1">
      <c r="A795" s="140"/>
      <c r="B795" s="140"/>
      <c r="D795" s="229"/>
      <c r="E795" s="229"/>
      <c r="F795" s="230"/>
      <c r="G795" s="231"/>
      <c r="H795" s="232"/>
      <c r="I795" s="233"/>
      <c r="J795" s="233"/>
      <c r="K795"/>
      <c r="L795" s="233"/>
      <c r="M795" s="233"/>
      <c r="N795" s="233"/>
      <c r="O795" s="233"/>
      <c r="P795" s="233"/>
      <c r="Q795" s="233"/>
      <c r="R795" s="233"/>
      <c r="T795" s="233"/>
      <c r="U795" s="233"/>
      <c r="V795" s="233"/>
      <c r="W795" s="233"/>
      <c r="X795" s="233"/>
      <c r="Y795" s="233"/>
      <c r="Z795" s="233"/>
    </row>
    <row r="796" spans="1:26" ht="50.15" customHeight="1">
      <c r="A796" s="140">
        <v>4</v>
      </c>
      <c r="B796" s="140" t="str">
        <f>IF(A796&gt;Class7_CurrentVisionCount,"DELETE",Class7_CurrentVisionStart+A796)</f>
        <v>DELETE</v>
      </c>
      <c r="C796" s="164" t="s">
        <v>303</v>
      </c>
      <c r="D796" s="273" t="str">
        <f>IF(B796="Delete","",VLOOKUP(F796,BEGIN_CURRENT_VISION:END_CURRENT_VISION,3,FALSE))</f>
        <v/>
      </c>
      <c r="E796" s="165"/>
      <c r="F796" s="272" t="str" cm="1">
        <f t="array" ca="1" aca="1" ref="F796">IF(B796="Delete","",INDIRECT("CurrentPlans!A"&amp;B796,TRUE))</f>
        <v/>
      </c>
      <c r="G796" s="166"/>
      <c r="H796" s="167"/>
      <c r="I796" s="168"/>
      <c r="J796" s="169"/>
      <c r="K796"/>
      <c r="L796" s="274" t="str">
        <f ca="1">_xlfn.IFNA(VLOOKUP(F796,BEGIN_RENEWEDFROM_DENTAL:ROW_RenewDental_PlanID,3,FALSE),"SELECT PLAN")</f>
        <v>SELECT PLAN</v>
      </c>
      <c r="M796" s="170"/>
      <c r="N796" s="274" t="s">
        <v>237</v>
      </c>
      <c r="O796" s="171"/>
      <c r="P796" s="171"/>
      <c r="Q796" s="171"/>
      <c r="R796" s="169"/>
      <c r="T796" s="274" t="s">
        <v>38</v>
      </c>
      <c r="U796" s="170"/>
      <c r="V796" s="274" t="s">
        <v>237</v>
      </c>
      <c r="W796" s="171"/>
      <c r="X796" s="171"/>
      <c r="Y796" s="171"/>
      <c r="Z796" s="169"/>
    </row>
    <row r="797" spans="1:26" ht="18.75" customHeight="1">
      <c r="A797" s="140"/>
      <c r="B797" s="140"/>
      <c r="D797" s="172" t="s">
        <v>238</v>
      </c>
      <c r="E797" s="407" t="str">
        <f ca="1">_xlfn.IFNA(VLOOKUP(F796,BEGIN_CURRENT_VISION:END_CURRENT_VISION,CURRENT_COL_EO_count,FALSE),"")</f>
        <v/>
      </c>
      <c r="F797" s="408" t="str">
        <f ca="1">_xlfn.IFNA(VLOOKUP(F796,BEGIN_CURRENT_VISION:END_CURRENT_VISION,CURRENT_COL_EO,FALSE),"")</f>
        <v/>
      </c>
      <c r="G797" s="468" t="str">
        <f ca="1" t="shared" si="128" ref="G797:G800">IF(F797="","",H797/F797)</f>
        <v/>
      </c>
      <c r="H797" s="408" t="str">
        <f ca="1">_xlfn.IFNA(VLOOKUP(F796,BEGIN_CURRENT_VISION:END_CURRENT_VISION,CURRENT_COL_EOContrib,FALSE),"")</f>
        <v/>
      </c>
      <c r="I797" s="409" t="str">
        <f ca="1">IFERROR(F797-H797,"")</f>
        <v/>
      </c>
      <c r="J797" s="410" t="str">
        <f ca="1">IF(F797="","",H797*E797)</f>
        <v/>
      </c>
      <c r="K797" s="411"/>
      <c r="L797" s="408" t="str" cm="1">
        <f t="array" ca="1" aca="1" ref="L797">_xlfn.IFNA(VLOOKUP(INDIRECT("L"&amp;ROW()-1)&amp;"_"&amp;$D$12,BEGIN_Renew_Vision:END_RENEW_VISION,RENEW_COL_EO,FALSE),"")</f>
        <v/>
      </c>
      <c r="M797" s="412" t="str">
        <f ca="1">IF(E797="","",E797)</f>
        <v/>
      </c>
      <c r="N797" s="413"/>
      <c r="O797" s="414"/>
      <c r="P797" s="415" t="str">
        <f>IFERROR(IF($N796="Keep Contribution Same",H797,IF($N796="Enter Percentages",IF(N797="","",N797*L797),IF($N796="Keep Percentage Same",IF(G797="","",G797*L797),IF($N796="Enter Dollar Amount",IF(O797="","",O797),"")))),"")</f>
        <v/>
      </c>
      <c r="Q797" s="408" t="str">
        <f ca="1">IFERROR(L797-P797,"")</f>
        <v/>
      </c>
      <c r="R797" s="410" t="str">
        <f>IFERROR(IF(P797="","",M797*P797),"")</f>
        <v/>
      </c>
      <c r="S797" s="411"/>
      <c r="T797" s="408" t="str" cm="1">
        <f t="array" ca="1" aca="1" ref="T797">_xlfn.IFNA(VLOOKUP(INDIRECT("T"&amp;ROW()-1)&amp;"_"&amp;$D$12,BEGIN_Renew_Vision:END_RENEW_VISION,RENEW_COL_EO,FALSE),"")</f>
        <v/>
      </c>
      <c r="U797" s="412" t="str">
        <f ca="1">IF(E797="","",E797)</f>
        <v/>
      </c>
      <c r="V797" s="413"/>
      <c r="W797" s="414"/>
      <c r="X797" s="415" t="str">
        <f>IFERROR(IF($V796="Keep Contribution Same",H797,IF($V796="Enter Percentages",IF(V797="","",V797*T797),IF($V796="Keep Percentage Same",IF(G797="","",G797*T797),IF($V796="Enter Dollar Amount",IF(W797="","",W797),"")))),"")</f>
        <v/>
      </c>
      <c r="Y797" s="408" t="str">
        <f ca="1">IFERROR(T797-X797,"")</f>
        <v/>
      </c>
      <c r="Z797" s="410" t="str">
        <f>IFERROR(IF(X797="","",U797*X797),"")</f>
        <v/>
      </c>
    </row>
    <row r="798" spans="1:26" ht="18.75" customHeight="1">
      <c r="A798" s="140"/>
      <c r="B798" s="140"/>
      <c r="D798" s="172" t="s">
        <v>239</v>
      </c>
      <c r="E798" s="407" t="str">
        <f ca="1">_xlfn.IFNA(VLOOKUP(F796,BEGIN_CURRENT_VISION:END_CURRENT_VISION,CURRENT_COL_ES_count,FALSE),"")</f>
        <v/>
      </c>
      <c r="F798" s="408" t="str">
        <f ca="1">_xlfn.IFNA(VLOOKUP(F796,BEGIN_CURRENT_VISION:END_CURRENT_VISION,CURRENT_COL_ES,FALSE),"")</f>
        <v/>
      </c>
      <c r="G798" s="468" t="str">
        <f t="shared" ca="1" si="128"/>
        <v/>
      </c>
      <c r="H798" s="408" t="str">
        <f ca="1">_xlfn.IFNA(VLOOKUP(F796,BEGIN_CURRENT_VISION:END_CURRENT_VISION,CURRENT_COL_ESContrib,FALSE),"")</f>
        <v/>
      </c>
      <c r="I798" s="409" t="str">
        <f ca="1" t="shared" si="129" ref="I798:I800">IFERROR(F798-H798,"")</f>
        <v/>
      </c>
      <c r="J798" s="410" t="str">
        <f ca="1" t="shared" si="130" ref="J798:J800">IF(F798="","",H798*E798)</f>
        <v/>
      </c>
      <c r="K798" s="411"/>
      <c r="L798" s="408" t="str" cm="1">
        <f t="array" ca="1" aca="1" ref="L798">_xlfn.IFNA(VLOOKUP(INDIRECT("L"&amp;ROW()-2)&amp;"_"&amp;$D$12,BEGIN_Renew_Vision:END_RENEW_VISION,RENEW_COL_ES,FALSE),"")</f>
        <v/>
      </c>
      <c r="M798" s="412" t="str">
        <f ca="1">IF(E798="","",E798)</f>
        <v/>
      </c>
      <c r="N798" s="413"/>
      <c r="O798" s="414"/>
      <c r="P798" s="415" t="str">
        <f>IFERROR(IF($N796="Keep Contribution Same",H798,IF($N796="Enter Percentages",IF(N798="","",N798*L798),IF($N796="Keep Percentage Same",IF(G798="","",G798*L798),IF($N796="Enter Dollar Amount",IF(O798="","",O798),"")))),"")</f>
        <v/>
      </c>
      <c r="Q798" s="408" t="str">
        <f ca="1" t="shared" si="131" ref="Q798:Q800">IFERROR(L798-P798,"")</f>
        <v/>
      </c>
      <c r="R798" s="410" t="str">
        <f>IFERROR(IF(P798="","",M798*P798),"")</f>
        <v/>
      </c>
      <c r="S798" s="411"/>
      <c r="T798" s="408" t="str" cm="1">
        <f t="array" ca="1" aca="1" ref="T798">_xlfn.IFNA(VLOOKUP(INDIRECT("T"&amp;ROW()-2)&amp;"_"&amp;$D$12,BEGIN_Renew_Vision:END_RENEW_VISION,RENEW_COL_ES,FALSE),"")</f>
        <v/>
      </c>
      <c r="U798" s="412" t="str">
        <f ca="1" t="shared" si="132" ref="U798:U800">IF(E798="","",E798)</f>
        <v/>
      </c>
      <c r="V798" s="413"/>
      <c r="W798" s="414"/>
      <c r="X798" s="415" t="str">
        <f>IFERROR(IF($V796="Keep Contribution Same",H798,IF($V796="Enter Percentages",IF(V798="","",V798*T798),IF($V796="Keep Percentage Same",IF(G798="","",G798*T798),IF($V796="Enter Dollar Amount",IF(W798="","",W798),"")))),"")</f>
        <v/>
      </c>
      <c r="Y798" s="408" t="str">
        <f ca="1" t="shared" si="133" ref="Y798:Y800">IFERROR(T798-X798,"")</f>
        <v/>
      </c>
      <c r="Z798" s="410" t="str">
        <f t="shared" si="134" ref="Z798:Z800">IFERROR(IF(X798="","",U798*X798),"")</f>
        <v/>
      </c>
    </row>
    <row r="799" spans="1:26" ht="18.75" customHeight="1">
      <c r="A799" s="140"/>
      <c r="B799" s="140"/>
      <c r="D799" s="172" t="s">
        <v>240</v>
      </c>
      <c r="E799" s="407" t="str">
        <f ca="1">_xlfn.IFNA(VLOOKUP(F796,BEGIN_CURRENT_VISION:END_CURRENT_VISION,CURRENT_COL_EC_count,FALSE),"")</f>
        <v/>
      </c>
      <c r="F799" s="408" t="str">
        <f ca="1">_xlfn.IFNA(VLOOKUP(F796,BEGIN_CURRENT_VISION:END_CURRENT_VISION,CURRENT_COL_EC,FALSE),"")</f>
        <v/>
      </c>
      <c r="G799" s="468" t="str">
        <f t="shared" ca="1" si="128"/>
        <v/>
      </c>
      <c r="H799" s="408" t="str">
        <f ca="1">_xlfn.IFNA(VLOOKUP(F796,BEGIN_CURRENT_VISION:END_CURRENT_VISION,CURRENT_COL_ECContrib,FALSE),"")</f>
        <v/>
      </c>
      <c r="I799" s="409" t="str">
        <f t="shared" ca="1" si="129"/>
        <v/>
      </c>
      <c r="J799" s="410" t="str">
        <f t="shared" ca="1" si="130"/>
        <v/>
      </c>
      <c r="K799" s="411"/>
      <c r="L799" s="408" t="str" cm="1">
        <f t="array" ca="1" aca="1" ref="L799">_xlfn.IFNA(VLOOKUP(INDIRECT("L"&amp;ROW()-3)&amp;"_"&amp;$D$12,BEGIN_Renew_Vision:END_RENEW_VISION,RENEW_COL_EC,FALSE),"")</f>
        <v/>
      </c>
      <c r="M799" s="412" t="str">
        <f ca="1">IF(E799="","",E799)</f>
        <v/>
      </c>
      <c r="N799" s="413"/>
      <c r="O799" s="414"/>
      <c r="P799" s="415" t="str">
        <f>IFERROR(IF($N796="Keep Contribution Same",H799,IF($N796="Enter Percentages",IF(N799="","",N799*L799),IF($N796="Keep Percentage Same",IF(G799="","",G799*L799),IF($N796="Enter Dollar Amount",IF(O799="","",O799),"")))),"")</f>
        <v/>
      </c>
      <c r="Q799" s="408" t="str">
        <f t="shared" ca="1" si="131"/>
        <v/>
      </c>
      <c r="R799" s="410" t="str">
        <f>IFERROR(IF(P799="","",M799*P799),"")</f>
        <v/>
      </c>
      <c r="S799" s="411"/>
      <c r="T799" s="408" t="str" cm="1">
        <f t="array" ca="1" aca="1" ref="T799">_xlfn.IFNA(VLOOKUP(INDIRECT("T"&amp;ROW()-3)&amp;"_"&amp;$D$12,BEGIN_Renew_Vision:END_RENEW_VISION,RENEW_COL_EC,FALSE),"")</f>
        <v/>
      </c>
      <c r="U799" s="412" t="str">
        <f t="shared" ca="1" si="132"/>
        <v/>
      </c>
      <c r="V799" s="413"/>
      <c r="W799" s="414"/>
      <c r="X799" s="415" t="str">
        <f>IFERROR(IF($V796="Keep Contribution Same",H799,IF($V796="Enter Percentages",IF(V799="","",V799*T799),IF($V796="Keep Percentage Same",IF(G799="","",G799*T799),IF($V796="Enter Dollar Amount",IF(W799="","",W799),"")))),"")</f>
        <v/>
      </c>
      <c r="Y799" s="408" t="str">
        <f t="shared" ca="1" si="133"/>
        <v/>
      </c>
      <c r="Z799" s="410" t="str">
        <f t="shared" si="134"/>
        <v/>
      </c>
    </row>
    <row r="800" spans="1:26" ht="18.75" customHeight="1" thickBot="1">
      <c r="A800" s="140"/>
      <c r="B800" s="140"/>
      <c r="D800" s="174" t="s">
        <v>241</v>
      </c>
      <c r="E800" s="416" t="str">
        <f ca="1">_xlfn.IFNA(VLOOKUP(F796,BEGIN_CURRENT_VISION:END_CURRENT_VISION,CURRENT_COL_FAM_count,FALSE),"")</f>
        <v/>
      </c>
      <c r="F800" s="417" t="str">
        <f ca="1">_xlfn.IFNA(VLOOKUP(F796,BEGIN_CURRENT_VISION:END_CURRENT_VISION,CURRENT_COL_FAM,FALSE),"")</f>
        <v/>
      </c>
      <c r="G800" s="469" t="str">
        <f t="shared" ca="1" si="128"/>
        <v/>
      </c>
      <c r="H800" s="417" t="str">
        <f ca="1">_xlfn.IFNA(VLOOKUP(F796,BEGIN_CURRENT_VISION:END_CURRENT_VISION,CURRENT_COL_FAMContrib,FALSE),"")</f>
        <v/>
      </c>
      <c r="I800" s="409" t="str">
        <f t="shared" ca="1" si="129"/>
        <v/>
      </c>
      <c r="J800" s="410" t="str">
        <f t="shared" ca="1" si="130"/>
        <v/>
      </c>
      <c r="K800" s="411"/>
      <c r="L800" s="417" t="str" cm="1">
        <f t="array" ca="1" aca="1" ref="L800">_xlfn.IFNA(VLOOKUP(INDIRECT("L"&amp;ROW()-4)&amp;"_"&amp;$D$12,BEGIN_Renew_Vision:END_RENEW_VISION,RENEW_COL_FAM,FALSE),"")</f>
        <v/>
      </c>
      <c r="M800" s="423" t="str">
        <f ca="1">IF(E800="","",E800)</f>
        <v/>
      </c>
      <c r="N800" s="420"/>
      <c r="O800" s="421"/>
      <c r="P800" s="422" t="str">
        <f>IFERROR(IF($N796="Keep Contribution Same",H800,IF($N796="Enter Percentages",IF(N800="","",N800*L800),IF($N796="Keep Percentage Same",IF(G800="","",G800*L800),IF($N796="Enter Dollar Amount",IF(O800="","",O800),"")))),"")</f>
        <v/>
      </c>
      <c r="Q800" s="417" t="str">
        <f t="shared" ca="1" si="131"/>
        <v/>
      </c>
      <c r="R800" s="419" t="str">
        <f>IFERROR(IF(P800="","",M800*P800),"")</f>
        <v/>
      </c>
      <c r="S800" s="411"/>
      <c r="T800" s="417" t="str" cm="1">
        <f t="array" ca="1" aca="1" ref="T800">_xlfn.IFNA(VLOOKUP(INDIRECT("T"&amp;ROW()-4)&amp;"_"&amp;$D$12,BEGIN_Renew_Vision:END_RENEW_VISION,RENEW_COL_FAM,FALSE),"")</f>
        <v/>
      </c>
      <c r="U800" s="423" t="str">
        <f t="shared" ca="1" si="132"/>
        <v/>
      </c>
      <c r="V800" s="420"/>
      <c r="W800" s="421"/>
      <c r="X800" s="422" t="str">
        <f>IFERROR(IF($V796="Keep Contribution Same",H800,IF($V796="Enter Percentages",IF(V800="","",V800*T800),IF($V796="Keep Percentage Same",IF(G800="","",G800*T800),IF($V796="Enter Dollar Amount",IF(W800="","",W800),"")))),"")</f>
        <v/>
      </c>
      <c r="Y800" s="417" t="str">
        <f t="shared" ca="1" si="133"/>
        <v/>
      </c>
      <c r="Z800" s="419" t="str">
        <f t="shared" si="134"/>
        <v/>
      </c>
    </row>
    <row r="801" spans="1:26" ht="18.75" customHeight="1" thickTop="1">
      <c r="A801" s="140"/>
      <c r="B801" s="140"/>
      <c r="D801" s="175" t="s">
        <v>329</v>
      </c>
      <c r="E801" s="424"/>
      <c r="F801" s="427"/>
      <c r="G801" s="426"/>
      <c r="H801" s="427"/>
      <c r="I801" s="428"/>
      <c r="J801" s="429" t="str">
        <f ca="1">IFERROR(IF(J797="","",SUM(J797:J800)),0)</f>
        <v/>
      </c>
      <c r="K801" s="1"/>
      <c r="L801" s="424"/>
      <c r="M801" s="427"/>
      <c r="N801" s="426"/>
      <c r="O801" s="427"/>
      <c r="P801" s="431"/>
      <c r="Q801" s="432"/>
      <c r="R801" s="429" t="str">
        <f>IFERROR(IF(R797="","",SUM(R797:R800)),0)</f>
        <v/>
      </c>
      <c r="T801" s="424"/>
      <c r="U801" s="427"/>
      <c r="V801" s="426"/>
      <c r="W801" s="427"/>
      <c r="X801" s="431"/>
      <c r="Y801" s="432"/>
      <c r="Z801" s="429" t="str">
        <f>IFERROR(IF(Z797="","",SUM(Z797:Z800)),0)</f>
        <v/>
      </c>
    </row>
    <row r="802" spans="1:26" ht="18.75" customHeight="1">
      <c r="A802" s="140"/>
      <c r="B802" s="140"/>
      <c r="D802" s="177" t="s">
        <v>243</v>
      </c>
      <c r="E802" s="433"/>
      <c r="F802" s="436"/>
      <c r="G802" s="435"/>
      <c r="H802" s="436"/>
      <c r="I802" s="432"/>
      <c r="J802" s="437" t="str">
        <f ca="1">IF(J801="","",J801*12)</f>
        <v/>
      </c>
      <c r="K802" s="1"/>
      <c r="L802" s="433"/>
      <c r="M802" s="436"/>
      <c r="N802" s="435"/>
      <c r="O802" s="436"/>
      <c r="P802" s="432"/>
      <c r="Q802" s="432"/>
      <c r="R802" s="437" t="str">
        <f>IF(R801="","",R801*12)</f>
        <v/>
      </c>
      <c r="T802" s="433"/>
      <c r="U802" s="436"/>
      <c r="V802" s="435"/>
      <c r="W802" s="436"/>
      <c r="X802" s="432"/>
      <c r="Y802" s="432"/>
      <c r="Z802" s="437" t="str">
        <f>IF(Z801="","",Z801*12)</f>
        <v/>
      </c>
    </row>
    <row r="803" spans="1:26" ht="18" customHeight="1">
      <c r="A803" s="140"/>
      <c r="B803" s="140"/>
      <c r="D803" s="177" t="s">
        <v>244</v>
      </c>
      <c r="E803" s="433"/>
      <c r="F803" s="436"/>
      <c r="G803" s="435"/>
      <c r="H803" s="436"/>
      <c r="I803" s="432"/>
      <c r="J803" s="437" t="str">
        <f ca="1">IFERROR(IF(J802="","",R802-J802),0)</f>
        <v/>
      </c>
      <c r="K803" s="1"/>
      <c r="L803" s="433"/>
      <c r="M803" s="436"/>
      <c r="N803" s="435"/>
      <c r="O803" s="436"/>
      <c r="P803" s="432"/>
      <c r="Q803" s="432"/>
      <c r="R803" s="437" t="str">
        <f ca="1">IFERROR(IF(J802="","",R802-J802),0)</f>
        <v/>
      </c>
      <c r="T803" s="433"/>
      <c r="U803" s="436"/>
      <c r="V803" s="435"/>
      <c r="W803" s="436"/>
      <c r="X803" s="432"/>
      <c r="Y803" s="432"/>
      <c r="Z803" s="437" t="str">
        <f>IFERROR(IF(R802="","",Z802-R802),0)</f>
        <v/>
      </c>
    </row>
    <row r="804" spans="1:26" ht="18" customHeight="1" thickBot="1">
      <c r="A804" s="140"/>
      <c r="B804" s="140"/>
      <c r="D804" s="180" t="s">
        <v>245</v>
      </c>
      <c r="E804" s="439"/>
      <c r="F804" s="440"/>
      <c r="G804" s="441"/>
      <c r="H804" s="440"/>
      <c r="I804" s="442"/>
      <c r="J804" s="437" t="str">
        <f ca="1">IFERROR(IF(J802="","",(R802/J802)-1),0)</f>
        <v/>
      </c>
      <c r="K804" s="1"/>
      <c r="L804" s="439"/>
      <c r="M804" s="440"/>
      <c r="N804" s="441"/>
      <c r="O804" s="440"/>
      <c r="P804" s="445"/>
      <c r="Q804" s="445"/>
      <c r="R804" s="446" t="str">
        <f ca="1">IFERROR(IF(J802="","",(R802/J802)-1),0)</f>
        <v/>
      </c>
      <c r="T804" s="439"/>
      <c r="U804" s="440"/>
      <c r="V804" s="441"/>
      <c r="W804" s="440"/>
      <c r="X804" s="445"/>
      <c r="Y804" s="445"/>
      <c r="Z804" s="446" t="str">
        <f>IFERROR(IF(R802="","",(Z802/R802)-1),0)</f>
        <v/>
      </c>
    </row>
    <row r="805" spans="1:26" ht="5.25" customHeight="1" thickBot="1">
      <c r="A805" s="140"/>
      <c r="B805" s="140"/>
      <c r="D805" s="229"/>
      <c r="E805" s="229"/>
      <c r="F805" s="230"/>
      <c r="G805" s="231"/>
      <c r="H805" s="232"/>
      <c r="I805" s="233"/>
      <c r="J805" s="233"/>
      <c r="K805"/>
      <c r="L805" s="233"/>
      <c r="M805" s="233"/>
      <c r="N805" s="233"/>
      <c r="O805" s="233"/>
      <c r="P805" s="233"/>
      <c r="Q805" s="233"/>
      <c r="R805" s="233"/>
      <c r="T805" s="233"/>
      <c r="U805" s="233"/>
      <c r="V805" s="233"/>
      <c r="W805" s="233"/>
      <c r="X805" s="233"/>
      <c r="Y805" s="233"/>
      <c r="Z805" s="233"/>
    </row>
    <row r="806" spans="1:26" ht="50.15" customHeight="1">
      <c r="A806" s="140">
        <v>5</v>
      </c>
      <c r="B806" s="140" t="str">
        <f>IF(A806&gt;Class7_CurrentVisionCount,"DELETE",Class7_CurrentVisionStart+A806)</f>
        <v>DELETE</v>
      </c>
      <c r="C806" s="164" t="s">
        <v>304</v>
      </c>
      <c r="D806" s="273" t="str">
        <f>IF(B806="Delete","",VLOOKUP(F806,BEGIN_CURRENT_VISION:END_CURRENT_VISION,3,FALSE))</f>
        <v/>
      </c>
      <c r="E806" s="165"/>
      <c r="F806" s="272" t="str" cm="1">
        <f t="array" ca="1" aca="1" ref="F806">IF(B806="Delete","",INDIRECT("CurrentPlans!A"&amp;B806,TRUE))</f>
        <v/>
      </c>
      <c r="G806" s="166"/>
      <c r="H806" s="167"/>
      <c r="I806" s="168"/>
      <c r="J806" s="169"/>
      <c r="K806"/>
      <c r="L806" s="274" t="str">
        <f ca="1">_xlfn.IFNA(VLOOKUP(F806,BEGIN_RENEWEDFROM_DENTAL:ROW_RenewDental_PlanID,3,FALSE),"SELECT PLAN")</f>
        <v>SELECT PLAN</v>
      </c>
      <c r="M806" s="170"/>
      <c r="N806" s="274" t="s">
        <v>237</v>
      </c>
      <c r="O806" s="171"/>
      <c r="P806" s="171"/>
      <c r="Q806" s="171"/>
      <c r="R806" s="169"/>
      <c r="T806" s="274" t="s">
        <v>38</v>
      </c>
      <c r="U806" s="170"/>
      <c r="V806" s="274" t="s">
        <v>237</v>
      </c>
      <c r="W806" s="171"/>
      <c r="X806" s="171"/>
      <c r="Y806" s="171"/>
      <c r="Z806" s="169"/>
    </row>
    <row r="807" spans="1:26" ht="18.75" customHeight="1">
      <c r="A807" s="140"/>
      <c r="B807" s="140"/>
      <c r="D807" s="172" t="s">
        <v>238</v>
      </c>
      <c r="E807" s="407" t="str">
        <f ca="1">_xlfn.IFNA(VLOOKUP(F806,BEGIN_CURRENT_VISION:END_CURRENT_VISION,CURRENT_COL_EO_count,FALSE),"")</f>
        <v/>
      </c>
      <c r="F807" s="408" t="str">
        <f ca="1">_xlfn.IFNA(VLOOKUP(F806,BEGIN_CURRENT_VISION:END_CURRENT_VISION,CURRENT_COL_EO,FALSE),"")</f>
        <v/>
      </c>
      <c r="G807" s="468" t="str">
        <f ca="1" t="shared" si="135" ref="G807:G810">IF(F807="","",H807/F807)</f>
        <v/>
      </c>
      <c r="H807" s="408" t="str">
        <f ca="1">_xlfn.IFNA(VLOOKUP(F806,BEGIN_CURRENT_VISION:END_CURRENT_VISION,CURRENT_COL_EOContrib,FALSE),"")</f>
        <v/>
      </c>
      <c r="I807" s="409" t="str">
        <f ca="1">IFERROR(F807-H807,"")</f>
        <v/>
      </c>
      <c r="J807" s="410" t="str">
        <f ca="1">IF(F807="","",H807*E807)</f>
        <v/>
      </c>
      <c r="K807" s="411"/>
      <c r="L807" s="408" t="str" cm="1">
        <f t="array" ca="1" aca="1" ref="L807">_xlfn.IFNA(VLOOKUP(INDIRECT("L"&amp;ROW()-1)&amp;"_"&amp;$D$12,BEGIN_Renew_Vision:END_RENEW_VISION,RENEW_COL_EO,FALSE),"")</f>
        <v/>
      </c>
      <c r="M807" s="412" t="str">
        <f ca="1">IF(E807="","",E807)</f>
        <v/>
      </c>
      <c r="N807" s="413"/>
      <c r="O807" s="414"/>
      <c r="P807" s="415" t="str">
        <f>IFERROR(IF($N806="Keep Contribution Same",H807,IF($N806="Enter Percentages",IF(N807="","",N807*L807),IF($N806="Keep Percentage Same",IF(G807="","",G807*L807),IF($N806="Enter Dollar Amount",IF(O807="","",O807),"")))),"")</f>
        <v/>
      </c>
      <c r="Q807" s="408" t="str">
        <f ca="1">IFERROR(L807-P807,"")</f>
        <v/>
      </c>
      <c r="R807" s="410" t="str">
        <f>IFERROR(IF(P807="","",M807*P807),"")</f>
        <v/>
      </c>
      <c r="S807" s="411"/>
      <c r="T807" s="408" t="str" cm="1">
        <f t="array" ca="1" aca="1" ref="T807">_xlfn.IFNA(VLOOKUP(INDIRECT("T"&amp;ROW()-1)&amp;"_"&amp;$D$12,BEGIN_Renew_Vision:END_RENEW_VISION,RENEW_COL_EO,FALSE),"")</f>
        <v/>
      </c>
      <c r="U807" s="412" t="str">
        <f ca="1">IF(E807="","",E807)</f>
        <v/>
      </c>
      <c r="V807" s="413"/>
      <c r="W807" s="414"/>
      <c r="X807" s="415" t="str">
        <f>IFERROR(IF($V806="Keep Contribution Same",H807,IF($V806="Enter Percentages",IF(V807="","",V807*T807),IF($V806="Keep Percentage Same",IF(G807="","",G807*T807),IF($V806="Enter Dollar Amount",IF(W807="","",W807),"")))),"")</f>
        <v/>
      </c>
      <c r="Y807" s="408" t="str">
        <f ca="1">IFERROR(T807-X807,"")</f>
        <v/>
      </c>
      <c r="Z807" s="410" t="str">
        <f>IFERROR(IF(X807="","",U807*X807),"")</f>
        <v/>
      </c>
    </row>
    <row r="808" spans="1:26" ht="18.75" customHeight="1">
      <c r="A808" s="140"/>
      <c r="B808" s="140"/>
      <c r="D808" s="172" t="s">
        <v>239</v>
      </c>
      <c r="E808" s="407" t="str">
        <f ca="1">_xlfn.IFNA(VLOOKUP(F806,BEGIN_CURRENT_VISION:END_CURRENT_VISION,CURRENT_COL_ES_count,FALSE),"")</f>
        <v/>
      </c>
      <c r="F808" s="408" t="str">
        <f ca="1">_xlfn.IFNA(VLOOKUP(F806,BEGIN_CURRENT_VISION:END_CURRENT_VISION,CURRENT_COL_ES,FALSE),"")</f>
        <v/>
      </c>
      <c r="G808" s="468" t="str">
        <f t="shared" ca="1" si="135"/>
        <v/>
      </c>
      <c r="H808" s="408" t="str">
        <f ca="1">_xlfn.IFNA(VLOOKUP(F806,BEGIN_CURRENT_VISION:END_CURRENT_VISION,CURRENT_COL_ESContrib,FALSE),"")</f>
        <v/>
      </c>
      <c r="I808" s="409" t="str">
        <f ca="1" t="shared" si="136" ref="I808:I810">IFERROR(F808-H808,"")</f>
        <v/>
      </c>
      <c r="J808" s="410" t="str">
        <f ca="1" t="shared" si="137" ref="J808:J810">IF(F808="","",H808*E808)</f>
        <v/>
      </c>
      <c r="K808" s="411"/>
      <c r="L808" s="408" t="str" cm="1">
        <f t="array" ca="1" aca="1" ref="L808">_xlfn.IFNA(VLOOKUP(INDIRECT("L"&amp;ROW()-2)&amp;"_"&amp;$D$12,BEGIN_Renew_Vision:END_RENEW_VISION,RENEW_COL_ES,FALSE),"")</f>
        <v/>
      </c>
      <c r="M808" s="412" t="str">
        <f ca="1">IF(E808="","",E808)</f>
        <v/>
      </c>
      <c r="N808" s="413"/>
      <c r="O808" s="414"/>
      <c r="P808" s="415" t="str">
        <f>IFERROR(IF($N806="Keep Contribution Same",H808,IF($N806="Enter Percentages",IF(N808="","",N808*L808),IF($N806="Keep Percentage Same",IF(G808="","",G808*L808),IF($N806="Enter Dollar Amount",IF(O808="","",O808),"")))),"")</f>
        <v/>
      </c>
      <c r="Q808" s="408" t="str">
        <f ca="1" t="shared" si="138" ref="Q808:Q810">IFERROR(L808-P808,"")</f>
        <v/>
      </c>
      <c r="R808" s="410" t="str">
        <f>IFERROR(IF(P808="","",M808*P808),"")</f>
        <v/>
      </c>
      <c r="S808" s="411"/>
      <c r="T808" s="408" t="str" cm="1">
        <f t="array" ca="1" aca="1" ref="T808">_xlfn.IFNA(VLOOKUP(INDIRECT("T"&amp;ROW()-2)&amp;"_"&amp;$D$12,BEGIN_Renew_Vision:END_RENEW_VISION,RENEW_COL_ES,FALSE),"")</f>
        <v/>
      </c>
      <c r="U808" s="412" t="str">
        <f ca="1" t="shared" si="139" ref="U808:U810">IF(E808="","",E808)</f>
        <v/>
      </c>
      <c r="V808" s="413"/>
      <c r="W808" s="414"/>
      <c r="X808" s="415" t="str">
        <f>IFERROR(IF($V806="Keep Contribution Same",H808,IF($V806="Enter Percentages",IF(V808="","",V808*T808),IF($V806="Keep Percentage Same",IF(G808="","",G808*T808),IF($V806="Enter Dollar Amount",IF(W808="","",W808),"")))),"")</f>
        <v/>
      </c>
      <c r="Y808" s="408" t="str">
        <f ca="1" t="shared" si="140" ref="Y808:Y810">IFERROR(T808-X808,"")</f>
        <v/>
      </c>
      <c r="Z808" s="410" t="str">
        <f t="shared" si="141" ref="Z808:Z810">IFERROR(IF(X808="","",U808*X808),"")</f>
        <v/>
      </c>
    </row>
    <row r="809" spans="1:26" ht="18.75" customHeight="1">
      <c r="A809" s="140"/>
      <c r="B809" s="140"/>
      <c r="D809" s="172" t="s">
        <v>240</v>
      </c>
      <c r="E809" s="407" t="str">
        <f ca="1">_xlfn.IFNA(VLOOKUP(F806,BEGIN_CURRENT_VISION:END_CURRENT_VISION,CURRENT_COL_EC_count,FALSE),"")</f>
        <v/>
      </c>
      <c r="F809" s="408" t="str">
        <f ca="1">_xlfn.IFNA(VLOOKUP(F806,BEGIN_CURRENT_VISION:END_CURRENT_VISION,CURRENT_COL_EC,FALSE),"")</f>
        <v/>
      </c>
      <c r="G809" s="468" t="str">
        <f t="shared" ca="1" si="135"/>
        <v/>
      </c>
      <c r="H809" s="408" t="str">
        <f ca="1">_xlfn.IFNA(VLOOKUP(F806,BEGIN_CURRENT_VISION:END_CURRENT_VISION,CURRENT_COL_ECContrib,FALSE),"")</f>
        <v/>
      </c>
      <c r="I809" s="409" t="str">
        <f t="shared" ca="1" si="136"/>
        <v/>
      </c>
      <c r="J809" s="410" t="str">
        <f t="shared" ca="1" si="137"/>
        <v/>
      </c>
      <c r="K809" s="411"/>
      <c r="L809" s="408" t="str" cm="1">
        <f t="array" ca="1" aca="1" ref="L809">_xlfn.IFNA(VLOOKUP(INDIRECT("L"&amp;ROW()-3)&amp;"_"&amp;$D$12,BEGIN_Renew_Vision:END_RENEW_VISION,RENEW_COL_EC,FALSE),"")</f>
        <v/>
      </c>
      <c r="M809" s="412" t="str">
        <f ca="1">IF(E809="","",E809)</f>
        <v/>
      </c>
      <c r="N809" s="413"/>
      <c r="O809" s="414"/>
      <c r="P809" s="415" t="str">
        <f>IFERROR(IF($N806="Keep Contribution Same",H809,IF($N806="Enter Percentages",IF(N809="","",N809*L809),IF($N806="Keep Percentage Same",IF(G809="","",G809*L809),IF($N806="Enter Dollar Amount",IF(O809="","",O809),"")))),"")</f>
        <v/>
      </c>
      <c r="Q809" s="408" t="str">
        <f t="shared" ca="1" si="138"/>
        <v/>
      </c>
      <c r="R809" s="410" t="str">
        <f>IFERROR(IF(P809="","",M809*P809),"")</f>
        <v/>
      </c>
      <c r="S809" s="411"/>
      <c r="T809" s="408" t="str" cm="1">
        <f t="array" ca="1" aca="1" ref="T809">_xlfn.IFNA(VLOOKUP(INDIRECT("T"&amp;ROW()-3)&amp;"_"&amp;$D$12,BEGIN_Renew_Vision:END_RENEW_VISION,RENEW_COL_EC,FALSE),"")</f>
        <v/>
      </c>
      <c r="U809" s="412" t="str">
        <f t="shared" ca="1" si="139"/>
        <v/>
      </c>
      <c r="V809" s="413"/>
      <c r="W809" s="414"/>
      <c r="X809" s="415" t="str">
        <f>IFERROR(IF($V806="Keep Contribution Same",H809,IF($V806="Enter Percentages",IF(V809="","",V809*T809),IF($V806="Keep Percentage Same",IF(G809="","",G809*T809),IF($V806="Enter Dollar Amount",IF(W809="","",W809),"")))),"")</f>
        <v/>
      </c>
      <c r="Y809" s="408" t="str">
        <f t="shared" ca="1" si="140"/>
        <v/>
      </c>
      <c r="Z809" s="410" t="str">
        <f t="shared" si="141"/>
        <v/>
      </c>
    </row>
    <row r="810" spans="1:26" ht="18.75" customHeight="1" thickBot="1">
      <c r="A810" s="140"/>
      <c r="B810" s="140"/>
      <c r="D810" s="174" t="s">
        <v>241</v>
      </c>
      <c r="E810" s="416" t="str">
        <f ca="1">_xlfn.IFNA(VLOOKUP(F806,BEGIN_CURRENT_VISION:END_CURRENT_VISION,CURRENT_COL_FAM_count,FALSE),"")</f>
        <v/>
      </c>
      <c r="F810" s="417" t="str">
        <f ca="1">_xlfn.IFNA(VLOOKUP(F806,BEGIN_CURRENT_VISION:END_CURRENT_VISION,CURRENT_COL_FAM,FALSE),"")</f>
        <v/>
      </c>
      <c r="G810" s="469" t="str">
        <f t="shared" ca="1" si="135"/>
        <v/>
      </c>
      <c r="H810" s="417" t="str">
        <f ca="1">_xlfn.IFNA(VLOOKUP(F806,BEGIN_CURRENT_VISION:END_CURRENT_VISION,CURRENT_COL_FAMContrib,FALSE),"")</f>
        <v/>
      </c>
      <c r="I810" s="409" t="str">
        <f t="shared" ca="1" si="136"/>
        <v/>
      </c>
      <c r="J810" s="410" t="str">
        <f t="shared" ca="1" si="137"/>
        <v/>
      </c>
      <c r="K810" s="411"/>
      <c r="L810" s="417" t="str" cm="1">
        <f t="array" ca="1" aca="1" ref="L810">_xlfn.IFNA(VLOOKUP(INDIRECT("L"&amp;ROW()-4)&amp;"_"&amp;$D$12,BEGIN_Renew_Vision:END_RENEW_VISION,RENEW_COL_FAM,FALSE),"")</f>
        <v/>
      </c>
      <c r="M810" s="423" t="str">
        <f ca="1">IF(E810="","",E810)</f>
        <v/>
      </c>
      <c r="N810" s="420"/>
      <c r="O810" s="421"/>
      <c r="P810" s="422" t="str">
        <f>IFERROR(IF($N806="Keep Contribution Same",H810,IF($N806="Enter Percentages",IF(N810="","",N810*L810),IF($N806="Keep Percentage Same",IF(G810="","",G810*L810),IF($N806="Enter Dollar Amount",IF(O810="","",O810),"")))),"")</f>
        <v/>
      </c>
      <c r="Q810" s="417" t="str">
        <f t="shared" ca="1" si="138"/>
        <v/>
      </c>
      <c r="R810" s="419" t="str">
        <f>IFERROR(IF(P810="","",M810*P810),"")</f>
        <v/>
      </c>
      <c r="S810" s="411"/>
      <c r="T810" s="417" t="str" cm="1">
        <f t="array" ca="1" aca="1" ref="T810">_xlfn.IFNA(VLOOKUP(INDIRECT("T"&amp;ROW()-4)&amp;"_"&amp;$D$12,BEGIN_Renew_Vision:END_RENEW_VISION,RENEW_COL_FAM,FALSE),"")</f>
        <v/>
      </c>
      <c r="U810" s="423" t="str">
        <f t="shared" ca="1" si="139"/>
        <v/>
      </c>
      <c r="V810" s="420"/>
      <c r="W810" s="421"/>
      <c r="X810" s="422" t="str">
        <f>IFERROR(IF($V806="Keep Contribution Same",H810,IF($V806="Enter Percentages",IF(V810="","",V810*T810),IF($V806="Keep Percentage Same",IF(G810="","",G810*T810),IF($V806="Enter Dollar Amount",IF(W810="","",W810),"")))),"")</f>
        <v/>
      </c>
      <c r="Y810" s="417" t="str">
        <f t="shared" ca="1" si="140"/>
        <v/>
      </c>
      <c r="Z810" s="419" t="str">
        <f t="shared" si="141"/>
        <v/>
      </c>
    </row>
    <row r="811" spans="1:26" ht="18.75" customHeight="1" thickTop="1">
      <c r="A811" s="140"/>
      <c r="B811" s="140"/>
      <c r="D811" s="175" t="s">
        <v>329</v>
      </c>
      <c r="E811" s="424"/>
      <c r="F811" s="427"/>
      <c r="G811" s="426"/>
      <c r="H811" s="427"/>
      <c r="I811" s="428"/>
      <c r="J811" s="429" t="str">
        <f ca="1">IFERROR(IF(J807="","",SUM(J807:J810)),0)</f>
        <v/>
      </c>
      <c r="K811" s="1"/>
      <c r="L811" s="424"/>
      <c r="M811" s="427"/>
      <c r="N811" s="426"/>
      <c r="O811" s="427"/>
      <c r="P811" s="431"/>
      <c r="Q811" s="432"/>
      <c r="R811" s="429" t="str">
        <f>IFERROR(IF(R807="","",SUM(R807:R810)),0)</f>
        <v/>
      </c>
      <c r="T811" s="424"/>
      <c r="U811" s="427"/>
      <c r="V811" s="426"/>
      <c r="W811" s="427"/>
      <c r="X811" s="431"/>
      <c r="Y811" s="432"/>
      <c r="Z811" s="429" t="str">
        <f>IFERROR(IF(Z807="","",SUM(Z807:Z810)),0)</f>
        <v/>
      </c>
    </row>
    <row r="812" spans="1:26" ht="18" customHeight="1">
      <c r="A812" s="140"/>
      <c r="B812" s="140"/>
      <c r="D812" s="177" t="s">
        <v>243</v>
      </c>
      <c r="E812" s="433"/>
      <c r="F812" s="436"/>
      <c r="G812" s="435"/>
      <c r="H812" s="436"/>
      <c r="I812" s="432"/>
      <c r="J812" s="437" t="str">
        <f ca="1">IF(J811="","",J811*12)</f>
        <v/>
      </c>
      <c r="K812" s="1"/>
      <c r="L812" s="433"/>
      <c r="M812" s="436"/>
      <c r="N812" s="435"/>
      <c r="O812" s="436"/>
      <c r="P812" s="432"/>
      <c r="Q812" s="432"/>
      <c r="R812" s="437" t="str">
        <f>IF(R811="","",R811*12)</f>
        <v/>
      </c>
      <c r="T812" s="433"/>
      <c r="U812" s="436"/>
      <c r="V812" s="435"/>
      <c r="W812" s="436"/>
      <c r="X812" s="432"/>
      <c r="Y812" s="432"/>
      <c r="Z812" s="437" t="str">
        <f>IF(Z811="","",Z811*12)</f>
        <v/>
      </c>
    </row>
    <row r="813" spans="1:26" ht="18" customHeight="1">
      <c r="A813" s="140"/>
      <c r="B813" s="140"/>
      <c r="D813" s="177" t="s">
        <v>244</v>
      </c>
      <c r="E813" s="433"/>
      <c r="F813" s="436"/>
      <c r="G813" s="435"/>
      <c r="H813" s="436"/>
      <c r="I813" s="432"/>
      <c r="J813" s="437" t="str">
        <f ca="1">IFERROR(IF(J812="","",R812-J812),0)</f>
        <v/>
      </c>
      <c r="K813" s="1"/>
      <c r="L813" s="433"/>
      <c r="M813" s="436"/>
      <c r="N813" s="435"/>
      <c r="O813" s="436"/>
      <c r="P813" s="432"/>
      <c r="Q813" s="432"/>
      <c r="R813" s="437" t="str">
        <f ca="1">IFERROR(IF(J812="","",R812-J812),0)</f>
        <v/>
      </c>
      <c r="T813" s="433"/>
      <c r="U813" s="436"/>
      <c r="V813" s="435"/>
      <c r="W813" s="436"/>
      <c r="X813" s="432"/>
      <c r="Y813" s="432"/>
      <c r="Z813" s="437" t="str">
        <f>IFERROR(IF(R812="","",Z812-R812),0)</f>
        <v/>
      </c>
    </row>
    <row r="814" spans="1:26" ht="18" customHeight="1" thickBot="1">
      <c r="A814" s="140"/>
      <c r="B814" s="140"/>
      <c r="D814" s="180" t="s">
        <v>245</v>
      </c>
      <c r="E814" s="439"/>
      <c r="F814" s="440"/>
      <c r="G814" s="441"/>
      <c r="H814" s="440"/>
      <c r="I814" s="442"/>
      <c r="J814" s="437" t="str">
        <f ca="1">IFERROR(IF(J812="","",(R812/J812)-1),0)</f>
        <v/>
      </c>
      <c r="K814" s="1"/>
      <c r="L814" s="439"/>
      <c r="M814" s="440"/>
      <c r="N814" s="441"/>
      <c r="O814" s="440"/>
      <c r="P814" s="445"/>
      <c r="Q814" s="445"/>
      <c r="R814" s="446" t="str">
        <f ca="1">IFERROR(IF(J812="","",(R812/J812)-1),0)</f>
        <v/>
      </c>
      <c r="T814" s="439"/>
      <c r="U814" s="440"/>
      <c r="V814" s="441"/>
      <c r="W814" s="440"/>
      <c r="X814" s="445"/>
      <c r="Y814" s="445"/>
      <c r="Z814" s="446" t="str">
        <f>IFERROR(IF(R812="","",(Z812/R812)-1),0)</f>
        <v/>
      </c>
    </row>
    <row r="815" spans="1:26" ht="5.25" customHeight="1" thickBot="1">
      <c r="A815" s="140"/>
      <c r="B815" s="140"/>
      <c r="D815" s="229"/>
      <c r="E815" s="229"/>
      <c r="F815" s="230"/>
      <c r="G815" s="231"/>
      <c r="H815" s="232"/>
      <c r="I815" s="233"/>
      <c r="J815" s="233"/>
      <c r="K815"/>
      <c r="L815" s="233"/>
      <c r="M815" s="233"/>
      <c r="N815" s="233"/>
      <c r="O815" s="233"/>
      <c r="P815" s="233"/>
      <c r="Q815" s="233"/>
      <c r="R815" s="233"/>
      <c r="T815" s="233"/>
      <c r="U815" s="233"/>
      <c r="V815" s="233"/>
      <c r="W815" s="233"/>
      <c r="X815" s="233"/>
      <c r="Y815" s="233"/>
      <c r="Z815" s="233"/>
    </row>
    <row r="816" spans="1:26" ht="50.15" customHeight="1">
      <c r="A816" s="140"/>
      <c r="B816" s="140"/>
      <c r="C816" s="164" t="s">
        <v>305</v>
      </c>
      <c r="D816" s="275" t="s">
        <v>285</v>
      </c>
      <c r="E816" s="165"/>
      <c r="F816" s="272"/>
      <c r="G816" s="166"/>
      <c r="H816" s="167"/>
      <c r="I816" s="168"/>
      <c r="J816" s="169"/>
      <c r="K816"/>
      <c r="L816" s="274" t="s">
        <v>38</v>
      </c>
      <c r="M816" s="170"/>
      <c r="N816" s="274" t="s">
        <v>237</v>
      </c>
      <c r="O816" s="171"/>
      <c r="P816" s="171"/>
      <c r="Q816" s="171"/>
      <c r="R816" s="169"/>
      <c r="T816" s="274" t="s">
        <v>38</v>
      </c>
      <c r="U816" s="170"/>
      <c r="V816" s="274" t="s">
        <v>237</v>
      </c>
      <c r="W816" s="171"/>
      <c r="X816" s="171"/>
      <c r="Y816" s="171"/>
      <c r="Z816" s="169"/>
    </row>
    <row r="817" spans="1:26" ht="18.75" customHeight="1">
      <c r="A817" s="140"/>
      <c r="B817" s="140"/>
      <c r="D817" s="172" t="s">
        <v>238</v>
      </c>
      <c r="E817" s="407"/>
      <c r="F817" s="449"/>
      <c r="G817" s="470" t="str">
        <f t="shared" si="142" ref="G817:G820">IF(F817="","",H817/F817)</f>
        <v/>
      </c>
      <c r="H817" s="449" t="str">
        <f>_xlfn.IFNA(VLOOKUP(F816,BEGIN_CURRENT_VISION:END_CURRENT_VISION,CURRENT_COL_EOContrib,FALSE),"")</f>
        <v/>
      </c>
      <c r="I817" s="409" t="str">
        <f>IFERROR(F817-H817,"")</f>
        <v/>
      </c>
      <c r="J817" s="410" t="str">
        <f>IF(F817="","",H817*E817)</f>
        <v/>
      </c>
      <c r="K817" s="411"/>
      <c r="L817" s="408" t="str" cm="1">
        <f t="array" ca="1" aca="1" ref="L817">_xlfn.IFNA(VLOOKUP(INDIRECT("L"&amp;ROW()-1)&amp;"_"&amp;$D$12,BEGIN_Renew_Vision:END_RENEW_VISION,RENEW_COL_EO,FALSE),"")</f>
        <v/>
      </c>
      <c r="M817" s="412" t="str">
        <f>IF(E817="","",E817)</f>
        <v/>
      </c>
      <c r="N817" s="413"/>
      <c r="O817" s="414"/>
      <c r="P817" s="415" t="str">
        <f>IFERROR(IF($N816="Keep Contribution Same",H817,IF($N816="Enter Percentages",IF(N817="","",N817*L817),IF($N816="Keep Percentage Same",IF(G817="","",G817*L817),IF($N816="Enter Dollar Amount",IF(O817="","",O817),"")))),"")</f>
        <v/>
      </c>
      <c r="Q817" s="408" t="str">
        <f ca="1">IFERROR(L817-P817,"")</f>
        <v/>
      </c>
      <c r="R817" s="410" t="str">
        <f>IFERROR(IF(P817="","",M817*P817),"")</f>
        <v/>
      </c>
      <c r="S817" s="411"/>
      <c r="T817" s="408" t="str" cm="1">
        <f t="array" ca="1" aca="1" ref="T817">_xlfn.IFNA(VLOOKUP(INDIRECT("T"&amp;ROW()-1)&amp;"_"&amp;$D$12,BEGIN_Renew_Vision:END_RENEW_VISION,RENEW_COL_EO,FALSE),"")</f>
        <v/>
      </c>
      <c r="U817" s="412" t="str">
        <f>IF(E817="","",E817)</f>
        <v/>
      </c>
      <c r="V817" s="413"/>
      <c r="W817" s="414"/>
      <c r="X817" s="415" t="str">
        <f>IFERROR(IF($V816="Keep Contribution Same",H817,IF($V816="Enter Percentages",IF(V817="","",V817*T817),IF($V816="Keep Percentage Same",IF(G817="","",G817*T817),IF($V816="Enter Dollar Amount",IF(W817="","",W817),"")))),"")</f>
        <v/>
      </c>
      <c r="Y817" s="408" t="str">
        <f ca="1">IFERROR(T817-X817,"")</f>
        <v/>
      </c>
      <c r="Z817" s="410" t="str">
        <f>IFERROR(IF(X817="","",U817*X817),"")</f>
        <v/>
      </c>
    </row>
    <row r="818" spans="1:26" ht="18.75" customHeight="1">
      <c r="A818" s="140"/>
      <c r="B818" s="140"/>
      <c r="D818" s="172" t="s">
        <v>239</v>
      </c>
      <c r="E818" s="407"/>
      <c r="F818" s="449" t="str">
        <f>_xlfn.IFNA(VLOOKUP(F816,BEGIN_CURRENT_VISION:END_CURRENT_VISION,CURRENT_COL_ES,FALSE),"")</f>
        <v/>
      </c>
      <c r="G818" s="470" t="str">
        <f t="shared" si="142"/>
        <v/>
      </c>
      <c r="H818" s="449" t="str">
        <f>_xlfn.IFNA(VLOOKUP(F816,BEGIN_CURRENT_VISION:END_CURRENT_VISION,CURRENT_COL_ESContrib,FALSE),"")</f>
        <v/>
      </c>
      <c r="I818" s="409" t="str">
        <f t="shared" si="143" ref="I818:I820">IFERROR(F818-H818,"")</f>
        <v/>
      </c>
      <c r="J818" s="410" t="str">
        <f t="shared" si="144" ref="J818:J820">IF(F818="","",H818*E818)</f>
        <v/>
      </c>
      <c r="K818" s="411"/>
      <c r="L818" s="408" t="str" cm="1">
        <f t="array" ca="1" aca="1" ref="L818">_xlfn.IFNA(VLOOKUP(INDIRECT("L"&amp;ROW()-2)&amp;"_"&amp;$D$12,BEGIN_Renew_Vision:END_RENEW_VISION,RENEW_COL_ES,FALSE),"")</f>
        <v/>
      </c>
      <c r="M818" s="412" t="str">
        <f>IF(E818="","",E818)</f>
        <v/>
      </c>
      <c r="N818" s="413"/>
      <c r="O818" s="414"/>
      <c r="P818" s="415" t="str">
        <f>IFERROR(IF($N816="Keep Contribution Same",H818,IF($N816="Enter Percentages",IF(N818="","",N818*L818),IF($N816="Keep Percentage Same",IF(G818="","",G818*L818),IF($N816="Enter Dollar Amount",IF(O818="","",O818),"")))),"")</f>
        <v/>
      </c>
      <c r="Q818" s="408" t="str">
        <f ca="1" t="shared" si="145" ref="Q818:Q820">IFERROR(L818-P818,"")</f>
        <v/>
      </c>
      <c r="R818" s="410" t="str">
        <f>IFERROR(IF(P818="","",M818*P818),"")</f>
        <v/>
      </c>
      <c r="S818" s="411"/>
      <c r="T818" s="408" t="str" cm="1">
        <f t="array" ca="1" aca="1" ref="T818">_xlfn.IFNA(VLOOKUP(INDIRECT("T"&amp;ROW()-2)&amp;"_"&amp;$D$12,BEGIN_Renew_Vision:END_RENEW_VISION,RENEW_COL_ES,FALSE),"")</f>
        <v/>
      </c>
      <c r="U818" s="412" t="str">
        <f t="shared" si="146" ref="U818:U820">IF(E818="","",E818)</f>
        <v/>
      </c>
      <c r="V818" s="413"/>
      <c r="W818" s="414"/>
      <c r="X818" s="415" t="str">
        <f>IFERROR(IF($V816="Keep Contribution Same",H818,IF($V816="Enter Percentages",IF(V818="","",V818*T818),IF($V816="Keep Percentage Same",IF(G818="","",G818*T818),IF($V816="Enter Dollar Amount",IF(W818="","",W818),"")))),"")</f>
        <v/>
      </c>
      <c r="Y818" s="408" t="str">
        <f ca="1" t="shared" si="147" ref="Y818:Y820">IFERROR(T818-X818,"")</f>
        <v/>
      </c>
      <c r="Z818" s="410" t="str">
        <f t="shared" si="148" ref="Z818:Z820">IFERROR(IF(X818="","",U818*X818),"")</f>
        <v/>
      </c>
    </row>
    <row r="819" spans="1:26" ht="18.75" customHeight="1">
      <c r="A819" s="140"/>
      <c r="B819" s="140"/>
      <c r="D819" s="172" t="s">
        <v>240</v>
      </c>
      <c r="E819" s="407"/>
      <c r="F819" s="449" t="str">
        <f>_xlfn.IFNA(VLOOKUP(F816,BEGIN_CURRENT_VISION:END_CURRENT_VISION,CURRENT_COL_EC,FALSE),"")</f>
        <v/>
      </c>
      <c r="G819" s="470" t="str">
        <f t="shared" si="142"/>
        <v/>
      </c>
      <c r="H819" s="449" t="str">
        <f>_xlfn.IFNA(VLOOKUP(F816,BEGIN_CURRENT_VISION:END_CURRENT_VISION,CURRENT_COL_ECContrib,FALSE),"")</f>
        <v/>
      </c>
      <c r="I819" s="409" t="str">
        <f t="shared" si="143"/>
        <v/>
      </c>
      <c r="J819" s="410" t="str">
        <f t="shared" si="144"/>
        <v/>
      </c>
      <c r="K819" s="411"/>
      <c r="L819" s="408" t="str" cm="1">
        <f t="array" ca="1" aca="1" ref="L819">_xlfn.IFNA(VLOOKUP(INDIRECT("L"&amp;ROW()-3)&amp;"_"&amp;$D$12,BEGIN_Renew_Vision:END_RENEW_VISION,RENEW_COL_EC,FALSE),"")</f>
        <v/>
      </c>
      <c r="M819" s="412" t="str">
        <f>IF(E819="","",E819)</f>
        <v/>
      </c>
      <c r="N819" s="413"/>
      <c r="O819" s="414"/>
      <c r="P819" s="415" t="str">
        <f>IFERROR(IF($N816="Keep Contribution Same",H819,IF($N816="Enter Percentages",IF(N819="","",N819*L819),IF($N816="Keep Percentage Same",IF(G819="","",G819*L819),IF($N816="Enter Dollar Amount",IF(O819="","",O819),"")))),"")</f>
        <v/>
      </c>
      <c r="Q819" s="408" t="str">
        <f t="shared" ca="1" si="145"/>
        <v/>
      </c>
      <c r="R819" s="410" t="str">
        <f>IFERROR(IF(P819="","",M819*P819),"")</f>
        <v/>
      </c>
      <c r="S819" s="411"/>
      <c r="T819" s="408" t="str" cm="1">
        <f t="array" ca="1" aca="1" ref="T819">_xlfn.IFNA(VLOOKUP(INDIRECT("T"&amp;ROW()-3)&amp;"_"&amp;$D$12,BEGIN_Renew_Vision:END_RENEW_VISION,RENEW_COL_EC,FALSE),"")</f>
        <v/>
      </c>
      <c r="U819" s="412" t="str">
        <f t="shared" si="146"/>
        <v/>
      </c>
      <c r="V819" s="413"/>
      <c r="W819" s="414"/>
      <c r="X819" s="415" t="str">
        <f>IFERROR(IF($V816="Keep Contribution Same",H819,IF($V816="Enter Percentages",IF(V819="","",V819*T819),IF($V816="Keep Percentage Same",IF(G819="","",G819*T819),IF($V816="Enter Dollar Amount",IF(W819="","",W819),"")))),"")</f>
        <v/>
      </c>
      <c r="Y819" s="408" t="str">
        <f t="shared" ca="1" si="147"/>
        <v/>
      </c>
      <c r="Z819" s="410" t="str">
        <f t="shared" si="148"/>
        <v/>
      </c>
    </row>
    <row r="820" spans="1:26" ht="18.75" customHeight="1" thickBot="1">
      <c r="A820" s="140"/>
      <c r="B820" s="140"/>
      <c r="D820" s="174" t="s">
        <v>241</v>
      </c>
      <c r="E820" s="416"/>
      <c r="F820" s="451" t="str">
        <f>_xlfn.IFNA(VLOOKUP(F816,BEGIN_CURRENT_VISION:END_CURRENT_VISION,CURRENT_COL_FAM,FALSE),"")</f>
        <v/>
      </c>
      <c r="G820" s="471" t="str">
        <f t="shared" si="142"/>
        <v/>
      </c>
      <c r="H820" s="451" t="str">
        <f>_xlfn.IFNA(VLOOKUP(F816,BEGIN_CURRENT_VISION:END_CURRENT_VISION,CURRENT_COL_FAMContrib,FALSE),"")</f>
        <v/>
      </c>
      <c r="I820" s="409" t="str">
        <f t="shared" si="143"/>
        <v/>
      </c>
      <c r="J820" s="410" t="str">
        <f t="shared" si="144"/>
        <v/>
      </c>
      <c r="K820" s="411"/>
      <c r="L820" s="417" t="str" cm="1">
        <f t="array" ca="1" aca="1" ref="L820">_xlfn.IFNA(VLOOKUP(INDIRECT("L"&amp;ROW()-4)&amp;"_"&amp;$D$12,BEGIN_Renew_Vision:END_RENEW_VISION,RENEW_COL_FAM,FALSE),"")</f>
        <v/>
      </c>
      <c r="M820" s="423" t="str">
        <f>IF(E820="","",E820)</f>
        <v/>
      </c>
      <c r="N820" s="420"/>
      <c r="O820" s="421"/>
      <c r="P820" s="422" t="str">
        <f>IFERROR(IF($N816="Keep Contribution Same",H820,IF($N816="Enter Percentages",IF(N820="","",N820*L820),IF($N816="Keep Percentage Same",IF(G820="","",G820*L820),IF($N816="Enter Dollar Amount",IF(O820="","",O820),"")))),"")</f>
        <v/>
      </c>
      <c r="Q820" s="417" t="str">
        <f t="shared" ca="1" si="145"/>
        <v/>
      </c>
      <c r="R820" s="419" t="str">
        <f>IFERROR(IF(P820="","",M820*P820),"")</f>
        <v/>
      </c>
      <c r="S820" s="411"/>
      <c r="T820" s="417" t="str" cm="1">
        <f t="array" ca="1" aca="1" ref="T820">_xlfn.IFNA(VLOOKUP(INDIRECT("T"&amp;ROW()-4)&amp;"_"&amp;$D$12,BEGIN_Renew_Vision:END_RENEW_VISION,RENEW_COL_FAM,FALSE),"")</f>
        <v/>
      </c>
      <c r="U820" s="423" t="str">
        <f t="shared" si="146"/>
        <v/>
      </c>
      <c r="V820" s="420"/>
      <c r="W820" s="421"/>
      <c r="X820" s="422" t="str">
        <f>IFERROR(IF($V816="Keep Contribution Same",H820,IF($V816="Enter Percentages",IF(V820="","",V820*T820),IF($V816="Keep Percentage Same",IF(G820="","",G820*T820),IF($V816="Enter Dollar Amount",IF(W820="","",W820),"")))),"")</f>
        <v/>
      </c>
      <c r="Y820" s="417" t="str">
        <f t="shared" ca="1" si="147"/>
        <v/>
      </c>
      <c r="Z820" s="419" t="str">
        <f t="shared" si="148"/>
        <v/>
      </c>
    </row>
    <row r="821" spans="1:26" ht="18.75" customHeight="1" thickTop="1">
      <c r="A821" s="140"/>
      <c r="B821" s="140"/>
      <c r="D821" s="175" t="s">
        <v>329</v>
      </c>
      <c r="E821" s="424"/>
      <c r="F821" s="427"/>
      <c r="G821" s="426"/>
      <c r="H821" s="427"/>
      <c r="I821" s="428"/>
      <c r="J821" s="429" t="str">
        <f>IFERROR(IF(J817="","",SUM(J817:J820)),0)</f>
        <v/>
      </c>
      <c r="K821" s="1"/>
      <c r="L821" s="424"/>
      <c r="M821" s="427"/>
      <c r="N821" s="426"/>
      <c r="O821" s="427"/>
      <c r="P821" s="431"/>
      <c r="Q821" s="432"/>
      <c r="R821" s="429" t="str">
        <f>IFERROR(IF(R817="","",SUM(R817:R820)),0)</f>
        <v/>
      </c>
      <c r="T821" s="424"/>
      <c r="U821" s="427"/>
      <c r="V821" s="426"/>
      <c r="W821" s="427"/>
      <c r="X821" s="431"/>
      <c r="Y821" s="432"/>
      <c r="Z821" s="429" t="str">
        <f>IFERROR(IF(Z817="","",SUM(Z817:Z820)),0)</f>
        <v/>
      </c>
    </row>
    <row r="822" spans="1:26" ht="18.75" customHeight="1">
      <c r="A822" s="140"/>
      <c r="B822" s="140"/>
      <c r="D822" s="177" t="s">
        <v>243</v>
      </c>
      <c r="E822" s="433"/>
      <c r="F822" s="436"/>
      <c r="G822" s="435"/>
      <c r="H822" s="436"/>
      <c r="I822" s="432"/>
      <c r="J822" s="437" t="str">
        <f>IF(J821="","",J821*12)</f>
        <v/>
      </c>
      <c r="K822" s="1"/>
      <c r="L822" s="433"/>
      <c r="M822" s="436"/>
      <c r="N822" s="435"/>
      <c r="O822" s="436"/>
      <c r="P822" s="432"/>
      <c r="Q822" s="432"/>
      <c r="R822" s="437" t="str">
        <f>IF(R821="","",R821*12)</f>
        <v/>
      </c>
      <c r="T822" s="433"/>
      <c r="U822" s="436"/>
      <c r="V822" s="435"/>
      <c r="W822" s="436"/>
      <c r="X822" s="432"/>
      <c r="Y822" s="432"/>
      <c r="Z822" s="437" t="str">
        <f>IF(Z821="","",Z821*12)</f>
        <v/>
      </c>
    </row>
    <row r="823" spans="1:26" ht="18" customHeight="1">
      <c r="A823" s="140"/>
      <c r="B823" s="140"/>
      <c r="D823" s="177" t="s">
        <v>244</v>
      </c>
      <c r="E823" s="433"/>
      <c r="F823" s="436"/>
      <c r="G823" s="435"/>
      <c r="H823" s="436"/>
      <c r="I823" s="432"/>
      <c r="J823" s="437" t="str">
        <f>IFERROR(IF(J822="","",R822-J822),0)</f>
        <v/>
      </c>
      <c r="K823" s="1"/>
      <c r="L823" s="433"/>
      <c r="M823" s="436"/>
      <c r="N823" s="435"/>
      <c r="O823" s="436"/>
      <c r="P823" s="432"/>
      <c r="Q823" s="432"/>
      <c r="R823" s="437" t="str">
        <f>IFERROR(IF(J822="","",R822-J822),0)</f>
        <v/>
      </c>
      <c r="T823" s="433"/>
      <c r="U823" s="436"/>
      <c r="V823" s="435"/>
      <c r="W823" s="436"/>
      <c r="X823" s="432"/>
      <c r="Y823" s="432"/>
      <c r="Z823" s="437" t="str">
        <f>IFERROR(IF(R822="","",Z822-R822),0)</f>
        <v/>
      </c>
    </row>
    <row r="824" spans="1:26" ht="18" customHeight="1" thickBot="1">
      <c r="A824" s="140"/>
      <c r="B824" s="140"/>
      <c r="D824" s="180" t="s">
        <v>245</v>
      </c>
      <c r="E824" s="439"/>
      <c r="F824" s="440"/>
      <c r="G824" s="441"/>
      <c r="H824" s="440"/>
      <c r="I824" s="442"/>
      <c r="J824" s="437" t="str">
        <f>IFERROR(IF(J822="","",(R822/J822)-1),0)</f>
        <v/>
      </c>
      <c r="K824" s="1"/>
      <c r="L824" s="439"/>
      <c r="M824" s="440"/>
      <c r="N824" s="441"/>
      <c r="O824" s="440"/>
      <c r="P824" s="445"/>
      <c r="Q824" s="445"/>
      <c r="R824" s="446" t="str">
        <f>IFERROR(IF(J822="","",(R822/J822)-1),0)</f>
        <v/>
      </c>
      <c r="T824" s="439"/>
      <c r="U824" s="440"/>
      <c r="V824" s="441"/>
      <c r="W824" s="440"/>
      <c r="X824" s="445"/>
      <c r="Y824" s="445"/>
      <c r="Z824" s="446" t="str">
        <f>IFERROR(IF(R822="","",(Z822/R822)-1),0)</f>
        <v/>
      </c>
    </row>
    <row r="825" spans="1:26" ht="5.25" customHeight="1" thickBot="1">
      <c r="A825" s="140"/>
      <c r="B825" s="140"/>
      <c r="D825" s="229"/>
      <c r="E825" s="229"/>
      <c r="F825" s="230"/>
      <c r="G825" s="231"/>
      <c r="H825" s="232"/>
      <c r="I825" s="233"/>
      <c r="J825" s="233"/>
      <c r="K825"/>
      <c r="L825" s="233"/>
      <c r="M825" s="233"/>
      <c r="N825" s="233"/>
      <c r="O825" s="233"/>
      <c r="P825" s="233"/>
      <c r="Q825" s="233"/>
      <c r="R825" s="233"/>
      <c r="T825" s="233"/>
      <c r="U825" s="233"/>
      <c r="V825" s="233"/>
      <c r="W825" s="233"/>
      <c r="X825" s="233"/>
      <c r="Y825" s="233"/>
      <c r="Z825" s="233"/>
    </row>
    <row r="826" spans="1:26" ht="50.15" customHeight="1">
      <c r="A826" s="140"/>
      <c r="B826" s="140"/>
      <c r="C826" s="164" t="s">
        <v>306</v>
      </c>
      <c r="D826" s="275" t="s">
        <v>285</v>
      </c>
      <c r="E826" s="165"/>
      <c r="F826" s="272"/>
      <c r="G826" s="166"/>
      <c r="H826" s="167"/>
      <c r="I826" s="168"/>
      <c r="J826" s="169"/>
      <c r="K826"/>
      <c r="L826" s="274" t="s">
        <v>38</v>
      </c>
      <c r="M826" s="170"/>
      <c r="N826" s="274" t="s">
        <v>237</v>
      </c>
      <c r="O826" s="171"/>
      <c r="P826" s="171"/>
      <c r="Q826" s="171"/>
      <c r="R826" s="169"/>
      <c r="T826" s="274" t="s">
        <v>38</v>
      </c>
      <c r="U826" s="170"/>
      <c r="V826" s="274" t="s">
        <v>237</v>
      </c>
      <c r="W826" s="171"/>
      <c r="X826" s="171"/>
      <c r="Y826" s="171"/>
      <c r="Z826" s="169"/>
    </row>
    <row r="827" spans="1:26" ht="18.75" customHeight="1">
      <c r="A827" s="140"/>
      <c r="B827" s="140"/>
      <c r="D827" s="172" t="s">
        <v>238</v>
      </c>
      <c r="E827" s="407"/>
      <c r="F827" s="449"/>
      <c r="G827" s="470" t="str">
        <f t="shared" si="149" ref="G827:G830">IF(F827="","",H827/F827)</f>
        <v/>
      </c>
      <c r="H827" s="449" t="str">
        <f>_xlfn.IFNA(VLOOKUP(F826,BEGIN_CURRENT_VISION:END_CURRENT_VISION,CURRENT_COL_EOContrib,FALSE),"")</f>
        <v/>
      </c>
      <c r="I827" s="409" t="str">
        <f>IFERROR(F827-H827,"")</f>
        <v/>
      </c>
      <c r="J827" s="410" t="str">
        <f>IF(F827="","",H827*E827)</f>
        <v/>
      </c>
      <c r="K827" s="411"/>
      <c r="L827" s="408" t="str" cm="1">
        <f t="array" ca="1" aca="1" ref="L827">_xlfn.IFNA(VLOOKUP(INDIRECT("L"&amp;ROW()-1)&amp;"_"&amp;$D$12,BEGIN_Renew_Vision:END_RENEW_VISION,RENEW_COL_EO,FALSE),"")</f>
        <v/>
      </c>
      <c r="M827" s="412" t="str">
        <f>IF(E827="","",E827)</f>
        <v/>
      </c>
      <c r="N827" s="413"/>
      <c r="O827" s="414"/>
      <c r="P827" s="415" t="str">
        <f>IFERROR(IF($N826="Keep Contribution Same",H827,IF($N826="Enter Percentages",IF(N827="","",N827*L827),IF($N826="Keep Percentage Same",IF(G827="","",G827*L827),IF($N826="Enter Dollar Amount",IF(O827="","",O827),"")))),"")</f>
        <v/>
      </c>
      <c r="Q827" s="408" t="str">
        <f ca="1">IFERROR(L827-P827,"")</f>
        <v/>
      </c>
      <c r="R827" s="410" t="str">
        <f>IFERROR(IF(P827="","",M827*P827),"")</f>
        <v/>
      </c>
      <c r="S827" s="411"/>
      <c r="T827" s="408" t="str" cm="1">
        <f t="array" ca="1" aca="1" ref="T827">_xlfn.IFNA(VLOOKUP(INDIRECT("T"&amp;ROW()-1)&amp;"_"&amp;$D$12,BEGIN_Renew_Vision:END_RENEW_VISION,RENEW_COL_EO,FALSE),"")</f>
        <v/>
      </c>
      <c r="U827" s="412" t="str">
        <f>IF(E827="","",E827)</f>
        <v/>
      </c>
      <c r="V827" s="413"/>
      <c r="W827" s="414"/>
      <c r="X827" s="415" t="str">
        <f>IFERROR(IF($V826="Keep Contribution Same",H827,IF($V826="Enter Percentages",IF(V827="","",V827*T827),IF($V826="Keep Percentage Same",IF(G827="","",G827*T827),IF($V826="Enter Dollar Amount",IF(W827="","",W827),"")))),"")</f>
        <v/>
      </c>
      <c r="Y827" s="408" t="str">
        <f ca="1">IFERROR(T827-X827,"")</f>
        <v/>
      </c>
      <c r="Z827" s="410" t="str">
        <f>IFERROR(IF(X827="","",U827*X827),"")</f>
        <v/>
      </c>
    </row>
    <row r="828" spans="1:26" ht="18.75" customHeight="1">
      <c r="A828" s="140"/>
      <c r="B828" s="140"/>
      <c r="D828" s="172" t="s">
        <v>239</v>
      </c>
      <c r="E828" s="407"/>
      <c r="F828" s="449" t="str">
        <f>_xlfn.IFNA(VLOOKUP(F826,BEGIN_CURRENT_VISION:END_CURRENT_VISION,CURRENT_COL_ES,FALSE),"")</f>
        <v/>
      </c>
      <c r="G828" s="470" t="str">
        <f t="shared" si="149"/>
        <v/>
      </c>
      <c r="H828" s="449" t="str">
        <f>_xlfn.IFNA(VLOOKUP(F826,BEGIN_CURRENT_VISION:END_CURRENT_VISION,CURRENT_COL_ESContrib,FALSE),"")</f>
        <v/>
      </c>
      <c r="I828" s="409" t="str">
        <f t="shared" si="150" ref="I828:I830">IFERROR(F828-H828,"")</f>
        <v/>
      </c>
      <c r="J828" s="410" t="str">
        <f t="shared" si="151" ref="J828:J830">IF(F828="","",H828*E828)</f>
        <v/>
      </c>
      <c r="K828" s="411"/>
      <c r="L828" s="408" t="str" cm="1">
        <f t="array" ca="1" aca="1" ref="L828">_xlfn.IFNA(VLOOKUP(INDIRECT("L"&amp;ROW()-2)&amp;"_"&amp;$D$12,BEGIN_Renew_Vision:END_RENEW_VISION,RENEW_COL_ES,FALSE),"")</f>
        <v/>
      </c>
      <c r="M828" s="412" t="str">
        <f>IF(E828="","",E828)</f>
        <v/>
      </c>
      <c r="N828" s="413"/>
      <c r="O828" s="414"/>
      <c r="P828" s="415" t="str">
        <f>IFERROR(IF($N826="Keep Contribution Same",H828,IF($N826="Enter Percentages",IF(N828="","",N828*L828),IF($N826="Keep Percentage Same",IF(G828="","",G828*L828),IF($N826="Enter Dollar Amount",IF(O828="","",O828),"")))),"")</f>
        <v/>
      </c>
      <c r="Q828" s="408" t="str">
        <f ca="1" t="shared" si="152" ref="Q828:Q830">IFERROR(L828-P828,"")</f>
        <v/>
      </c>
      <c r="R828" s="410" t="str">
        <f>IFERROR(IF(P828="","",M828*P828),"")</f>
        <v/>
      </c>
      <c r="S828" s="411"/>
      <c r="T828" s="408" t="str" cm="1">
        <f t="array" ca="1" aca="1" ref="T828">_xlfn.IFNA(VLOOKUP(INDIRECT("T"&amp;ROW()-2)&amp;"_"&amp;$D$12,BEGIN_Renew_Vision:END_RENEW_VISION,RENEW_COL_ES,FALSE),"")</f>
        <v/>
      </c>
      <c r="U828" s="412" t="str">
        <f t="shared" si="153" ref="U828:U830">IF(E828="","",E828)</f>
        <v/>
      </c>
      <c r="V828" s="413"/>
      <c r="W828" s="414"/>
      <c r="X828" s="415" t="str">
        <f>IFERROR(IF($V826="Keep Contribution Same",H828,IF($V826="Enter Percentages",IF(V828="","",V828*T828),IF($V826="Keep Percentage Same",IF(G828="","",G828*T828),IF($V826="Enter Dollar Amount",IF(W828="","",W828),"")))),"")</f>
        <v/>
      </c>
      <c r="Y828" s="408" t="str">
        <f ca="1" t="shared" si="154" ref="Y828:Y830">IFERROR(T828-X828,"")</f>
        <v/>
      </c>
      <c r="Z828" s="410" t="str">
        <f t="shared" si="155" ref="Z828:Z830">IFERROR(IF(X828="","",U828*X828),"")</f>
        <v/>
      </c>
    </row>
    <row r="829" spans="1:26" ht="18.75" customHeight="1">
      <c r="A829" s="140"/>
      <c r="B829" s="140"/>
      <c r="D829" s="172" t="s">
        <v>240</v>
      </c>
      <c r="E829" s="407"/>
      <c r="F829" s="449" t="str">
        <f>_xlfn.IFNA(VLOOKUP(F826,BEGIN_CURRENT_VISION:END_CURRENT_VISION,CURRENT_COL_EC,FALSE),"")</f>
        <v/>
      </c>
      <c r="G829" s="470" t="str">
        <f t="shared" si="149"/>
        <v/>
      </c>
      <c r="H829" s="449" t="str">
        <f>_xlfn.IFNA(VLOOKUP(F826,BEGIN_CURRENT_VISION:END_CURRENT_VISION,CURRENT_COL_ECContrib,FALSE),"")</f>
        <v/>
      </c>
      <c r="I829" s="409" t="str">
        <f t="shared" si="150"/>
        <v/>
      </c>
      <c r="J829" s="410" t="str">
        <f t="shared" si="151"/>
        <v/>
      </c>
      <c r="K829" s="411"/>
      <c r="L829" s="408" t="str" cm="1">
        <f t="array" ca="1" aca="1" ref="L829">_xlfn.IFNA(VLOOKUP(INDIRECT("L"&amp;ROW()-3)&amp;"_"&amp;$D$12,BEGIN_Renew_Vision:END_RENEW_VISION,RENEW_COL_EC,FALSE),"")</f>
        <v/>
      </c>
      <c r="M829" s="412" t="str">
        <f>IF(E829="","",E829)</f>
        <v/>
      </c>
      <c r="N829" s="413"/>
      <c r="O829" s="414"/>
      <c r="P829" s="415" t="str">
        <f>IFERROR(IF($N826="Keep Contribution Same",H829,IF($N826="Enter Percentages",IF(N829="","",N829*L829),IF($N826="Keep Percentage Same",IF(G829="","",G829*L829),IF($N826="Enter Dollar Amount",IF(O829="","",O829),"")))),"")</f>
        <v/>
      </c>
      <c r="Q829" s="408" t="str">
        <f t="shared" ca="1" si="152"/>
        <v/>
      </c>
      <c r="R829" s="410" t="str">
        <f>IFERROR(IF(P829="","",M829*P829),"")</f>
        <v/>
      </c>
      <c r="S829" s="411"/>
      <c r="T829" s="408" t="str" cm="1">
        <f t="array" ca="1" aca="1" ref="T829">_xlfn.IFNA(VLOOKUP(INDIRECT("T"&amp;ROW()-3)&amp;"_"&amp;$D$12,BEGIN_Renew_Vision:END_RENEW_VISION,RENEW_COL_EC,FALSE),"")</f>
        <v/>
      </c>
      <c r="U829" s="412" t="str">
        <f t="shared" si="153"/>
        <v/>
      </c>
      <c r="V829" s="413"/>
      <c r="W829" s="414"/>
      <c r="X829" s="415" t="str">
        <f>IFERROR(IF($V826="Keep Contribution Same",H829,IF($V826="Enter Percentages",IF(V829="","",V829*T829),IF($V826="Keep Percentage Same",IF(G829="","",G829*T829),IF($V826="Enter Dollar Amount",IF(W829="","",W829),"")))),"")</f>
        <v/>
      </c>
      <c r="Y829" s="408" t="str">
        <f t="shared" ca="1" si="154"/>
        <v/>
      </c>
      <c r="Z829" s="410" t="str">
        <f t="shared" si="155"/>
        <v/>
      </c>
    </row>
    <row r="830" spans="1:26" ht="18.75" customHeight="1" thickBot="1">
      <c r="A830" s="140"/>
      <c r="B830" s="140"/>
      <c r="D830" s="174" t="s">
        <v>241</v>
      </c>
      <c r="E830" s="416"/>
      <c r="F830" s="451" t="str">
        <f>_xlfn.IFNA(VLOOKUP(F826,BEGIN_CURRENT_VISION:END_CURRENT_VISION,CURRENT_COL_FAM,FALSE),"")</f>
        <v/>
      </c>
      <c r="G830" s="471" t="str">
        <f t="shared" si="149"/>
        <v/>
      </c>
      <c r="H830" s="451" t="str">
        <f>_xlfn.IFNA(VLOOKUP(F826,BEGIN_CURRENT_VISION:END_CURRENT_VISION,CURRENT_COL_FAMContrib,FALSE),"")</f>
        <v/>
      </c>
      <c r="I830" s="409" t="str">
        <f t="shared" si="150"/>
        <v/>
      </c>
      <c r="J830" s="410" t="str">
        <f t="shared" si="151"/>
        <v/>
      </c>
      <c r="K830" s="411"/>
      <c r="L830" s="417" t="str" cm="1">
        <f t="array" ca="1" aca="1" ref="L830">_xlfn.IFNA(VLOOKUP(INDIRECT("L"&amp;ROW()-4)&amp;"_"&amp;$D$12,BEGIN_Renew_Vision:END_RENEW_VISION,RENEW_COL_FAM,FALSE),"")</f>
        <v/>
      </c>
      <c r="M830" s="423" t="str">
        <f>IF(E830="","",E830)</f>
        <v/>
      </c>
      <c r="N830" s="420"/>
      <c r="O830" s="421"/>
      <c r="P830" s="422" t="str">
        <f>IFERROR(IF($N826="Keep Contribution Same",H830,IF($N826="Enter Percentages",IF(N830="","",N830*L830),IF($N826="Keep Percentage Same",IF(G830="","",G830*L830),IF($N826="Enter Dollar Amount",IF(O830="","",O830),"")))),"")</f>
        <v/>
      </c>
      <c r="Q830" s="417" t="str">
        <f t="shared" ca="1" si="152"/>
        <v/>
      </c>
      <c r="R830" s="419" t="str">
        <f>IFERROR(IF(P830="","",M830*P830),"")</f>
        <v/>
      </c>
      <c r="S830" s="411"/>
      <c r="T830" s="417" t="str" cm="1">
        <f t="array" ca="1" aca="1" ref="T830">_xlfn.IFNA(VLOOKUP(INDIRECT("T"&amp;ROW()-4)&amp;"_"&amp;$D$12,BEGIN_Renew_Vision:END_RENEW_VISION,RENEW_COL_FAM,FALSE),"")</f>
        <v/>
      </c>
      <c r="U830" s="423" t="str">
        <f t="shared" si="153"/>
        <v/>
      </c>
      <c r="V830" s="420"/>
      <c r="W830" s="421"/>
      <c r="X830" s="422" t="str">
        <f>IFERROR(IF($V826="Keep Contribution Same",H830,IF($V826="Enter Percentages",IF(V830="","",V830*T830),IF($V826="Keep Percentage Same",IF(G830="","",G830*T830),IF($V826="Enter Dollar Amount",IF(W830="","",W830),"")))),"")</f>
        <v/>
      </c>
      <c r="Y830" s="417" t="str">
        <f t="shared" ca="1" si="154"/>
        <v/>
      </c>
      <c r="Z830" s="419" t="str">
        <f t="shared" si="155"/>
        <v/>
      </c>
    </row>
    <row r="831" spans="1:26" ht="18.75" customHeight="1" thickTop="1">
      <c r="A831" s="140"/>
      <c r="B831" s="140"/>
      <c r="D831" s="175" t="s">
        <v>329</v>
      </c>
      <c r="E831" s="424"/>
      <c r="F831" s="427"/>
      <c r="G831" s="426"/>
      <c r="H831" s="427"/>
      <c r="I831" s="428"/>
      <c r="J831" s="429" t="str">
        <f>IFERROR(IF(J827="","",SUM(J827:J830)),0)</f>
        <v/>
      </c>
      <c r="K831" s="1"/>
      <c r="L831" s="424"/>
      <c r="M831" s="427"/>
      <c r="N831" s="426"/>
      <c r="O831" s="427"/>
      <c r="P831" s="431"/>
      <c r="Q831" s="432"/>
      <c r="R831" s="429" t="str">
        <f>IFERROR(IF(R827="","",SUM(R827:R830)),0)</f>
        <v/>
      </c>
      <c r="T831" s="424"/>
      <c r="U831" s="427"/>
      <c r="V831" s="426"/>
      <c r="W831" s="427"/>
      <c r="X831" s="431"/>
      <c r="Y831" s="432"/>
      <c r="Z831" s="429" t="str">
        <f>IFERROR(IF(Z827="","",SUM(Z827:Z830)),0)</f>
        <v/>
      </c>
    </row>
    <row r="832" spans="1:26" ht="18.75" customHeight="1">
      <c r="A832" s="140"/>
      <c r="B832" s="140"/>
      <c r="D832" s="177" t="s">
        <v>243</v>
      </c>
      <c r="E832" s="433"/>
      <c r="F832" s="436"/>
      <c r="G832" s="435"/>
      <c r="H832" s="436"/>
      <c r="I832" s="432"/>
      <c r="J832" s="437" t="str">
        <f>IF(J831="","",J831*12)</f>
        <v/>
      </c>
      <c r="K832" s="1"/>
      <c r="L832" s="433"/>
      <c r="M832" s="436"/>
      <c r="N832" s="435"/>
      <c r="O832" s="436"/>
      <c r="P832" s="432"/>
      <c r="Q832" s="432"/>
      <c r="R832" s="437" t="str">
        <f>IF(R831="","",R831*12)</f>
        <v/>
      </c>
      <c r="T832" s="433"/>
      <c r="U832" s="436"/>
      <c r="V832" s="435"/>
      <c r="W832" s="436"/>
      <c r="X832" s="432"/>
      <c r="Y832" s="432"/>
      <c r="Z832" s="437" t="str">
        <f>IF(Z831="","",Z831*12)</f>
        <v/>
      </c>
    </row>
    <row r="833" spans="1:26" ht="18" customHeight="1">
      <c r="A833" s="140"/>
      <c r="B833" s="140"/>
      <c r="D833" s="177" t="s">
        <v>244</v>
      </c>
      <c r="E833" s="433"/>
      <c r="F833" s="436"/>
      <c r="G833" s="435"/>
      <c r="H833" s="436"/>
      <c r="I833" s="432"/>
      <c r="J833" s="437" t="str">
        <f>IFERROR(IF(J832="","",R832-J832),0)</f>
        <v/>
      </c>
      <c r="K833" s="1"/>
      <c r="L833" s="433"/>
      <c r="M833" s="436"/>
      <c r="N833" s="435"/>
      <c r="O833" s="436"/>
      <c r="P833" s="432"/>
      <c r="Q833" s="432"/>
      <c r="R833" s="437" t="str">
        <f>IFERROR(IF(J832="","",R832-J832),0)</f>
        <v/>
      </c>
      <c r="T833" s="433"/>
      <c r="U833" s="436"/>
      <c r="V833" s="435"/>
      <c r="W833" s="436"/>
      <c r="X833" s="432"/>
      <c r="Y833" s="432"/>
      <c r="Z833" s="437" t="str">
        <f>IFERROR(IF(R832="","",Z832-R832),0)</f>
        <v/>
      </c>
    </row>
    <row r="834" spans="1:26" ht="18" customHeight="1" thickBot="1">
      <c r="A834" s="140"/>
      <c r="B834" s="140"/>
      <c r="D834" s="180" t="s">
        <v>245</v>
      </c>
      <c r="E834" s="439"/>
      <c r="F834" s="440"/>
      <c r="G834" s="441"/>
      <c r="H834" s="440"/>
      <c r="I834" s="442"/>
      <c r="J834" s="437" t="str">
        <f>IFERROR(IF(J832="","",(R832/J832)-1),0)</f>
        <v/>
      </c>
      <c r="K834" s="1"/>
      <c r="L834" s="439"/>
      <c r="M834" s="440"/>
      <c r="N834" s="441"/>
      <c r="O834" s="440"/>
      <c r="P834" s="445"/>
      <c r="Q834" s="445"/>
      <c r="R834" s="446" t="str">
        <f>IFERROR(IF(J832="","",(R832/J832)-1),0)</f>
        <v/>
      </c>
      <c r="T834" s="439"/>
      <c r="U834" s="440"/>
      <c r="V834" s="441"/>
      <c r="W834" s="440"/>
      <c r="X834" s="445"/>
      <c r="Y834" s="445"/>
      <c r="Z834" s="446" t="str">
        <f>IFERROR(IF(R832="","",(Z832/R832)-1),0)</f>
        <v/>
      </c>
    </row>
    <row r="835" spans="1:26" ht="5.25" customHeight="1" thickBot="1">
      <c r="A835" s="140"/>
      <c r="B835" s="140"/>
      <c r="D835" s="229"/>
      <c r="E835" s="229"/>
      <c r="F835" s="230"/>
      <c r="G835" s="231"/>
      <c r="H835" s="232"/>
      <c r="I835" s="233"/>
      <c r="J835" s="233"/>
      <c r="K835"/>
      <c r="L835" s="233"/>
      <c r="M835" s="233"/>
      <c r="N835" s="233"/>
      <c r="O835" s="233"/>
      <c r="P835" s="233"/>
      <c r="Q835" s="233"/>
      <c r="R835" s="233"/>
      <c r="T835" s="233"/>
      <c r="U835" s="233"/>
      <c r="V835" s="233"/>
      <c r="W835" s="233"/>
      <c r="X835" s="233"/>
      <c r="Y835" s="233"/>
      <c r="Z835" s="233"/>
    </row>
    <row r="836" spans="1:26" ht="50.15" customHeight="1">
      <c r="A836" s="140"/>
      <c r="B836" s="140"/>
      <c r="C836" s="164" t="s">
        <v>307</v>
      </c>
      <c r="D836" s="275" t="s">
        <v>285</v>
      </c>
      <c r="E836" s="165"/>
      <c r="F836" s="272"/>
      <c r="G836" s="166"/>
      <c r="H836" s="167"/>
      <c r="I836" s="168"/>
      <c r="J836" s="169"/>
      <c r="K836"/>
      <c r="L836" s="274" t="s">
        <v>38</v>
      </c>
      <c r="M836" s="170"/>
      <c r="N836" s="274" t="s">
        <v>237</v>
      </c>
      <c r="O836" s="171"/>
      <c r="P836" s="171"/>
      <c r="Q836" s="171"/>
      <c r="R836" s="169"/>
      <c r="T836" s="274" t="s">
        <v>38</v>
      </c>
      <c r="U836" s="170"/>
      <c r="V836" s="274" t="s">
        <v>237</v>
      </c>
      <c r="W836" s="171"/>
      <c r="X836" s="171"/>
      <c r="Y836" s="171"/>
      <c r="Z836" s="169"/>
    </row>
    <row r="837" spans="1:26" ht="18.75" customHeight="1">
      <c r="A837" s="140"/>
      <c r="B837" s="140"/>
      <c r="D837" s="172" t="s">
        <v>238</v>
      </c>
      <c r="E837" s="407"/>
      <c r="F837" s="449"/>
      <c r="G837" s="470" t="str">
        <f t="shared" si="156" ref="G837:G840">IF(F837="","",H837/F837)</f>
        <v/>
      </c>
      <c r="H837" s="449" t="str">
        <f>_xlfn.IFNA(VLOOKUP(F836,BEGIN_CURRENT_VISION:END_CURRENT_VISION,CURRENT_COL_EOContrib,FALSE),"")</f>
        <v/>
      </c>
      <c r="I837" s="409" t="str">
        <f>IFERROR(F837-H837,"")</f>
        <v/>
      </c>
      <c r="J837" s="410" t="str">
        <f>IF(F837="","",H837*E837)</f>
        <v/>
      </c>
      <c r="K837" s="411"/>
      <c r="L837" s="408" t="str" cm="1">
        <f t="array" ca="1" aca="1" ref="L837">_xlfn.IFNA(VLOOKUP(INDIRECT("L"&amp;ROW()-1)&amp;"_"&amp;$D$12,BEGIN_Renew_Vision:END_RENEW_VISION,RENEW_COL_EO,FALSE),"")</f>
        <v/>
      </c>
      <c r="M837" s="412" t="str">
        <f>IF(E837="","",E837)</f>
        <v/>
      </c>
      <c r="N837" s="413"/>
      <c r="O837" s="414"/>
      <c r="P837" s="415" t="str">
        <f>IFERROR(IF($N836="Keep Contribution Same",H837,IF($N836="Enter Percentages",IF(N837="","",N837*L837),IF($N836="Keep Percentage Same",IF(G837="","",G837*L837),IF($N836="Enter Dollar Amount",IF(O837="","",O837),"")))),"")</f>
        <v/>
      </c>
      <c r="Q837" s="408" t="str">
        <f ca="1">IFERROR(L837-P837,"")</f>
        <v/>
      </c>
      <c r="R837" s="410" t="str">
        <f>IFERROR(IF(P837="","",M837*P837),"")</f>
        <v/>
      </c>
      <c r="S837" s="411"/>
      <c r="T837" s="408" t="str" cm="1">
        <f t="array" ca="1" aca="1" ref="T837">_xlfn.IFNA(VLOOKUP(INDIRECT("T"&amp;ROW()-1)&amp;"_"&amp;$D$12,BEGIN_Renew_Vision:END_RENEW_VISION,RENEW_COL_EO,FALSE),"")</f>
        <v/>
      </c>
      <c r="U837" s="412" t="str">
        <f>IF(E837="","",E837)</f>
        <v/>
      </c>
      <c r="V837" s="413"/>
      <c r="W837" s="414"/>
      <c r="X837" s="415" t="str">
        <f>IFERROR(IF($V836="Keep Contribution Same",H837,IF($V836="Enter Percentages",IF(V837="","",V837*T837),IF($V836="Keep Percentage Same",IF(G837="","",G837*T837),IF($V836="Enter Dollar Amount",IF(W837="","",W837),"")))),"")</f>
        <v/>
      </c>
      <c r="Y837" s="408" t="str">
        <f ca="1">IFERROR(T837-X837,"")</f>
        <v/>
      </c>
      <c r="Z837" s="410" t="str">
        <f>IFERROR(IF(X837="","",U837*X837),"")</f>
        <v/>
      </c>
    </row>
    <row r="838" spans="1:26" ht="18.75" customHeight="1">
      <c r="A838" s="140"/>
      <c r="B838" s="140"/>
      <c r="D838" s="172" t="s">
        <v>239</v>
      </c>
      <c r="E838" s="407"/>
      <c r="F838" s="449" t="str">
        <f>_xlfn.IFNA(VLOOKUP(F836,BEGIN_CURRENT_VISION:END_CURRENT_VISION,CURRENT_COL_ES,FALSE),"")</f>
        <v/>
      </c>
      <c r="G838" s="470" t="str">
        <f t="shared" si="156"/>
        <v/>
      </c>
      <c r="H838" s="449" t="str">
        <f>_xlfn.IFNA(VLOOKUP(F836,BEGIN_CURRENT_VISION:END_CURRENT_VISION,CURRENT_COL_ESContrib,FALSE),"")</f>
        <v/>
      </c>
      <c r="I838" s="409" t="str">
        <f t="shared" si="157" ref="I838:I840">IFERROR(F838-H838,"")</f>
        <v/>
      </c>
      <c r="J838" s="410" t="str">
        <f t="shared" si="158" ref="J838:J840">IF(F838="","",H838*E838)</f>
        <v/>
      </c>
      <c r="K838" s="411"/>
      <c r="L838" s="408" t="str" cm="1">
        <f t="array" ca="1" aca="1" ref="L838">_xlfn.IFNA(VLOOKUP(INDIRECT("L"&amp;ROW()-2)&amp;"_"&amp;$D$12,BEGIN_Renew_Vision:END_RENEW_VISION,RENEW_COL_ES,FALSE),"")</f>
        <v/>
      </c>
      <c r="M838" s="412" t="str">
        <f>IF(E838="","",E838)</f>
        <v/>
      </c>
      <c r="N838" s="413"/>
      <c r="O838" s="414"/>
      <c r="P838" s="415" t="str">
        <f>IFERROR(IF($N836="Keep Contribution Same",H838,IF($N836="Enter Percentages",IF(N838="","",N838*L838),IF($N836="Keep Percentage Same",IF(G838="","",G838*L838),IF($N836="Enter Dollar Amount",IF(O838="","",O838),"")))),"")</f>
        <v/>
      </c>
      <c r="Q838" s="408" t="str">
        <f ca="1" t="shared" si="159" ref="Q838:Q840">IFERROR(L838-P838,"")</f>
        <v/>
      </c>
      <c r="R838" s="410" t="str">
        <f>IFERROR(IF(P838="","",M838*P838),"")</f>
        <v/>
      </c>
      <c r="S838" s="411"/>
      <c r="T838" s="408" t="str" cm="1">
        <f t="array" ca="1" aca="1" ref="T838">_xlfn.IFNA(VLOOKUP(INDIRECT("T"&amp;ROW()-2)&amp;"_"&amp;$D$12,BEGIN_Renew_Vision:END_RENEW_VISION,RENEW_COL_ES,FALSE),"")</f>
        <v/>
      </c>
      <c r="U838" s="412" t="str">
        <f t="shared" si="160" ref="U838:U840">IF(E838="","",E838)</f>
        <v/>
      </c>
      <c r="V838" s="413"/>
      <c r="W838" s="414"/>
      <c r="X838" s="415" t="str">
        <f>IFERROR(IF($V836="Keep Contribution Same",H838,IF($V836="Enter Percentages",IF(V838="","",V838*T838),IF($V836="Keep Percentage Same",IF(G838="","",G838*T838),IF($V836="Enter Dollar Amount",IF(W838="","",W838),"")))),"")</f>
        <v/>
      </c>
      <c r="Y838" s="408" t="str">
        <f ca="1" t="shared" si="161" ref="Y838:Y840">IFERROR(T838-X838,"")</f>
        <v/>
      </c>
      <c r="Z838" s="410" t="str">
        <f t="shared" si="162" ref="Z838:Z840">IFERROR(IF(X838="","",U838*X838),"")</f>
        <v/>
      </c>
    </row>
    <row r="839" spans="1:26" ht="18.75" customHeight="1">
      <c r="A839" s="140"/>
      <c r="B839" s="140"/>
      <c r="D839" s="172" t="s">
        <v>240</v>
      </c>
      <c r="E839" s="407"/>
      <c r="F839" s="449" t="str">
        <f>_xlfn.IFNA(VLOOKUP(F836,BEGIN_CURRENT_VISION:END_CURRENT_VISION,CURRENT_COL_EC,FALSE),"")</f>
        <v/>
      </c>
      <c r="G839" s="470" t="str">
        <f t="shared" si="156"/>
        <v/>
      </c>
      <c r="H839" s="449" t="str">
        <f>_xlfn.IFNA(VLOOKUP(F836,BEGIN_CURRENT_VISION:END_CURRENT_VISION,CURRENT_COL_ECContrib,FALSE),"")</f>
        <v/>
      </c>
      <c r="I839" s="409" t="str">
        <f t="shared" si="157"/>
        <v/>
      </c>
      <c r="J839" s="410" t="str">
        <f t="shared" si="158"/>
        <v/>
      </c>
      <c r="K839" s="411"/>
      <c r="L839" s="408" t="str" cm="1">
        <f t="array" ca="1" aca="1" ref="L839">_xlfn.IFNA(VLOOKUP(INDIRECT("L"&amp;ROW()-3)&amp;"_"&amp;$D$12,BEGIN_Renew_Vision:END_RENEW_VISION,RENEW_COL_EC,FALSE),"")</f>
        <v/>
      </c>
      <c r="M839" s="412" t="str">
        <f>IF(E839="","",E839)</f>
        <v/>
      </c>
      <c r="N839" s="413"/>
      <c r="O839" s="414"/>
      <c r="P839" s="415" t="str">
        <f>IFERROR(IF($N836="Keep Contribution Same",H839,IF($N836="Enter Percentages",IF(N839="","",N839*L839),IF($N836="Keep Percentage Same",IF(G839="","",G839*L839),IF($N836="Enter Dollar Amount",IF(O839="","",O839),"")))),"")</f>
        <v/>
      </c>
      <c r="Q839" s="408" t="str">
        <f t="shared" ca="1" si="159"/>
        <v/>
      </c>
      <c r="R839" s="410" t="str">
        <f>IFERROR(IF(P839="","",M839*P839),"")</f>
        <v/>
      </c>
      <c r="S839" s="411"/>
      <c r="T839" s="408" t="str" cm="1">
        <f t="array" ca="1" aca="1" ref="T839">_xlfn.IFNA(VLOOKUP(INDIRECT("T"&amp;ROW()-3)&amp;"_"&amp;$D$12,BEGIN_Renew_Vision:END_RENEW_VISION,RENEW_COL_EC,FALSE),"")</f>
        <v/>
      </c>
      <c r="U839" s="412" t="str">
        <f t="shared" si="160"/>
        <v/>
      </c>
      <c r="V839" s="413"/>
      <c r="W839" s="414"/>
      <c r="X839" s="415" t="str">
        <f>IFERROR(IF($V836="Keep Contribution Same",H839,IF($V836="Enter Percentages",IF(V839="","",V839*T839),IF($V836="Keep Percentage Same",IF(G839="","",G839*T839),IF($V836="Enter Dollar Amount",IF(W839="","",W839),"")))),"")</f>
        <v/>
      </c>
      <c r="Y839" s="408" t="str">
        <f t="shared" ca="1" si="161"/>
        <v/>
      </c>
      <c r="Z839" s="410" t="str">
        <f t="shared" si="162"/>
        <v/>
      </c>
    </row>
    <row r="840" spans="1:26" ht="18.75" customHeight="1" thickBot="1">
      <c r="A840" s="140"/>
      <c r="B840" s="140"/>
      <c r="D840" s="174" t="s">
        <v>241</v>
      </c>
      <c r="E840" s="416"/>
      <c r="F840" s="451" t="str">
        <f>_xlfn.IFNA(VLOOKUP(F836,BEGIN_CURRENT_VISION:END_CURRENT_VISION,CURRENT_COL_FAM,FALSE),"")</f>
        <v/>
      </c>
      <c r="G840" s="471" t="str">
        <f t="shared" si="156"/>
        <v/>
      </c>
      <c r="H840" s="451" t="str">
        <f>_xlfn.IFNA(VLOOKUP(F836,BEGIN_CURRENT_VISION:END_CURRENT_VISION,CURRENT_COL_FAMContrib,FALSE),"")</f>
        <v/>
      </c>
      <c r="I840" s="409" t="str">
        <f t="shared" si="157"/>
        <v/>
      </c>
      <c r="J840" s="410" t="str">
        <f t="shared" si="158"/>
        <v/>
      </c>
      <c r="K840" s="411"/>
      <c r="L840" s="417" t="str" cm="1">
        <f t="array" ca="1" aca="1" ref="L840">_xlfn.IFNA(VLOOKUP(INDIRECT("L"&amp;ROW()-4)&amp;"_"&amp;$D$12,BEGIN_Renew_Vision:END_RENEW_VISION,RENEW_COL_FAM,FALSE),"")</f>
        <v/>
      </c>
      <c r="M840" s="423" t="str">
        <f>IF(E840="","",E840)</f>
        <v/>
      </c>
      <c r="N840" s="420"/>
      <c r="O840" s="421"/>
      <c r="P840" s="422" t="str">
        <f>IFERROR(IF($N836="Keep Contribution Same",H840,IF($N836="Enter Percentages",IF(N840="","",N840*L840),IF($N836="Keep Percentage Same",IF(G840="","",G840*L840),IF($N836="Enter Dollar Amount",IF(O840="","",O840),"")))),"")</f>
        <v/>
      </c>
      <c r="Q840" s="417" t="str">
        <f t="shared" ca="1" si="159"/>
        <v/>
      </c>
      <c r="R840" s="419" t="str">
        <f>IFERROR(IF(P840="","",M840*P840),"")</f>
        <v/>
      </c>
      <c r="S840" s="411"/>
      <c r="T840" s="417" t="str" cm="1">
        <f t="array" ca="1" aca="1" ref="T840">_xlfn.IFNA(VLOOKUP(INDIRECT("T"&amp;ROW()-4)&amp;"_"&amp;$D$12,BEGIN_Renew_Vision:END_RENEW_VISION,RENEW_COL_FAM,FALSE),"")</f>
        <v/>
      </c>
      <c r="U840" s="423" t="str">
        <f t="shared" si="160"/>
        <v/>
      </c>
      <c r="V840" s="420"/>
      <c r="W840" s="421"/>
      <c r="X840" s="422" t="str">
        <f>IFERROR(IF($V836="Keep Contribution Same",H840,IF($V836="Enter Percentages",IF(V840="","",V840*T840),IF($V836="Keep Percentage Same",IF(G840="","",G840*T840),IF($V836="Enter Dollar Amount",IF(W840="","",W840),"")))),"")</f>
        <v/>
      </c>
      <c r="Y840" s="417" t="str">
        <f t="shared" ca="1" si="161"/>
        <v/>
      </c>
      <c r="Z840" s="419" t="str">
        <f t="shared" si="162"/>
        <v/>
      </c>
    </row>
    <row r="841" spans="1:26" ht="18.75" customHeight="1" thickTop="1">
      <c r="A841" s="140"/>
      <c r="B841" s="140"/>
      <c r="D841" s="175" t="s">
        <v>329</v>
      </c>
      <c r="E841" s="424"/>
      <c r="F841" s="427"/>
      <c r="G841" s="426"/>
      <c r="H841" s="427"/>
      <c r="I841" s="428"/>
      <c r="J841" s="429" t="str">
        <f>IFERROR(IF(J837="","",SUM(J837:J840)),0)</f>
        <v/>
      </c>
      <c r="K841" s="1"/>
      <c r="L841" s="424"/>
      <c r="M841" s="427"/>
      <c r="N841" s="426"/>
      <c r="O841" s="427"/>
      <c r="P841" s="431"/>
      <c r="Q841" s="432"/>
      <c r="R841" s="429" t="str">
        <f>IFERROR(IF(R837="","",SUM(R837:R840)),0)</f>
        <v/>
      </c>
      <c r="T841" s="424"/>
      <c r="U841" s="427"/>
      <c r="V841" s="426"/>
      <c r="W841" s="427"/>
      <c r="X841" s="431"/>
      <c r="Y841" s="432"/>
      <c r="Z841" s="429" t="str">
        <f>IFERROR(IF(Z837="","",SUM(Z837:Z840)),0)</f>
        <v/>
      </c>
    </row>
    <row r="842" spans="1:26" ht="18" customHeight="1">
      <c r="A842" s="140"/>
      <c r="B842" s="140"/>
      <c r="D842" s="177" t="s">
        <v>243</v>
      </c>
      <c r="E842" s="433"/>
      <c r="F842" s="436"/>
      <c r="G842" s="435"/>
      <c r="H842" s="436"/>
      <c r="I842" s="432"/>
      <c r="J842" s="437" t="str">
        <f>IF(J841="","",J841*12)</f>
        <v/>
      </c>
      <c r="K842" s="1"/>
      <c r="L842" s="433"/>
      <c r="M842" s="436"/>
      <c r="N842" s="435"/>
      <c r="O842" s="436"/>
      <c r="P842" s="432"/>
      <c r="Q842" s="432"/>
      <c r="R842" s="437" t="str">
        <f>IF(R841="","",R841*12)</f>
        <v/>
      </c>
      <c r="T842" s="433"/>
      <c r="U842" s="436"/>
      <c r="V842" s="435"/>
      <c r="W842" s="436"/>
      <c r="X842" s="432"/>
      <c r="Y842" s="432"/>
      <c r="Z842" s="437" t="str">
        <f>IF(Z841="","",Z841*12)</f>
        <v/>
      </c>
    </row>
    <row r="843" spans="1:26" ht="18" customHeight="1">
      <c r="A843" s="140"/>
      <c r="B843" s="140"/>
      <c r="D843" s="177" t="s">
        <v>244</v>
      </c>
      <c r="E843" s="433"/>
      <c r="F843" s="436"/>
      <c r="G843" s="435"/>
      <c r="H843" s="436"/>
      <c r="I843" s="432"/>
      <c r="J843" s="437" t="str">
        <f>IFERROR(IF(J842="","",R842-J842),0)</f>
        <v/>
      </c>
      <c r="K843" s="1"/>
      <c r="L843" s="433"/>
      <c r="M843" s="436"/>
      <c r="N843" s="435"/>
      <c r="O843" s="436"/>
      <c r="P843" s="432"/>
      <c r="Q843" s="432"/>
      <c r="R843" s="437" t="str">
        <f>IFERROR(IF(J842="","",R842-J842),0)</f>
        <v/>
      </c>
      <c r="T843" s="433"/>
      <c r="U843" s="436"/>
      <c r="V843" s="435"/>
      <c r="W843" s="436"/>
      <c r="X843" s="432"/>
      <c r="Y843" s="432"/>
      <c r="Z843" s="437" t="str">
        <f>IFERROR(IF(R842="","",Z842-R842),0)</f>
        <v/>
      </c>
    </row>
    <row r="844" spans="1:26" ht="18" customHeight="1" thickBot="1">
      <c r="A844" s="140"/>
      <c r="B844" s="140"/>
      <c r="D844" s="180" t="s">
        <v>245</v>
      </c>
      <c r="E844" s="439"/>
      <c r="F844" s="440"/>
      <c r="G844" s="441"/>
      <c r="H844" s="440"/>
      <c r="I844" s="442"/>
      <c r="J844" s="437" t="str">
        <f>IFERROR(IF(J842="","",(R842/J842)-1),0)</f>
        <v/>
      </c>
      <c r="K844" s="1"/>
      <c r="L844" s="439"/>
      <c r="M844" s="440"/>
      <c r="N844" s="441"/>
      <c r="O844" s="440"/>
      <c r="P844" s="445"/>
      <c r="Q844" s="445"/>
      <c r="R844" s="446" t="str">
        <f>IFERROR(IF(J842="","",(R842/J842)-1),0)</f>
        <v/>
      </c>
      <c r="T844" s="439"/>
      <c r="U844" s="440"/>
      <c r="V844" s="441"/>
      <c r="W844" s="440"/>
      <c r="X844" s="445"/>
      <c r="Y844" s="445"/>
      <c r="Z844" s="446" t="str">
        <f>IFERROR(IF(R842="","",(Z842/R842)-1),0)</f>
        <v/>
      </c>
    </row>
    <row r="845" spans="1:26" ht="5.25" customHeight="1" thickBot="1">
      <c r="A845" s="140"/>
      <c r="B845" s="140"/>
      <c r="D845" s="229"/>
      <c r="E845" s="229"/>
      <c r="F845" s="230"/>
      <c r="G845" s="231"/>
      <c r="H845" s="232"/>
      <c r="I845" s="233"/>
      <c r="J845" s="233"/>
      <c r="K845"/>
      <c r="L845" s="233"/>
      <c r="M845" s="233"/>
      <c r="N845" s="233"/>
      <c r="O845" s="233"/>
      <c r="P845" s="233"/>
      <c r="Q845" s="233"/>
      <c r="R845" s="233"/>
      <c r="T845" s="233"/>
      <c r="U845" s="233"/>
      <c r="V845" s="233"/>
      <c r="W845" s="233"/>
      <c r="X845" s="233"/>
      <c r="Y845" s="233"/>
      <c r="Z845" s="233"/>
    </row>
    <row r="846" spans="1:26" ht="50.15" customHeight="1">
      <c r="A846" s="140"/>
      <c r="B846" s="140"/>
      <c r="C846" s="164" t="s">
        <v>308</v>
      </c>
      <c r="D846" s="275" t="s">
        <v>285</v>
      </c>
      <c r="E846" s="165"/>
      <c r="F846" s="272"/>
      <c r="G846" s="166"/>
      <c r="H846" s="167"/>
      <c r="I846" s="168"/>
      <c r="J846" s="169"/>
      <c r="K846"/>
      <c r="L846" s="274" t="s">
        <v>38</v>
      </c>
      <c r="M846" s="170"/>
      <c r="N846" s="274" t="s">
        <v>237</v>
      </c>
      <c r="O846" s="171"/>
      <c r="P846" s="171"/>
      <c r="Q846" s="171"/>
      <c r="R846" s="169"/>
      <c r="T846" s="274" t="s">
        <v>38</v>
      </c>
      <c r="U846" s="170"/>
      <c r="V846" s="274" t="s">
        <v>237</v>
      </c>
      <c r="W846" s="171"/>
      <c r="X846" s="171"/>
      <c r="Y846" s="171"/>
      <c r="Z846" s="169"/>
    </row>
    <row r="847" spans="1:26" ht="18.75" customHeight="1">
      <c r="A847" s="140"/>
      <c r="B847" s="140"/>
      <c r="D847" s="172" t="s">
        <v>238</v>
      </c>
      <c r="E847" s="407"/>
      <c r="F847" s="449"/>
      <c r="G847" s="470" t="str">
        <f t="shared" si="163" ref="G847:G850">IF(F847="","",H847/F847)</f>
        <v/>
      </c>
      <c r="H847" s="449" t="str">
        <f>_xlfn.IFNA(VLOOKUP(F846,BEGIN_CURRENT_VISION:END_CURRENT_VISION,CURRENT_COL_EOContrib,FALSE),"")</f>
        <v/>
      </c>
      <c r="I847" s="409" t="str">
        <f>IFERROR(F847-H847,"")</f>
        <v/>
      </c>
      <c r="J847" s="410" t="str">
        <f>IF(F847="","",H847*E847)</f>
        <v/>
      </c>
      <c r="K847" s="411"/>
      <c r="L847" s="408" t="str" cm="1">
        <f t="array" ca="1" aca="1" ref="L847">_xlfn.IFNA(VLOOKUP(INDIRECT("L"&amp;ROW()-1)&amp;"_"&amp;$D$12,BEGIN_Renew_Vision:END_RENEW_VISION,RENEW_COL_EO,FALSE),"")</f>
        <v/>
      </c>
      <c r="M847" s="412" t="str">
        <f>IF(E847="","",E847)</f>
        <v/>
      </c>
      <c r="N847" s="413"/>
      <c r="O847" s="414"/>
      <c r="P847" s="415" t="str">
        <f>IFERROR(IF($N846="Keep Contribution Same",H847,IF($N846="Enter Percentages",IF(N847="","",N847*L847),IF($N846="Keep Percentage Same",IF(G847="","",G847*L847),IF($N846="Enter Dollar Amount",IF(O847="","",O847),"")))),"")</f>
        <v/>
      </c>
      <c r="Q847" s="408" t="str">
        <f ca="1">IFERROR(L847-P847,"")</f>
        <v/>
      </c>
      <c r="R847" s="410" t="str">
        <f>IFERROR(IF(P847="","",M847*P847),"")</f>
        <v/>
      </c>
      <c r="S847" s="411"/>
      <c r="T847" s="408" t="str" cm="1">
        <f t="array" ca="1" aca="1" ref="T847">_xlfn.IFNA(VLOOKUP(INDIRECT("T"&amp;ROW()-1)&amp;"_"&amp;$D$12,BEGIN_Renew_Vision:END_RENEW_VISION,RENEW_COL_EO,FALSE),"")</f>
        <v/>
      </c>
      <c r="U847" s="412" t="str">
        <f>IF(E847="","",E847)</f>
        <v/>
      </c>
      <c r="V847" s="413"/>
      <c r="W847" s="414"/>
      <c r="X847" s="415" t="str">
        <f>IFERROR(IF($V846="Keep Contribution Same",H847,IF($V846="Enter Percentages",IF(V847="","",V847*T847),IF($V846="Keep Percentage Same",IF(G847="","",G847*T847),IF($V846="Enter Dollar Amount",IF(W847="","",W847),"")))),"")</f>
        <v/>
      </c>
      <c r="Y847" s="408" t="str">
        <f ca="1">IFERROR(T847-X847,"")</f>
        <v/>
      </c>
      <c r="Z847" s="410" t="str">
        <f>IFERROR(IF(X847="","",U847*X847),"")</f>
        <v/>
      </c>
    </row>
    <row r="848" spans="1:26" ht="18.75" customHeight="1">
      <c r="A848" s="140"/>
      <c r="B848" s="140"/>
      <c r="D848" s="172" t="s">
        <v>239</v>
      </c>
      <c r="E848" s="407"/>
      <c r="F848" s="449" t="str">
        <f>_xlfn.IFNA(VLOOKUP(F846,BEGIN_CURRENT_VISION:END_CURRENT_VISION,CURRENT_COL_ES,FALSE),"")</f>
        <v/>
      </c>
      <c r="G848" s="470" t="str">
        <f t="shared" si="163"/>
        <v/>
      </c>
      <c r="H848" s="449" t="str">
        <f>_xlfn.IFNA(VLOOKUP(F846,BEGIN_CURRENT_VISION:END_CURRENT_VISION,CURRENT_COL_ESContrib,FALSE),"")</f>
        <v/>
      </c>
      <c r="I848" s="409" t="str">
        <f t="shared" si="164" ref="I848:I850">IFERROR(F848-H848,"")</f>
        <v/>
      </c>
      <c r="J848" s="410" t="str">
        <f t="shared" si="165" ref="J848:J850">IF(F848="","",H848*E848)</f>
        <v/>
      </c>
      <c r="K848" s="411"/>
      <c r="L848" s="408" t="str" cm="1">
        <f t="array" ca="1" aca="1" ref="L848">_xlfn.IFNA(VLOOKUP(INDIRECT("L"&amp;ROW()-2)&amp;"_"&amp;$D$12,BEGIN_Renew_Vision:END_RENEW_VISION,RENEW_COL_ES,FALSE),"")</f>
        <v/>
      </c>
      <c r="M848" s="412" t="str">
        <f>IF(E848="","",E848)</f>
        <v/>
      </c>
      <c r="N848" s="413"/>
      <c r="O848" s="414"/>
      <c r="P848" s="415" t="str">
        <f>IFERROR(IF($N846="Keep Contribution Same",H848,IF($N846="Enter Percentages",IF(N848="","",N848*L848),IF($N846="Keep Percentage Same",IF(G848="","",G848*L848),IF($N846="Enter Dollar Amount",IF(O848="","",O848),"")))),"")</f>
        <v/>
      </c>
      <c r="Q848" s="408" t="str">
        <f ca="1" t="shared" si="166" ref="Q848:Q850">IFERROR(L848-P848,"")</f>
        <v/>
      </c>
      <c r="R848" s="410" t="str">
        <f>IFERROR(IF(P848="","",M848*P848),"")</f>
        <v/>
      </c>
      <c r="S848" s="411"/>
      <c r="T848" s="408" t="str" cm="1">
        <f t="array" ca="1" aca="1" ref="T848">_xlfn.IFNA(VLOOKUP(INDIRECT("T"&amp;ROW()-2)&amp;"_"&amp;$D$12,BEGIN_Renew_Vision:END_RENEW_VISION,RENEW_COL_ES,FALSE),"")</f>
        <v/>
      </c>
      <c r="U848" s="412" t="str">
        <f t="shared" si="167" ref="U848:U850">IF(E848="","",E848)</f>
        <v/>
      </c>
      <c r="V848" s="413"/>
      <c r="W848" s="414"/>
      <c r="X848" s="415" t="str">
        <f>IFERROR(IF($V846="Keep Contribution Same",H848,IF($V846="Enter Percentages",IF(V848="","",V848*T848),IF($V846="Keep Percentage Same",IF(G848="","",G848*T848),IF($V846="Enter Dollar Amount",IF(W848="","",W848),"")))),"")</f>
        <v/>
      </c>
      <c r="Y848" s="408" t="str">
        <f ca="1" t="shared" si="168" ref="Y848:Y850">IFERROR(T848-X848,"")</f>
        <v/>
      </c>
      <c r="Z848" s="410" t="str">
        <f t="shared" si="169" ref="Z848:Z850">IFERROR(IF(X848="","",U848*X848),"")</f>
        <v/>
      </c>
    </row>
    <row r="849" spans="1:26" ht="18.75" customHeight="1">
      <c r="A849" s="140"/>
      <c r="B849" s="140"/>
      <c r="D849" s="172" t="s">
        <v>240</v>
      </c>
      <c r="E849" s="407"/>
      <c r="F849" s="449" t="str">
        <f>_xlfn.IFNA(VLOOKUP(F846,BEGIN_CURRENT_VISION:END_CURRENT_VISION,CURRENT_COL_EC,FALSE),"")</f>
        <v/>
      </c>
      <c r="G849" s="470" t="str">
        <f t="shared" si="163"/>
        <v/>
      </c>
      <c r="H849" s="449" t="str">
        <f>_xlfn.IFNA(VLOOKUP(F846,BEGIN_CURRENT_VISION:END_CURRENT_VISION,CURRENT_COL_ECContrib,FALSE),"")</f>
        <v/>
      </c>
      <c r="I849" s="409" t="str">
        <f t="shared" si="164"/>
        <v/>
      </c>
      <c r="J849" s="410" t="str">
        <f t="shared" si="165"/>
        <v/>
      </c>
      <c r="K849" s="411"/>
      <c r="L849" s="408" t="str" cm="1">
        <f t="array" ca="1" aca="1" ref="L849">_xlfn.IFNA(VLOOKUP(INDIRECT("L"&amp;ROW()-3)&amp;"_"&amp;$D$12,BEGIN_Renew_Vision:END_RENEW_VISION,RENEW_COL_EC,FALSE),"")</f>
        <v/>
      </c>
      <c r="M849" s="412" t="str">
        <f>IF(E849="","",E849)</f>
        <v/>
      </c>
      <c r="N849" s="413"/>
      <c r="O849" s="414"/>
      <c r="P849" s="415" t="str">
        <f>IFERROR(IF($N846="Keep Contribution Same",H849,IF($N846="Enter Percentages",IF(N849="","",N849*L849),IF($N846="Keep Percentage Same",IF(G849="","",G849*L849),IF($N846="Enter Dollar Amount",IF(O849="","",O849),"")))),"")</f>
        <v/>
      </c>
      <c r="Q849" s="408" t="str">
        <f t="shared" ca="1" si="166"/>
        <v/>
      </c>
      <c r="R849" s="410" t="str">
        <f>IFERROR(IF(P849="","",M849*P849),"")</f>
        <v/>
      </c>
      <c r="S849" s="411"/>
      <c r="T849" s="408" t="str" cm="1">
        <f t="array" ca="1" aca="1" ref="T849">_xlfn.IFNA(VLOOKUP(INDIRECT("T"&amp;ROW()-3)&amp;"_"&amp;$D$12,BEGIN_Renew_Vision:END_RENEW_VISION,RENEW_COL_EC,FALSE),"")</f>
        <v/>
      </c>
      <c r="U849" s="412" t="str">
        <f t="shared" si="167"/>
        <v/>
      </c>
      <c r="V849" s="413"/>
      <c r="W849" s="414"/>
      <c r="X849" s="415" t="str">
        <f>IFERROR(IF($V846="Keep Contribution Same",H849,IF($V846="Enter Percentages",IF(V849="","",V849*T849),IF($V846="Keep Percentage Same",IF(G849="","",G849*T849),IF($V846="Enter Dollar Amount",IF(W849="","",W849),"")))),"")</f>
        <v/>
      </c>
      <c r="Y849" s="408" t="str">
        <f t="shared" ca="1" si="168"/>
        <v/>
      </c>
      <c r="Z849" s="410" t="str">
        <f t="shared" si="169"/>
        <v/>
      </c>
    </row>
    <row r="850" spans="1:26" ht="18.75" customHeight="1" thickBot="1">
      <c r="A850" s="140"/>
      <c r="B850" s="140"/>
      <c r="D850" s="174" t="s">
        <v>241</v>
      </c>
      <c r="E850" s="416"/>
      <c r="F850" s="451" t="str">
        <f>_xlfn.IFNA(VLOOKUP(F846,BEGIN_CURRENT_VISION:END_CURRENT_VISION,CURRENT_COL_FAM,FALSE),"")</f>
        <v/>
      </c>
      <c r="G850" s="471" t="str">
        <f t="shared" si="163"/>
        <v/>
      </c>
      <c r="H850" s="451" t="str">
        <f>_xlfn.IFNA(VLOOKUP(F846,BEGIN_CURRENT_VISION:END_CURRENT_VISION,CURRENT_COL_FAMContrib,FALSE),"")</f>
        <v/>
      </c>
      <c r="I850" s="409" t="str">
        <f t="shared" si="164"/>
        <v/>
      </c>
      <c r="J850" s="410" t="str">
        <f t="shared" si="165"/>
        <v/>
      </c>
      <c r="K850" s="411"/>
      <c r="L850" s="417" t="str" cm="1">
        <f t="array" ca="1" aca="1" ref="L850">_xlfn.IFNA(VLOOKUP(INDIRECT("L"&amp;ROW()-4)&amp;"_"&amp;$D$12,BEGIN_Renew_Vision:END_RENEW_VISION,RENEW_COL_FAM,FALSE),"")</f>
        <v/>
      </c>
      <c r="M850" s="423" t="str">
        <f>IF(E850="","",E850)</f>
        <v/>
      </c>
      <c r="N850" s="420"/>
      <c r="O850" s="421"/>
      <c r="P850" s="422" t="str">
        <f>IFERROR(IF($N846="Keep Contribution Same",H850,IF($N846="Enter Percentages",IF(N850="","",N850*L850),IF($N846="Keep Percentage Same",IF(G850="","",G850*L850),IF($N846="Enter Dollar Amount",IF(O850="","",O850),"")))),"")</f>
        <v/>
      </c>
      <c r="Q850" s="417" t="str">
        <f t="shared" ca="1" si="166"/>
        <v/>
      </c>
      <c r="R850" s="419" t="str">
        <f>IFERROR(IF(P850="","",M850*P850),"")</f>
        <v/>
      </c>
      <c r="S850" s="411"/>
      <c r="T850" s="417" t="str" cm="1">
        <f t="array" ca="1" aca="1" ref="T850">_xlfn.IFNA(VLOOKUP(INDIRECT("T"&amp;ROW()-4)&amp;"_"&amp;$D$12,BEGIN_Renew_Vision:END_RENEW_VISION,RENEW_COL_FAM,FALSE),"")</f>
        <v/>
      </c>
      <c r="U850" s="423" t="str">
        <f t="shared" si="167"/>
        <v/>
      </c>
      <c r="V850" s="420"/>
      <c r="W850" s="421"/>
      <c r="X850" s="422" t="str">
        <f>IFERROR(IF($V846="Keep Contribution Same",H850,IF($V846="Enter Percentages",IF(V850="","",V850*T850),IF($V846="Keep Percentage Same",IF(G850="","",G850*T850),IF($V846="Enter Dollar Amount",IF(W850="","",W850),"")))),"")</f>
        <v/>
      </c>
      <c r="Y850" s="417" t="str">
        <f t="shared" ca="1" si="168"/>
        <v/>
      </c>
      <c r="Z850" s="419" t="str">
        <f t="shared" si="169"/>
        <v/>
      </c>
    </row>
    <row r="851" spans="1:26" ht="18.75" customHeight="1" thickTop="1">
      <c r="A851" s="140"/>
      <c r="B851" s="140"/>
      <c r="D851" s="175" t="s">
        <v>329</v>
      </c>
      <c r="E851" s="424"/>
      <c r="F851" s="427"/>
      <c r="G851" s="426"/>
      <c r="H851" s="427"/>
      <c r="I851" s="428"/>
      <c r="J851" s="429" t="str">
        <f>IFERROR(IF(J847="","",SUM(J847:J850)),0)</f>
        <v/>
      </c>
      <c r="K851" s="1"/>
      <c r="L851" s="424"/>
      <c r="M851" s="427"/>
      <c r="N851" s="426"/>
      <c r="O851" s="427"/>
      <c r="P851" s="431"/>
      <c r="Q851" s="432"/>
      <c r="R851" s="429" t="str">
        <f>IFERROR(IF(R847="","",SUM(R847:R850)),0)</f>
        <v/>
      </c>
      <c r="T851" s="424"/>
      <c r="U851" s="427"/>
      <c r="V851" s="426"/>
      <c r="W851" s="427"/>
      <c r="X851" s="431"/>
      <c r="Y851" s="432"/>
      <c r="Z851" s="429" t="str">
        <f>IFERROR(IF(Z847="","",SUM(Z847:Z850)),0)</f>
        <v/>
      </c>
    </row>
    <row r="852" spans="1:26" ht="18.75" customHeight="1">
      <c r="A852" s="140"/>
      <c r="B852" s="140"/>
      <c r="D852" s="177" t="s">
        <v>243</v>
      </c>
      <c r="E852" s="433"/>
      <c r="F852" s="436"/>
      <c r="G852" s="435"/>
      <c r="H852" s="436"/>
      <c r="I852" s="432"/>
      <c r="J852" s="437" t="str">
        <f>IF(J851="","",J851*12)</f>
        <v/>
      </c>
      <c r="K852" s="1"/>
      <c r="L852" s="433"/>
      <c r="M852" s="436"/>
      <c r="N852" s="435"/>
      <c r="O852" s="436"/>
      <c r="P852" s="432"/>
      <c r="Q852" s="432"/>
      <c r="R852" s="437" t="str">
        <f>IF(R851="","",R851*12)</f>
        <v/>
      </c>
      <c r="T852" s="433"/>
      <c r="U852" s="436"/>
      <c r="V852" s="435"/>
      <c r="W852" s="436"/>
      <c r="X852" s="432"/>
      <c r="Y852" s="432"/>
      <c r="Z852" s="437" t="str">
        <f>IF(Z851="","",Z851*12)</f>
        <v/>
      </c>
    </row>
    <row r="853" spans="1:26" ht="18" customHeight="1">
      <c r="A853" s="140"/>
      <c r="B853" s="140"/>
      <c r="D853" s="177" t="s">
        <v>244</v>
      </c>
      <c r="E853" s="433"/>
      <c r="F853" s="436"/>
      <c r="G853" s="435"/>
      <c r="H853" s="436"/>
      <c r="I853" s="432"/>
      <c r="J853" s="437" t="str">
        <f>IFERROR(IF(J852="","",R852-J852),0)</f>
        <v/>
      </c>
      <c r="K853" s="1"/>
      <c r="L853" s="433"/>
      <c r="M853" s="436"/>
      <c r="N853" s="435"/>
      <c r="O853" s="436"/>
      <c r="P853" s="432"/>
      <c r="Q853" s="432"/>
      <c r="R853" s="437" t="str">
        <f>IFERROR(IF(J852="","",R852-J852),0)</f>
        <v/>
      </c>
      <c r="T853" s="433"/>
      <c r="U853" s="436"/>
      <c r="V853" s="435"/>
      <c r="W853" s="436"/>
      <c r="X853" s="432"/>
      <c r="Y853" s="432"/>
      <c r="Z853" s="437" t="str">
        <f>IFERROR(IF(R852="","",Z852-R852),0)</f>
        <v/>
      </c>
    </row>
    <row r="854" spans="1:26" ht="18" customHeight="1" thickBot="1">
      <c r="A854" s="140"/>
      <c r="B854" s="140"/>
      <c r="D854" s="180" t="s">
        <v>245</v>
      </c>
      <c r="E854" s="439"/>
      <c r="F854" s="440"/>
      <c r="G854" s="441"/>
      <c r="H854" s="440"/>
      <c r="I854" s="442"/>
      <c r="J854" s="437" t="str">
        <f>IFERROR(IF(J852="","",(R852/J852)-1),0)</f>
        <v/>
      </c>
      <c r="K854" s="1"/>
      <c r="L854" s="439"/>
      <c r="M854" s="440"/>
      <c r="N854" s="441"/>
      <c r="O854" s="440"/>
      <c r="P854" s="445"/>
      <c r="Q854" s="445"/>
      <c r="R854" s="446" t="str">
        <f>IFERROR(IF(J852="","",(R852/J852)-1),0)</f>
        <v/>
      </c>
      <c r="T854" s="439"/>
      <c r="U854" s="440"/>
      <c r="V854" s="441"/>
      <c r="W854" s="440"/>
      <c r="X854" s="445"/>
      <c r="Y854" s="445"/>
      <c r="Z854" s="446" t="str">
        <f>IFERROR(IF(R852="","",(Z852/R852)-1),0)</f>
        <v/>
      </c>
    </row>
    <row r="855" spans="1:26" ht="5.25" customHeight="1" thickBot="1">
      <c r="A855" s="140"/>
      <c r="B855" s="140"/>
      <c r="D855" s="229"/>
      <c r="E855" s="229"/>
      <c r="F855" s="230"/>
      <c r="G855" s="231"/>
      <c r="H855" s="232"/>
      <c r="I855" s="233"/>
      <c r="J855" s="233"/>
      <c r="K855"/>
      <c r="L855" s="233"/>
      <c r="M855" s="233"/>
      <c r="N855" s="233"/>
      <c r="O855" s="233"/>
      <c r="P855" s="233"/>
      <c r="Q855" s="233"/>
      <c r="R855" s="233"/>
      <c r="T855" s="233"/>
      <c r="U855" s="233"/>
      <c r="V855" s="233"/>
      <c r="W855" s="233"/>
      <c r="X855" s="233"/>
      <c r="Y855" s="233"/>
      <c r="Z855" s="233"/>
    </row>
    <row r="856" spans="1:26" ht="50.15" customHeight="1">
      <c r="A856" s="140"/>
      <c r="B856" s="140"/>
      <c r="C856" s="164" t="s">
        <v>309</v>
      </c>
      <c r="D856" s="275" t="s">
        <v>285</v>
      </c>
      <c r="E856" s="165"/>
      <c r="F856" s="272"/>
      <c r="G856" s="166"/>
      <c r="H856" s="167"/>
      <c r="I856" s="168"/>
      <c r="J856" s="169"/>
      <c r="K856"/>
      <c r="L856" s="274" t="s">
        <v>38</v>
      </c>
      <c r="M856" s="170"/>
      <c r="N856" s="274" t="s">
        <v>237</v>
      </c>
      <c r="O856" s="171"/>
      <c r="P856" s="171"/>
      <c r="Q856" s="171"/>
      <c r="R856" s="169"/>
      <c r="T856" s="274" t="s">
        <v>38</v>
      </c>
      <c r="U856" s="170"/>
      <c r="V856" s="274" t="s">
        <v>237</v>
      </c>
      <c r="W856" s="171"/>
      <c r="X856" s="171"/>
      <c r="Y856" s="171"/>
      <c r="Z856" s="169"/>
    </row>
    <row r="857" spans="1:26" ht="18.75" customHeight="1">
      <c r="A857" s="140"/>
      <c r="B857" s="140"/>
      <c r="D857" s="172" t="s">
        <v>238</v>
      </c>
      <c r="E857" s="407"/>
      <c r="F857" s="449"/>
      <c r="G857" s="470" t="str">
        <f t="shared" si="170" ref="G857:G860">IF(F857="","",H857/F857)</f>
        <v/>
      </c>
      <c r="H857" s="449" t="str">
        <f>_xlfn.IFNA(VLOOKUP(F856,BEGIN_CURRENT_VISION:END_CURRENT_VISION,CURRENT_COL_EOContrib,FALSE),"")</f>
        <v/>
      </c>
      <c r="I857" s="409" t="str">
        <f>IFERROR(F857-H857,"")</f>
        <v/>
      </c>
      <c r="J857" s="410" t="str">
        <f>IF(F857="","",H857*E857)</f>
        <v/>
      </c>
      <c r="K857" s="411"/>
      <c r="L857" s="408" t="str" cm="1">
        <f t="array" ca="1" aca="1" ref="L857">_xlfn.IFNA(VLOOKUP(INDIRECT("L"&amp;ROW()-1)&amp;"_"&amp;$D$12,BEGIN_Renew_Vision:END_RENEW_VISION,RENEW_COL_EO,FALSE),"")</f>
        <v/>
      </c>
      <c r="M857" s="412" t="str">
        <f>IF(E857="","",E857)</f>
        <v/>
      </c>
      <c r="N857" s="413"/>
      <c r="O857" s="414"/>
      <c r="P857" s="415" t="str">
        <f>IFERROR(IF($N856="Keep Contribution Same",H857,IF($N856="Enter Percentages",IF(N857="","",N857*L857),IF($N856="Keep Percentage Same",IF(G857="","",G857*L857),IF($N856="Enter Dollar Amount",IF(O857="","",O857),"")))),"")</f>
        <v/>
      </c>
      <c r="Q857" s="408" t="str">
        <f ca="1">IFERROR(L857-P857,"")</f>
        <v/>
      </c>
      <c r="R857" s="410" t="str">
        <f>IFERROR(IF(P857="","",M857*P857),"")</f>
        <v/>
      </c>
      <c r="S857" s="411"/>
      <c r="T857" s="408" t="str" cm="1">
        <f t="array" ca="1" aca="1" ref="T857">_xlfn.IFNA(VLOOKUP(INDIRECT("T"&amp;ROW()-1)&amp;"_"&amp;$D$12,BEGIN_Renew_Vision:END_RENEW_VISION,RENEW_COL_EO,FALSE),"")</f>
        <v/>
      </c>
      <c r="U857" s="412" t="str">
        <f>IF(E857="","",E857)</f>
        <v/>
      </c>
      <c r="V857" s="413"/>
      <c r="W857" s="414"/>
      <c r="X857" s="415" t="str">
        <f>IFERROR(IF($V856="Keep Contribution Same",H857,IF($V856="Enter Percentages",IF(V857="","",V857*T857),IF($V856="Keep Percentage Same",IF(G857="","",G857*T857),IF($V856="Enter Dollar Amount",IF(W857="","",W857),"")))),"")</f>
        <v/>
      </c>
      <c r="Y857" s="408" t="str">
        <f ca="1">IFERROR(T857-X857,"")</f>
        <v/>
      </c>
      <c r="Z857" s="410" t="str">
        <f>IFERROR(IF(X857="","",U857*X857),"")</f>
        <v/>
      </c>
    </row>
    <row r="858" spans="1:26" ht="18.75" customHeight="1">
      <c r="A858" s="140"/>
      <c r="B858" s="140"/>
      <c r="D858" s="172" t="s">
        <v>239</v>
      </c>
      <c r="E858" s="407"/>
      <c r="F858" s="449" t="str">
        <f>_xlfn.IFNA(VLOOKUP(F856,BEGIN_CURRENT_VISION:END_CURRENT_VISION,CURRENT_COL_ES,FALSE),"")</f>
        <v/>
      </c>
      <c r="G858" s="470" t="str">
        <f t="shared" si="170"/>
        <v/>
      </c>
      <c r="H858" s="449" t="str">
        <f>_xlfn.IFNA(VLOOKUP(F856,BEGIN_CURRENT_VISION:END_CURRENT_VISION,CURRENT_COL_ESContrib,FALSE),"")</f>
        <v/>
      </c>
      <c r="I858" s="409" t="str">
        <f t="shared" si="171" ref="I858:I860">IFERROR(F858-H858,"")</f>
        <v/>
      </c>
      <c r="J858" s="410" t="str">
        <f t="shared" si="172" ref="J858:J860">IF(F858="","",H858*E858)</f>
        <v/>
      </c>
      <c r="K858" s="411"/>
      <c r="L858" s="408" t="str" cm="1">
        <f t="array" ca="1" aca="1" ref="L858">_xlfn.IFNA(VLOOKUP(INDIRECT("L"&amp;ROW()-2)&amp;"_"&amp;$D$12,BEGIN_Renew_Vision:END_RENEW_VISION,RENEW_COL_ES,FALSE),"")</f>
        <v/>
      </c>
      <c r="M858" s="412" t="str">
        <f>IF(E858="","",E858)</f>
        <v/>
      </c>
      <c r="N858" s="413"/>
      <c r="O858" s="414"/>
      <c r="P858" s="415" t="str">
        <f>IFERROR(IF($N856="Keep Contribution Same",H858,IF($N856="Enter Percentages",IF(N858="","",N858*L858),IF($N856="Keep Percentage Same",IF(G858="","",G858*L858),IF($N856="Enter Dollar Amount",IF(O858="","",O858),"")))),"")</f>
        <v/>
      </c>
      <c r="Q858" s="408" t="str">
        <f ca="1" t="shared" si="173" ref="Q858:Q860">IFERROR(L858-P858,"")</f>
        <v/>
      </c>
      <c r="R858" s="410" t="str">
        <f>IFERROR(IF(P858="","",M858*P858),"")</f>
        <v/>
      </c>
      <c r="S858" s="411"/>
      <c r="T858" s="408" t="str" cm="1">
        <f t="array" ca="1" aca="1" ref="T858">_xlfn.IFNA(VLOOKUP(INDIRECT("T"&amp;ROW()-2)&amp;"_"&amp;$D$12,BEGIN_Renew_Vision:END_RENEW_VISION,RENEW_COL_ES,FALSE),"")</f>
        <v/>
      </c>
      <c r="U858" s="412" t="str">
        <f t="shared" si="174" ref="U858:U860">IF(E858="","",E858)</f>
        <v/>
      </c>
      <c r="V858" s="413"/>
      <c r="W858" s="414"/>
      <c r="X858" s="415" t="str">
        <f>IFERROR(IF($V856="Keep Contribution Same",H858,IF($V856="Enter Percentages",IF(V858="","",V858*T858),IF($V856="Keep Percentage Same",IF(G858="","",G858*T858),IF($V856="Enter Dollar Amount",IF(W858="","",W858),"")))),"")</f>
        <v/>
      </c>
      <c r="Y858" s="408" t="str">
        <f ca="1" t="shared" si="175" ref="Y858:Y860">IFERROR(T858-X858,"")</f>
        <v/>
      </c>
      <c r="Z858" s="410" t="str">
        <f t="shared" si="176" ref="Z858:Z860">IFERROR(IF(X858="","",U858*X858),"")</f>
        <v/>
      </c>
    </row>
    <row r="859" spans="1:26" ht="18.75" customHeight="1">
      <c r="A859" s="140"/>
      <c r="B859" s="140"/>
      <c r="D859" s="172" t="s">
        <v>240</v>
      </c>
      <c r="E859" s="407"/>
      <c r="F859" s="449" t="str">
        <f>_xlfn.IFNA(VLOOKUP(F856,BEGIN_CURRENT_VISION:END_CURRENT_VISION,CURRENT_COL_EC,FALSE),"")</f>
        <v/>
      </c>
      <c r="G859" s="470" t="str">
        <f t="shared" si="170"/>
        <v/>
      </c>
      <c r="H859" s="449" t="str">
        <f>_xlfn.IFNA(VLOOKUP(F856,BEGIN_CURRENT_VISION:END_CURRENT_VISION,CURRENT_COL_ECContrib,FALSE),"")</f>
        <v/>
      </c>
      <c r="I859" s="409" t="str">
        <f t="shared" si="171"/>
        <v/>
      </c>
      <c r="J859" s="410" t="str">
        <f t="shared" si="172"/>
        <v/>
      </c>
      <c r="K859" s="411"/>
      <c r="L859" s="408" t="str" cm="1">
        <f t="array" ca="1" aca="1" ref="L859">_xlfn.IFNA(VLOOKUP(INDIRECT("L"&amp;ROW()-3)&amp;"_"&amp;$D$12,BEGIN_Renew_Vision:END_RENEW_VISION,RENEW_COL_EC,FALSE),"")</f>
        <v/>
      </c>
      <c r="M859" s="412" t="str">
        <f>IF(E859="","",E859)</f>
        <v/>
      </c>
      <c r="N859" s="413"/>
      <c r="O859" s="414"/>
      <c r="P859" s="415" t="str">
        <f>IFERROR(IF($N856="Keep Contribution Same",H859,IF($N856="Enter Percentages",IF(N859="","",N859*L859),IF($N856="Keep Percentage Same",IF(G859="","",G859*L859),IF($N856="Enter Dollar Amount",IF(O859="","",O859),"")))),"")</f>
        <v/>
      </c>
      <c r="Q859" s="408" t="str">
        <f t="shared" ca="1" si="173"/>
        <v/>
      </c>
      <c r="R859" s="410" t="str">
        <f>IFERROR(IF(P859="","",M859*P859),"")</f>
        <v/>
      </c>
      <c r="S859" s="411"/>
      <c r="T859" s="408" t="str" cm="1">
        <f t="array" ca="1" aca="1" ref="T859">_xlfn.IFNA(VLOOKUP(INDIRECT("T"&amp;ROW()-3)&amp;"_"&amp;$D$12,BEGIN_Renew_Vision:END_RENEW_VISION,RENEW_COL_EC,FALSE),"")</f>
        <v/>
      </c>
      <c r="U859" s="412" t="str">
        <f t="shared" si="174"/>
        <v/>
      </c>
      <c r="V859" s="413"/>
      <c r="W859" s="414"/>
      <c r="X859" s="415" t="str">
        <f>IFERROR(IF($V856="Keep Contribution Same",H859,IF($V856="Enter Percentages",IF(V859="","",V859*T859),IF($V856="Keep Percentage Same",IF(G859="","",G859*T859),IF($V856="Enter Dollar Amount",IF(W859="","",W859),"")))),"")</f>
        <v/>
      </c>
      <c r="Y859" s="408" t="str">
        <f t="shared" ca="1" si="175"/>
        <v/>
      </c>
      <c r="Z859" s="410" t="str">
        <f t="shared" si="176"/>
        <v/>
      </c>
    </row>
    <row r="860" spans="1:26" ht="18.75" customHeight="1" thickBot="1">
      <c r="A860" s="140"/>
      <c r="B860" s="140"/>
      <c r="D860" s="174" t="s">
        <v>241</v>
      </c>
      <c r="E860" s="416"/>
      <c r="F860" s="451" t="str">
        <f>_xlfn.IFNA(VLOOKUP(F856,BEGIN_CURRENT_VISION:END_CURRENT_VISION,CURRENT_COL_FAM,FALSE),"")</f>
        <v/>
      </c>
      <c r="G860" s="471" t="str">
        <f t="shared" si="170"/>
        <v/>
      </c>
      <c r="H860" s="451" t="str">
        <f>_xlfn.IFNA(VLOOKUP(F856,BEGIN_CURRENT_VISION:END_CURRENT_VISION,CURRENT_COL_FAMContrib,FALSE),"")</f>
        <v/>
      </c>
      <c r="I860" s="409" t="str">
        <f t="shared" si="171"/>
        <v/>
      </c>
      <c r="J860" s="410" t="str">
        <f t="shared" si="172"/>
        <v/>
      </c>
      <c r="K860" s="411"/>
      <c r="L860" s="417" t="str" cm="1">
        <f t="array" ca="1" aca="1" ref="L860">_xlfn.IFNA(VLOOKUP(INDIRECT("L"&amp;ROW()-4)&amp;"_"&amp;$D$12,BEGIN_Renew_Vision:END_RENEW_VISION,RENEW_COL_FAM,FALSE),"")</f>
        <v/>
      </c>
      <c r="M860" s="423" t="str">
        <f>IF(E860="","",E860)</f>
        <v/>
      </c>
      <c r="N860" s="420"/>
      <c r="O860" s="421"/>
      <c r="P860" s="422" t="str">
        <f>IFERROR(IF($N856="Keep Contribution Same",H860,IF($N856="Enter Percentages",IF(N860="","",N860*L860),IF($N856="Keep Percentage Same",IF(G860="","",G860*L860),IF($N856="Enter Dollar Amount",IF(O860="","",O860),"")))),"")</f>
        <v/>
      </c>
      <c r="Q860" s="417" t="str">
        <f t="shared" ca="1" si="173"/>
        <v/>
      </c>
      <c r="R860" s="419" t="str">
        <f>IFERROR(IF(P860="","",M860*P860),"")</f>
        <v/>
      </c>
      <c r="S860" s="411"/>
      <c r="T860" s="417" t="str" cm="1">
        <f t="array" ca="1" aca="1" ref="T860">_xlfn.IFNA(VLOOKUP(INDIRECT("T"&amp;ROW()-4)&amp;"_"&amp;$D$12,BEGIN_Renew_Vision:END_RENEW_VISION,RENEW_COL_FAM,FALSE),"")</f>
        <v/>
      </c>
      <c r="U860" s="423" t="str">
        <f t="shared" si="174"/>
        <v/>
      </c>
      <c r="V860" s="420"/>
      <c r="W860" s="421"/>
      <c r="X860" s="422" t="str">
        <f>IFERROR(IF($V856="Keep Contribution Same",H860,IF($V856="Enter Percentages",IF(V860="","",V860*T860),IF($V856="Keep Percentage Same",IF(G860="","",G860*T860),IF($V856="Enter Dollar Amount",IF(W860="","",W860),"")))),"")</f>
        <v/>
      </c>
      <c r="Y860" s="417" t="str">
        <f t="shared" ca="1" si="175"/>
        <v/>
      </c>
      <c r="Z860" s="419" t="str">
        <f t="shared" si="176"/>
        <v/>
      </c>
    </row>
    <row r="861" spans="1:26" ht="18.75" customHeight="1" thickTop="1">
      <c r="A861" s="140"/>
      <c r="B861" s="140"/>
      <c r="D861" s="175" t="s">
        <v>329</v>
      </c>
      <c r="E861" s="424"/>
      <c r="F861" s="427"/>
      <c r="G861" s="426"/>
      <c r="H861" s="427"/>
      <c r="I861" s="428"/>
      <c r="J861" s="429" t="str">
        <f>IFERROR(IF(J857="","",SUM(J857:J860)),0)</f>
        <v/>
      </c>
      <c r="K861" s="1"/>
      <c r="L861" s="424"/>
      <c r="M861" s="427"/>
      <c r="N861" s="426"/>
      <c r="O861" s="427"/>
      <c r="P861" s="431"/>
      <c r="Q861" s="432"/>
      <c r="R861" s="429" t="str">
        <f>IFERROR(IF(R857="","",SUM(R857:R860)),0)</f>
        <v/>
      </c>
      <c r="T861" s="424"/>
      <c r="U861" s="427"/>
      <c r="V861" s="426"/>
      <c r="W861" s="427"/>
      <c r="X861" s="431"/>
      <c r="Y861" s="432"/>
      <c r="Z861" s="429" t="str">
        <f>IFERROR(IF(Z857="","",SUM(Z857:Z860)),0)</f>
        <v/>
      </c>
    </row>
    <row r="862" spans="1:26" ht="18.75" customHeight="1">
      <c r="A862" s="140"/>
      <c r="B862" s="140"/>
      <c r="D862" s="177" t="s">
        <v>243</v>
      </c>
      <c r="E862" s="433"/>
      <c r="F862" s="436"/>
      <c r="G862" s="435"/>
      <c r="H862" s="436"/>
      <c r="I862" s="432"/>
      <c r="J862" s="437" t="str">
        <f>IF(J861="","",J861*12)</f>
        <v/>
      </c>
      <c r="K862" s="1"/>
      <c r="L862" s="433"/>
      <c r="M862" s="436"/>
      <c r="N862" s="435"/>
      <c r="O862" s="436"/>
      <c r="P862" s="432"/>
      <c r="Q862" s="432"/>
      <c r="R862" s="437" t="str">
        <f>IF(R861="","",R861*12)</f>
        <v/>
      </c>
      <c r="T862" s="433"/>
      <c r="U862" s="436"/>
      <c r="V862" s="435"/>
      <c r="W862" s="436"/>
      <c r="X862" s="432"/>
      <c r="Y862" s="432"/>
      <c r="Z862" s="437" t="str">
        <f>IF(Z861="","",Z861*12)</f>
        <v/>
      </c>
    </row>
    <row r="863" spans="1:26" ht="18" customHeight="1">
      <c r="A863" s="140"/>
      <c r="B863" s="140"/>
      <c r="D863" s="177" t="s">
        <v>244</v>
      </c>
      <c r="E863" s="433"/>
      <c r="F863" s="436"/>
      <c r="G863" s="435"/>
      <c r="H863" s="436"/>
      <c r="I863" s="432"/>
      <c r="J863" s="437" t="str">
        <f>IFERROR(IF(J862="","",R862-J862),0)</f>
        <v/>
      </c>
      <c r="K863" s="1"/>
      <c r="L863" s="433"/>
      <c r="M863" s="436"/>
      <c r="N863" s="435"/>
      <c r="O863" s="436"/>
      <c r="P863" s="432"/>
      <c r="Q863" s="432"/>
      <c r="R863" s="437" t="str">
        <f>IFERROR(IF(J862="","",R862-J862),0)</f>
        <v/>
      </c>
      <c r="T863" s="433"/>
      <c r="U863" s="436"/>
      <c r="V863" s="435"/>
      <c r="W863" s="436"/>
      <c r="X863" s="432"/>
      <c r="Y863" s="432"/>
      <c r="Z863" s="437" t="str">
        <f>IFERROR(IF(R862="","",Z862-R862),0)</f>
        <v/>
      </c>
    </row>
    <row r="864" spans="1:26" ht="18" customHeight="1" thickBot="1">
      <c r="A864" s="140"/>
      <c r="B864" s="140"/>
      <c r="D864" s="180" t="s">
        <v>245</v>
      </c>
      <c r="E864" s="439"/>
      <c r="F864" s="440"/>
      <c r="G864" s="441"/>
      <c r="H864" s="440"/>
      <c r="I864" s="442"/>
      <c r="J864" s="437" t="str">
        <f>IFERROR(IF(J862="","",(R862/J862)-1),0)</f>
        <v/>
      </c>
      <c r="K864" s="1"/>
      <c r="L864" s="439"/>
      <c r="M864" s="440"/>
      <c r="N864" s="441"/>
      <c r="O864" s="440"/>
      <c r="P864" s="445"/>
      <c r="Q864" s="445"/>
      <c r="R864" s="446" t="str">
        <f>IFERROR(IF(J862="","",(R862/J862)-1),0)</f>
        <v/>
      </c>
      <c r="T864" s="439"/>
      <c r="U864" s="440"/>
      <c r="V864" s="441"/>
      <c r="W864" s="440"/>
      <c r="X864" s="445"/>
      <c r="Y864" s="445"/>
      <c r="Z864" s="446" t="str">
        <f>IFERROR(IF(R862="","",(Z862/R862)-1),0)</f>
        <v/>
      </c>
    </row>
    <row r="865" spans="1:26" ht="5.25" customHeight="1" thickBot="1">
      <c r="A865" s="140"/>
      <c r="B865" s="140"/>
      <c r="D865" s="229"/>
      <c r="E865" s="229"/>
      <c r="F865" s="230"/>
      <c r="G865" s="231"/>
      <c r="H865" s="232"/>
      <c r="I865" s="233"/>
      <c r="J865" s="233"/>
      <c r="K865"/>
      <c r="L865" s="233"/>
      <c r="M865" s="233"/>
      <c r="N865" s="233"/>
      <c r="O865" s="233"/>
      <c r="P865" s="233"/>
      <c r="Q865" s="233"/>
      <c r="R865" s="233"/>
      <c r="T865" s="233"/>
      <c r="U865" s="233"/>
      <c r="V865" s="233"/>
      <c r="W865" s="233"/>
      <c r="X865" s="233"/>
      <c r="Y865" s="233"/>
      <c r="Z865" s="233"/>
    </row>
    <row r="866" spans="1:26" ht="13.5" thickTop="1">
      <c r="A866" s="140"/>
      <c r="B866" s="140"/>
      <c r="D866" s="238" t="s">
        <v>310</v>
      </c>
      <c r="E866" s="239"/>
      <c r="F866" s="239"/>
      <c r="G866" s="239"/>
      <c r="H866" s="239"/>
      <c r="I866" s="239"/>
      <c r="J866" s="239"/>
      <c r="K866" s="239"/>
      <c r="L866" s="239"/>
      <c r="M866" s="239"/>
      <c r="N866" s="239"/>
      <c r="O866" s="239"/>
      <c r="P866" s="239"/>
      <c r="Q866" s="239"/>
      <c r="R866" s="240"/>
      <c r="T866" s="239"/>
      <c r="U866" s="239"/>
      <c r="V866" s="239"/>
      <c r="W866" s="239"/>
      <c r="X866" s="239"/>
      <c r="Y866" s="239"/>
      <c r="Z866" s="240"/>
    </row>
    <row r="867" spans="1:26" ht="18" customHeight="1">
      <c r="A867" s="140"/>
      <c r="B867" s="140"/>
      <c r="D867"/>
      <c r="E867"/>
      <c r="F867"/>
      <c r="G867"/>
      <c r="H867"/>
      <c r="I867" s="241" t="s">
        <v>311</v>
      </c>
      <c r="J867" s="462">
        <f ca="1">IFERROR(IF(J19="",0,J19)+IF(J69="",0,J69)+IF(J119="",0,J119)+IF(J169="",0,J169)+IF(J219="",0,J219)+IF(J269="",0,J269)+IF(J319="",0,J319)+IF(J369="",0,J369)+IF(J419="",0,J419)+IF(J469="",0,J469)+IF(J519="",0,J519)+IF(J569="",0,J569)+IF(J619="",0,J619),0)</f>
        <v>0</v>
      </c>
      <c r="K867" s="242"/>
      <c r="L867" s="176"/>
      <c r="M867" s="178"/>
      <c r="N867" s="139"/>
      <c r="O867" s="178"/>
      <c r="P867"/>
      <c r="Q867" s="173" t="s">
        <v>311</v>
      </c>
      <c r="R867" s="462">
        <f>IFERROR(IF(R19="",0,R19)+IF(R69="",0,R69)+IF(R119="",0,R119)+IF(R169="",0,R169)+IF(R219="",0,R219)+IF(R269="",0,R269)+IF(R319="",0,R319)+IF(R369="",0,R369)+IF(R419="",0,R419)+IF(R469="",0,R469)+IF(R519="",0,R519)+IF(R569="",0,R569)+IF(R619="",0,R619),0)</f>
        <v>0</v>
      </c>
      <c r="Y867" s="173" t="s">
        <v>311</v>
      </c>
      <c r="Z867" s="462">
        <f>IFERROR(IF(Z19="",0,Z19)+IF(Z69="",0,Z69)+IF(Z119="",0,Z119)+IF(Z169="",0,Z169)+IF(Z219="",0,Z219)+IF(Z269="",0,Z269)+IF(Z319="",0,Z319)+IF(Z369="",0,Z369)+IF(Z419="",0,Z419)+IF(Z469="",0,Z469)+IF(Z519="",0,Z519)+IF(Z569="",0,Z569)+IF(Z619="",0,Z619),0)</f>
        <v>0</v>
      </c>
    </row>
    <row r="868" spans="1:26" ht="18" customHeight="1">
      <c r="A868" s="140"/>
      <c r="B868" s="140"/>
      <c r="D868"/>
      <c r="E868"/>
      <c r="F868"/>
      <c r="G868"/>
      <c r="H868"/>
      <c r="I868" s="241" t="s">
        <v>312</v>
      </c>
      <c r="J868" s="462">
        <f ca="1">IFERROR(IF(J670="",0,J670)+IF(J680="",0,J680)+IF(J690="",0,J690)+IF(J700="",0,J700)+IF(J710="",0,J710)+IF(J720="",0,J720)+IF(J730="",0,J730)+IF(J740="",0,P740)+IF(J750="",0,P750)+IF(J760="",0,J760),0)</f>
        <v>0</v>
      </c>
      <c r="K868" s="242"/>
      <c r="L868" s="176"/>
      <c r="M868" s="178"/>
      <c r="N868" s="139"/>
      <c r="O868" s="178"/>
      <c r="P868"/>
      <c r="Q868" s="173" t="s">
        <v>312</v>
      </c>
      <c r="R868" s="462">
        <f>IFERROR(IF(R670="",0,R670)+IF(R680="",0,R680)+IF(R690="",0,R690)+IF(R700="",0,R700)+IF(R710="",0,R710)+IF(R720="",0,R720)+IF(R730="",0,R730)+IF(R740="",0,X740)+IF(R750="",0,X750)+IF(R760="",0,R760),0)</f>
        <v>0</v>
      </c>
      <c r="Y868" s="173" t="s">
        <v>312</v>
      </c>
      <c r="Z868" s="462">
        <f>IFERROR(IF(Z670="",0,Z670)+IF(Z680="",0,Z680)+IF(Z690="",0,Z690)+IF(Z700="",0,Z700)+IF(Z710="",0,Z710)+IF(Z720="",0,Z720)+IF(Z730="",0,Z730)+IF(Z740="",0,AF740)+IF(Z750="",0,AF750)+IF(Z760="",0,Z760),0)</f>
        <v>0</v>
      </c>
    </row>
    <row r="869" spans="1:26" ht="18" customHeight="1">
      <c r="A869" s="140"/>
      <c r="B869" s="140"/>
      <c r="D869"/>
      <c r="E869"/>
      <c r="F869"/>
      <c r="G869"/>
      <c r="H869"/>
      <c r="I869" s="241" t="s">
        <v>313</v>
      </c>
      <c r="J869" s="462">
        <f ca="1">IFERROR(IF(J771="",0,J771)+IF(J781="",0,J781)+IF(J791="",0,J791)+IF(J801="",0,J801)+IF(J811="",0,J811)+IF(J821="",0,J821)+IF(J831="",0,J831)+IF(J841="",0,J841)+IF(J851="",0,J851)+IF(J861="",0,J861),0)</f>
        <v>0</v>
      </c>
      <c r="K869" s="242"/>
      <c r="L869" s="176"/>
      <c r="M869" s="178"/>
      <c r="N869" s="139"/>
      <c r="O869" s="178"/>
      <c r="P869"/>
      <c r="Q869" s="173" t="s">
        <v>314</v>
      </c>
      <c r="R869" s="462">
        <f>IFERROR(IF(R771="",0,R771)+IF(R781="",0,R781)+IF(R791="",0,R791)+IF(R801="",0,R801)+IF(R811="",0,R811)+IF(R821="",0,R821)+IF(R831="",0,R831)+IF(R841="",0,R841)+IF(R851="",0,R851)+IF(R861="",0,R861),0)</f>
        <v>0</v>
      </c>
      <c r="Y869" s="173" t="s">
        <v>314</v>
      </c>
      <c r="Z869" s="462">
        <f>IFERROR(IF(Z771="",0,Z771)+IF(Z781="",0,Z781)+IF(Z791="",0,Z791)+IF(Z801="",0,Z801)+IF(Z811="",0,Z811)+IF(Z821="",0,Z821)+IF(Z831="",0,Z831)+IF(Z841="",0,Z841)+IF(Z851="",0,Z851)+IF(Z861="",0,Z861),0)</f>
        <v>0</v>
      </c>
    </row>
    <row r="870" spans="1:26" ht="18" customHeight="1">
      <c r="A870" s="140"/>
      <c r="B870" s="140"/>
      <c r="D870"/>
      <c r="E870"/>
      <c r="F870"/>
      <c r="G870"/>
      <c r="H870"/>
      <c r="I870" s="241" t="s">
        <v>315</v>
      </c>
      <c r="J870" s="11">
        <f ca="1">IFERROR(IF(E15="",0,E15)+IF(E16="",0,E16)+IF(E17="",0,E17)+IF(E18="",0,E18)+IF(E65="",0,E65)+IF(E66="",0,E66)+IF(E67="",0,E67)+IF(E68="",0,E68)+IF(E115="",0,E115)+IF(E116="",0,E116)+IF(E117="",0,E117)+IF(E118="",0,E118)+IF(E165="",0,E165)+IF(E166="",0,E166)+IF(E167="",0,E167)+IF(E168="",0,E168)+IF(E215="",0,E215)+IF(E216="",0,E216)+IF(E217="",0,E217)+IF(E218="",0,E218)+IF(E265="",0,E265)+IF(E266="",0,E266)+IF(E267="",0,E267)+IF(E268="",0,E268)+IF(E315="",0,E315)+IF(E316="",0,E316)+IF(E317="",0,E317)+IF(E318="",0,E318)+IF(E365="",0,E365)+IF(E366="",0,E366)+IF(E367="",0,E367)+IF(E368="",0,E368)+IF(E415="",0,E415)+IF(E416="",0,E416)+IF(E417="",0,E417)+IF(E418="",0,E418)+IF(E465="",0,E465)+IF(E466="",0,E466)+IF(E467="",0,E467)+IF(E468="",0,E468)+IF(E515="",0,E515)+IF(E516="",0,E516)+IF(E517="",0,E517)+IF(E518="",0,E518)+IF(E565="",0,E565)+IF(E566="",0,E566)+IF(E567="",0,E567)+IF(E568="",0,E568)+IF(E615="",0,E615)+IF(E616="",0,E616)+IF(E617="",0,E617)+IF(E618="",0,E618),0)</f>
        <v>0</v>
      </c>
      <c r="K870" s="242"/>
      <c r="L870" s="176"/>
      <c r="M870" s="178"/>
      <c r="N870" s="139"/>
      <c r="O870" s="178"/>
      <c r="P870"/>
      <c r="Q870" s="241" t="s">
        <v>315</v>
      </c>
      <c r="R870" s="11">
        <f ca="1">IFERROR(IF(M15="",0,M15)+IF(M16="",0,M16)+IF(M17="",0,M17)+IF(M18="",0,M18)+IF(M65="",0,M65)+IF(M66="",0,M66)+IF(M67="",0,M67)+IF(M68="",0,M68)+IF(M115="",0,M115)+IF(M116="",0,M116)+IF(M117="",0,M117)+IF(M118="",0,M118)+IF(M165="",0,M165)+IF(M166="",0,M166)+IF(M167="",0,M167)+IF(M168="",0,M168)+IF(M215="",0,M215)+IF(M216="",0,M216)+IF(M217="",0,M217)+IF(M218="",0,M218)+IF(M265="",0,M265)+IF(M266="",0,M266)+IF(M267="",0,M267)+IF(M268="",0,M268)+IF(M315="",0,M315)+IF(M316="",0,M316)+IF(M317="",0,M317)+IF(M318="",0,M318)+IF(M365="",0,M365)+IF(M366="",0,M366)+IF(M367="",0,M367)+IF(M368="",0,M368)+IF(M415="",0,M415)+IF(M416="",0,M416)+IF(M417="",0,M417)+IF(M418="",0,M418)+IF(M465="",0,M465)+IF(M466="",0,M466)+IF(M467="",0,M467)+IF(M468="",0,M468)+IF(M515="",0,M515)+IF(M516="",0,M516)+IF(M517="",0,M517)+IF(M518="",0,M518)+IF(M565="",0,M565)+IF(M566="",0,M566)+IF(M567="",0,M567)+IF(M568="",0,M568)+IF(M615="",0,M615)+IF(M616="",0,M616)+IF(M617="",0,M617)+IF(M618="",0,M618),0)</f>
        <v>0</v>
      </c>
      <c r="Y870" s="241" t="s">
        <v>315</v>
      </c>
      <c r="Z870" s="11">
        <f ca="1">IFERROR(IF(U15="",0,U15)+IF(U16="",0,U16)+IF(U17="",0,U17)+IF(U18="",0,U18)+IF(U65="",0,U65)+IF(U66="",0,U66)+IF(U67="",0,U67)+IF(U68="",0,U68)+IF(U115="",0,U115)+IF(U116="",0,U116)+IF(U117="",0,U117)+IF(U118="",0,U118)+IF(U165="",0,U165)+IF(U166="",0,U166)+IF(U167="",0,U167)+IF(U168="",0,U168)+IF(U215="",0,U215)+IF(U216="",0,U216)+IF(U217="",0,U217)+IF(U218="",0,U218)+IF(U265="",0,U265)+IF(U266="",0,U266)+IF(U267="",0,U267)+IF(U268="",0,U268)+IF(U315="",0,U315)+IF(U316="",0,U316)+IF(U317="",0,U317)+IF(U318="",0,U318)+IF(U365="",0,U365)+IF(U366="",0,U366)+IF(U367="",0,U367)+IF(U368="",0,U368)+IF(U415="",0,U415)+IF(U416="",0,U416)+IF(U417="",0,U417)+IF(U418="",0,U418)+IF(U465="",0,U465)+IF(U466="",0,U466)+IF(U467="",0,U467)+IF(U468="",0,U468)+IF(U515="",0,U515)+IF(U516="",0,U516)+IF(U517="",0,U517)+IF(U518="",0,U518)+IF(U565="",0,U565)+IF(U566="",0,U566)+IF(U567="",0,U567)+IF(U568="",0,U568)+IF(U615="",0,U615)+IF(U616="",0,U616)+IF(U617="",0,U617)+IF(U618="",0,U618),0)</f>
        <v>0</v>
      </c>
    </row>
    <row r="871" spans="1:26" ht="18" customHeight="1">
      <c r="A871" s="140"/>
      <c r="B871" s="140"/>
      <c r="D871"/>
      <c r="E871"/>
      <c r="F871"/>
      <c r="G871"/>
      <c r="H871"/>
      <c r="I871" s="241" t="s">
        <v>316</v>
      </c>
      <c r="J871" s="11">
        <f ca="1">IFERROR(IF(E666="",0,E666)+IF(E667="",0,E667)+IF(E668="",0,E668)+IF(E669="",0,E669)+IF(E676="",0,E676)+IF(E677="",0,E677)+IF(E678="",0,E678)+IF(E679="",0,E679)+IF(E686="",0,E686)+IF(E687="",0,E687)+IF(E688="",0,E688)+IF(E689="",0,E689)+IF(E696="",0,E696)+IF(E697="",0,E697)+IF(E698="",0,E698)+IF(E699="",0,E699)+IF(E706="",0,E706)+IF(E707="",0,E707)+IF(E708="",0,E708)+IF(E709="",0,E709)+IF(E716="",0,E716)+IF(E717="",0,E717)+IF(E718="",0,E718)+IF(E719="",0,E719)+IF(E726="",0,E726)+IF(E727="",0,E727)+IF(E728="",0,E728)+IF(E729="",0,E729)+IF(E736="",0,E736)+IF(E737="",0,E737)+IF(E738="",0,E738)+IF(E739="",0,E739)+IF(E746="",0,E746)+IF(E747="",0,E747)+IF(E748="",0,E748)+IF(E749="",0,E749)+IF(E756="",0,E756)+IF(E757="",0,E757)+IF(E758="",0,E758)+IF(E759="",0,E759),0)</f>
        <v>0</v>
      </c>
      <c r="K871" s="242"/>
      <c r="L871" s="176"/>
      <c r="M871" s="178"/>
      <c r="N871" s="139"/>
      <c r="O871" s="178"/>
      <c r="P871"/>
      <c r="Q871" s="241" t="s">
        <v>316</v>
      </c>
      <c r="R871" s="11">
        <f ca="1">IFERROR(IF(M666="",0,M666)+IF(M667="",0,M667)+IF(M668="",0,M668)+IF(M669="",0,M669)+IF(M676="",0,M676)+IF(M677="",0,M677)+IF(M678="",0,M678)+IF(M679="",0,M679)+IF(M686="",0,M686)+IF(M687="",0,M687)+IF(M688="",0,M688)+IF(M689="",0,M689)+IF(M696="",0,M696)+IF(M697="",0,M697)+IF(M698="",0,M698)+IF(M699="",0,M699)+IF(M706="",0,M706)+IF(M707="",0,M707)+IF(M708="",0,M708)+IF(M709="",0,M709)+IF(M716="",0,M716)+IF(M717="",0,M717)+IF(M718="",0,M718)+IF(M719="",0,M719)+IF(M726="",0,M726)+IF(M727="",0,M727)+IF(M728="",0,M728)+IF(M729="",0,M729)+IF(M736="",0,M736)+IF(M737="",0,M737)+IF(M738="",0,M738)+IF(M739="",0,M739)+IF(M746="",0,M746)+IF(M747="",0,M747)+IF(M748="",0,M748)+IF(M749="",0,M749)+IF(M756="",0,M756)+IF(M757="",0,M757)+IF(M758="",0,M758)+IF(M759="",0,M759),0)</f>
        <v>0</v>
      </c>
      <c r="Y871" s="241" t="s">
        <v>316</v>
      </c>
      <c r="Z871" s="11">
        <f ca="1">IFERROR(IF(U666="",0,U666)+IF(U667="",0,U667)+IF(U668="",0,U668)+IF(U669="",0,U669)+IF(U676="",0,U676)+IF(U677="",0,U677)+IF(U678="",0,U678)+IF(U679="",0,U679)+IF(U686="",0,U686)+IF(U687="",0,U687)+IF(U688="",0,U688)+IF(U689="",0,U689)+IF(U696="",0,U696)+IF(U697="",0,U697)+IF(U698="",0,U698)+IF(U699="",0,U699)+IF(U706="",0,U706)+IF(U707="",0,U707)+IF(U708="",0,U708)+IF(U709="",0,U709)+IF(U716="",0,U716)+IF(U717="",0,U717)+IF(U718="",0,U718)+IF(U719="",0,U719)+IF(U726="",0,U726)+IF(U727="",0,U727)+IF(U728="",0,U728)+IF(U729="",0,U729)+IF(U736="",0,U736)+IF(U737="",0,U737)+IF(U738="",0,U738)+IF(U739="",0,U739)+IF(U746="",0,U746)+IF(U747="",0,U747)+IF(U748="",0,U748)+IF(U749="",0,U749)+IF(U756="",0,U756)+IF(U757="",0,U757)+IF(U758="",0,U758)+IF(U759="",0,U759),0)</f>
        <v>0</v>
      </c>
    </row>
    <row r="872" spans="1:26" ht="18" customHeight="1">
      <c r="A872" s="140"/>
      <c r="B872" s="140"/>
      <c r="D872"/>
      <c r="E872"/>
      <c r="F872"/>
      <c r="G872"/>
      <c r="H872"/>
      <c r="I872" s="241" t="s">
        <v>317</v>
      </c>
      <c r="J872" s="11">
        <f ca="1">IFERROR(IF(E767="",0,E767)+IF(E768="",0,E768)+IF(E769="",0,E769)+IF(E770="",0,E770)+IF(E777="",0,E777)+IF(E778="",0,E778)+IF(E779="",0,E779)+IF(E780="",0,E780)+IF(E787="",0,E787)+IF(E788="",0,E788)+IF(E789="",0,E789)+IF(E790="",0,E790)+IF(E797="",0,E797)+IF(E798="",0,E798)+IF(E799="",0,E799)+IF(E800="",0,E800)+IF(E807="",0,E807)+IF(E808="",0,E808)+IF(E809="",0,E809)+IF(E810="",0,E810)+IF(E817="",0,E817)+IF(E818="",0,E818)+IF(E819="",0,E819)+IF(E820="",0,E820)+IF(E827="",0,E827)+IF(E828="",0,E828)+IF(E829="",0,E829)+IF(E830="",0,E830)+IF(E837="",0,E837)+IF(E838="",0,E838)+IF(E839="",0,E839)+IF(E840="",0,E840)+IF(E847="",0,E847)+IF(E848="",0,E848)+IF(E849="",0,E849)+IF(E850="",0,E850)+IF(E857="",0,E857)+IF(E858="",0,E858)+IF(E859="",0,E859)+IF(E860="",0,E860),0)</f>
        <v>0</v>
      </c>
      <c r="K872" s="242"/>
      <c r="L872" s="176"/>
      <c r="M872" s="178"/>
      <c r="N872" s="139"/>
      <c r="O872" s="178"/>
      <c r="P872"/>
      <c r="Q872" s="241" t="s">
        <v>317</v>
      </c>
      <c r="R872" s="11">
        <f ca="1">IFERROR(IF(M767="",0,M767)+IF(M768="",0,M768)+IF(M769="",0,M769)+IF(M770="",0,M770)+IF(M777="",0,M777)+IF(M778="",0,M778)+IF(M779="",0,M779)+IF(M780="",0,M780)+IF(M787="",0,M787)+IF(M788="",0,M788)+IF(M789="",0,M789)+IF(M790="",0,M790)+IF(M797="",0,M797)+IF(M798="",0,M798)+IF(M799="",0,M799)+IF(M800="",0,M800)+IF(M807="",0,M807)+IF(M808="",0,M808)+IF(M809="",0,M809)+IF(M810="",0,M810)+IF(M817="",0,M817)+IF(M818="",0,M818)+IF(M819="",0,M819)+IF(M820="",0,M820)+IF(M827="",0,M827)+IF(M828="",0,M828)+IF(M829="",0,M829)+IF(M830="",0,M830)+IF(M837="",0,M837)+IF(M838="",0,M838)+IF(M839="",0,M839)+IF(M840="",0,M840)+IF(M847="",0,M847)+IF(M848="",0,M848)+IF(M849="",0,M849)+IF(M850="",0,M850)+IF(M857="",0,M857)+IF(M858="",0,M858)+IF(M859="",0,M859)+IF(M860="",0,M860),0)</f>
        <v>0</v>
      </c>
      <c r="Y872" s="241" t="s">
        <v>317</v>
      </c>
      <c r="Z872" s="11">
        <f ca="1">IFERROR(IF(U767="",0,U767)+IF(U768="",0,U768)+IF(U769="",0,U769)+IF(U770="",0,U770)+IF(U777="",0,U777)+IF(U778="",0,U778)+IF(U779="",0,U779)+IF(U780="",0,U780)+IF(U787="",0,U787)+IF(U788="",0,U788)+IF(U789="",0,U789)+IF(U790="",0,U790)+IF(U797="",0,U797)+IF(U798="",0,U798)+IF(U799="",0,U799)+IF(U800="",0,U800)+IF(U807="",0,U807)+IF(U808="",0,U808)+IF(U809="",0,U809)+IF(U810="",0,U810)+IF(U817="",0,U817)+IF(U818="",0,U818)+IF(U819="",0,U819)+IF(U820="",0,U820)+IF(U827="",0,U827)+IF(U828="",0,U828)+IF(U829="",0,U829)+IF(U830="",0,U830)+IF(U837="",0,U837)+IF(U838="",0,U838)+IF(U839="",0,U839)+IF(U840="",0,U840)+IF(U847="",0,U847)+IF(U848="",0,U848)+IF(U849="",0,U849)+IF(U850="",0,U850)+IF(U857="",0,U857)+IF(U858="",0,U858)+IF(U859="",0,U859)+IF(U860="",0,U860),0)</f>
        <v>0</v>
      </c>
    </row>
    <row r="873" spans="1:140" s="162" customFormat="1" ht="18" customHeight="1" thickBot="1">
      <c r="A873" s="140"/>
      <c r="B873" s="140"/>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row>
    <row r="874" spans="1:27" ht="31.4" customHeight="1" thickBot="1">
      <c r="A874" s="153"/>
      <c r="B874" s="153"/>
      <c r="C874"/>
      <c r="D874" s="474" t="s">
        <v>318</v>
      </c>
      <c r="E874" s="475"/>
      <c r="F874" s="475"/>
      <c r="G874" s="475"/>
      <c r="H874" s="475"/>
      <c r="I874" s="475"/>
      <c r="J874" s="475"/>
      <c r="K874" s="475"/>
      <c r="L874" s="475"/>
      <c r="M874" s="475"/>
      <c r="N874" s="475"/>
      <c r="O874" s="475"/>
      <c r="P874" s="475"/>
      <c r="Q874" s="475"/>
      <c r="R874" s="476"/>
      <c r="S874" s="162"/>
      <c r="T874" s="474"/>
      <c r="U874" s="475"/>
      <c r="V874" s="475"/>
      <c r="W874" s="475"/>
      <c r="X874" s="475"/>
      <c r="Y874" s="475"/>
      <c r="Z874" s="476"/>
      <c r="AA874"/>
    </row>
    <row r="875" spans="1:27" ht="21.75" customHeight="1" thickBot="1">
      <c r="A875" s="140"/>
      <c r="B875" s="140"/>
      <c r="C875"/>
      <c r="D875" s="530" t="s">
        <v>456</v>
      </c>
      <c r="E875" s="531"/>
      <c r="F875" s="531"/>
      <c r="G875" s="531"/>
      <c r="H875" s="531"/>
      <c r="I875" s="531"/>
      <c r="J875" s="531"/>
      <c r="K875" s="531"/>
      <c r="L875" s="531"/>
      <c r="M875" s="531"/>
      <c r="N875" s="531"/>
      <c r="O875" s="531"/>
      <c r="P875" s="531"/>
      <c r="Q875" s="532"/>
      <c r="R875" s="246"/>
      <c r="AA875"/>
    </row>
    <row r="876" spans="1:27" ht="21.75" customHeight="1">
      <c r="A876" s="140"/>
      <c r="B876" s="140"/>
      <c r="C876"/>
      <c r="D876" s="516" t="s">
        <v>320</v>
      </c>
      <c r="E876" s="517"/>
      <c r="F876" s="464"/>
      <c r="G876" s="524"/>
      <c r="H876" s="525"/>
      <c r="I876" s="250" t="s">
        <v>441</v>
      </c>
      <c r="J876"/>
      <c r="K876" s="245"/>
      <c r="L876" s="526" t="s">
        <v>321</v>
      </c>
      <c r="M876" s="527"/>
      <c r="N876" s="528" t="s">
        <v>322</v>
      </c>
      <c r="O876" s="528"/>
      <c r="P876" s="529" t="s">
        <v>323</v>
      </c>
      <c r="Q876" s="529"/>
      <c r="R876" s="245"/>
      <c r="AA876"/>
    </row>
    <row r="877" spans="1:18" ht="21.75" customHeight="1">
      <c r="A877" s="140"/>
      <c r="B877" s="140" t="s">
        <v>38</v>
      </c>
      <c r="D877" s="505" t="s">
        <v>455</v>
      </c>
      <c r="E877" s="506"/>
      <c r="F877" s="509"/>
      <c r="G877" s="510"/>
      <c r="H877" s="511"/>
      <c r="I877"/>
      <c r="J877"/>
      <c r="K877" s="245"/>
      <c r="L877" s="520" t="s">
        <v>325</v>
      </c>
      <c r="M877" s="521"/>
      <c r="N877" s="512" t="str">
        <f>LTDSelect</f>
        <v>SELECT PLAN</v>
      </c>
      <c r="O877" s="512"/>
      <c r="P877" s="513" t="str">
        <f>IFERROR(VLOOKUP(N877,BEGIN_Renew_LTD_PlanID:END_RENEW_LTD,9,FALSE),"--")</f>
        <v>--</v>
      </c>
      <c r="Q877" s="513"/>
      <c r="R877" s="251" t="s">
        <v>446</v>
      </c>
    </row>
    <row r="878" spans="1:18" ht="21.75" customHeight="1">
      <c r="A878" s="140"/>
      <c r="B878" s="140" t="s">
        <v>38</v>
      </c>
      <c r="D878" s="505" t="s">
        <v>324</v>
      </c>
      <c r="E878" s="506"/>
      <c r="F878" s="465" t="s">
        <v>454</v>
      </c>
      <c r="G878" s="463"/>
      <c r="H878" s="463"/>
      <c r="I878"/>
      <c r="J878"/>
      <c r="K878" s="245"/>
      <c r="L878" s="520" t="s">
        <v>326</v>
      </c>
      <c r="M878" s="521"/>
      <c r="N878" s="512" t="str">
        <f>STDSelect</f>
        <v>SELECT PLAN</v>
      </c>
      <c r="O878" s="512"/>
      <c r="P878" s="513" t="str">
        <f>IFERROR(VLOOKUP(N878,BEGIN_Renew_STD_PlanID:END_RENEW_STD,9,FALSE),"--")</f>
        <v>--</v>
      </c>
      <c r="Q878" s="513"/>
      <c r="R878" s="251" t="s">
        <v>442</v>
      </c>
    </row>
    <row r="879" spans="1:18" ht="21.75" customHeight="1" thickBot="1">
      <c r="A879" s="140"/>
      <c r="B879" s="140" t="s">
        <v>38</v>
      </c>
      <c r="D879" s="522" t="s">
        <v>457</v>
      </c>
      <c r="E879" s="523"/>
      <c r="F879" s="466"/>
      <c r="G879" s="463">
        <v>3</v>
      </c>
      <c r="H879" s="463" t="str">
        <f>IFERROR(IF(G879="","","Per EE per Month"),"")</f>
        <v>Per EE per Month</v>
      </c>
      <c r="I879"/>
      <c r="J879"/>
      <c r="K879" s="245"/>
      <c r="L879" s="520" t="s">
        <v>327</v>
      </c>
      <c r="M879" s="521"/>
      <c r="N879" s="512" t="str">
        <f>LifeSelect</f>
        <v>SELECT PLAN</v>
      </c>
      <c r="O879" s="512"/>
      <c r="P879" s="513" t="str">
        <f>IFERROR(VLOOKUP(N879,BEGIN_Renew_LIFE_PlanID:END_RENEW_LIFE,9,FALSE),"--")</f>
        <v>--</v>
      </c>
      <c r="Q879" s="513"/>
      <c r="R879" s="251" t="s">
        <v>443</v>
      </c>
    </row>
    <row r="880" spans="1:20" ht="13">
      <c r="A880" s="140"/>
      <c r="B880" s="140"/>
      <c r="G880" s="253"/>
      <c r="H880" s="253"/>
      <c r="I880"/>
      <c r="J880"/>
      <c r="K880" s="245"/>
      <c r="L880"/>
      <c r="M880"/>
      <c r="N880"/>
      <c r="O880"/>
      <c r="P880"/>
      <c r="Q880"/>
      <c r="R880"/>
      <c r="S880"/>
      <c r="T880"/>
    </row>
    <row r="881" spans="1:8" ht="13">
      <c r="A881" s="140"/>
      <c r="B881" s="140"/>
      <c r="G881" s="253"/>
      <c r="H881" s="253"/>
    </row>
    <row r="882" spans="1:22" ht="13">
      <c r="A882" s="140"/>
      <c r="B882" s="140"/>
      <c r="G882" s="253"/>
      <c r="H882" s="253"/>
      <c r="I882" s="256"/>
      <c r="J882" s="253"/>
      <c r="K882" s="253"/>
      <c r="L882" s="253"/>
      <c r="M882" s="253"/>
      <c r="N882" s="255"/>
      <c r="O882" s="253"/>
      <c r="P882" s="253"/>
      <c r="Q882" s="253"/>
      <c r="R882" s="253"/>
      <c r="S882" s="257"/>
      <c r="T882" s="257"/>
      <c r="U882" s="257"/>
      <c r="V882" s="257"/>
    </row>
    <row r="883" spans="1:22" ht="13">
      <c r="A883" s="140"/>
      <c r="B883" s="140"/>
      <c r="G883" s="253"/>
      <c r="H883" s="253"/>
      <c r="I883" s="256"/>
      <c r="J883" s="253"/>
      <c r="K883" s="253"/>
      <c r="L883" s="253"/>
      <c r="M883" s="253"/>
      <c r="N883" s="255"/>
      <c r="O883" s="253"/>
      <c r="P883" s="253"/>
      <c r="Q883" s="253"/>
      <c r="R883" s="253"/>
      <c r="S883" s="257"/>
      <c r="T883" s="257"/>
      <c r="U883" s="257"/>
      <c r="V883" s="257"/>
    </row>
    <row r="884" spans="1:22" ht="13">
      <c r="A884" s="140"/>
      <c r="B884" s="140"/>
      <c r="G884" s="253"/>
      <c r="H884" s="253"/>
      <c r="I884" s="256"/>
      <c r="J884" s="253"/>
      <c r="K884" s="253"/>
      <c r="L884" s="253"/>
      <c r="M884" s="253"/>
      <c r="N884" s="255"/>
      <c r="O884" s="253"/>
      <c r="P884" s="253"/>
      <c r="Q884" s="253"/>
      <c r="R884" s="253"/>
      <c r="S884" s="257"/>
      <c r="T884" s="257"/>
      <c r="U884" s="257"/>
      <c r="V884" s="257"/>
    </row>
    <row r="885" spans="1:22" ht="13">
      <c r="A885" s="140"/>
      <c r="B885" s="140"/>
      <c r="G885" s="253"/>
      <c r="H885" s="253"/>
      <c r="I885" s="256"/>
      <c r="J885" s="253"/>
      <c r="K885" s="253"/>
      <c r="L885" s="253"/>
      <c r="M885" s="253"/>
      <c r="N885" s="255"/>
      <c r="O885" s="253"/>
      <c r="P885" s="253"/>
      <c r="Q885" s="253"/>
      <c r="R885" s="253"/>
      <c r="S885" s="257"/>
      <c r="T885" s="257"/>
      <c r="U885" s="257"/>
      <c r="V885" s="257"/>
    </row>
    <row r="886" spans="1:22" ht="13">
      <c r="A886" s="140"/>
      <c r="B886" s="140"/>
      <c r="G886" s="253"/>
      <c r="H886" s="253"/>
      <c r="I886" s="256"/>
      <c r="J886" s="253"/>
      <c r="K886" s="253"/>
      <c r="L886" s="253"/>
      <c r="M886" s="253"/>
      <c r="N886" s="255"/>
      <c r="O886" s="253"/>
      <c r="P886" s="253"/>
      <c r="Q886" s="253"/>
      <c r="R886" s="253"/>
      <c r="S886" s="257"/>
      <c r="T886" s="257"/>
      <c r="U886" s="257"/>
      <c r="V886" s="257"/>
    </row>
    <row r="887" spans="1:22" ht="13">
      <c r="A887" s="140"/>
      <c r="B887" s="140"/>
      <c r="G887" s="253"/>
      <c r="H887" s="253"/>
      <c r="I887" s="256"/>
      <c r="J887" s="253"/>
      <c r="K887" s="253"/>
      <c r="L887" s="253"/>
      <c r="M887" s="253"/>
      <c r="N887" s="255"/>
      <c r="O887" s="253"/>
      <c r="P887" s="253"/>
      <c r="Q887" s="253"/>
      <c r="R887" s="253"/>
      <c r="S887" s="257"/>
      <c r="T887" s="257"/>
      <c r="U887" s="257"/>
      <c r="V887" s="257"/>
    </row>
    <row r="888" spans="1:22" ht="13">
      <c r="A888" s="140"/>
      <c r="B888" s="140"/>
      <c r="G888" s="253"/>
      <c r="H888" s="253"/>
      <c r="I888" s="256"/>
      <c r="J888" s="253"/>
      <c r="K888" s="253"/>
      <c r="L888" s="253"/>
      <c r="M888" s="253"/>
      <c r="N888" s="255"/>
      <c r="O888" s="253"/>
      <c r="P888" s="253"/>
      <c r="Q888" s="253"/>
      <c r="R888" s="253"/>
      <c r="S888" s="257"/>
      <c r="T888" s="257"/>
      <c r="U888" s="257"/>
      <c r="V888" s="257"/>
    </row>
    <row r="889" spans="1:22" ht="13">
      <c r="A889" s="140"/>
      <c r="B889" s="140"/>
      <c r="G889" s="253"/>
      <c r="H889" s="253"/>
      <c r="I889" s="256"/>
      <c r="J889" s="253"/>
      <c r="K889" s="253"/>
      <c r="L889" s="253"/>
      <c r="M889" s="253"/>
      <c r="N889" s="255"/>
      <c r="O889" s="253"/>
      <c r="P889" s="253"/>
      <c r="Q889" s="253"/>
      <c r="R889" s="253"/>
      <c r="S889" s="257"/>
      <c r="T889" s="257"/>
      <c r="U889" s="257"/>
      <c r="V889" s="257"/>
    </row>
    <row r="890" spans="1:22" ht="13">
      <c r="A890" s="140"/>
      <c r="B890" s="140"/>
      <c r="G890" s="253"/>
      <c r="H890" s="253"/>
      <c r="I890" s="256"/>
      <c r="J890" s="253"/>
      <c r="K890" s="253"/>
      <c r="L890" s="253"/>
      <c r="M890" s="253"/>
      <c r="N890" s="255"/>
      <c r="O890" s="253"/>
      <c r="P890" s="253"/>
      <c r="Q890" s="253"/>
      <c r="R890" s="253"/>
      <c r="S890" s="257"/>
      <c r="T890" s="257"/>
      <c r="U890" s="257"/>
      <c r="V890" s="257"/>
    </row>
    <row r="891" spans="1:22" ht="13">
      <c r="A891" s="140"/>
      <c r="B891" s="140"/>
      <c r="G891" s="253"/>
      <c r="H891" s="253"/>
      <c r="I891" s="256"/>
      <c r="J891" s="253"/>
      <c r="K891" s="253"/>
      <c r="L891" s="253"/>
      <c r="M891" s="253"/>
      <c r="N891" s="255"/>
      <c r="O891" s="253"/>
      <c r="P891" s="253"/>
      <c r="Q891" s="253"/>
      <c r="R891" s="253"/>
      <c r="S891" s="257"/>
      <c r="T891" s="257"/>
      <c r="U891" s="257"/>
      <c r="V891" s="257"/>
    </row>
    <row r="892" spans="1:22" ht="13">
      <c r="A892" s="140"/>
      <c r="B892" s="140"/>
      <c r="G892" s="253"/>
      <c r="H892" s="253"/>
      <c r="I892" s="256"/>
      <c r="J892" s="253"/>
      <c r="K892" s="253"/>
      <c r="L892" s="253"/>
      <c r="M892" s="253"/>
      <c r="N892" s="255"/>
      <c r="O892" s="253"/>
      <c r="P892" s="253"/>
      <c r="Q892" s="253"/>
      <c r="R892" s="253"/>
      <c r="S892" s="257"/>
      <c r="T892" s="257"/>
      <c r="U892" s="257"/>
      <c r="V892" s="257"/>
    </row>
    <row r="893" spans="1:22" ht="13">
      <c r="A893" s="140"/>
      <c r="B893" s="140"/>
      <c r="G893" s="253"/>
      <c r="H893" s="253"/>
      <c r="I893" s="256"/>
      <c r="J893" s="253"/>
      <c r="K893" s="253"/>
      <c r="L893" s="253"/>
      <c r="M893" s="253"/>
      <c r="N893" s="255"/>
      <c r="O893" s="253"/>
      <c r="P893" s="253"/>
      <c r="Q893" s="253"/>
      <c r="R893" s="253"/>
      <c r="S893" s="257"/>
      <c r="T893" s="257"/>
      <c r="U893" s="257"/>
      <c r="V893" s="257"/>
    </row>
    <row r="894" spans="1:22" ht="13">
      <c r="A894" s="140"/>
      <c r="B894" s="140"/>
      <c r="G894" s="253"/>
      <c r="H894" s="253"/>
      <c r="I894" s="256"/>
      <c r="J894" s="253"/>
      <c r="K894" s="253"/>
      <c r="L894" s="253"/>
      <c r="M894" s="253"/>
      <c r="N894" s="255"/>
      <c r="O894" s="253"/>
      <c r="P894" s="253"/>
      <c r="Q894" s="253"/>
      <c r="R894" s="253"/>
      <c r="S894" s="257"/>
      <c r="T894" s="257"/>
      <c r="U894" s="257"/>
      <c r="V894" s="257"/>
    </row>
    <row r="895" spans="1:22" ht="13">
      <c r="A895" s="140"/>
      <c r="B895" s="140"/>
      <c r="G895" s="253"/>
      <c r="H895" s="253"/>
      <c r="I895" s="256"/>
      <c r="J895" s="253"/>
      <c r="K895" s="253"/>
      <c r="L895" s="253"/>
      <c r="M895" s="253"/>
      <c r="N895" s="255"/>
      <c r="O895" s="253"/>
      <c r="P895" s="253"/>
      <c r="Q895" s="253"/>
      <c r="R895" s="253"/>
      <c r="S895" s="257"/>
      <c r="T895" s="257"/>
      <c r="U895" s="257"/>
      <c r="V895" s="257"/>
    </row>
    <row r="896" spans="1:22" ht="13">
      <c r="A896" s="140"/>
      <c r="B896" s="140"/>
      <c r="G896" s="253"/>
      <c r="H896" s="253"/>
      <c r="I896" s="256"/>
      <c r="J896" s="253"/>
      <c r="K896" s="253"/>
      <c r="L896" s="253"/>
      <c r="M896" s="253"/>
      <c r="N896" s="255"/>
      <c r="O896" s="253"/>
      <c r="P896" s="253"/>
      <c r="Q896" s="253"/>
      <c r="R896" s="253"/>
      <c r="S896" s="257"/>
      <c r="T896" s="257"/>
      <c r="U896" s="257"/>
      <c r="V896" s="257"/>
    </row>
    <row r="897" spans="1:22" ht="13">
      <c r="A897" s="140"/>
      <c r="B897" s="140"/>
      <c r="G897" s="253"/>
      <c r="H897" s="253"/>
      <c r="I897" s="256"/>
      <c r="J897" s="253"/>
      <c r="K897" s="253"/>
      <c r="L897" s="253"/>
      <c r="M897" s="253"/>
      <c r="N897" s="255"/>
      <c r="O897" s="253"/>
      <c r="P897" s="253"/>
      <c r="Q897" s="253"/>
      <c r="R897" s="253"/>
      <c r="S897" s="257"/>
      <c r="T897" s="257"/>
      <c r="U897" s="257"/>
      <c r="V897" s="257"/>
    </row>
    <row r="898" spans="1:22" ht="13">
      <c r="A898" s="140"/>
      <c r="B898" s="140"/>
      <c r="G898" s="253"/>
      <c r="H898" s="253"/>
      <c r="I898" s="256"/>
      <c r="J898" s="253"/>
      <c r="K898" s="253"/>
      <c r="L898" s="253"/>
      <c r="M898" s="253"/>
      <c r="N898" s="255"/>
      <c r="O898" s="253"/>
      <c r="P898" s="253"/>
      <c r="Q898" s="253"/>
      <c r="R898" s="253"/>
      <c r="S898" s="257"/>
      <c r="T898" s="257"/>
      <c r="U898" s="257"/>
      <c r="V898" s="257"/>
    </row>
    <row r="899" spans="1:22" ht="13">
      <c r="A899" s="140"/>
      <c r="B899" s="140"/>
      <c r="G899" s="253"/>
      <c r="H899" s="253"/>
      <c r="I899" s="256"/>
      <c r="J899" s="253"/>
      <c r="K899" s="253"/>
      <c r="L899" s="253"/>
      <c r="M899" s="253"/>
      <c r="N899" s="255"/>
      <c r="O899" s="253"/>
      <c r="P899" s="253"/>
      <c r="Q899" s="253"/>
      <c r="R899" s="253"/>
      <c r="S899" s="257"/>
      <c r="T899" s="257"/>
      <c r="U899" s="257"/>
      <c r="V899" s="257"/>
    </row>
    <row r="900" spans="1:22" ht="13">
      <c r="A900" s="140"/>
      <c r="B900" s="140"/>
      <c r="G900" s="253"/>
      <c r="H900" s="253"/>
      <c r="I900" s="256"/>
      <c r="J900" s="253"/>
      <c r="K900" s="253"/>
      <c r="L900" s="253"/>
      <c r="M900" s="253"/>
      <c r="N900" s="255"/>
      <c r="O900" s="253"/>
      <c r="P900" s="253"/>
      <c r="Q900" s="253"/>
      <c r="R900" s="253"/>
      <c r="S900" s="257"/>
      <c r="T900" s="257"/>
      <c r="U900" s="257"/>
      <c r="V900" s="257"/>
    </row>
    <row r="901" spans="1:22" ht="13">
      <c r="A901" s="140"/>
      <c r="B901" s="140"/>
      <c r="G901" s="253"/>
      <c r="H901" s="253"/>
      <c r="I901" s="256"/>
      <c r="J901" s="253"/>
      <c r="K901" s="253"/>
      <c r="L901" s="253"/>
      <c r="M901" s="253"/>
      <c r="N901" s="255"/>
      <c r="O901" s="253"/>
      <c r="P901" s="253"/>
      <c r="Q901" s="253"/>
      <c r="R901" s="253"/>
      <c r="S901" s="257"/>
      <c r="T901" s="257"/>
      <c r="U901" s="257"/>
      <c r="V901" s="257"/>
    </row>
    <row r="902" spans="1:22" ht="13">
      <c r="A902" s="140"/>
      <c r="B902" s="140"/>
      <c r="G902" s="253"/>
      <c r="H902" s="253"/>
      <c r="I902" s="256"/>
      <c r="J902" s="253"/>
      <c r="K902" s="253"/>
      <c r="L902" s="253"/>
      <c r="M902" s="253"/>
      <c r="N902" s="255"/>
      <c r="O902" s="253"/>
      <c r="P902" s="253"/>
      <c r="Q902" s="253"/>
      <c r="R902" s="253"/>
      <c r="S902" s="257"/>
      <c r="T902" s="257"/>
      <c r="U902" s="257"/>
      <c r="V902" s="257"/>
    </row>
    <row r="903" spans="1:22" ht="13">
      <c r="A903" s="140"/>
      <c r="B903" s="140"/>
      <c r="G903" s="253"/>
      <c r="H903" s="253"/>
      <c r="I903" s="256"/>
      <c r="J903" s="253"/>
      <c r="K903" s="253"/>
      <c r="L903" s="253"/>
      <c r="M903" s="253"/>
      <c r="N903" s="255"/>
      <c r="O903" s="253"/>
      <c r="P903" s="253"/>
      <c r="Q903" s="253"/>
      <c r="R903" s="253"/>
      <c r="S903" s="257"/>
      <c r="T903" s="257"/>
      <c r="U903" s="257"/>
      <c r="V903" s="257"/>
    </row>
    <row r="904" spans="1:22" ht="13">
      <c r="A904" s="140"/>
      <c r="B904" s="140"/>
      <c r="G904" s="253"/>
      <c r="H904" s="253"/>
      <c r="I904" s="256"/>
      <c r="J904" s="253"/>
      <c r="K904" s="253"/>
      <c r="L904" s="253"/>
      <c r="M904" s="253"/>
      <c r="N904" s="255"/>
      <c r="O904" s="253"/>
      <c r="P904" s="253"/>
      <c r="Q904" s="253"/>
      <c r="R904" s="253"/>
      <c r="S904" s="257"/>
      <c r="T904" s="257"/>
      <c r="U904" s="257"/>
      <c r="V904" s="257"/>
    </row>
    <row r="905" spans="1:22" ht="13">
      <c r="A905" s="140"/>
      <c r="B905" s="140"/>
      <c r="G905" s="253"/>
      <c r="H905" s="253"/>
      <c r="I905" s="256"/>
      <c r="J905" s="253"/>
      <c r="K905" s="253"/>
      <c r="L905" s="253"/>
      <c r="M905" s="253"/>
      <c r="N905" s="255"/>
      <c r="O905" s="253"/>
      <c r="P905" s="253"/>
      <c r="Q905" s="253"/>
      <c r="R905" s="253"/>
      <c r="S905" s="257"/>
      <c r="T905" s="257"/>
      <c r="U905" s="257"/>
      <c r="V905" s="257"/>
    </row>
    <row r="906" spans="1:22" ht="13">
      <c r="A906" s="140"/>
      <c r="B906" s="140"/>
      <c r="G906" s="253"/>
      <c r="H906" s="253"/>
      <c r="I906" s="256"/>
      <c r="J906" s="253"/>
      <c r="K906" s="253"/>
      <c r="L906" s="253"/>
      <c r="M906" s="253"/>
      <c r="N906" s="255"/>
      <c r="O906" s="253"/>
      <c r="P906" s="253"/>
      <c r="Q906" s="253"/>
      <c r="R906" s="253"/>
      <c r="S906" s="257"/>
      <c r="T906" s="257"/>
      <c r="U906" s="257"/>
      <c r="V906" s="257"/>
    </row>
    <row r="907" spans="1:22" ht="13">
      <c r="A907" s="140"/>
      <c r="B907" s="140"/>
      <c r="G907" s="253"/>
      <c r="H907" s="253"/>
      <c r="I907" s="256"/>
      <c r="J907" s="253"/>
      <c r="K907" s="253"/>
      <c r="L907" s="253"/>
      <c r="M907" s="253"/>
      <c r="N907" s="255"/>
      <c r="O907" s="253"/>
      <c r="P907" s="253"/>
      <c r="Q907" s="253"/>
      <c r="R907" s="253"/>
      <c r="S907" s="257"/>
      <c r="T907" s="257"/>
      <c r="U907" s="257"/>
      <c r="V907" s="257"/>
    </row>
    <row r="908" spans="1:22" ht="13">
      <c r="A908" s="140"/>
      <c r="B908" s="140"/>
      <c r="G908" s="253"/>
      <c r="H908" s="253"/>
      <c r="I908" s="256"/>
      <c r="J908" s="253"/>
      <c r="K908" s="253"/>
      <c r="L908" s="253"/>
      <c r="M908" s="253"/>
      <c r="N908" s="255"/>
      <c r="O908" s="253"/>
      <c r="P908" s="253"/>
      <c r="Q908" s="253"/>
      <c r="R908" s="253"/>
      <c r="S908" s="257"/>
      <c r="T908" s="257"/>
      <c r="U908" s="257"/>
      <c r="V908" s="257"/>
    </row>
    <row r="909" spans="1:22" ht="13">
      <c r="A909" s="140"/>
      <c r="B909" s="140"/>
      <c r="I909" s="256"/>
      <c r="J909" s="253"/>
      <c r="K909" s="253"/>
      <c r="L909" s="253"/>
      <c r="M909" s="253"/>
      <c r="N909" s="255"/>
      <c r="O909" s="253"/>
      <c r="P909" s="253"/>
      <c r="Q909" s="253"/>
      <c r="R909" s="253"/>
      <c r="S909" s="257"/>
      <c r="T909" s="257"/>
      <c r="U909" s="257"/>
      <c r="V909" s="257"/>
    </row>
    <row r="910" spans="1:22" ht="13">
      <c r="A910" s="140"/>
      <c r="B910" s="140"/>
      <c r="I910" s="256"/>
      <c r="J910" s="253"/>
      <c r="K910" s="253"/>
      <c r="L910" s="253"/>
      <c r="M910" s="253"/>
      <c r="N910" s="255"/>
      <c r="O910" s="253"/>
      <c r="P910" s="253"/>
      <c r="Q910" s="253"/>
      <c r="R910" s="253"/>
      <c r="S910" s="257"/>
      <c r="T910" s="257"/>
      <c r="U910" s="257"/>
      <c r="V910" s="257"/>
    </row>
    <row r="911" spans="1:2" ht="13">
      <c r="A911" s="140"/>
      <c r="B911" s="140"/>
    </row>
    <row r="912" spans="1:2" ht="13">
      <c r="A912" s="140"/>
      <c r="B912" s="140"/>
    </row>
    <row r="913" spans="1:2" ht="13">
      <c r="A913" s="140"/>
      <c r="B913" s="140"/>
    </row>
    <row r="914" spans="1:2" ht="13">
      <c r="A914" s="140"/>
      <c r="B914" s="140"/>
    </row>
    <row r="915" spans="1:2" ht="13">
      <c r="A915" s="140"/>
      <c r="B915" s="140"/>
    </row>
    <row r="916" spans="1:2" ht="13">
      <c r="A916" s="140"/>
      <c r="B916" s="140"/>
    </row>
    <row r="917" spans="1:2" ht="13">
      <c r="A917" s="140"/>
      <c r="B917" s="140"/>
    </row>
    <row r="918" spans="1:2" ht="13">
      <c r="A918" s="140"/>
      <c r="B918" s="140"/>
    </row>
    <row r="919" spans="1:2" ht="13">
      <c r="A919" s="140"/>
      <c r="B919" s="140"/>
    </row>
    <row r="920" spans="1:2" ht="13">
      <c r="A920" s="140"/>
      <c r="B920" s="140"/>
    </row>
    <row r="921" spans="1:2" ht="13">
      <c r="A921" s="140"/>
      <c r="B921" s="140"/>
    </row>
    <row r="922" spans="1:2" ht="13">
      <c r="A922" s="140"/>
      <c r="B922" s="140"/>
    </row>
    <row r="923" spans="1:2" ht="13">
      <c r="A923" s="140"/>
      <c r="B923" s="140"/>
    </row>
    <row r="924" spans="1:2" ht="13">
      <c r="A924" s="140"/>
      <c r="B924" s="140"/>
    </row>
    <row r="925" spans="1:2" ht="13">
      <c r="A925" s="140"/>
      <c r="B925" s="140"/>
    </row>
    <row r="926" spans="1:2" ht="13">
      <c r="A926" s="140"/>
      <c r="B926" s="140"/>
    </row>
    <row r="927" spans="1:2" ht="13">
      <c r="A927" s="140"/>
      <c r="B927" s="140"/>
    </row>
    <row r="928" spans="1:2" ht="13">
      <c r="A928" s="140"/>
      <c r="B928" s="140"/>
    </row>
    <row r="929" spans="1:2" ht="13">
      <c r="A929" s="140"/>
      <c r="B929" s="140"/>
    </row>
    <row r="930" spans="1:2" ht="13">
      <c r="A930" s="140"/>
      <c r="B930" s="140"/>
    </row>
    <row r="931" spans="1:2" ht="13">
      <c r="A931" s="140"/>
      <c r="B931" s="140"/>
    </row>
    <row r="932" spans="1:2" ht="13">
      <c r="A932" s="140"/>
      <c r="B932" s="140"/>
    </row>
    <row r="933" spans="1:2" ht="13">
      <c r="A933" s="140"/>
      <c r="B933" s="140"/>
    </row>
    <row r="934" spans="1:2" ht="13">
      <c r="A934" s="140"/>
      <c r="B934" s="140"/>
    </row>
    <row r="935" spans="1:2" ht="13">
      <c r="A935" s="140"/>
      <c r="B935" s="140"/>
    </row>
    <row r="936" spans="1:2" ht="13">
      <c r="A936" s="140"/>
      <c r="B936" s="140"/>
    </row>
    <row r="937" spans="1:2" ht="13">
      <c r="A937" s="140"/>
      <c r="B937" s="140"/>
    </row>
    <row r="938" spans="1:2" ht="13">
      <c r="A938" s="140"/>
      <c r="B938" s="140"/>
    </row>
    <row r="939" spans="1:2" ht="13">
      <c r="A939" s="140"/>
      <c r="B939" s="140"/>
    </row>
    <row r="940" spans="1:2" ht="13">
      <c r="A940" s="140"/>
      <c r="B940" s="140"/>
    </row>
    <row r="941" spans="1:2" ht="13">
      <c r="A941" s="140"/>
      <c r="B941" s="140"/>
    </row>
    <row r="942" spans="1:2" ht="13">
      <c r="A942" s="140"/>
      <c r="B942" s="140"/>
    </row>
    <row r="943" spans="1:2" ht="13">
      <c r="A943" s="140"/>
      <c r="B943" s="140"/>
    </row>
    <row r="944" spans="1:2" ht="13">
      <c r="A944" s="140"/>
      <c r="B944" s="140"/>
    </row>
    <row r="945" spans="1:2" ht="13">
      <c r="A945" s="140"/>
      <c r="B945" s="140"/>
    </row>
    <row r="946" spans="1:2" ht="13">
      <c r="A946" s="140"/>
      <c r="B946" s="140"/>
    </row>
    <row r="947" spans="1:2" ht="13">
      <c r="A947" s="140"/>
      <c r="B947" s="140"/>
    </row>
    <row r="948" spans="1:2" ht="13">
      <c r="A948" s="140"/>
      <c r="B948" s="140"/>
    </row>
    <row r="949" spans="1:2" ht="13">
      <c r="A949" s="140"/>
      <c r="B949" s="140"/>
    </row>
    <row r="950" spans="1:2" ht="13">
      <c r="A950" s="140"/>
      <c r="B950" s="140"/>
    </row>
    <row r="951" spans="1:2" ht="13">
      <c r="A951" s="140"/>
      <c r="B951" s="140"/>
    </row>
    <row r="952" spans="1:2" ht="13">
      <c r="A952" s="140"/>
      <c r="B952" s="140"/>
    </row>
    <row r="953" spans="1:2" ht="13">
      <c r="A953" s="140"/>
      <c r="B953" s="140"/>
    </row>
    <row r="954" spans="1:2" ht="13">
      <c r="A954" s="140"/>
      <c r="B954" s="140"/>
    </row>
    <row r="955" spans="1:2" ht="13">
      <c r="A955" s="140"/>
      <c r="B955" s="140"/>
    </row>
    <row r="956" spans="1:2" ht="13">
      <c r="A956" s="140"/>
      <c r="B956" s="140"/>
    </row>
    <row r="957" spans="1:2" ht="13">
      <c r="A957" s="140"/>
      <c r="B957" s="140"/>
    </row>
    <row r="958" spans="1:2" ht="13">
      <c r="A958" s="140"/>
      <c r="B958" s="140"/>
    </row>
    <row r="959" spans="1:2" ht="13">
      <c r="A959" s="140"/>
      <c r="B959" s="140"/>
    </row>
    <row r="960" spans="1:2" ht="13">
      <c r="A960" s="140"/>
      <c r="B960" s="140"/>
    </row>
    <row r="961" spans="1:2" ht="13">
      <c r="A961" s="140"/>
      <c r="B961" s="140"/>
    </row>
    <row r="962" spans="1:2" ht="13">
      <c r="A962" s="140"/>
      <c r="B962" s="140"/>
    </row>
    <row r="963" spans="1:2" ht="13">
      <c r="A963" s="140"/>
      <c r="B963" s="140"/>
    </row>
    <row r="964" spans="1:2" ht="13">
      <c r="A964" s="140"/>
      <c r="B964" s="140"/>
    </row>
    <row r="965" spans="1:2" ht="13">
      <c r="A965" s="140"/>
      <c r="B965" s="140"/>
    </row>
    <row r="966" spans="1:2" ht="13">
      <c r="A966" s="140"/>
      <c r="B966" s="140"/>
    </row>
    <row r="967" spans="1:2" ht="13">
      <c r="A967" s="140"/>
      <c r="B967" s="140"/>
    </row>
    <row r="968" spans="1:2" ht="13">
      <c r="A968" s="140"/>
      <c r="B968" s="140"/>
    </row>
    <row r="969" spans="1:2" ht="13">
      <c r="A969" s="140"/>
      <c r="B969" s="140"/>
    </row>
    <row r="970" spans="1:2" ht="13">
      <c r="A970" s="140"/>
      <c r="B970" s="140"/>
    </row>
    <row r="971" spans="1:2" ht="13">
      <c r="A971" s="140"/>
      <c r="B971" s="140"/>
    </row>
    <row r="972" spans="1:2" ht="13">
      <c r="A972" s="140"/>
      <c r="B972" s="140"/>
    </row>
    <row r="973" spans="1:2" ht="13">
      <c r="A973" s="140"/>
      <c r="B973" s="140"/>
    </row>
    <row r="974" spans="1:2" ht="13">
      <c r="A974" s="140"/>
      <c r="B974" s="140"/>
    </row>
    <row r="975" spans="1:2" ht="13">
      <c r="A975" s="140"/>
      <c r="B975" s="140"/>
    </row>
    <row r="976" spans="1:2" ht="13">
      <c r="A976" s="140"/>
      <c r="B976" s="140"/>
    </row>
    <row r="977" spans="1:2" ht="13">
      <c r="A977" s="140"/>
      <c r="B977" s="140"/>
    </row>
    <row r="978" spans="1:2" ht="13">
      <c r="A978" s="140"/>
      <c r="B978" s="140"/>
    </row>
    <row r="979" spans="1:2" ht="13">
      <c r="A979" s="140"/>
      <c r="B979" s="140"/>
    </row>
    <row r="980" spans="1:2" ht="13">
      <c r="A980" s="140"/>
      <c r="B980" s="140"/>
    </row>
    <row r="981" spans="1:2" ht="13">
      <c r="A981" s="140"/>
      <c r="B981" s="140"/>
    </row>
    <row r="982" spans="1:2" ht="13">
      <c r="A982" s="140"/>
      <c r="B982" s="140"/>
    </row>
    <row r="983" spans="1:2" ht="13">
      <c r="A983" s="140"/>
      <c r="B983" s="140"/>
    </row>
    <row r="984" spans="1:2" ht="13">
      <c r="A984" s="140"/>
      <c r="B984" s="140"/>
    </row>
    <row r="985" spans="1:2" ht="13">
      <c r="A985" s="140"/>
      <c r="B985" s="140"/>
    </row>
    <row r="986" spans="1:2" ht="13">
      <c r="A986" s="140"/>
      <c r="B986" s="140"/>
    </row>
    <row r="987" spans="1:2" ht="13">
      <c r="A987" s="140"/>
      <c r="B987" s="140"/>
    </row>
    <row r="988" spans="1:2" ht="13">
      <c r="A988" s="140"/>
      <c r="B988" s="140"/>
    </row>
    <row r="989" spans="1:2" ht="13">
      <c r="A989" s="140"/>
      <c r="B989" s="140"/>
    </row>
    <row r="990" spans="1:2" ht="13">
      <c r="A990" s="140"/>
      <c r="B990" s="140"/>
    </row>
    <row r="991" spans="1:2" ht="13">
      <c r="A991" s="140"/>
      <c r="B991" s="140"/>
    </row>
    <row r="992" spans="1:2" ht="13">
      <c r="A992" s="140"/>
      <c r="B992" s="140"/>
    </row>
    <row r="993" spans="1:2" ht="13">
      <c r="A993" s="140"/>
      <c r="B993" s="140"/>
    </row>
    <row r="994" spans="1:2" ht="13">
      <c r="A994" s="140"/>
      <c r="B994" s="140"/>
    </row>
    <row r="995" spans="1:2" ht="13">
      <c r="A995" s="140"/>
      <c r="B995" s="140"/>
    </row>
    <row r="996" spans="1:2" ht="13">
      <c r="A996" s="140"/>
      <c r="B996" s="140"/>
    </row>
    <row r="997" spans="1:2" ht="13">
      <c r="A997" s="140"/>
      <c r="B997" s="140"/>
    </row>
    <row r="998" spans="1:2" ht="13">
      <c r="A998" s="140"/>
      <c r="B998" s="140"/>
    </row>
    <row r="999" spans="1:2" ht="13">
      <c r="A999" s="140"/>
      <c r="B999" s="140"/>
    </row>
    <row r="1000" spans="1:2" ht="13">
      <c r="A1000" s="140"/>
      <c r="B1000" s="140"/>
    </row>
    <row r="1001" spans="1:2" ht="13">
      <c r="A1001" s="140"/>
      <c r="B1001" s="140"/>
    </row>
    <row r="1002" spans="1:2" ht="13">
      <c r="A1002" s="140"/>
      <c r="B1002" s="140"/>
    </row>
    <row r="1003" spans="1:2" ht="13">
      <c r="A1003" s="140"/>
      <c r="B1003" s="140"/>
    </row>
    <row r="1004" spans="1:2" ht="13">
      <c r="A1004" s="140"/>
      <c r="B1004" s="140"/>
    </row>
    <row r="1005" spans="1:2" ht="13">
      <c r="A1005" s="140"/>
      <c r="B1005" s="140"/>
    </row>
    <row r="1006" spans="1:2" ht="13">
      <c r="A1006" s="140"/>
      <c r="B1006" s="140"/>
    </row>
    <row r="1007" spans="1:2" ht="13">
      <c r="A1007" s="140"/>
      <c r="B1007" s="140"/>
    </row>
    <row r="1008" spans="1:2" ht="13">
      <c r="A1008" s="140"/>
      <c r="B1008" s="140"/>
    </row>
    <row r="1009" spans="1:2" ht="13">
      <c r="A1009" s="140"/>
      <c r="B1009" s="140"/>
    </row>
    <row r="1010" spans="1:2" ht="13">
      <c r="A1010" s="140"/>
      <c r="B1010" s="140"/>
    </row>
    <row r="1011" spans="1:2" ht="13">
      <c r="A1011" s="140"/>
      <c r="B1011" s="140"/>
    </row>
    <row r="1012" spans="1:2" ht="13">
      <c r="A1012" s="140"/>
      <c r="B1012" s="140"/>
    </row>
    <row r="1013" spans="1:2" ht="13">
      <c r="A1013" s="140"/>
      <c r="B1013" s="140"/>
    </row>
    <row r="1014" spans="1:2" ht="13">
      <c r="A1014" s="140"/>
      <c r="B1014" s="140"/>
    </row>
    <row r="1015" spans="1:2" ht="13">
      <c r="A1015" s="140"/>
      <c r="B1015" s="140"/>
    </row>
    <row r="1016" spans="1:2" ht="13">
      <c r="A1016" s="140"/>
      <c r="B1016" s="140"/>
    </row>
    <row r="1017" spans="1:2" ht="13">
      <c r="A1017" s="140"/>
      <c r="B1017" s="140"/>
    </row>
    <row r="1018" spans="1:2" ht="13">
      <c r="A1018" s="140"/>
      <c r="B1018" s="140"/>
    </row>
    <row r="1019" spans="1:2" ht="13">
      <c r="A1019" s="140"/>
      <c r="B1019" s="140"/>
    </row>
    <row r="1020" spans="1:2" ht="13">
      <c r="A1020" s="140"/>
      <c r="B1020" s="140"/>
    </row>
    <row r="1021" spans="1:2" ht="13">
      <c r="A1021" s="140"/>
      <c r="B1021" s="140"/>
    </row>
    <row r="1022" spans="1:2" ht="13">
      <c r="A1022" s="140"/>
      <c r="B1022" s="140"/>
    </row>
    <row r="1023" spans="1:2" ht="13">
      <c r="A1023" s="140"/>
      <c r="B1023" s="140"/>
    </row>
    <row r="1024" spans="1:2" ht="13">
      <c r="A1024" s="140"/>
      <c r="B1024" s="140"/>
    </row>
    <row r="1025" spans="1:2" ht="13">
      <c r="A1025" s="140"/>
      <c r="B1025" s="140"/>
    </row>
    <row r="1026" spans="1:2" ht="13">
      <c r="A1026" s="140"/>
      <c r="B1026" s="140"/>
    </row>
    <row r="1027" spans="1:2" ht="13">
      <c r="A1027" s="140"/>
      <c r="B1027" s="140"/>
    </row>
    <row r="1028" spans="1:2" ht="13">
      <c r="A1028" s="140"/>
      <c r="B1028" s="140"/>
    </row>
    <row r="1029" spans="1:2" ht="13">
      <c r="A1029" s="140"/>
      <c r="B1029" s="140"/>
    </row>
    <row r="1030" spans="1:2" ht="13">
      <c r="A1030" s="140"/>
      <c r="B1030" s="140"/>
    </row>
    <row r="1031" spans="1:2" ht="13">
      <c r="A1031" s="140"/>
      <c r="B1031" s="140"/>
    </row>
    <row r="1032" spans="1:2" ht="13">
      <c r="A1032" s="140"/>
      <c r="B1032" s="140"/>
    </row>
    <row r="1033" spans="1:2" ht="13">
      <c r="A1033" s="140"/>
      <c r="B1033" s="140"/>
    </row>
    <row r="1034" spans="1:2" ht="13">
      <c r="A1034" s="140"/>
      <c r="B1034" s="140"/>
    </row>
    <row r="1035" spans="1:2" ht="13">
      <c r="A1035" s="140"/>
      <c r="B1035" s="140"/>
    </row>
    <row r="1036" spans="1:2" ht="13">
      <c r="A1036" s="140"/>
      <c r="B1036" s="140"/>
    </row>
    <row r="1037" spans="1:2" ht="13">
      <c r="A1037" s="140"/>
      <c r="B1037" s="140"/>
    </row>
    <row r="1038" spans="1:2" ht="13">
      <c r="A1038" s="140"/>
      <c r="B1038" s="140"/>
    </row>
    <row r="1039" spans="1:2" ht="13">
      <c r="A1039" s="140"/>
      <c r="B1039" s="140"/>
    </row>
    <row r="1040" spans="1:2" ht="13">
      <c r="A1040" s="140"/>
      <c r="B1040" s="140"/>
    </row>
    <row r="1041" spans="1:2" ht="13">
      <c r="A1041" s="140"/>
      <c r="B1041" s="140"/>
    </row>
    <row r="1042" spans="1:2" ht="13">
      <c r="A1042" s="140"/>
      <c r="B1042" s="140"/>
    </row>
    <row r="1043" spans="1:2" ht="13">
      <c r="A1043" s="140"/>
      <c r="B1043" s="140"/>
    </row>
    <row r="1044" spans="1:2" ht="13">
      <c r="A1044" s="140"/>
      <c r="B1044" s="140"/>
    </row>
    <row r="1045" spans="1:2" ht="13">
      <c r="A1045" s="140"/>
      <c r="B1045" s="140"/>
    </row>
    <row r="1046" spans="1:2" ht="13">
      <c r="A1046" s="140"/>
      <c r="B1046" s="140"/>
    </row>
    <row r="1047" spans="1:2" ht="13">
      <c r="A1047" s="140"/>
      <c r="B1047" s="140"/>
    </row>
    <row r="1048" spans="1:2" ht="13">
      <c r="A1048" s="140"/>
      <c r="B1048" s="140"/>
    </row>
    <row r="1049" spans="1:2" ht="13">
      <c r="A1049" s="140"/>
      <c r="B1049" s="140"/>
    </row>
    <row r="1050" spans="1:2" ht="13">
      <c r="A1050" s="140"/>
      <c r="B1050" s="140"/>
    </row>
    <row r="1051" spans="1:2" ht="13">
      <c r="A1051" s="140"/>
      <c r="B1051" s="140"/>
    </row>
    <row r="1052" spans="1:2" ht="13">
      <c r="A1052" s="140"/>
      <c r="B1052" s="140"/>
    </row>
    <row r="1053" spans="1:2" ht="13">
      <c r="A1053" s="140"/>
      <c r="B1053" s="140"/>
    </row>
    <row r="1054" spans="1:2" ht="13">
      <c r="A1054" s="140"/>
      <c r="B1054" s="140"/>
    </row>
    <row r="1055" spans="1:2" ht="13">
      <c r="A1055" s="140"/>
      <c r="B1055" s="140"/>
    </row>
    <row r="1056" spans="1:2" ht="13">
      <c r="A1056" s="140"/>
      <c r="B1056" s="140"/>
    </row>
    <row r="1057" spans="1:2" ht="13">
      <c r="A1057" s="140"/>
      <c r="B1057" s="140"/>
    </row>
    <row r="1058" spans="1:2" ht="13">
      <c r="A1058" s="140"/>
      <c r="B1058" s="140"/>
    </row>
    <row r="1059" spans="1:2" ht="13">
      <c r="A1059" s="140"/>
      <c r="B1059" s="140"/>
    </row>
    <row r="1060" spans="1:2" ht="13">
      <c r="A1060" s="140"/>
      <c r="B1060" s="140"/>
    </row>
    <row r="1061" spans="1:2" ht="13">
      <c r="A1061" s="140"/>
      <c r="B1061" s="140"/>
    </row>
    <row r="1062" spans="1:2" ht="13">
      <c r="A1062" s="140"/>
      <c r="B1062" s="140"/>
    </row>
    <row r="1063" spans="1:2" ht="13">
      <c r="A1063" s="140"/>
      <c r="B1063" s="140"/>
    </row>
    <row r="1064" spans="1:2" ht="13">
      <c r="A1064" s="140"/>
      <c r="B1064" s="140"/>
    </row>
    <row r="1065" spans="1:2" ht="13">
      <c r="A1065" s="140"/>
      <c r="B1065" s="140"/>
    </row>
    <row r="1066" spans="1:2" ht="13">
      <c r="A1066" s="140"/>
      <c r="B1066" s="140"/>
    </row>
    <row r="1067" spans="1:2" ht="13">
      <c r="A1067" s="140"/>
      <c r="B1067" s="140"/>
    </row>
    <row r="1068" spans="1:2" ht="13">
      <c r="A1068" s="140"/>
      <c r="B1068" s="140"/>
    </row>
    <row r="1069" spans="1:2" ht="13">
      <c r="A1069" s="140"/>
      <c r="B1069" s="140"/>
    </row>
    <row r="1070" spans="1:2" ht="13">
      <c r="A1070" s="140"/>
      <c r="B1070" s="140"/>
    </row>
    <row r="1071" spans="1:2" ht="13">
      <c r="A1071" s="140"/>
      <c r="B1071" s="140"/>
    </row>
    <row r="1072" spans="1:2" ht="13">
      <c r="A1072" s="140"/>
      <c r="B1072" s="140"/>
    </row>
    <row r="1073" spans="1:2" ht="13">
      <c r="A1073" s="140"/>
      <c r="B1073" s="140"/>
    </row>
    <row r="1074" spans="1:2" ht="13">
      <c r="A1074" s="140"/>
      <c r="B1074" s="140"/>
    </row>
    <row r="1075" spans="1:2" ht="13">
      <c r="A1075" s="140"/>
      <c r="B1075" s="140"/>
    </row>
    <row r="1076" spans="1:2" ht="13">
      <c r="A1076" s="140"/>
      <c r="B1076" s="140"/>
    </row>
    <row r="1077" spans="1:2" ht="13">
      <c r="A1077" s="140"/>
      <c r="B1077" s="140"/>
    </row>
    <row r="1078" spans="1:2" ht="13">
      <c r="A1078" s="140"/>
      <c r="B1078" s="140"/>
    </row>
    <row r="1079" spans="1:2" ht="13">
      <c r="A1079" s="140"/>
      <c r="B1079" s="140"/>
    </row>
    <row r="1080" spans="1:2" ht="13">
      <c r="A1080" s="140"/>
      <c r="B1080" s="140"/>
    </row>
    <row r="1081" spans="1:2" ht="13">
      <c r="A1081" s="140"/>
      <c r="B1081" s="140"/>
    </row>
    <row r="1082" spans="1:2" ht="13">
      <c r="A1082" s="140"/>
      <c r="B1082" s="140"/>
    </row>
    <row r="1083" spans="1:2" ht="13">
      <c r="A1083" s="140"/>
      <c r="B1083" s="140"/>
    </row>
    <row r="1084" spans="1:2" ht="13">
      <c r="A1084" s="140"/>
      <c r="B1084" s="140"/>
    </row>
    <row r="1085" spans="1:2" ht="13">
      <c r="A1085" s="140"/>
      <c r="B1085" s="140"/>
    </row>
    <row r="1086" spans="1:2" ht="13">
      <c r="A1086" s="140"/>
      <c r="B1086" s="140"/>
    </row>
    <row r="1087" spans="1:2" ht="13">
      <c r="A1087" s="140"/>
      <c r="B1087" s="140"/>
    </row>
    <row r="1088" spans="1:2" ht="13">
      <c r="A1088" s="140"/>
      <c r="B1088" s="140"/>
    </row>
    <row r="1089" spans="1:2" ht="13">
      <c r="A1089" s="140"/>
      <c r="B1089" s="140"/>
    </row>
    <row r="1090" spans="1:2" ht="13">
      <c r="A1090" s="140"/>
      <c r="B1090" s="140"/>
    </row>
    <row r="1091" spans="1:2" ht="13">
      <c r="A1091" s="140"/>
      <c r="B1091" s="140"/>
    </row>
    <row r="1092" spans="1:2" ht="13">
      <c r="A1092" s="140"/>
      <c r="B1092" s="140"/>
    </row>
    <row r="1093" spans="1:2" ht="13">
      <c r="A1093" s="140"/>
      <c r="B1093" s="140"/>
    </row>
    <row r="1094" spans="1:2" ht="13">
      <c r="A1094" s="140"/>
      <c r="B1094" s="140"/>
    </row>
    <row r="1095" spans="1:2" ht="13">
      <c r="A1095" s="140"/>
      <c r="B1095" s="140"/>
    </row>
    <row r="1096" spans="1:2" ht="13">
      <c r="A1096" s="140"/>
      <c r="B1096" s="140"/>
    </row>
    <row r="1097" spans="1:2" ht="13">
      <c r="A1097" s="140"/>
      <c r="B1097" s="140"/>
    </row>
    <row r="1098" spans="1:2" ht="13">
      <c r="A1098" s="140"/>
      <c r="B1098" s="140"/>
    </row>
    <row r="1099" spans="1:2" ht="13">
      <c r="A1099" s="140"/>
      <c r="B1099" s="140"/>
    </row>
    <row r="1100" spans="1:2" ht="13">
      <c r="A1100" s="140"/>
      <c r="B1100" s="140"/>
    </row>
    <row r="1101" spans="1:2" ht="13">
      <c r="A1101" s="140"/>
      <c r="B1101" s="140"/>
    </row>
    <row r="1102" spans="1:2" ht="13">
      <c r="A1102" s="140"/>
      <c r="B1102" s="140"/>
    </row>
    <row r="1103" spans="1:2" ht="13">
      <c r="A1103" s="140"/>
      <c r="B1103" s="140"/>
    </row>
    <row r="1104" spans="1:2" ht="13">
      <c r="A1104" s="140"/>
      <c r="B1104" s="140"/>
    </row>
    <row r="1105" spans="1:2" ht="13">
      <c r="A1105" s="140"/>
      <c r="B1105" s="140"/>
    </row>
    <row r="1106" spans="1:2" ht="13">
      <c r="A1106" s="140"/>
      <c r="B1106" s="140"/>
    </row>
    <row r="1107" spans="1:2" ht="13">
      <c r="A1107" s="140"/>
      <c r="B1107" s="140"/>
    </row>
    <row r="1108" spans="1:2" ht="13">
      <c r="A1108" s="140"/>
      <c r="B1108" s="140"/>
    </row>
    <row r="1109" spans="1:2" ht="13">
      <c r="A1109" s="140"/>
      <c r="B1109" s="140"/>
    </row>
    <row r="1110" spans="1:2" ht="13">
      <c r="A1110" s="140"/>
      <c r="B1110" s="140"/>
    </row>
    <row r="1111" spans="1:2" ht="13">
      <c r="A1111" s="140"/>
      <c r="B1111" s="140"/>
    </row>
    <row r="1112" spans="1:2" ht="13">
      <c r="A1112" s="140"/>
      <c r="B1112" s="140"/>
    </row>
    <row r="1113" spans="1:2" ht="13">
      <c r="A1113" s="140"/>
      <c r="B1113" s="140"/>
    </row>
    <row r="1114" spans="1:2" ht="13">
      <c r="A1114" s="140"/>
      <c r="B1114" s="140"/>
    </row>
    <row r="1115" spans="1:2" ht="13">
      <c r="A1115" s="140"/>
      <c r="B1115" s="140"/>
    </row>
    <row r="1116" spans="1:2" ht="13">
      <c r="A1116" s="140"/>
      <c r="B1116" s="140"/>
    </row>
    <row r="1117" spans="1:2" ht="13">
      <c r="A1117" s="140"/>
      <c r="B1117" s="140"/>
    </row>
    <row r="1118" spans="1:2" ht="13">
      <c r="A1118" s="140"/>
      <c r="B1118" s="140"/>
    </row>
    <row r="1119" spans="1:2" ht="13">
      <c r="A1119" s="140"/>
      <c r="B1119" s="140"/>
    </row>
    <row r="1120" spans="1:2" ht="13">
      <c r="A1120" s="140"/>
      <c r="B1120" s="140"/>
    </row>
    <row r="1121" spans="1:2" ht="13">
      <c r="A1121" s="140"/>
      <c r="B1121" s="140"/>
    </row>
    <row r="1122" spans="1:2" ht="13">
      <c r="A1122" s="140"/>
      <c r="B1122" s="140"/>
    </row>
    <row r="1123" spans="1:2" ht="13">
      <c r="A1123" s="140"/>
      <c r="B1123" s="140"/>
    </row>
    <row r="1124" spans="1:2" ht="13">
      <c r="A1124" s="140"/>
      <c r="B1124" s="140"/>
    </row>
    <row r="1125" spans="1:2" ht="13">
      <c r="A1125" s="140"/>
      <c r="B1125" s="140"/>
    </row>
    <row r="1126" spans="1:2" ht="13">
      <c r="A1126" s="140"/>
      <c r="B1126" s="140"/>
    </row>
    <row r="1127" spans="1:2" ht="13">
      <c r="A1127" s="140"/>
      <c r="B1127" s="140"/>
    </row>
    <row r="1128" spans="1:2" ht="13">
      <c r="A1128" s="140"/>
      <c r="B1128" s="140"/>
    </row>
    <row r="1129" spans="1:2" ht="13">
      <c r="A1129" s="140"/>
      <c r="B1129" s="140"/>
    </row>
    <row r="1130" spans="1:2" ht="13">
      <c r="A1130" s="140"/>
      <c r="B1130" s="140"/>
    </row>
    <row r="1131" spans="1:2" ht="13">
      <c r="A1131" s="140"/>
      <c r="B1131" s="140"/>
    </row>
    <row r="1132" spans="1:2" ht="13">
      <c r="A1132" s="140"/>
      <c r="B1132" s="140"/>
    </row>
    <row r="1133" spans="1:2" ht="13">
      <c r="A1133" s="140"/>
      <c r="B1133" s="140"/>
    </row>
    <row r="1134" spans="1:2" ht="13">
      <c r="A1134" s="140"/>
      <c r="B1134" s="140"/>
    </row>
    <row r="1135" spans="1:2" ht="13">
      <c r="A1135" s="140"/>
      <c r="B1135" s="140"/>
    </row>
    <row r="1136" spans="1:2" ht="13">
      <c r="A1136" s="140"/>
      <c r="B1136" s="140"/>
    </row>
    <row r="1137" spans="1:2" ht="13">
      <c r="A1137" s="140"/>
      <c r="B1137" s="140"/>
    </row>
    <row r="1138" spans="1:2" ht="13">
      <c r="A1138" s="140"/>
      <c r="B1138" s="140"/>
    </row>
    <row r="1139" spans="1:2" ht="13">
      <c r="A1139" s="140"/>
      <c r="B1139" s="140"/>
    </row>
    <row r="1140" spans="1:2" ht="13">
      <c r="A1140" s="140"/>
      <c r="B1140" s="140"/>
    </row>
    <row r="1141" spans="1:2" ht="13">
      <c r="A1141" s="140"/>
      <c r="B1141" s="140"/>
    </row>
    <row r="1142" spans="1:2" ht="13">
      <c r="A1142" s="140"/>
      <c r="B1142" s="140"/>
    </row>
    <row r="1143" spans="1:2" ht="13">
      <c r="A1143" s="140"/>
      <c r="B1143" s="140"/>
    </row>
    <row r="1144" spans="1:2" ht="13">
      <c r="A1144" s="140"/>
      <c r="B1144" s="140"/>
    </row>
    <row r="1145" spans="1:2" ht="13">
      <c r="A1145" s="140"/>
      <c r="B1145" s="140"/>
    </row>
    <row r="1146" spans="1:2" ht="13">
      <c r="A1146" s="140"/>
      <c r="B1146" s="140"/>
    </row>
    <row r="1147" spans="1:2" ht="13">
      <c r="A1147" s="140"/>
      <c r="B1147" s="140"/>
    </row>
    <row r="1148" spans="1:2" ht="13">
      <c r="A1148" s="140"/>
      <c r="B1148" s="140"/>
    </row>
    <row r="1149" spans="1:2" ht="13">
      <c r="A1149" s="140"/>
      <c r="B1149" s="140"/>
    </row>
    <row r="1150" spans="1:2" ht="13">
      <c r="A1150" s="140"/>
      <c r="B1150" s="140"/>
    </row>
    <row r="1151" spans="1:2" ht="13">
      <c r="A1151" s="140"/>
      <c r="B1151" s="140"/>
    </row>
    <row r="1152" spans="1:2" ht="13">
      <c r="A1152" s="140"/>
      <c r="B1152" s="140"/>
    </row>
    <row r="1153" spans="1:2" ht="13">
      <c r="A1153" s="140"/>
      <c r="B1153" s="140"/>
    </row>
    <row r="1154" spans="1:2" ht="13">
      <c r="A1154" s="140"/>
      <c r="B1154" s="140"/>
    </row>
    <row r="1155" spans="1:2" ht="13">
      <c r="A1155" s="140"/>
      <c r="B1155" s="140"/>
    </row>
    <row r="1156" spans="1:2" ht="13">
      <c r="A1156" s="140"/>
      <c r="B1156" s="140"/>
    </row>
    <row r="1157" spans="1:2" ht="13">
      <c r="A1157" s="140"/>
      <c r="B1157" s="140"/>
    </row>
    <row r="1158" spans="1:2" ht="13">
      <c r="A1158" s="140"/>
      <c r="B1158" s="140"/>
    </row>
    <row r="1159" spans="1:2" ht="13">
      <c r="A1159" s="140"/>
      <c r="B1159" s="140"/>
    </row>
    <row r="1160" spans="1:2" ht="13">
      <c r="A1160" s="140"/>
      <c r="B1160" s="140"/>
    </row>
    <row r="1161" spans="1:2" ht="13">
      <c r="A1161" s="140"/>
      <c r="B1161" s="140"/>
    </row>
    <row r="1162" spans="1:2" ht="13">
      <c r="A1162" s="140"/>
      <c r="B1162" s="140"/>
    </row>
    <row r="1163" spans="1:2" ht="13">
      <c r="A1163" s="140"/>
      <c r="B1163" s="140"/>
    </row>
    <row r="1164" spans="1:2" ht="13">
      <c r="A1164" s="140"/>
      <c r="B1164" s="140"/>
    </row>
    <row r="1165" spans="1:2" ht="13">
      <c r="A1165" s="140"/>
      <c r="B1165" s="140"/>
    </row>
    <row r="1166" spans="1:2" ht="13">
      <c r="A1166" s="140"/>
      <c r="B1166" s="140"/>
    </row>
    <row r="1167" spans="1:2" ht="13">
      <c r="A1167" s="140"/>
      <c r="B1167" s="140"/>
    </row>
    <row r="1168" spans="1:2" ht="13">
      <c r="A1168" s="140"/>
      <c r="B1168" s="140"/>
    </row>
    <row r="1169" spans="1:2" ht="13">
      <c r="A1169" s="140"/>
      <c r="B1169" s="140"/>
    </row>
    <row r="1170" spans="1:2" ht="13">
      <c r="A1170" s="140"/>
      <c r="B1170" s="140"/>
    </row>
    <row r="1171" spans="1:2" ht="13">
      <c r="A1171" s="140"/>
      <c r="B1171" s="140"/>
    </row>
    <row r="1172" spans="1:2" ht="13">
      <c r="A1172" s="140"/>
      <c r="B1172" s="140"/>
    </row>
    <row r="1173" spans="1:2" ht="13">
      <c r="A1173" s="140"/>
      <c r="B1173" s="140"/>
    </row>
    <row r="1174" spans="1:2" ht="13">
      <c r="A1174" s="140"/>
      <c r="B1174" s="140"/>
    </row>
    <row r="1175" spans="1:2" ht="13">
      <c r="A1175" s="140"/>
      <c r="B1175" s="140"/>
    </row>
    <row r="1176" spans="1:2" ht="13">
      <c r="A1176" s="140"/>
      <c r="B1176" s="140"/>
    </row>
    <row r="1177" spans="1:2" ht="13">
      <c r="A1177" s="140"/>
      <c r="B1177" s="140"/>
    </row>
    <row r="1178" spans="1:2" ht="13">
      <c r="A1178" s="140"/>
      <c r="B1178" s="140"/>
    </row>
    <row r="1179" spans="1:2" ht="13">
      <c r="A1179" s="140"/>
      <c r="B1179" s="140"/>
    </row>
    <row r="1180" spans="1:2" ht="13">
      <c r="A1180" s="140"/>
      <c r="B1180" s="140"/>
    </row>
    <row r="1181" spans="1:2" ht="13">
      <c r="A1181" s="140"/>
      <c r="B1181" s="140"/>
    </row>
    <row r="1182" spans="1:2" ht="13">
      <c r="A1182" s="140"/>
      <c r="B1182" s="140"/>
    </row>
    <row r="1183" spans="1:2" ht="13">
      <c r="A1183" s="140"/>
      <c r="B1183" s="140"/>
    </row>
    <row r="1184" spans="1:2" ht="13">
      <c r="A1184" s="140"/>
      <c r="B1184" s="140"/>
    </row>
    <row r="1185" spans="1:2" ht="13">
      <c r="A1185" s="140"/>
      <c r="B1185" s="140"/>
    </row>
    <row r="1186" spans="1:2" ht="13">
      <c r="A1186" s="140"/>
      <c r="B1186" s="140"/>
    </row>
    <row r="1187" spans="1:2" ht="13">
      <c r="A1187" s="140"/>
      <c r="B1187" s="140"/>
    </row>
    <row r="1188" spans="1:2" ht="13">
      <c r="A1188" s="140"/>
      <c r="B1188" s="140"/>
    </row>
    <row r="1189" spans="1:2" ht="13">
      <c r="A1189" s="140"/>
      <c r="B1189" s="140"/>
    </row>
    <row r="1190" spans="1:2" ht="13">
      <c r="A1190" s="140"/>
      <c r="B1190" s="140"/>
    </row>
    <row r="1191" spans="1:2" ht="13">
      <c r="A1191" s="140"/>
      <c r="B1191" s="140"/>
    </row>
    <row r="1192" spans="1:2" ht="13">
      <c r="A1192" s="140"/>
      <c r="B1192" s="140"/>
    </row>
    <row r="1193" spans="1:2" ht="13">
      <c r="A1193" s="140"/>
      <c r="B1193" s="140"/>
    </row>
    <row r="1194" spans="1:2" ht="13">
      <c r="A1194" s="140"/>
      <c r="B1194" s="140"/>
    </row>
    <row r="1195" spans="1:2" ht="13">
      <c r="A1195" s="140"/>
      <c r="B1195" s="140"/>
    </row>
    <row r="1196" spans="1:2" ht="13">
      <c r="A1196" s="140"/>
      <c r="B1196" s="140"/>
    </row>
    <row r="1197" spans="1:2" ht="13">
      <c r="A1197" s="140"/>
      <c r="B1197" s="140"/>
    </row>
    <row r="1198" spans="1:2" ht="13">
      <c r="A1198" s="140"/>
      <c r="B1198" s="140"/>
    </row>
    <row r="1199" spans="1:2" ht="13">
      <c r="A1199" s="140"/>
      <c r="B1199" s="140"/>
    </row>
    <row r="1200" spans="1:2" ht="13">
      <c r="A1200" s="140"/>
      <c r="B1200" s="140"/>
    </row>
    <row r="1201" spans="1:2" ht="13">
      <c r="A1201" s="140"/>
      <c r="B1201" s="140"/>
    </row>
    <row r="1202" spans="1:2" ht="13">
      <c r="A1202" s="140"/>
      <c r="B1202" s="140"/>
    </row>
    <row r="1203" spans="1:2" ht="13">
      <c r="A1203" s="140"/>
      <c r="B1203" s="140"/>
    </row>
    <row r="1204" spans="1:2" ht="13">
      <c r="A1204" s="140"/>
      <c r="B1204" s="140"/>
    </row>
    <row r="1205" spans="1:2" ht="13">
      <c r="A1205" s="140"/>
      <c r="B1205" s="140"/>
    </row>
    <row r="1206" spans="1:2" ht="13">
      <c r="A1206" s="140"/>
      <c r="B1206" s="140"/>
    </row>
    <row r="1207" spans="1:2" ht="13">
      <c r="A1207" s="140"/>
      <c r="B1207" s="140"/>
    </row>
    <row r="1208" spans="1:2" ht="13">
      <c r="A1208" s="140"/>
      <c r="B1208" s="140"/>
    </row>
    <row r="1209" spans="1:2" ht="13">
      <c r="A1209" s="140"/>
      <c r="B1209" s="140"/>
    </row>
    <row r="1210" spans="1:2" ht="13">
      <c r="A1210" s="140"/>
      <c r="B1210" s="140"/>
    </row>
    <row r="1211" spans="1:2" ht="13">
      <c r="A1211" s="140"/>
      <c r="B1211" s="140"/>
    </row>
    <row r="1212" spans="1:2" ht="13">
      <c r="A1212" s="140"/>
      <c r="B1212" s="140"/>
    </row>
    <row r="1213" spans="1:2" ht="13">
      <c r="A1213" s="140"/>
      <c r="B1213" s="140"/>
    </row>
    <row r="1214" spans="1:2" ht="13">
      <c r="A1214" s="140"/>
      <c r="B1214" s="140"/>
    </row>
    <row r="1215" spans="1:2" ht="13">
      <c r="A1215" s="140"/>
      <c r="B1215" s="140"/>
    </row>
    <row r="1216" spans="1:2" ht="13">
      <c r="A1216" s="140"/>
      <c r="B1216" s="140"/>
    </row>
    <row r="1217" spans="1:2" ht="13">
      <c r="A1217" s="140"/>
      <c r="B1217" s="140"/>
    </row>
    <row r="1218" spans="1:2" ht="13">
      <c r="A1218" s="140"/>
      <c r="B1218" s="140"/>
    </row>
    <row r="1219" spans="1:2" ht="13">
      <c r="A1219" s="140"/>
      <c r="B1219" s="140"/>
    </row>
    <row r="1220" spans="1:2" ht="13">
      <c r="A1220" s="140"/>
      <c r="B1220" s="140"/>
    </row>
    <row r="1221" spans="1:2" ht="13">
      <c r="A1221" s="140"/>
      <c r="B1221" s="140"/>
    </row>
    <row r="1222" spans="1:2" ht="13">
      <c r="A1222" s="140"/>
      <c r="B1222" s="140"/>
    </row>
    <row r="1223" spans="1:2" ht="13">
      <c r="A1223" s="140"/>
      <c r="B1223" s="140"/>
    </row>
    <row r="1224" spans="1:2" ht="13">
      <c r="A1224" s="140"/>
      <c r="B1224" s="140"/>
    </row>
    <row r="1225" spans="1:2" ht="13">
      <c r="A1225" s="140"/>
      <c r="B1225" s="140"/>
    </row>
    <row r="1226" spans="1:2" ht="13">
      <c r="A1226" s="140"/>
      <c r="B1226" s="140"/>
    </row>
    <row r="1227" spans="1:2" ht="13">
      <c r="A1227" s="140"/>
      <c r="B1227" s="140"/>
    </row>
    <row r="1228" spans="1:2" ht="13">
      <c r="A1228" s="140"/>
      <c r="B1228" s="140"/>
    </row>
    <row r="1229" spans="1:2" ht="13">
      <c r="A1229" s="140"/>
      <c r="B1229" s="140"/>
    </row>
    <row r="1230" spans="1:2" ht="13">
      <c r="A1230" s="140"/>
      <c r="B1230" s="140"/>
    </row>
    <row r="1231" spans="1:2" ht="13">
      <c r="A1231" s="140"/>
      <c r="B1231" s="140"/>
    </row>
    <row r="1232" spans="1:2" ht="13">
      <c r="A1232" s="140"/>
      <c r="B1232" s="140"/>
    </row>
    <row r="1233" spans="1:2" ht="13">
      <c r="A1233" s="140"/>
      <c r="B1233" s="140"/>
    </row>
    <row r="1234" spans="1:2" ht="13">
      <c r="A1234" s="140"/>
      <c r="B1234" s="140"/>
    </row>
    <row r="1235" spans="1:2" ht="13">
      <c r="A1235" s="140"/>
      <c r="B1235" s="140"/>
    </row>
    <row r="1236" spans="1:2" ht="13">
      <c r="A1236" s="140"/>
      <c r="B1236" s="140"/>
    </row>
    <row r="1237" spans="1:2" ht="13">
      <c r="A1237" s="140"/>
      <c r="B1237" s="140"/>
    </row>
    <row r="1238" spans="1:2" ht="13">
      <c r="A1238" s="140"/>
      <c r="B1238" s="140"/>
    </row>
    <row r="1239" spans="1:2" ht="13">
      <c r="A1239" s="140"/>
      <c r="B1239" s="140"/>
    </row>
    <row r="1240" spans="1:2" ht="13">
      <c r="A1240" s="140"/>
      <c r="B1240" s="140"/>
    </row>
    <row r="1241" spans="1:2" ht="13">
      <c r="A1241" s="140"/>
      <c r="B1241" s="140"/>
    </row>
    <row r="1242" spans="1:2" ht="13">
      <c r="A1242" s="140"/>
      <c r="B1242" s="140"/>
    </row>
    <row r="1243" spans="1:2" ht="13">
      <c r="A1243" s="140"/>
      <c r="B1243" s="140"/>
    </row>
    <row r="1244" spans="1:2" ht="13">
      <c r="A1244" s="140"/>
      <c r="B1244" s="140"/>
    </row>
    <row r="1245" spans="1:2" ht="13">
      <c r="A1245" s="140"/>
      <c r="B1245" s="140"/>
    </row>
    <row r="1246" spans="1:2" ht="13">
      <c r="A1246" s="140"/>
      <c r="B1246" s="140"/>
    </row>
    <row r="1247" spans="1:2" ht="13">
      <c r="A1247" s="140"/>
      <c r="B1247" s="140"/>
    </row>
    <row r="1248" spans="1:2" ht="13">
      <c r="A1248" s="140"/>
      <c r="B1248" s="140"/>
    </row>
    <row r="1249" spans="1:2" ht="13">
      <c r="A1249" s="140"/>
      <c r="B1249" s="140"/>
    </row>
    <row r="1250" spans="1:2" ht="13">
      <c r="A1250" s="140"/>
      <c r="B1250" s="140"/>
    </row>
    <row r="1251" spans="1:2" ht="13">
      <c r="A1251" s="140"/>
      <c r="B1251" s="140"/>
    </row>
    <row r="1252" spans="1:2" ht="13">
      <c r="A1252" s="140"/>
      <c r="B1252" s="140"/>
    </row>
    <row r="1253" spans="1:2" ht="13">
      <c r="A1253" s="140"/>
      <c r="B1253" s="140"/>
    </row>
    <row r="1254" spans="1:2" ht="13">
      <c r="A1254" s="140"/>
      <c r="B1254" s="140"/>
    </row>
    <row r="1255" spans="1:2" ht="13">
      <c r="A1255" s="140"/>
      <c r="B1255" s="140"/>
    </row>
    <row r="1256" spans="1:2" ht="13">
      <c r="A1256" s="140"/>
      <c r="B1256" s="140"/>
    </row>
    <row r="1257" spans="1:2" ht="13">
      <c r="A1257" s="140"/>
      <c r="B1257" s="140"/>
    </row>
    <row r="1258" spans="1:2" ht="13">
      <c r="A1258" s="140"/>
      <c r="B1258" s="140"/>
    </row>
    <row r="1259" spans="1:2" ht="13">
      <c r="A1259" s="140"/>
      <c r="B1259" s="140"/>
    </row>
    <row r="1260" spans="1:2" ht="13">
      <c r="A1260" s="140"/>
      <c r="B1260" s="140"/>
    </row>
    <row r="1261" spans="1:2" ht="13">
      <c r="A1261" s="140"/>
      <c r="B1261" s="140"/>
    </row>
    <row r="1262" spans="1:2" ht="13">
      <c r="A1262" s="140"/>
      <c r="B1262" s="140"/>
    </row>
    <row r="1263" spans="1:2" ht="13">
      <c r="A1263" s="140"/>
      <c r="B1263" s="140"/>
    </row>
    <row r="1264" spans="1:2" ht="13">
      <c r="A1264" s="140"/>
      <c r="B1264" s="140"/>
    </row>
    <row r="1265" spans="1:2" ht="13">
      <c r="A1265" s="140"/>
      <c r="B1265" s="140"/>
    </row>
    <row r="1266" spans="1:2" ht="13">
      <c r="A1266" s="140"/>
      <c r="B1266" s="140"/>
    </row>
    <row r="1267" spans="1:2" ht="13">
      <c r="A1267" s="140"/>
      <c r="B1267" s="140"/>
    </row>
    <row r="1268" spans="1:2" ht="13">
      <c r="A1268" s="140"/>
      <c r="B1268" s="140"/>
    </row>
    <row r="1269" spans="1:2" ht="13">
      <c r="A1269" s="140"/>
      <c r="B1269" s="140"/>
    </row>
    <row r="1270" spans="1:2" ht="13">
      <c r="A1270" s="140"/>
      <c r="B1270" s="140"/>
    </row>
    <row r="1271" spans="1:2" ht="13">
      <c r="A1271" s="140"/>
      <c r="B1271" s="140"/>
    </row>
    <row r="1272" spans="1:2" ht="13">
      <c r="A1272" s="140"/>
      <c r="B1272" s="140"/>
    </row>
    <row r="1273" spans="1:2" ht="13">
      <c r="A1273" s="140"/>
      <c r="B1273" s="140"/>
    </row>
    <row r="1274" spans="1:2" ht="13">
      <c r="A1274" s="140"/>
      <c r="B1274" s="140"/>
    </row>
    <row r="1275" spans="1:2" ht="13">
      <c r="A1275" s="140"/>
      <c r="B1275" s="140"/>
    </row>
    <row r="1276" spans="1:2" ht="13">
      <c r="A1276" s="140"/>
      <c r="B1276" s="140"/>
    </row>
    <row r="1277" spans="1:2" ht="13">
      <c r="A1277" s="140"/>
      <c r="B1277" s="140"/>
    </row>
    <row r="1278" spans="1:2" ht="13">
      <c r="A1278" s="140"/>
      <c r="B1278" s="140"/>
    </row>
    <row r="1279" spans="1:2" ht="13">
      <c r="A1279" s="140"/>
      <c r="B1279" s="140"/>
    </row>
    <row r="1280" spans="1:2" ht="13">
      <c r="A1280" s="140"/>
      <c r="B1280" s="140"/>
    </row>
    <row r="1281" spans="1:2" ht="13">
      <c r="A1281" s="140"/>
      <c r="B1281" s="140"/>
    </row>
    <row r="1282" spans="1:2" ht="13">
      <c r="A1282" s="140"/>
      <c r="B1282" s="140"/>
    </row>
    <row r="1283" spans="1:2" ht="13">
      <c r="A1283" s="140"/>
      <c r="B1283" s="140"/>
    </row>
    <row r="1284" spans="1:2" ht="13">
      <c r="A1284" s="140"/>
      <c r="B1284" s="140"/>
    </row>
    <row r="1285" spans="1:2" ht="13">
      <c r="A1285" s="140"/>
      <c r="B1285" s="140"/>
    </row>
    <row r="1286" spans="1:2" ht="13">
      <c r="A1286" s="140"/>
      <c r="B1286" s="140"/>
    </row>
    <row r="1287" spans="1:2" ht="13">
      <c r="A1287" s="140"/>
      <c r="B1287" s="140"/>
    </row>
    <row r="1288" spans="1:2" ht="13">
      <c r="A1288" s="140"/>
      <c r="B1288" s="140"/>
    </row>
    <row r="1289" spans="1:2" ht="13">
      <c r="A1289" s="140"/>
      <c r="B1289" s="140"/>
    </row>
    <row r="1290" spans="1:2" ht="13">
      <c r="A1290" s="140"/>
      <c r="B1290" s="140"/>
    </row>
    <row r="1291" spans="1:2" ht="13">
      <c r="A1291" s="140"/>
      <c r="B1291" s="140"/>
    </row>
    <row r="1292" spans="1:2" ht="13">
      <c r="A1292" s="140"/>
      <c r="B1292" s="140"/>
    </row>
    <row r="1293" spans="1:2" ht="13">
      <c r="A1293" s="140"/>
      <c r="B1293" s="140"/>
    </row>
    <row r="1294" spans="1:2" ht="13">
      <c r="A1294" s="140"/>
      <c r="B1294" s="140"/>
    </row>
    <row r="1295" spans="1:2" ht="13">
      <c r="A1295" s="140"/>
      <c r="B1295" s="140"/>
    </row>
    <row r="1296" spans="1:2" ht="13">
      <c r="A1296" s="140"/>
      <c r="B1296" s="140"/>
    </row>
    <row r="1297" spans="1:2" ht="13">
      <c r="A1297" s="140"/>
      <c r="B1297" s="140"/>
    </row>
    <row r="1298" spans="1:2" ht="13">
      <c r="A1298" s="140"/>
      <c r="B1298" s="140"/>
    </row>
    <row r="1299" spans="1:2" ht="13">
      <c r="A1299" s="140"/>
      <c r="B1299" s="140"/>
    </row>
    <row r="1300" spans="1:2" ht="13">
      <c r="A1300" s="140"/>
      <c r="B1300" s="140"/>
    </row>
    <row r="1301" spans="1:2" ht="13">
      <c r="A1301" s="140"/>
      <c r="B1301" s="140"/>
    </row>
    <row r="1302" spans="1:2" ht="13">
      <c r="A1302" s="140"/>
      <c r="B1302" s="140"/>
    </row>
    <row r="1303" spans="1:2" ht="13">
      <c r="A1303" s="140"/>
      <c r="B1303" s="140"/>
    </row>
    <row r="1304" spans="1:2" ht="13">
      <c r="A1304" s="140"/>
      <c r="B1304" s="140"/>
    </row>
    <row r="1305" spans="1:2" ht="13">
      <c r="A1305" s="140"/>
      <c r="B1305" s="140"/>
    </row>
    <row r="1306" spans="1:2" ht="13">
      <c r="A1306" s="140"/>
      <c r="B1306" s="140"/>
    </row>
    <row r="1307" spans="1:2" ht="13">
      <c r="A1307" s="140"/>
      <c r="B1307" s="140"/>
    </row>
    <row r="1308" spans="1:2" ht="13">
      <c r="A1308" s="140"/>
      <c r="B1308" s="140"/>
    </row>
    <row r="1309" spans="1:2" ht="13">
      <c r="A1309" s="140"/>
      <c r="B1309" s="140"/>
    </row>
    <row r="1310" spans="1:2" ht="13">
      <c r="A1310" s="140"/>
      <c r="B1310" s="140"/>
    </row>
    <row r="1311" spans="1:2" ht="13">
      <c r="A1311" s="140"/>
      <c r="B1311" s="140"/>
    </row>
    <row r="1312" spans="1:2" ht="13">
      <c r="A1312" s="140"/>
      <c r="B1312" s="140"/>
    </row>
    <row r="1313" spans="1:2" ht="13">
      <c r="A1313" s="140"/>
      <c r="B1313" s="140"/>
    </row>
    <row r="1314" spans="1:2" ht="13">
      <c r="A1314" s="140"/>
      <c r="B1314" s="140"/>
    </row>
    <row r="1315" spans="1:2" ht="13">
      <c r="A1315" s="140"/>
      <c r="B1315" s="140"/>
    </row>
    <row r="1316" spans="1:2" ht="13">
      <c r="A1316" s="140"/>
      <c r="B1316" s="140"/>
    </row>
    <row r="1317" spans="1:2" ht="13">
      <c r="A1317" s="140"/>
      <c r="B1317" s="140"/>
    </row>
    <row r="1318" spans="1:2" ht="13">
      <c r="A1318" s="140"/>
      <c r="B1318" s="140"/>
    </row>
    <row r="1319" spans="1:2" ht="13">
      <c r="A1319" s="140"/>
      <c r="B1319" s="140"/>
    </row>
    <row r="1320" spans="1:2" ht="13">
      <c r="A1320" s="140"/>
      <c r="B1320" s="140"/>
    </row>
    <row r="1321" spans="1:2" ht="13">
      <c r="A1321" s="140"/>
      <c r="B1321" s="140"/>
    </row>
    <row r="1322" spans="1:2" ht="13">
      <c r="A1322" s="140"/>
      <c r="B1322" s="140"/>
    </row>
    <row r="1323" spans="1:2" ht="13">
      <c r="A1323" s="140"/>
      <c r="B1323" s="140"/>
    </row>
    <row r="1324" spans="1:2" ht="13">
      <c r="A1324" s="140"/>
      <c r="B1324" s="140"/>
    </row>
    <row r="1325" spans="1:2" ht="13">
      <c r="A1325" s="140"/>
      <c r="B1325" s="140"/>
    </row>
    <row r="1326" spans="1:2" ht="13">
      <c r="A1326" s="140"/>
      <c r="B1326" s="140"/>
    </row>
    <row r="1327" spans="1:2" ht="13">
      <c r="A1327" s="140"/>
      <c r="B1327" s="140"/>
    </row>
    <row r="1328" spans="1:2" ht="13">
      <c r="A1328" s="140"/>
      <c r="B1328" s="140"/>
    </row>
    <row r="1329" spans="1:2" ht="13">
      <c r="A1329" s="140"/>
      <c r="B1329" s="140"/>
    </row>
    <row r="1330" spans="1:2" ht="13">
      <c r="A1330" s="140"/>
      <c r="B1330" s="140"/>
    </row>
    <row r="1331" spans="1:2" ht="13">
      <c r="A1331" s="140"/>
      <c r="B1331" s="140"/>
    </row>
    <row r="1332" spans="1:2" ht="13">
      <c r="A1332" s="140"/>
      <c r="B1332" s="140"/>
    </row>
    <row r="1333" spans="1:2" ht="13">
      <c r="A1333" s="140"/>
      <c r="B1333" s="140"/>
    </row>
    <row r="1334" spans="1:2" ht="13">
      <c r="A1334" s="140"/>
      <c r="B1334" s="140"/>
    </row>
    <row r="1335" spans="1:2" ht="13">
      <c r="A1335" s="140"/>
      <c r="B1335" s="140"/>
    </row>
    <row r="1336" spans="1:2" ht="13">
      <c r="A1336" s="140"/>
      <c r="B1336" s="140"/>
    </row>
    <row r="1337" spans="1:2" ht="13">
      <c r="A1337" s="140"/>
      <c r="B1337" s="140"/>
    </row>
    <row r="1338" spans="1:2" ht="13">
      <c r="A1338" s="140"/>
      <c r="B1338" s="140"/>
    </row>
    <row r="1339" spans="1:2" ht="13">
      <c r="A1339" s="140"/>
      <c r="B1339" s="140"/>
    </row>
    <row r="1340" spans="1:2" ht="13">
      <c r="A1340" s="140"/>
      <c r="B1340" s="140"/>
    </row>
    <row r="1341" spans="1:2" ht="13">
      <c r="A1341" s="140"/>
      <c r="B1341" s="140"/>
    </row>
    <row r="1342" spans="1:2" ht="13">
      <c r="A1342" s="140"/>
      <c r="B1342" s="140"/>
    </row>
    <row r="1343" spans="1:2" ht="13">
      <c r="A1343" s="140"/>
      <c r="B1343" s="140"/>
    </row>
    <row r="1344" spans="1:2" ht="13">
      <c r="A1344" s="140"/>
      <c r="B1344" s="140"/>
    </row>
    <row r="1345" spans="1:2" ht="13">
      <c r="A1345" s="140"/>
      <c r="B1345" s="140"/>
    </row>
    <row r="1346" spans="1:2" ht="13">
      <c r="A1346" s="140"/>
      <c r="B1346" s="140"/>
    </row>
    <row r="1347" spans="1:2" ht="13">
      <c r="A1347" s="140"/>
      <c r="B1347" s="140"/>
    </row>
    <row r="1348" spans="1:2" ht="13">
      <c r="A1348" s="140"/>
      <c r="B1348" s="140"/>
    </row>
    <row r="1349" spans="1:2" ht="13">
      <c r="A1349" s="140"/>
      <c r="B1349" s="140"/>
    </row>
    <row r="1350" spans="1:2" ht="13">
      <c r="A1350" s="140"/>
      <c r="B1350" s="140"/>
    </row>
    <row r="1351" spans="1:2" ht="13">
      <c r="A1351" s="140"/>
      <c r="B1351" s="140"/>
    </row>
    <row r="1352" spans="1:2" ht="13">
      <c r="A1352" s="140"/>
      <c r="B1352" s="140"/>
    </row>
    <row r="1353" spans="1:2" ht="13">
      <c r="A1353" s="140"/>
      <c r="B1353" s="140"/>
    </row>
    <row r="1354" spans="1:2" ht="13">
      <c r="A1354" s="140"/>
      <c r="B1354" s="140"/>
    </row>
    <row r="1355" spans="1:2" ht="13">
      <c r="A1355" s="140"/>
      <c r="B1355" s="140"/>
    </row>
    <row r="1356" spans="1:2" ht="13">
      <c r="A1356" s="140"/>
      <c r="B1356" s="140"/>
    </row>
    <row r="1357" spans="1:2" ht="13">
      <c r="A1357" s="140"/>
      <c r="B1357" s="140"/>
    </row>
    <row r="1358" spans="1:2" ht="13">
      <c r="A1358" s="140"/>
      <c r="B1358" s="140"/>
    </row>
    <row r="1359" spans="1:2" ht="13">
      <c r="A1359" s="140"/>
      <c r="B1359" s="140"/>
    </row>
    <row r="1360" spans="1:2" ht="13">
      <c r="A1360" s="140"/>
      <c r="B1360" s="140"/>
    </row>
    <row r="1361" spans="1:2" ht="13">
      <c r="A1361" s="140"/>
      <c r="B1361" s="140"/>
    </row>
    <row r="1362" spans="1:2" ht="13">
      <c r="A1362" s="140"/>
      <c r="B1362" s="140"/>
    </row>
    <row r="1363" spans="1:2" ht="13">
      <c r="A1363" s="140"/>
      <c r="B1363" s="140"/>
    </row>
    <row r="1364" spans="1:2" ht="13">
      <c r="A1364" s="140"/>
      <c r="B1364" s="140"/>
    </row>
    <row r="1365" spans="1:2" ht="13">
      <c r="A1365" s="140"/>
      <c r="B1365" s="140"/>
    </row>
    <row r="1366" spans="1:2" ht="13">
      <c r="A1366" s="140"/>
      <c r="B1366" s="140"/>
    </row>
    <row r="1367" spans="1:2" ht="13">
      <c r="A1367" s="140"/>
      <c r="B1367" s="140"/>
    </row>
    <row r="1368" spans="1:2" ht="13">
      <c r="A1368" s="140"/>
      <c r="B1368" s="140"/>
    </row>
    <row r="1369" spans="1:2" ht="13">
      <c r="A1369" s="140"/>
      <c r="B1369" s="140"/>
    </row>
    <row r="1370" spans="1:2" ht="13">
      <c r="A1370" s="140"/>
      <c r="B1370" s="140"/>
    </row>
    <row r="1371" spans="1:2" ht="13">
      <c r="A1371" s="140"/>
      <c r="B1371" s="140"/>
    </row>
    <row r="1372" spans="1:2" ht="13">
      <c r="A1372" s="140"/>
      <c r="B1372" s="140"/>
    </row>
    <row r="1373" spans="1:2" ht="13">
      <c r="A1373" s="140"/>
      <c r="B1373" s="140"/>
    </row>
    <row r="1374" spans="1:2" ht="13">
      <c r="A1374" s="140"/>
      <c r="B1374" s="140"/>
    </row>
    <row r="1375" spans="1:2" ht="13">
      <c r="A1375" s="140"/>
      <c r="B1375" s="140"/>
    </row>
    <row r="1376" spans="1:2" ht="13">
      <c r="A1376" s="140"/>
      <c r="B1376" s="140"/>
    </row>
    <row r="1377" spans="1:2" ht="13">
      <c r="A1377" s="140"/>
      <c r="B1377" s="140"/>
    </row>
    <row r="1378" spans="1:2" ht="13">
      <c r="A1378" s="140"/>
      <c r="B1378" s="140"/>
    </row>
    <row r="1379" spans="1:2" ht="13">
      <c r="A1379" s="140"/>
      <c r="B1379" s="140"/>
    </row>
    <row r="1380" spans="1:2" ht="13">
      <c r="A1380" s="140"/>
      <c r="B1380" s="140"/>
    </row>
    <row r="1381" spans="1:2" ht="13">
      <c r="A1381" s="140"/>
      <c r="B1381" s="140"/>
    </row>
    <row r="1382" spans="1:2" ht="13">
      <c r="A1382" s="140"/>
      <c r="B1382" s="140"/>
    </row>
    <row r="1383" spans="1:2" ht="13">
      <c r="A1383" s="140"/>
      <c r="B1383" s="140"/>
    </row>
    <row r="1384" spans="1:2" ht="13">
      <c r="A1384" s="140"/>
      <c r="B1384" s="140"/>
    </row>
    <row r="1385" spans="1:2" ht="13">
      <c r="A1385" s="140"/>
      <c r="B1385" s="140"/>
    </row>
    <row r="1386" spans="1:2" ht="13">
      <c r="A1386" s="140"/>
      <c r="B1386" s="140"/>
    </row>
    <row r="1387" spans="1:2" ht="13">
      <c r="A1387" s="140"/>
      <c r="B1387" s="140"/>
    </row>
    <row r="1388" spans="1:2" ht="13">
      <c r="A1388" s="140"/>
      <c r="B1388" s="140"/>
    </row>
    <row r="1389" spans="1:2" ht="13">
      <c r="A1389" s="140"/>
      <c r="B1389" s="140"/>
    </row>
    <row r="1390" spans="1:2" ht="13">
      <c r="A1390" s="140"/>
      <c r="B1390" s="140"/>
    </row>
    <row r="1391" spans="1:2" ht="13">
      <c r="A1391" s="140"/>
      <c r="B1391" s="140"/>
    </row>
    <row r="1392" spans="1:2" ht="13">
      <c r="A1392" s="140"/>
      <c r="B1392" s="140"/>
    </row>
    <row r="1393" spans="1:2" ht="13">
      <c r="A1393" s="140"/>
      <c r="B1393" s="140"/>
    </row>
    <row r="1394" spans="1:2" ht="13">
      <c r="A1394" s="140"/>
      <c r="B1394" s="140"/>
    </row>
    <row r="1395" spans="1:2" ht="13">
      <c r="A1395" s="140"/>
      <c r="B1395" s="140"/>
    </row>
    <row r="1396" spans="1:2" ht="13">
      <c r="A1396" s="140"/>
      <c r="B1396" s="140"/>
    </row>
    <row r="1397" spans="1:2" ht="13">
      <c r="A1397" s="140"/>
      <c r="B1397" s="140"/>
    </row>
    <row r="1398" spans="1:2" ht="13">
      <c r="A1398" s="140"/>
      <c r="B1398" s="140"/>
    </row>
    <row r="1399" spans="1:2" ht="13">
      <c r="A1399" s="140"/>
      <c r="B1399" s="140"/>
    </row>
    <row r="1400" spans="1:2" ht="13">
      <c r="A1400" s="140"/>
      <c r="B1400" s="140"/>
    </row>
    <row r="1401" spans="1:2" ht="13">
      <c r="A1401" s="140"/>
      <c r="B1401" s="140"/>
    </row>
    <row r="1402" spans="1:2" ht="13">
      <c r="A1402" s="140"/>
      <c r="B1402" s="140"/>
    </row>
    <row r="1403" spans="1:2" ht="13">
      <c r="A1403" s="140"/>
      <c r="B1403" s="140"/>
    </row>
    <row r="1404" spans="1:2" ht="13">
      <c r="A1404" s="140"/>
      <c r="B1404" s="140"/>
    </row>
    <row r="1405" spans="1:2" ht="13">
      <c r="A1405" s="140"/>
      <c r="B1405" s="140"/>
    </row>
    <row r="1406" spans="1:2" ht="13">
      <c r="A1406" s="140"/>
      <c r="B1406" s="140"/>
    </row>
    <row r="1407" spans="1:2" ht="13">
      <c r="A1407" s="140"/>
      <c r="B1407" s="140"/>
    </row>
    <row r="1408" spans="1:2" ht="13">
      <c r="A1408" s="140"/>
      <c r="B1408" s="140"/>
    </row>
    <row r="1409" spans="1:2" ht="13">
      <c r="A1409" s="140"/>
      <c r="B1409" s="140"/>
    </row>
    <row r="1410" spans="1:2" ht="13">
      <c r="A1410" s="140"/>
      <c r="B1410" s="140"/>
    </row>
    <row r="1411" spans="1:2" ht="13">
      <c r="A1411" s="140"/>
      <c r="B1411" s="140"/>
    </row>
    <row r="1412" spans="1:2" ht="13">
      <c r="A1412" s="140"/>
      <c r="B1412" s="140"/>
    </row>
    <row r="1413" spans="1:2" ht="13">
      <c r="A1413" s="140"/>
      <c r="B1413" s="140"/>
    </row>
    <row r="1414" spans="1:2" ht="13">
      <c r="A1414" s="140"/>
      <c r="B1414" s="140"/>
    </row>
    <row r="1415" spans="1:2" ht="13">
      <c r="A1415" s="140"/>
      <c r="B1415" s="140"/>
    </row>
    <row r="1416" spans="1:2" ht="13">
      <c r="A1416" s="140"/>
      <c r="B1416" s="140"/>
    </row>
    <row r="1417" spans="1:2" ht="13">
      <c r="A1417" s="140"/>
      <c r="B1417" s="140"/>
    </row>
    <row r="1418" spans="1:2" ht="13">
      <c r="A1418" s="140"/>
      <c r="B1418" s="140"/>
    </row>
    <row r="1419" spans="1:2" ht="13">
      <c r="A1419" s="140"/>
      <c r="B1419" s="140"/>
    </row>
    <row r="1420" spans="1:2" ht="13">
      <c r="A1420" s="140"/>
      <c r="B1420" s="140"/>
    </row>
    <row r="1421" spans="1:2" ht="13">
      <c r="A1421" s="140"/>
      <c r="B1421" s="140"/>
    </row>
    <row r="1422" spans="1:2" ht="13">
      <c r="A1422" s="140"/>
      <c r="B1422" s="140"/>
    </row>
    <row r="1423" spans="1:2" ht="13">
      <c r="A1423" s="140"/>
      <c r="B1423" s="140"/>
    </row>
    <row r="1424" spans="1:2" ht="13">
      <c r="A1424" s="140"/>
      <c r="B1424" s="140"/>
    </row>
    <row r="1425" spans="1:2" ht="13">
      <c r="A1425" s="140"/>
      <c r="B1425" s="140"/>
    </row>
    <row r="1426" spans="1:2" ht="13">
      <c r="A1426" s="140"/>
      <c r="B1426" s="140"/>
    </row>
    <row r="1427" spans="1:2" ht="13">
      <c r="A1427" s="140"/>
      <c r="B1427" s="140"/>
    </row>
    <row r="1428" spans="1:2" ht="13">
      <c r="A1428" s="140"/>
      <c r="B1428" s="140"/>
    </row>
    <row r="1429" spans="1:2" ht="13">
      <c r="A1429" s="140"/>
      <c r="B1429" s="140"/>
    </row>
    <row r="1430" spans="1:2" ht="13">
      <c r="A1430" s="140"/>
      <c r="B1430" s="140"/>
    </row>
    <row r="1431" spans="1:2" ht="13">
      <c r="A1431" s="140"/>
      <c r="B1431" s="140"/>
    </row>
    <row r="1432" spans="1:2" ht="13">
      <c r="A1432" s="140"/>
      <c r="B1432" s="140"/>
    </row>
    <row r="1433" spans="1:2" ht="13">
      <c r="A1433" s="140"/>
      <c r="B1433" s="140"/>
    </row>
    <row r="1434" spans="1:2" ht="13">
      <c r="A1434" s="140"/>
      <c r="B1434" s="140"/>
    </row>
    <row r="1435" spans="1:2" ht="13">
      <c r="A1435" s="140"/>
      <c r="B1435" s="140"/>
    </row>
    <row r="1436" spans="1:2" ht="13">
      <c r="A1436" s="140"/>
      <c r="B1436" s="140"/>
    </row>
    <row r="1437" spans="1:2" ht="13">
      <c r="A1437" s="140"/>
      <c r="B1437" s="140"/>
    </row>
    <row r="1438" spans="1:2" ht="13">
      <c r="A1438" s="140"/>
      <c r="B1438" s="140"/>
    </row>
    <row r="1439" spans="1:2" ht="13">
      <c r="A1439" s="140"/>
      <c r="B1439" s="140"/>
    </row>
    <row r="1440" spans="1:2" ht="13">
      <c r="A1440" s="140"/>
      <c r="B1440" s="140"/>
    </row>
    <row r="1441" spans="1:2" ht="13">
      <c r="A1441" s="140"/>
      <c r="B1441" s="140"/>
    </row>
    <row r="1442" spans="1:2" ht="13">
      <c r="A1442" s="140"/>
      <c r="B1442" s="140"/>
    </row>
    <row r="1443" spans="1:2" ht="13">
      <c r="A1443" s="140"/>
      <c r="B1443" s="140"/>
    </row>
    <row r="1444" spans="1:2" ht="13">
      <c r="A1444" s="140"/>
      <c r="B1444" s="140"/>
    </row>
    <row r="1445" spans="1:2" ht="13">
      <c r="A1445" s="140"/>
      <c r="B1445" s="140"/>
    </row>
    <row r="1446" spans="1:2" ht="13">
      <c r="A1446" s="140"/>
      <c r="B1446" s="140"/>
    </row>
    <row r="1447" spans="1:2" ht="13">
      <c r="A1447" s="140"/>
      <c r="B1447" s="140"/>
    </row>
    <row r="1448" spans="1:2" ht="13">
      <c r="A1448" s="140"/>
      <c r="B1448" s="140"/>
    </row>
    <row r="1449" spans="1:2" ht="13">
      <c r="A1449" s="140"/>
      <c r="B1449" s="140"/>
    </row>
    <row r="1450" spans="1:2" ht="13">
      <c r="A1450" s="140"/>
      <c r="B1450" s="140"/>
    </row>
    <row r="1451" spans="1:2" ht="13">
      <c r="A1451" s="140"/>
      <c r="B1451" s="140"/>
    </row>
    <row r="1452" spans="1:2" ht="13">
      <c r="A1452" s="140"/>
      <c r="B1452" s="140"/>
    </row>
    <row r="1453" spans="1:2" ht="13">
      <c r="A1453" s="140"/>
      <c r="B1453" s="140"/>
    </row>
    <row r="1454" spans="1:2" ht="13">
      <c r="A1454" s="140"/>
      <c r="B1454" s="140"/>
    </row>
    <row r="1455" spans="1:2" ht="13">
      <c r="A1455" s="140"/>
      <c r="B1455" s="140"/>
    </row>
    <row r="1456" spans="1:2" ht="13">
      <c r="A1456" s="140"/>
      <c r="B1456" s="140"/>
    </row>
    <row r="1457" spans="1:2" ht="13">
      <c r="A1457" s="140"/>
      <c r="B1457" s="140"/>
    </row>
    <row r="1458" spans="1:2" ht="13">
      <c r="A1458" s="140"/>
      <c r="B1458" s="140"/>
    </row>
    <row r="1459" spans="1:2" ht="13">
      <c r="A1459" s="140"/>
      <c r="B1459" s="140"/>
    </row>
    <row r="1460" spans="1:2" ht="13">
      <c r="A1460" s="140"/>
      <c r="B1460" s="140"/>
    </row>
    <row r="1461" spans="1:2" ht="13">
      <c r="A1461" s="140"/>
      <c r="B1461" s="140"/>
    </row>
    <row r="1462" spans="1:2" ht="13">
      <c r="A1462" s="140"/>
      <c r="B1462" s="140"/>
    </row>
    <row r="1463" spans="1:2" ht="13">
      <c r="A1463" s="140"/>
      <c r="B1463" s="140"/>
    </row>
    <row r="1464" spans="1:2" ht="13">
      <c r="A1464" s="140"/>
      <c r="B1464" s="140"/>
    </row>
    <row r="1465" spans="1:2" ht="13">
      <c r="A1465" s="140"/>
      <c r="B1465" s="140"/>
    </row>
    <row r="1466" spans="1:2" ht="13">
      <c r="A1466" s="140"/>
      <c r="B1466" s="140"/>
    </row>
    <row r="1467" spans="1:2" ht="13">
      <c r="A1467" s="140"/>
      <c r="B1467" s="140"/>
    </row>
    <row r="1468" spans="1:2" ht="13">
      <c r="A1468" s="140"/>
      <c r="B1468" s="140"/>
    </row>
    <row r="1469" spans="1:2" ht="13">
      <c r="A1469" s="140"/>
      <c r="B1469" s="140"/>
    </row>
    <row r="1470" spans="1:2" ht="13">
      <c r="A1470" s="140"/>
      <c r="B1470" s="140"/>
    </row>
    <row r="1471" spans="1:2" ht="13">
      <c r="A1471" s="140"/>
      <c r="B1471" s="140"/>
    </row>
    <row r="1472" spans="1:2" ht="13">
      <c r="A1472" s="140"/>
      <c r="B1472" s="140"/>
    </row>
    <row r="1473" spans="1:2" ht="13">
      <c r="A1473" s="140"/>
      <c r="B1473" s="140"/>
    </row>
    <row r="1474" spans="1:2" ht="13">
      <c r="A1474" s="140"/>
      <c r="B1474" s="140"/>
    </row>
    <row r="1475" spans="1:2" ht="13">
      <c r="A1475" s="140"/>
      <c r="B1475" s="140"/>
    </row>
    <row r="1476" spans="1:2" ht="13">
      <c r="A1476" s="140"/>
      <c r="B1476" s="140"/>
    </row>
    <row r="1477" spans="1:2" ht="13">
      <c r="A1477" s="140"/>
      <c r="B1477" s="140"/>
    </row>
    <row r="1478" spans="1:2" ht="13">
      <c r="A1478" s="140"/>
      <c r="B1478" s="140"/>
    </row>
    <row r="1479" spans="1:2" ht="13">
      <c r="A1479" s="140"/>
      <c r="B1479" s="140"/>
    </row>
    <row r="1480" spans="1:2" ht="13">
      <c r="A1480" s="140"/>
      <c r="B1480" s="140"/>
    </row>
    <row r="1481" spans="1:2" ht="13">
      <c r="A1481" s="140"/>
      <c r="B1481" s="140"/>
    </row>
    <row r="1482" spans="1:2" ht="13">
      <c r="A1482" s="140"/>
      <c r="B1482" s="140"/>
    </row>
    <row r="1483" spans="1:2" ht="13">
      <c r="A1483" s="140"/>
      <c r="B1483" s="140"/>
    </row>
    <row r="1484" spans="1:2" ht="13">
      <c r="A1484" s="140"/>
      <c r="B1484" s="140"/>
    </row>
    <row r="1485" spans="1:2" ht="13">
      <c r="A1485" s="140"/>
      <c r="B1485" s="140"/>
    </row>
    <row r="1486" spans="1:2" ht="13">
      <c r="A1486" s="140"/>
      <c r="B1486" s="140"/>
    </row>
    <row r="1487" spans="1:2" ht="13">
      <c r="A1487" s="140"/>
      <c r="B1487" s="140"/>
    </row>
    <row r="1488" spans="1:2" ht="13">
      <c r="A1488" s="140"/>
      <c r="B1488" s="140"/>
    </row>
    <row r="1489" spans="1:2" ht="13">
      <c r="A1489" s="140"/>
      <c r="B1489" s="140"/>
    </row>
    <row r="1490" spans="1:2" ht="13">
      <c r="A1490" s="140"/>
      <c r="B1490" s="140"/>
    </row>
    <row r="1491" spans="1:2" ht="13">
      <c r="A1491" s="140"/>
      <c r="B1491" s="140"/>
    </row>
    <row r="1492" spans="1:2" ht="13">
      <c r="A1492" s="140"/>
      <c r="B1492" s="140"/>
    </row>
    <row r="1493" spans="1:2" ht="13">
      <c r="A1493" s="140"/>
      <c r="B1493" s="140"/>
    </row>
    <row r="1494" spans="1:2" ht="13">
      <c r="A1494" s="140"/>
      <c r="B1494" s="140"/>
    </row>
    <row r="1495" spans="1:2" ht="13">
      <c r="A1495" s="140"/>
      <c r="B1495" s="140"/>
    </row>
    <row r="1496" spans="1:2" ht="13">
      <c r="A1496" s="140"/>
      <c r="B1496" s="140"/>
    </row>
    <row r="1497" spans="1:2" ht="13">
      <c r="A1497" s="140"/>
      <c r="B1497" s="140"/>
    </row>
    <row r="1498" spans="1:2" ht="13">
      <c r="A1498" s="140"/>
      <c r="B1498" s="140"/>
    </row>
    <row r="1499" spans="1:2" ht="13">
      <c r="A1499" s="140"/>
      <c r="B1499" s="140"/>
    </row>
    <row r="1500" spans="1:2" ht="13">
      <c r="A1500" s="140"/>
      <c r="B1500" s="140"/>
    </row>
    <row r="1501" spans="1:2" ht="13">
      <c r="A1501" s="140"/>
      <c r="B1501" s="140"/>
    </row>
    <row r="1502" spans="1:2" ht="13">
      <c r="A1502" s="140"/>
      <c r="B1502" s="140"/>
    </row>
    <row r="1503" spans="1:2" ht="13">
      <c r="A1503" s="140"/>
      <c r="B1503" s="140"/>
    </row>
    <row r="1504" spans="1:2" ht="13">
      <c r="A1504" s="140"/>
      <c r="B1504" s="140"/>
    </row>
    <row r="1505" spans="1:2" ht="13">
      <c r="A1505" s="140"/>
      <c r="B1505" s="140"/>
    </row>
    <row r="1506" spans="1:2" ht="13">
      <c r="A1506" s="140"/>
      <c r="B1506" s="140"/>
    </row>
    <row r="1507" spans="1:2" ht="13">
      <c r="A1507" s="140"/>
      <c r="B1507" s="140"/>
    </row>
    <row r="1508" spans="1:2" ht="13">
      <c r="A1508" s="140"/>
      <c r="B1508" s="140"/>
    </row>
    <row r="1509" spans="1:2" ht="13">
      <c r="A1509" s="140"/>
      <c r="B1509" s="140"/>
    </row>
    <row r="1510" spans="1:2" ht="13">
      <c r="A1510" s="140"/>
      <c r="B1510" s="140"/>
    </row>
    <row r="1511" spans="1:2" ht="13">
      <c r="A1511" s="140"/>
      <c r="B1511" s="140"/>
    </row>
    <row r="1512" spans="1:2" ht="13">
      <c r="A1512" s="140"/>
      <c r="B1512" s="140"/>
    </row>
    <row r="1513" spans="1:2" ht="13">
      <c r="A1513" s="140"/>
      <c r="B1513" s="140"/>
    </row>
    <row r="1514" spans="1:2" ht="13">
      <c r="A1514" s="140"/>
      <c r="B1514" s="140"/>
    </row>
    <row r="1515" spans="1:2" ht="13">
      <c r="A1515" s="140"/>
      <c r="B1515" s="140"/>
    </row>
    <row r="1516" spans="1:2" ht="13">
      <c r="A1516" s="140"/>
      <c r="B1516" s="140"/>
    </row>
    <row r="1517" spans="1:2" ht="13">
      <c r="A1517" s="140"/>
      <c r="B1517" s="140"/>
    </row>
    <row r="1518" spans="1:2" ht="13">
      <c r="A1518" s="140"/>
      <c r="B1518" s="140"/>
    </row>
    <row r="1519" spans="1:2" ht="13">
      <c r="A1519" s="140"/>
      <c r="B1519" s="140"/>
    </row>
    <row r="1520" spans="1:2" ht="13">
      <c r="A1520" s="140"/>
      <c r="B1520" s="140"/>
    </row>
    <row r="1521" spans="1:2" ht="13">
      <c r="A1521" s="140"/>
      <c r="B1521" s="140"/>
    </row>
    <row r="1522" spans="1:2" ht="13">
      <c r="A1522" s="140"/>
      <c r="B1522" s="140"/>
    </row>
    <row r="1523" spans="1:2" ht="13">
      <c r="A1523" s="140"/>
      <c r="B1523" s="140"/>
    </row>
    <row r="1524" spans="1:2" ht="13">
      <c r="A1524" s="140"/>
      <c r="B1524" s="140"/>
    </row>
    <row r="1525" spans="1:2" ht="13">
      <c r="A1525" s="140"/>
      <c r="B1525" s="140"/>
    </row>
    <row r="1526" spans="1:2" ht="13">
      <c r="A1526" s="140"/>
      <c r="B1526" s="140"/>
    </row>
    <row r="1527" spans="1:2" ht="13">
      <c r="A1527" s="140"/>
      <c r="B1527" s="140"/>
    </row>
    <row r="1528" spans="1:2" ht="13">
      <c r="A1528" s="140"/>
      <c r="B1528" s="140"/>
    </row>
    <row r="1529" spans="1:2" ht="13">
      <c r="A1529" s="140"/>
      <c r="B1529" s="140"/>
    </row>
    <row r="1530" spans="1:2" ht="13">
      <c r="A1530" s="140"/>
      <c r="B1530" s="140"/>
    </row>
    <row r="1531" spans="1:2" ht="13">
      <c r="A1531" s="140"/>
      <c r="B1531" s="140"/>
    </row>
    <row r="1532" spans="1:2" ht="13">
      <c r="A1532" s="140"/>
      <c r="B1532" s="140"/>
    </row>
    <row r="1533" spans="1:2" ht="13">
      <c r="A1533" s="140"/>
      <c r="B1533" s="140"/>
    </row>
    <row r="1534" spans="1:2" ht="13">
      <c r="A1534" s="140"/>
      <c r="B1534" s="140"/>
    </row>
    <row r="1535" spans="1:2" ht="13">
      <c r="A1535" s="140"/>
      <c r="B1535" s="140"/>
    </row>
    <row r="1536" spans="1:2" ht="13">
      <c r="A1536" s="140"/>
      <c r="B1536" s="140"/>
    </row>
    <row r="1537" spans="1:2" ht="13">
      <c r="A1537" s="140"/>
      <c r="B1537" s="140"/>
    </row>
    <row r="1538" spans="1:2" ht="13">
      <c r="A1538" s="140"/>
      <c r="B1538" s="140"/>
    </row>
    <row r="1539" spans="1:2" ht="13">
      <c r="A1539" s="140"/>
      <c r="B1539" s="140"/>
    </row>
    <row r="1540" spans="1:2" ht="13">
      <c r="A1540" s="140"/>
      <c r="B1540" s="140"/>
    </row>
    <row r="1541" spans="1:2" ht="13">
      <c r="A1541" s="140"/>
      <c r="B1541" s="140"/>
    </row>
    <row r="1542" spans="1:2" ht="13">
      <c r="A1542" s="140"/>
      <c r="B1542" s="140"/>
    </row>
    <row r="1543" spans="1:2" ht="13">
      <c r="A1543" s="140"/>
      <c r="B1543" s="140"/>
    </row>
    <row r="1544" spans="1:2" ht="13">
      <c r="A1544" s="140"/>
      <c r="B1544" s="140"/>
    </row>
    <row r="1545" spans="1:2" ht="13">
      <c r="A1545" s="140"/>
      <c r="B1545" s="140"/>
    </row>
    <row r="1546" spans="1:2" ht="13">
      <c r="A1546" s="140"/>
      <c r="B1546" s="140"/>
    </row>
    <row r="1547" spans="1:2" ht="13">
      <c r="A1547" s="140"/>
      <c r="B1547" s="140"/>
    </row>
    <row r="1548" spans="1:2" ht="13">
      <c r="A1548" s="140"/>
      <c r="B1548" s="140"/>
    </row>
    <row r="1549" spans="1:2" ht="13">
      <c r="A1549" s="140"/>
      <c r="B1549" s="140"/>
    </row>
    <row r="1550" spans="1:2" ht="13">
      <c r="A1550" s="140"/>
      <c r="B1550" s="140"/>
    </row>
    <row r="1551" spans="1:2" ht="13">
      <c r="A1551" s="140"/>
      <c r="B1551" s="140"/>
    </row>
    <row r="1552" spans="1:2" ht="13">
      <c r="A1552" s="140"/>
      <c r="B1552" s="140"/>
    </row>
    <row r="1553" spans="1:2" ht="13">
      <c r="A1553" s="140"/>
      <c r="B1553" s="140"/>
    </row>
    <row r="1554" spans="1:2" ht="13">
      <c r="A1554" s="140"/>
      <c r="B1554" s="140"/>
    </row>
    <row r="1555" spans="1:2" ht="13">
      <c r="A1555" s="140"/>
      <c r="B1555" s="140"/>
    </row>
    <row r="1556" spans="1:2" ht="13">
      <c r="A1556" s="140"/>
      <c r="B1556" s="140"/>
    </row>
    <row r="1557" spans="1:2" ht="13">
      <c r="A1557" s="140"/>
      <c r="B1557" s="140"/>
    </row>
    <row r="1558" spans="1:2" ht="13">
      <c r="A1558" s="140"/>
      <c r="B1558" s="140"/>
    </row>
    <row r="1559" spans="1:2" ht="13">
      <c r="A1559" s="140"/>
      <c r="B1559" s="140"/>
    </row>
    <row r="1560" spans="1:2" ht="13">
      <c r="A1560" s="140"/>
      <c r="B1560" s="140"/>
    </row>
    <row r="1561" spans="1:2" ht="13">
      <c r="A1561" s="140"/>
      <c r="B1561" s="140"/>
    </row>
    <row r="1562" spans="1:2" ht="13">
      <c r="A1562" s="140"/>
      <c r="B1562" s="140"/>
    </row>
    <row r="1563" spans="1:2" ht="13">
      <c r="A1563" s="140"/>
      <c r="B1563" s="140"/>
    </row>
    <row r="1564" spans="1:2" ht="13">
      <c r="A1564" s="140"/>
      <c r="B1564" s="140"/>
    </row>
    <row r="1565" spans="1:2" ht="13">
      <c r="A1565" s="140"/>
      <c r="B1565" s="140"/>
    </row>
    <row r="1566" spans="1:2" ht="13">
      <c r="A1566" s="140"/>
      <c r="B1566" s="140"/>
    </row>
    <row r="1567" spans="1:2" ht="13">
      <c r="A1567" s="140"/>
      <c r="B1567" s="140"/>
    </row>
    <row r="1568" spans="1:2" ht="13">
      <c r="A1568" s="140"/>
      <c r="B1568" s="140"/>
    </row>
    <row r="1569" spans="1:2" ht="13">
      <c r="A1569" s="140"/>
      <c r="B1569" s="140"/>
    </row>
    <row r="1570" spans="1:2" ht="13">
      <c r="A1570" s="140"/>
      <c r="B1570" s="140"/>
    </row>
    <row r="1571" spans="1:2" ht="13">
      <c r="A1571" s="140"/>
      <c r="B1571" s="140"/>
    </row>
    <row r="1572" spans="1:2" ht="13">
      <c r="A1572" s="140"/>
      <c r="B1572" s="140"/>
    </row>
    <row r="1573" spans="1:2" ht="13">
      <c r="A1573" s="140"/>
      <c r="B1573" s="140"/>
    </row>
    <row r="1574" spans="1:2" ht="13">
      <c r="A1574" s="140"/>
      <c r="B1574" s="140"/>
    </row>
    <row r="1575" spans="1:2" ht="13">
      <c r="A1575" s="140"/>
      <c r="B1575" s="140"/>
    </row>
    <row r="1576" spans="1:2" ht="13">
      <c r="A1576" s="140"/>
      <c r="B1576" s="140"/>
    </row>
    <row r="1577" spans="1:2" ht="13">
      <c r="A1577" s="140"/>
      <c r="B1577" s="140"/>
    </row>
    <row r="1578" spans="1:2" ht="13">
      <c r="A1578" s="140"/>
      <c r="B1578" s="140"/>
    </row>
    <row r="1579" spans="1:2" ht="13">
      <c r="A1579" s="140"/>
      <c r="B1579" s="140"/>
    </row>
    <row r="1580" spans="1:2" ht="13">
      <c r="A1580" s="140"/>
      <c r="B1580" s="140"/>
    </row>
    <row r="1581" spans="1:2" ht="13">
      <c r="A1581" s="140"/>
      <c r="B1581" s="140"/>
    </row>
    <row r="1582" spans="1:2" ht="13">
      <c r="A1582" s="140"/>
      <c r="B1582" s="140"/>
    </row>
    <row r="1583" spans="1:2" ht="13">
      <c r="A1583" s="140"/>
      <c r="B1583" s="140"/>
    </row>
    <row r="1584" spans="1:2" ht="13">
      <c r="A1584" s="140"/>
      <c r="B1584" s="140"/>
    </row>
    <row r="1585" spans="1:2" ht="13">
      <c r="A1585" s="140"/>
      <c r="B1585" s="140"/>
    </row>
    <row r="1586" spans="1:2" ht="13">
      <c r="A1586" s="140"/>
      <c r="B1586" s="140"/>
    </row>
    <row r="1587" spans="1:2" ht="13">
      <c r="A1587" s="140"/>
      <c r="B1587" s="140"/>
    </row>
    <row r="1588" spans="1:2" ht="13">
      <c r="A1588" s="140"/>
      <c r="B1588" s="140"/>
    </row>
    <row r="1589" spans="1:2" ht="13">
      <c r="A1589" s="140"/>
      <c r="B1589" s="140"/>
    </row>
    <row r="1590" spans="1:2" ht="13">
      <c r="A1590" s="140"/>
      <c r="B1590" s="140"/>
    </row>
    <row r="1591" spans="1:2" ht="13">
      <c r="A1591" s="140"/>
      <c r="B1591" s="140"/>
    </row>
    <row r="1592" spans="1:2" ht="13">
      <c r="A1592" s="140"/>
      <c r="B1592" s="140"/>
    </row>
    <row r="1593" spans="1:2" ht="13">
      <c r="A1593" s="140"/>
      <c r="B1593" s="140"/>
    </row>
    <row r="1594" spans="1:2" ht="13">
      <c r="A1594" s="140"/>
      <c r="B1594" s="140"/>
    </row>
    <row r="1595" spans="1:2" ht="13">
      <c r="A1595" s="140"/>
      <c r="B1595" s="140"/>
    </row>
    <row r="1596" spans="1:2" ht="13">
      <c r="A1596" s="140"/>
      <c r="B1596" s="140"/>
    </row>
    <row r="1597" spans="1:2" ht="13">
      <c r="A1597" s="140"/>
      <c r="B1597" s="140"/>
    </row>
    <row r="1598" spans="1:2" ht="13">
      <c r="A1598" s="140"/>
      <c r="B1598" s="140"/>
    </row>
    <row r="1599" spans="1:2" ht="13">
      <c r="A1599" s="140"/>
      <c r="B1599" s="140"/>
    </row>
    <row r="1600" spans="1:2" ht="13">
      <c r="A1600" s="140"/>
      <c r="B1600" s="140"/>
    </row>
    <row r="1601" spans="1:2" ht="13">
      <c r="A1601" s="140"/>
      <c r="B1601" s="140"/>
    </row>
    <row r="1602" spans="1:2" ht="13">
      <c r="A1602" s="140"/>
      <c r="B1602" s="140"/>
    </row>
    <row r="1603" spans="1:2" ht="13">
      <c r="A1603" s="140"/>
      <c r="B1603" s="140"/>
    </row>
    <row r="1604" spans="1:2" ht="13">
      <c r="A1604" s="140"/>
      <c r="B1604" s="140"/>
    </row>
    <row r="1605" spans="1:2" ht="13">
      <c r="A1605" s="140"/>
      <c r="B1605" s="140"/>
    </row>
    <row r="1606" spans="1:2" ht="13">
      <c r="A1606" s="140"/>
      <c r="B1606" s="140"/>
    </row>
    <row r="1607" spans="1:2" ht="13">
      <c r="A1607" s="140"/>
      <c r="B1607" s="140"/>
    </row>
    <row r="1608" spans="1:2" ht="13">
      <c r="A1608" s="140"/>
      <c r="B1608" s="140"/>
    </row>
    <row r="1609" spans="1:2" ht="13">
      <c r="A1609" s="140"/>
      <c r="B1609" s="140"/>
    </row>
    <row r="1610" spans="1:2" ht="13">
      <c r="A1610" s="140"/>
      <c r="B1610" s="140"/>
    </row>
    <row r="1611" spans="1:2" ht="13">
      <c r="A1611" s="140"/>
      <c r="B1611" s="140"/>
    </row>
    <row r="1612" spans="1:2" ht="13">
      <c r="A1612" s="140"/>
      <c r="B1612" s="140"/>
    </row>
    <row r="1613" spans="1:2" ht="13">
      <c r="A1613" s="140"/>
      <c r="B1613" s="140"/>
    </row>
    <row r="1614" spans="1:2" ht="13">
      <c r="A1614" s="140"/>
      <c r="B1614" s="140"/>
    </row>
    <row r="1615" spans="1:2" ht="13">
      <c r="A1615" s="140"/>
      <c r="B1615" s="140"/>
    </row>
    <row r="1616" spans="1:2" ht="13">
      <c r="A1616" s="140"/>
      <c r="B1616" s="140"/>
    </row>
    <row r="1617" spans="1:2" ht="13">
      <c r="A1617" s="140"/>
      <c r="B1617" s="140"/>
    </row>
    <row r="1618" spans="1:2" ht="13">
      <c r="A1618" s="140"/>
      <c r="B1618" s="140"/>
    </row>
    <row r="1619" spans="1:2" ht="13">
      <c r="A1619" s="140"/>
      <c r="B1619" s="140"/>
    </row>
    <row r="1620" spans="1:2" ht="13">
      <c r="A1620" s="140"/>
      <c r="B1620" s="140"/>
    </row>
    <row r="1621" spans="1:2" ht="13">
      <c r="A1621" s="140"/>
      <c r="B1621" s="140"/>
    </row>
    <row r="1622" spans="1:2" ht="13">
      <c r="A1622" s="140"/>
      <c r="B1622" s="140"/>
    </row>
    <row r="1623" spans="1:2" ht="13">
      <c r="A1623" s="140"/>
      <c r="B1623" s="140"/>
    </row>
    <row r="1624" spans="1:2" ht="13">
      <c r="A1624" s="140"/>
      <c r="B1624" s="140"/>
    </row>
    <row r="1625" spans="1:2" ht="13">
      <c r="A1625" s="140"/>
      <c r="B1625" s="140"/>
    </row>
    <row r="1626" spans="1:2" ht="13">
      <c r="A1626" s="140"/>
      <c r="B1626" s="140"/>
    </row>
    <row r="1627" spans="1:2" ht="13">
      <c r="A1627" s="140"/>
      <c r="B1627" s="140"/>
    </row>
    <row r="1628" spans="1:2" ht="13">
      <c r="A1628" s="140"/>
      <c r="B1628" s="140"/>
    </row>
    <row r="1629" spans="1:2" ht="13">
      <c r="A1629" s="140"/>
      <c r="B1629" s="140"/>
    </row>
    <row r="1630" spans="1:2" ht="13">
      <c r="A1630" s="140"/>
      <c r="B1630" s="140"/>
    </row>
    <row r="1631" spans="1:2" ht="13">
      <c r="A1631" s="140"/>
      <c r="B1631" s="140"/>
    </row>
    <row r="1632" spans="1:2" ht="13">
      <c r="A1632" s="140"/>
      <c r="B1632" s="140"/>
    </row>
    <row r="1633" spans="1:2" ht="13">
      <c r="A1633" s="140"/>
      <c r="B1633" s="140"/>
    </row>
    <row r="1634" spans="1:2" ht="13">
      <c r="A1634" s="140"/>
      <c r="B1634" s="140"/>
    </row>
    <row r="1635" spans="1:2" ht="13">
      <c r="A1635" s="140"/>
      <c r="B1635" s="140"/>
    </row>
    <row r="1636" spans="1:2" ht="13">
      <c r="A1636" s="140"/>
      <c r="B1636" s="140"/>
    </row>
    <row r="1637" spans="1:2" ht="13">
      <c r="A1637" s="140"/>
      <c r="B1637" s="140"/>
    </row>
    <row r="1638" spans="1:2" ht="13">
      <c r="A1638" s="140"/>
      <c r="B1638" s="140"/>
    </row>
    <row r="1639" spans="1:2" ht="13">
      <c r="A1639" s="140"/>
      <c r="B1639" s="140"/>
    </row>
    <row r="1640" spans="1:2" ht="13">
      <c r="A1640" s="140"/>
      <c r="B1640" s="140"/>
    </row>
    <row r="1641" spans="1:2" ht="13">
      <c r="A1641" s="140"/>
      <c r="B1641" s="140"/>
    </row>
    <row r="1642" spans="1:2" ht="13">
      <c r="A1642" s="140"/>
      <c r="B1642" s="140"/>
    </row>
    <row r="1643" spans="1:2" ht="13">
      <c r="A1643" s="140"/>
      <c r="B1643" s="140"/>
    </row>
    <row r="1644" spans="1:2" ht="13">
      <c r="A1644" s="140"/>
      <c r="B1644" s="140"/>
    </row>
    <row r="1645" spans="1:2" ht="13">
      <c r="A1645" s="140"/>
      <c r="B1645" s="140"/>
    </row>
    <row r="1646" spans="1:2" ht="13">
      <c r="A1646" s="140"/>
      <c r="B1646" s="140"/>
    </row>
    <row r="1647" spans="1:2" ht="13">
      <c r="A1647" s="140"/>
      <c r="B1647" s="140"/>
    </row>
    <row r="1648" spans="1:2" ht="13">
      <c r="A1648" s="140"/>
      <c r="B1648" s="140"/>
    </row>
    <row r="1649" spans="1:2" ht="13">
      <c r="A1649" s="140"/>
      <c r="B1649" s="140"/>
    </row>
    <row r="1650" spans="1:2" ht="13">
      <c r="A1650" s="140"/>
      <c r="B1650" s="140"/>
    </row>
    <row r="1651" spans="1:2" ht="13">
      <c r="A1651" s="140"/>
      <c r="B1651" s="140"/>
    </row>
    <row r="1652" spans="1:2" ht="13">
      <c r="A1652" s="140"/>
      <c r="B1652" s="140"/>
    </row>
    <row r="1653" spans="1:2" ht="13">
      <c r="A1653" s="140"/>
      <c r="B1653" s="140"/>
    </row>
    <row r="1654" spans="1:2" ht="13">
      <c r="A1654" s="140"/>
      <c r="B1654" s="140"/>
    </row>
    <row r="1655" spans="1:2" ht="13">
      <c r="A1655" s="140"/>
      <c r="B1655" s="140"/>
    </row>
    <row r="1656" spans="1:2" ht="13">
      <c r="A1656" s="140"/>
      <c r="B1656" s="140"/>
    </row>
    <row r="1657" spans="1:2" ht="13">
      <c r="A1657" s="140"/>
      <c r="B1657" s="140"/>
    </row>
    <row r="1658" spans="1:2" ht="13">
      <c r="A1658" s="140"/>
      <c r="B1658" s="140"/>
    </row>
    <row r="1659" spans="1:2" ht="13">
      <c r="A1659" s="140"/>
      <c r="B1659" s="140"/>
    </row>
    <row r="1660" spans="1:2" ht="13">
      <c r="A1660" s="140"/>
      <c r="B1660" s="140"/>
    </row>
    <row r="1661" spans="1:2" ht="13">
      <c r="A1661" s="140"/>
      <c r="B1661" s="140"/>
    </row>
    <row r="1662" spans="1:2" ht="13">
      <c r="A1662" s="140"/>
      <c r="B1662" s="140"/>
    </row>
    <row r="1663" spans="1:2" ht="13">
      <c r="A1663" s="140"/>
      <c r="B1663" s="140"/>
    </row>
    <row r="1664" spans="1:2" ht="13">
      <c r="A1664" s="140"/>
      <c r="B1664" s="140"/>
    </row>
    <row r="1665" spans="1:2" ht="13">
      <c r="A1665" s="140"/>
      <c r="B1665" s="140"/>
    </row>
    <row r="1666" spans="1:2" ht="13">
      <c r="A1666" s="140"/>
      <c r="B1666" s="140"/>
    </row>
    <row r="1667" spans="1:2" ht="13">
      <c r="A1667" s="140"/>
      <c r="B1667" s="140"/>
    </row>
    <row r="1668" spans="1:2" ht="13">
      <c r="A1668" s="140"/>
      <c r="B1668" s="140"/>
    </row>
    <row r="1669" spans="1:2" ht="13">
      <c r="A1669" s="140"/>
      <c r="B1669" s="140"/>
    </row>
    <row r="1670" spans="1:2" ht="13">
      <c r="A1670" s="140"/>
      <c r="B1670" s="140"/>
    </row>
    <row r="1671" spans="1:2" ht="13">
      <c r="A1671" s="140"/>
      <c r="B1671" s="140"/>
    </row>
    <row r="1672" spans="1:2" ht="13">
      <c r="A1672" s="140"/>
      <c r="B1672" s="140"/>
    </row>
    <row r="1673" spans="1:2" ht="13">
      <c r="A1673" s="140"/>
      <c r="B1673" s="140"/>
    </row>
    <row r="1674" spans="1:2" ht="13">
      <c r="A1674" s="140"/>
      <c r="B1674" s="140"/>
    </row>
    <row r="1675" spans="1:2" ht="13">
      <c r="A1675" s="140"/>
      <c r="B1675" s="140"/>
    </row>
    <row r="1676" spans="1:2" ht="13">
      <c r="A1676" s="140"/>
      <c r="B1676" s="140"/>
    </row>
    <row r="1677" spans="1:2" ht="13">
      <c r="A1677" s="140"/>
      <c r="B1677" s="140"/>
    </row>
    <row r="1678" spans="1:2" ht="13">
      <c r="A1678" s="140"/>
      <c r="B1678" s="140"/>
    </row>
    <row r="1679" spans="1:2" ht="13">
      <c r="A1679" s="140"/>
      <c r="B1679" s="140"/>
    </row>
    <row r="1680" spans="1:2" ht="13">
      <c r="A1680" s="140"/>
      <c r="B1680" s="140"/>
    </row>
    <row r="1681" spans="1:2" ht="13">
      <c r="A1681" s="140"/>
      <c r="B1681" s="140"/>
    </row>
    <row r="1682" spans="1:2" ht="13">
      <c r="A1682" s="140"/>
      <c r="B1682" s="140"/>
    </row>
    <row r="1683" spans="1:2" ht="13">
      <c r="A1683" s="140"/>
      <c r="B1683" s="140"/>
    </row>
    <row r="1684" spans="1:2" ht="13">
      <c r="A1684" s="140"/>
      <c r="B1684" s="140"/>
    </row>
    <row r="1685" spans="1:2" ht="13">
      <c r="A1685" s="140"/>
      <c r="B1685" s="140"/>
    </row>
    <row r="1686" spans="1:2" ht="13">
      <c r="A1686" s="140"/>
      <c r="B1686" s="140"/>
    </row>
    <row r="1687" spans="1:2" ht="13">
      <c r="A1687" s="140"/>
      <c r="B1687" s="140"/>
    </row>
    <row r="1688" spans="1:2" ht="13">
      <c r="A1688" s="140"/>
      <c r="B1688" s="140"/>
    </row>
    <row r="1689" spans="1:2" ht="13">
      <c r="A1689" s="140"/>
      <c r="B1689" s="140"/>
    </row>
    <row r="1690" spans="1:2" ht="13">
      <c r="A1690" s="140"/>
      <c r="B1690" s="140"/>
    </row>
    <row r="1691" spans="1:2" ht="13">
      <c r="A1691" s="140"/>
      <c r="B1691" s="140"/>
    </row>
    <row r="1692" spans="1:2" ht="13">
      <c r="A1692" s="140"/>
      <c r="B1692" s="140"/>
    </row>
    <row r="1693" spans="1:2" ht="13">
      <c r="A1693" s="140"/>
      <c r="B1693" s="140"/>
    </row>
    <row r="1694" spans="1:2" ht="13">
      <c r="A1694" s="140"/>
      <c r="B1694" s="140"/>
    </row>
    <row r="1695" spans="1:2" ht="13">
      <c r="A1695" s="140"/>
      <c r="B1695" s="140"/>
    </row>
    <row r="1696" spans="1:2" ht="13">
      <c r="A1696" s="140"/>
      <c r="B1696" s="140"/>
    </row>
    <row r="1697" spans="1:2" ht="13">
      <c r="A1697" s="140"/>
      <c r="B1697" s="140"/>
    </row>
    <row r="1698" spans="1:2" ht="13">
      <c r="A1698" s="140"/>
      <c r="B1698" s="140"/>
    </row>
    <row r="1699" spans="1:2" ht="13">
      <c r="A1699" s="140"/>
      <c r="B1699" s="140"/>
    </row>
    <row r="1700" spans="1:2" ht="13">
      <c r="A1700" s="140"/>
      <c r="B1700" s="140"/>
    </row>
    <row r="1701" spans="1:2" ht="13">
      <c r="A1701" s="140"/>
      <c r="B1701" s="140"/>
    </row>
    <row r="1702" spans="1:2" ht="13">
      <c r="A1702" s="140"/>
      <c r="B1702" s="140"/>
    </row>
    <row r="1703" spans="1:2" ht="13">
      <c r="A1703" s="140"/>
      <c r="B1703" s="140"/>
    </row>
    <row r="1704" spans="1:2" ht="13">
      <c r="A1704" s="140"/>
      <c r="B1704" s="140"/>
    </row>
    <row r="1705" spans="1:2" ht="13">
      <c r="A1705" s="140"/>
      <c r="B1705" s="140"/>
    </row>
    <row r="1706" spans="1:2" ht="13">
      <c r="A1706" s="140"/>
      <c r="B1706" s="140"/>
    </row>
    <row r="1707" spans="1:2" ht="13">
      <c r="A1707" s="140"/>
      <c r="B1707" s="140"/>
    </row>
    <row r="1708" spans="1:2" ht="13">
      <c r="A1708" s="140"/>
      <c r="B1708" s="140"/>
    </row>
    <row r="1709" spans="1:2" ht="13">
      <c r="A1709" s="140"/>
      <c r="B1709" s="140"/>
    </row>
    <row r="1710" spans="1:2" ht="13">
      <c r="A1710" s="140"/>
      <c r="B1710" s="140"/>
    </row>
    <row r="1711" spans="1:2" ht="13">
      <c r="A1711" s="140"/>
      <c r="B1711" s="140"/>
    </row>
    <row r="1712" spans="1:2" ht="13">
      <c r="A1712" s="140"/>
      <c r="B1712" s="140"/>
    </row>
    <row r="1713" spans="1:2" ht="13">
      <c r="A1713" s="140"/>
      <c r="B1713" s="140"/>
    </row>
    <row r="1714" spans="1:2" ht="13">
      <c r="A1714" s="140"/>
      <c r="B1714" s="140"/>
    </row>
    <row r="1715" spans="1:2" ht="13">
      <c r="A1715" s="140"/>
      <c r="B1715" s="140"/>
    </row>
    <row r="1716" spans="1:2" ht="13">
      <c r="A1716" s="140"/>
      <c r="B1716" s="140"/>
    </row>
    <row r="1717" spans="1:2" ht="13">
      <c r="A1717" s="140"/>
      <c r="B1717" s="140"/>
    </row>
    <row r="1718" spans="1:2" ht="13">
      <c r="A1718" s="140"/>
      <c r="B1718" s="140"/>
    </row>
    <row r="1719" spans="1:2" ht="13">
      <c r="A1719" s="140"/>
      <c r="B1719" s="140"/>
    </row>
    <row r="1720" spans="1:2" ht="13">
      <c r="A1720" s="140"/>
      <c r="B1720" s="140"/>
    </row>
    <row r="1721" spans="1:2" ht="13">
      <c r="A1721" s="140"/>
      <c r="B1721" s="140"/>
    </row>
    <row r="1722" spans="1:2" ht="13">
      <c r="A1722" s="140"/>
      <c r="B1722" s="140"/>
    </row>
    <row r="1723" spans="1:2" ht="13">
      <c r="A1723" s="140"/>
      <c r="B1723" s="140"/>
    </row>
    <row r="1724" spans="1:2" ht="13">
      <c r="A1724" s="140"/>
      <c r="B1724" s="140"/>
    </row>
    <row r="1725" spans="1:2" ht="13">
      <c r="A1725" s="140"/>
      <c r="B1725" s="140"/>
    </row>
    <row r="1726" spans="1:2" ht="13">
      <c r="A1726" s="140"/>
      <c r="B1726" s="140"/>
    </row>
    <row r="1727" spans="1:2" ht="13">
      <c r="A1727" s="140"/>
      <c r="B1727" s="140"/>
    </row>
    <row r="1728" spans="1:2" ht="13">
      <c r="A1728" s="140"/>
      <c r="B1728" s="140"/>
    </row>
    <row r="1729" spans="1:2" ht="13">
      <c r="A1729" s="140"/>
      <c r="B1729" s="140"/>
    </row>
    <row r="1730" spans="1:2" ht="13">
      <c r="A1730" s="140"/>
      <c r="B1730" s="140"/>
    </row>
    <row r="1731" spans="1:2" ht="13">
      <c r="A1731" s="140"/>
      <c r="B1731" s="140"/>
    </row>
    <row r="1732" spans="1:2" ht="13">
      <c r="A1732" s="140"/>
      <c r="B1732" s="140"/>
    </row>
    <row r="1733" spans="1:2" ht="13">
      <c r="A1733" s="140"/>
      <c r="B1733" s="140"/>
    </row>
    <row r="1734" spans="1:2" ht="13">
      <c r="A1734" s="140"/>
      <c r="B1734" s="140"/>
    </row>
    <row r="1735" spans="1:2" ht="13">
      <c r="A1735" s="140"/>
      <c r="B1735" s="140"/>
    </row>
    <row r="1736" spans="1:2" ht="13">
      <c r="A1736" s="140"/>
      <c r="B1736" s="140"/>
    </row>
    <row r="1737" spans="1:2" ht="13">
      <c r="A1737" s="140"/>
      <c r="B1737" s="140"/>
    </row>
    <row r="1738" spans="1:2" ht="13">
      <c r="A1738" s="140"/>
      <c r="B1738" s="140"/>
    </row>
    <row r="1739" spans="1:2" ht="13">
      <c r="A1739" s="140"/>
      <c r="B1739" s="140"/>
    </row>
    <row r="1740" spans="1:2" ht="13">
      <c r="A1740" s="140"/>
      <c r="B1740" s="140"/>
    </row>
    <row r="1741" spans="1:2" ht="13">
      <c r="A1741" s="140"/>
      <c r="B1741" s="140"/>
    </row>
    <row r="1742" spans="1:2" ht="13">
      <c r="A1742" s="140"/>
      <c r="B1742" s="140"/>
    </row>
    <row r="1743" spans="1:2" ht="13">
      <c r="A1743" s="140"/>
      <c r="B1743" s="140"/>
    </row>
    <row r="1744" spans="1:2" ht="13">
      <c r="A1744" s="140"/>
      <c r="B1744" s="140"/>
    </row>
    <row r="1745" spans="1:2" ht="13">
      <c r="A1745" s="140"/>
      <c r="B1745" s="140"/>
    </row>
    <row r="1746" spans="1:2" ht="13">
      <c r="A1746" s="140"/>
      <c r="B1746" s="140"/>
    </row>
    <row r="1747" spans="1:2" ht="13">
      <c r="A1747" s="140"/>
      <c r="B1747" s="140"/>
    </row>
    <row r="1748" spans="1:2" ht="13">
      <c r="A1748" s="140"/>
      <c r="B1748" s="140"/>
    </row>
    <row r="1749" spans="1:2" ht="13">
      <c r="A1749" s="140"/>
      <c r="B1749" s="140"/>
    </row>
    <row r="1750" spans="1:2" ht="13">
      <c r="A1750" s="140"/>
      <c r="B1750" s="140"/>
    </row>
    <row r="1751" spans="1:2" ht="13">
      <c r="A1751" s="140"/>
      <c r="B1751" s="140"/>
    </row>
    <row r="1752" spans="1:2" ht="13">
      <c r="A1752" s="140"/>
      <c r="B1752" s="140"/>
    </row>
    <row r="1753" spans="1:2" ht="13">
      <c r="A1753" s="140"/>
      <c r="B1753" s="140"/>
    </row>
    <row r="1754" spans="1:2" ht="13">
      <c r="A1754" s="140"/>
      <c r="B1754" s="140"/>
    </row>
    <row r="1755" spans="1:2" ht="13">
      <c r="A1755" s="140"/>
      <c r="B1755" s="140"/>
    </row>
    <row r="1756" spans="1:2" ht="13">
      <c r="A1756" s="140"/>
      <c r="B1756" s="140"/>
    </row>
    <row r="1757" spans="1:2" ht="13">
      <c r="A1757" s="140"/>
      <c r="B1757" s="140"/>
    </row>
    <row r="1758" spans="1:2" ht="13">
      <c r="A1758" s="140"/>
      <c r="B1758" s="140"/>
    </row>
    <row r="1759" spans="1:2" ht="13">
      <c r="A1759" s="140"/>
      <c r="B1759" s="140"/>
    </row>
    <row r="1760" spans="1:2" ht="13">
      <c r="A1760" s="140"/>
      <c r="B1760" s="140"/>
    </row>
    <row r="1761" spans="1:2" ht="13">
      <c r="A1761" s="140"/>
      <c r="B1761" s="140"/>
    </row>
    <row r="1762" spans="1:2" ht="13">
      <c r="A1762" s="140"/>
      <c r="B1762" s="140"/>
    </row>
    <row r="1763" spans="1:2" ht="13">
      <c r="A1763" s="140"/>
      <c r="B1763" s="140"/>
    </row>
    <row r="1764" spans="1:2" ht="13">
      <c r="A1764" s="140"/>
      <c r="B1764" s="140"/>
    </row>
    <row r="1765" spans="1:2" ht="13">
      <c r="A1765" s="140"/>
      <c r="B1765" s="140"/>
    </row>
    <row r="1766" spans="1:2" ht="13">
      <c r="A1766" s="140"/>
      <c r="B1766" s="140"/>
    </row>
    <row r="1767" spans="1:2" ht="13">
      <c r="A1767" s="140"/>
      <c r="B1767" s="140"/>
    </row>
    <row r="1768" spans="1:2" ht="13">
      <c r="A1768" s="140"/>
      <c r="B1768" s="140"/>
    </row>
    <row r="1769" spans="1:2" ht="13">
      <c r="A1769" s="140"/>
      <c r="B1769" s="140"/>
    </row>
    <row r="1770" spans="1:2" ht="13">
      <c r="A1770" s="140"/>
      <c r="B1770" s="140"/>
    </row>
    <row r="1771" spans="1:2" ht="13">
      <c r="A1771" s="140"/>
      <c r="B1771" s="140"/>
    </row>
    <row r="1772" spans="1:2" ht="13">
      <c r="A1772" s="140"/>
      <c r="B1772" s="140"/>
    </row>
    <row r="1773" spans="1:2" ht="13">
      <c r="A1773" s="140"/>
      <c r="B1773" s="140"/>
    </row>
    <row r="1774" spans="1:2" ht="13">
      <c r="A1774" s="140"/>
      <c r="B1774" s="140"/>
    </row>
    <row r="1775" spans="1:2" ht="13">
      <c r="A1775" s="140"/>
      <c r="B1775" s="140"/>
    </row>
    <row r="1776" spans="1:2" ht="13">
      <c r="A1776" s="140"/>
      <c r="B1776" s="140"/>
    </row>
    <row r="1777" spans="1:2" ht="13">
      <c r="A1777" s="140"/>
      <c r="B1777" s="140"/>
    </row>
    <row r="1778" spans="1:2" ht="13">
      <c r="A1778" s="140"/>
      <c r="B1778" s="140"/>
    </row>
    <row r="1779" spans="1:2" ht="13">
      <c r="A1779" s="140"/>
      <c r="B1779" s="140"/>
    </row>
    <row r="1780" spans="1:2" ht="13">
      <c r="A1780" s="140"/>
      <c r="B1780" s="140"/>
    </row>
    <row r="1781" spans="1:2" ht="13">
      <c r="A1781" s="140"/>
      <c r="B1781" s="140"/>
    </row>
    <row r="1782" spans="1:2" ht="13">
      <c r="A1782" s="140"/>
      <c r="B1782" s="140"/>
    </row>
    <row r="1783" spans="1:2" ht="13">
      <c r="A1783" s="140"/>
      <c r="B1783" s="140"/>
    </row>
    <row r="1784" spans="1:2" ht="13">
      <c r="A1784" s="140"/>
      <c r="B1784" s="140"/>
    </row>
    <row r="1785" spans="1:2" ht="13">
      <c r="A1785" s="140"/>
      <c r="B1785" s="140"/>
    </row>
    <row r="1786" spans="1:2" ht="13">
      <c r="A1786" s="140"/>
      <c r="B1786" s="140"/>
    </row>
    <row r="1787" spans="1:2" ht="13">
      <c r="A1787" s="140"/>
      <c r="B1787" s="140"/>
    </row>
    <row r="1788" spans="1:2" ht="13">
      <c r="A1788" s="140"/>
      <c r="B1788" s="140"/>
    </row>
    <row r="1789" spans="1:2" ht="13">
      <c r="A1789" s="140"/>
      <c r="B1789" s="140"/>
    </row>
    <row r="1790" spans="1:2" ht="13">
      <c r="A1790" s="140"/>
      <c r="B1790" s="140"/>
    </row>
    <row r="1791" spans="1:2" ht="13">
      <c r="A1791" s="140"/>
      <c r="B1791" s="140"/>
    </row>
    <row r="1792" spans="1:2" ht="13">
      <c r="A1792" s="140"/>
      <c r="B1792" s="140"/>
    </row>
    <row r="1793" spans="1:2" ht="13">
      <c r="A1793" s="140"/>
      <c r="B1793" s="140"/>
    </row>
    <row r="1794" spans="1:2" ht="13">
      <c r="A1794" s="140"/>
      <c r="B1794" s="140"/>
    </row>
    <row r="1795" spans="1:2" ht="13">
      <c r="A1795" s="140"/>
      <c r="B1795" s="140"/>
    </row>
    <row r="1796" spans="1:2" ht="13">
      <c r="A1796" s="140"/>
      <c r="B1796" s="140"/>
    </row>
    <row r="1797" spans="1:2" ht="13">
      <c r="A1797" s="140"/>
      <c r="B1797" s="140"/>
    </row>
    <row r="1798" spans="1:2" ht="13">
      <c r="A1798" s="140"/>
      <c r="B1798" s="140"/>
    </row>
    <row r="1799" spans="1:2" ht="13">
      <c r="A1799" s="140"/>
      <c r="B1799" s="140"/>
    </row>
    <row r="1800" spans="1:2" ht="13">
      <c r="A1800" s="140"/>
      <c r="B1800" s="140"/>
    </row>
    <row r="1801" spans="1:2" ht="13">
      <c r="A1801" s="140"/>
      <c r="B1801" s="140"/>
    </row>
    <row r="1802" spans="1:2" ht="13">
      <c r="A1802" s="140"/>
      <c r="B1802" s="140"/>
    </row>
    <row r="1803" spans="1:2" ht="13">
      <c r="A1803" s="140"/>
      <c r="B1803" s="140"/>
    </row>
    <row r="1804" spans="1:2" ht="13">
      <c r="A1804" s="140"/>
      <c r="B1804" s="140"/>
    </row>
    <row r="1805" spans="1:2" ht="13">
      <c r="A1805" s="140"/>
      <c r="B1805" s="140"/>
    </row>
    <row r="1806" spans="1:2" ht="13">
      <c r="A1806" s="140"/>
      <c r="B1806" s="140"/>
    </row>
    <row r="1807" spans="1:2" ht="13">
      <c r="A1807" s="140"/>
      <c r="B1807" s="140"/>
    </row>
    <row r="1808" spans="1:2" ht="13">
      <c r="A1808" s="140"/>
      <c r="B1808" s="140"/>
    </row>
    <row r="1809" spans="1:2" ht="13">
      <c r="A1809" s="140"/>
      <c r="B1809" s="140"/>
    </row>
    <row r="1810" spans="1:2" ht="13">
      <c r="A1810" s="140"/>
      <c r="B1810" s="140"/>
    </row>
    <row r="1811" spans="1:2" ht="13">
      <c r="A1811" s="140"/>
      <c r="B1811" s="140"/>
    </row>
    <row r="1812" spans="1:2" ht="13">
      <c r="A1812" s="140"/>
      <c r="B1812" s="140"/>
    </row>
    <row r="1813" spans="1:2" ht="13">
      <c r="A1813" s="140"/>
      <c r="B1813" s="140"/>
    </row>
    <row r="1814" spans="1:2" ht="13">
      <c r="A1814" s="140"/>
      <c r="B1814" s="140"/>
    </row>
    <row r="1815" spans="1:2" ht="13">
      <c r="A1815" s="140"/>
      <c r="B1815" s="140"/>
    </row>
    <row r="1816" spans="1:2" ht="13">
      <c r="A1816" s="140"/>
      <c r="B1816" s="140"/>
    </row>
    <row r="1817" spans="1:2" ht="13">
      <c r="A1817" s="140"/>
      <c r="B1817" s="140"/>
    </row>
    <row r="1818" spans="1:2" ht="13">
      <c r="A1818" s="140"/>
      <c r="B1818" s="140"/>
    </row>
    <row r="1819" spans="1:2" ht="13">
      <c r="A1819" s="140"/>
      <c r="B1819" s="140"/>
    </row>
    <row r="1820" spans="1:2" ht="13">
      <c r="A1820" s="140"/>
      <c r="B1820" s="140"/>
    </row>
    <row r="1821" spans="1:2" ht="13">
      <c r="A1821" s="140"/>
      <c r="B1821" s="140"/>
    </row>
    <row r="1822" spans="1:2" ht="13">
      <c r="A1822" s="140"/>
      <c r="B1822" s="140"/>
    </row>
    <row r="1823" spans="1:2" ht="13">
      <c r="A1823" s="140"/>
      <c r="B1823" s="140"/>
    </row>
    <row r="1824" spans="1:2" ht="13">
      <c r="A1824" s="140"/>
      <c r="B1824" s="140"/>
    </row>
    <row r="1825" spans="1:2" ht="13">
      <c r="A1825" s="140"/>
      <c r="B1825" s="140"/>
    </row>
    <row r="1826" spans="1:2" ht="13">
      <c r="A1826" s="140"/>
      <c r="B1826" s="140"/>
    </row>
    <row r="1827" spans="1:2" ht="13">
      <c r="A1827" s="140"/>
      <c r="B1827" s="140"/>
    </row>
    <row r="1828" spans="1:2" ht="13">
      <c r="A1828" s="140"/>
      <c r="B1828" s="140"/>
    </row>
    <row r="1829" spans="1:2" ht="13">
      <c r="A1829" s="140"/>
      <c r="B1829" s="140"/>
    </row>
    <row r="1830" spans="1:2" ht="13">
      <c r="A1830" s="140"/>
      <c r="B1830" s="140"/>
    </row>
    <row r="1831" spans="1:2" ht="13">
      <c r="A1831" s="140"/>
      <c r="B1831" s="140"/>
    </row>
    <row r="1832" spans="1:2" ht="13">
      <c r="A1832" s="140"/>
      <c r="B1832" s="140"/>
    </row>
    <row r="1833" spans="1:2" ht="13">
      <c r="A1833" s="140"/>
      <c r="B1833" s="140"/>
    </row>
    <row r="1834" spans="1:2" ht="13">
      <c r="A1834" s="140"/>
      <c r="B1834" s="140"/>
    </row>
  </sheetData>
  <sheetProtection sheet="1" formatColumns="0" formatRows="0"/>
  <mergeCells count="46">
    <mergeCell ref="D765:R765"/>
    <mergeCell ref="T10:Z10"/>
    <mergeCell ref="L11:R11"/>
    <mergeCell ref="T11:Z11"/>
    <mergeCell ref="D13:R13"/>
    <mergeCell ref="D664:R664"/>
    <mergeCell ref="L10:R10"/>
    <mergeCell ref="V6:W6"/>
    <mergeCell ref="V7:W7"/>
    <mergeCell ref="V8:W8"/>
    <mergeCell ref="X6:Y6"/>
    <mergeCell ref="X7:Y7"/>
    <mergeCell ref="X8:Y8"/>
    <mergeCell ref="E4:R4"/>
    <mergeCell ref="E11:J11"/>
    <mergeCell ref="E3:R3"/>
    <mergeCell ref="E5:R5"/>
    <mergeCell ref="E6:R6"/>
    <mergeCell ref="E7:R7"/>
    <mergeCell ref="V4:W4"/>
    <mergeCell ref="V5:W5"/>
    <mergeCell ref="V3:Z3"/>
    <mergeCell ref="T3:U3"/>
    <mergeCell ref="X4:Y4"/>
    <mergeCell ref="X5:Y5"/>
    <mergeCell ref="D874:R874"/>
    <mergeCell ref="T874:Z874"/>
    <mergeCell ref="D876:E876"/>
    <mergeCell ref="G876:H876"/>
    <mergeCell ref="L876:M876"/>
    <mergeCell ref="N876:O876"/>
    <mergeCell ref="P876:Q876"/>
    <mergeCell ref="D875:Q875"/>
    <mergeCell ref="D877:E877"/>
    <mergeCell ref="F877:H877"/>
    <mergeCell ref="L877:M877"/>
    <mergeCell ref="N877:O877"/>
    <mergeCell ref="P877:Q877"/>
    <mergeCell ref="D878:E878"/>
    <mergeCell ref="L878:M878"/>
    <mergeCell ref="N878:O878"/>
    <mergeCell ref="P878:Q878"/>
    <mergeCell ref="D879:E879"/>
    <mergeCell ref="L879:M879"/>
    <mergeCell ref="N879:O879"/>
    <mergeCell ref="P879:Q879"/>
  </mergeCells>
  <conditionalFormatting sqref="N62 V62">
    <cfRule type="expression" priority="3040" dxfId="2119">
      <formula>$V58="Drop Plan"</formula>
    </cfRule>
    <cfRule type="expression" priority="3052" dxfId="2118">
      <formula>$V58="Enter Percentages"</formula>
    </cfRule>
  </conditionalFormatting>
  <conditionalFormatting sqref="O62 W62">
    <cfRule type="expression" priority="3039" dxfId="2119">
      <formula>$V58="Drop Plan"</formula>
    </cfRule>
    <cfRule type="expression" priority="3047" dxfId="2118">
      <formula>$V58="Enter Dollar Amount"</formula>
    </cfRule>
  </conditionalFormatting>
  <conditionalFormatting sqref="N112 V112">
    <cfRule type="expression" priority="2992" dxfId="2119">
      <formula>$N108="Drop Plan"</formula>
    </cfRule>
    <cfRule type="expression" priority="3004" dxfId="2118">
      <formula>$N108="Enter Percentages"</formula>
    </cfRule>
  </conditionalFormatting>
  <conditionalFormatting sqref="O112 W112">
    <cfRule type="expression" priority="2991" dxfId="2119">
      <formula>$N108="Drop Plan"</formula>
    </cfRule>
    <cfRule type="expression" priority="2999" dxfId="2118">
      <formula>$N108="Enter Dollar Amount"</formula>
    </cfRule>
  </conditionalFormatting>
  <conditionalFormatting sqref="N162 V162">
    <cfRule type="expression" priority="2944" dxfId="2119">
      <formula>$N158="Drop Plan"</formula>
    </cfRule>
    <cfRule type="expression" priority="2956" dxfId="2118">
      <formula>$N158="Enter Percentages"</formula>
    </cfRule>
  </conditionalFormatting>
  <conditionalFormatting sqref="O162 W162">
    <cfRule type="expression" priority="2943" dxfId="2119">
      <formula>$N158="Drop Plan"</formula>
    </cfRule>
    <cfRule type="expression" priority="2951" dxfId="2118">
      <formula>$N158="Enter Dollar Amount"</formula>
    </cfRule>
  </conditionalFormatting>
  <conditionalFormatting sqref="N212 V212">
    <cfRule type="expression" priority="2896" dxfId="2119">
      <formula>$N208="Drop Plan"</formula>
    </cfRule>
    <cfRule type="expression" priority="2908" dxfId="2118">
      <formula>$N208="Enter Percentages"</formula>
    </cfRule>
  </conditionalFormatting>
  <conditionalFormatting sqref="O212 W212">
    <cfRule type="expression" priority="2895" dxfId="2119">
      <formula>$N208="Drop Plan"</formula>
    </cfRule>
    <cfRule type="expression" priority="2903" dxfId="2118">
      <formula>$N208="Enter Dollar Amount"</formula>
    </cfRule>
  </conditionalFormatting>
  <conditionalFormatting sqref="N262 V262">
    <cfRule type="expression" priority="2848" dxfId="2119">
      <formula>$N258="Drop Plan"</formula>
    </cfRule>
    <cfRule type="expression" priority="2860" dxfId="2118">
      <formula>$N258="Enter Percentages"</formula>
    </cfRule>
  </conditionalFormatting>
  <conditionalFormatting sqref="O262 W262">
    <cfRule type="expression" priority="2847" dxfId="2119">
      <formula>$N258="Drop Plan"</formula>
    </cfRule>
    <cfRule type="expression" priority="2855" dxfId="2118">
      <formula>$N258="Enter Dollar Amount"</formula>
    </cfRule>
  </conditionalFormatting>
  <conditionalFormatting sqref="N312 V312">
    <cfRule type="expression" priority="2800" dxfId="2119">
      <formula>$N308="Drop Plan"</formula>
    </cfRule>
    <cfRule type="expression" priority="2812" dxfId="2118">
      <formula>$N308="Enter Percentages"</formula>
    </cfRule>
  </conditionalFormatting>
  <conditionalFormatting sqref="O312 W312">
    <cfRule type="expression" priority="2799" dxfId="2119">
      <formula>$N308="Drop Plan"</formula>
    </cfRule>
    <cfRule type="expression" priority="2807" dxfId="2118">
      <formula>$N308="Enter Dollar Amount"</formula>
    </cfRule>
  </conditionalFormatting>
  <conditionalFormatting sqref="N362 V362">
    <cfRule type="expression" priority="2752" dxfId="2119">
      <formula>$N358="Drop Plan"</formula>
    </cfRule>
    <cfRule type="expression" priority="2764" dxfId="2118">
      <formula>$N358="Enter Percentages"</formula>
    </cfRule>
  </conditionalFormatting>
  <conditionalFormatting sqref="O362 W362">
    <cfRule type="expression" priority="2751" dxfId="2119">
      <formula>$N358="Drop Plan"</formula>
    </cfRule>
    <cfRule type="expression" priority="2759" dxfId="2118">
      <formula>$N358="Enter Dollar Amount"</formula>
    </cfRule>
  </conditionalFormatting>
  <conditionalFormatting sqref="N412 V412">
    <cfRule type="expression" priority="2704" dxfId="2119">
      <formula>$N408="Drop Plan"</formula>
    </cfRule>
    <cfRule type="expression" priority="2716" dxfId="2118">
      <formula>$N408="Enter Percentages"</formula>
    </cfRule>
  </conditionalFormatting>
  <conditionalFormatting sqref="O412 W412">
    <cfRule type="expression" priority="2703" dxfId="2119">
      <formula>$N408="Drop Plan"</formula>
    </cfRule>
    <cfRule type="expression" priority="2711" dxfId="2118">
      <formula>$N408="Enter Dollar Amount"</formula>
    </cfRule>
  </conditionalFormatting>
  <conditionalFormatting sqref="N462 V462">
    <cfRule type="expression" priority="2656" dxfId="2119">
      <formula>$N458="Drop Plan"</formula>
    </cfRule>
    <cfRule type="expression" priority="2668" dxfId="2118">
      <formula>$N458="Enter Percentages"</formula>
    </cfRule>
  </conditionalFormatting>
  <conditionalFormatting sqref="O462 W462">
    <cfRule type="expression" priority="2655" dxfId="2119">
      <formula>$N458="Drop Plan"</formula>
    </cfRule>
    <cfRule type="expression" priority="2663" dxfId="2118">
      <formula>$N458="Enter Dollar Amount"</formula>
    </cfRule>
  </conditionalFormatting>
  <conditionalFormatting sqref="N512 V512">
    <cfRule type="expression" priority="2608" dxfId="2119">
      <formula>$N508="Drop Plan"</formula>
    </cfRule>
    <cfRule type="expression" priority="2620" dxfId="2118">
      <formula>$N508="Enter Percentages"</formula>
    </cfRule>
  </conditionalFormatting>
  <conditionalFormatting sqref="O512 W512">
    <cfRule type="expression" priority="2607" dxfId="2119">
      <formula>$N508="Drop Plan"</formula>
    </cfRule>
    <cfRule type="expression" priority="2615" dxfId="2118">
      <formula>$N508="Enter Dollar Amount"</formula>
    </cfRule>
  </conditionalFormatting>
  <conditionalFormatting sqref="N562 V562">
    <cfRule type="expression" priority="2560" dxfId="2119">
      <formula>$N558="Drop Plan"</formula>
    </cfRule>
    <cfRule type="expression" priority="2572" dxfId="2118">
      <formula>$N558="Enter Percentages"</formula>
    </cfRule>
  </conditionalFormatting>
  <conditionalFormatting sqref="O562 W562">
    <cfRule type="expression" priority="2559" dxfId="2119">
      <formula>$N558="Drop Plan"</formula>
    </cfRule>
    <cfRule type="expression" priority="2567" dxfId="2118">
      <formula>$N558="Enter Dollar Amount"</formula>
    </cfRule>
  </conditionalFormatting>
  <conditionalFormatting sqref="N612 V612">
    <cfRule type="expression" priority="2512" dxfId="2119">
      <formula>$N608="Drop Plan"</formula>
    </cfRule>
    <cfRule type="expression" priority="2524" dxfId="2118">
      <formula>$N608="Enter Percentages"</formula>
    </cfRule>
  </conditionalFormatting>
  <conditionalFormatting sqref="O612 W612">
    <cfRule type="expression" priority="2511" dxfId="2119">
      <formula>$N608="Drop Plan"</formula>
    </cfRule>
    <cfRule type="expression" priority="2519" dxfId="2118">
      <formula>$N608="Enter Dollar Amount"</formula>
    </cfRule>
  </conditionalFormatting>
  <conditionalFormatting sqref="N662 V662">
    <cfRule type="expression" priority="2464" dxfId="2119">
      <formula>$N658="Drop Plan"</formula>
    </cfRule>
    <cfRule type="expression" priority="2476" dxfId="2118">
      <formula>$N658="Enter Percentages"</formula>
    </cfRule>
  </conditionalFormatting>
  <conditionalFormatting sqref="O662 W662">
    <cfRule type="expression" priority="2463" dxfId="2119">
      <formula>$N658="Drop Plan"</formula>
    </cfRule>
    <cfRule type="expression" priority="2471" dxfId="2118">
      <formula>$N658="Enter Dollar Amount"</formula>
    </cfRule>
  </conditionalFormatting>
  <conditionalFormatting sqref="O15:O18">
    <cfRule type="expression" priority="333" dxfId="2449">
      <formula>$N$14="Enter Percentages"</formula>
    </cfRule>
    <cfRule type="expression" priority="335" dxfId="2448">
      <formula>$N$14="Enter Dollar Amount"</formula>
    </cfRule>
  </conditionalFormatting>
  <conditionalFormatting sqref="N15:N18">
    <cfRule type="expression" priority="332" dxfId="2449">
      <formula>$N$14="Enter Dollar Amount"</formula>
    </cfRule>
    <cfRule type="expression" priority="334" dxfId="2448">
      <formula>$N$14="Enter Percentages"</formula>
    </cfRule>
  </conditionalFormatting>
  <conditionalFormatting sqref="N15:O18">
    <cfRule type="expression" priority="331" dxfId="2445">
      <formula>$N$14="Drop Plan"</formula>
    </cfRule>
  </conditionalFormatting>
  <conditionalFormatting sqref="W15:W18">
    <cfRule type="expression" priority="328" dxfId="2449">
      <formula>$V$14="Enter Percentages"</formula>
    </cfRule>
    <cfRule type="expression" priority="330" dxfId="2448">
      <formula>$V$14="Enter Dollar Amount"</formula>
    </cfRule>
  </conditionalFormatting>
  <conditionalFormatting sqref="V15:V18">
    <cfRule type="expression" priority="327" dxfId="2449">
      <formula>$V$14="Enter Dollar Amount"</formula>
    </cfRule>
    <cfRule type="expression" priority="329" dxfId="2448">
      <formula>$V$14="Enter Percentages"</formula>
    </cfRule>
  </conditionalFormatting>
  <conditionalFormatting sqref="V15:W18">
    <cfRule type="expression" priority="326" dxfId="2445">
      <formula>$V$14="Drop Plan"</formula>
    </cfRule>
  </conditionalFormatting>
  <conditionalFormatting sqref="O65:O68">
    <cfRule type="expression" priority="323" dxfId="2449">
      <formula>$N$64="Enter Percentages"</formula>
    </cfRule>
    <cfRule type="expression" priority="325" dxfId="2448">
      <formula>$N$64="Enter Dollar Amount"</formula>
    </cfRule>
  </conditionalFormatting>
  <conditionalFormatting sqref="N65:N68">
    <cfRule type="expression" priority="322" dxfId="2449">
      <formula>$N$64="Enter Dollar Amount"</formula>
    </cfRule>
    <cfRule type="expression" priority="324" dxfId="2448">
      <formula>$N$64="Enter Percentages"</formula>
    </cfRule>
  </conditionalFormatting>
  <conditionalFormatting sqref="N65:O68">
    <cfRule type="expression" priority="321" dxfId="2445">
      <formula>$N$64="Drop Plan"</formula>
    </cfRule>
  </conditionalFormatting>
  <conditionalFormatting sqref="W65:W68">
    <cfRule type="expression" priority="318" dxfId="2449">
      <formula>$V$64="Enter Percentages"</formula>
    </cfRule>
    <cfRule type="expression" priority="320" dxfId="2448">
      <formula>$V$64="Enter Dollar Amount"</formula>
    </cfRule>
  </conditionalFormatting>
  <conditionalFormatting sqref="V65:V68">
    <cfRule type="expression" priority="317" dxfId="2449">
      <formula>$V$64="Enter Dollar Amount"</formula>
    </cfRule>
    <cfRule type="expression" priority="319" dxfId="2448">
      <formula>$V$64="Enter Percentages"</formula>
    </cfRule>
  </conditionalFormatting>
  <conditionalFormatting sqref="V65:W68">
    <cfRule type="expression" priority="316" dxfId="2445">
      <formula>$V$64="Drop Plan"</formula>
    </cfRule>
  </conditionalFormatting>
  <conditionalFormatting sqref="O115:O118">
    <cfRule type="expression" priority="313" dxfId="2449">
      <formula>$N$114="Enter Percentages"</formula>
    </cfRule>
    <cfRule type="expression" priority="315" dxfId="2448">
      <formula>$N$114="Enter Dollar Amount"</formula>
    </cfRule>
  </conditionalFormatting>
  <conditionalFormatting sqref="N115:N118">
    <cfRule type="expression" priority="312" dxfId="2449">
      <formula>$N$114="Enter Dollar Amount"</formula>
    </cfRule>
    <cfRule type="expression" priority="314" dxfId="2448">
      <formula>$N$114="Enter Percentages"</formula>
    </cfRule>
  </conditionalFormatting>
  <conditionalFormatting sqref="N115:O118">
    <cfRule type="expression" priority="311" dxfId="2445">
      <formula>$N$114="Drop Plan"</formula>
    </cfRule>
  </conditionalFormatting>
  <conditionalFormatting sqref="W115:W118">
    <cfRule type="expression" priority="308" dxfId="2449">
      <formula>$V$114="Enter Percentages"</formula>
    </cfRule>
    <cfRule type="expression" priority="310" dxfId="2448">
      <formula>$V$114="Enter Dollar Amount"</formula>
    </cfRule>
  </conditionalFormatting>
  <conditionalFormatting sqref="V115:V118">
    <cfRule type="expression" priority="307" dxfId="2449">
      <formula>$V$114="Enter Dollar Amount"</formula>
    </cfRule>
    <cfRule type="expression" priority="309" dxfId="2448">
      <formula>$V$114="Enter Percentages"</formula>
    </cfRule>
  </conditionalFormatting>
  <conditionalFormatting sqref="V115:W118">
    <cfRule type="expression" priority="306" dxfId="2445">
      <formula>$V$114="Drop Plan"</formula>
    </cfRule>
  </conditionalFormatting>
  <conditionalFormatting sqref="O165:O168">
    <cfRule type="expression" priority="303" dxfId="2449">
      <formula>$N$164="Enter Percentages"</formula>
    </cfRule>
    <cfRule type="expression" priority="305" dxfId="2448">
      <formula>$N$164="Enter Dollar Amount"</formula>
    </cfRule>
  </conditionalFormatting>
  <conditionalFormatting sqref="N165:N168">
    <cfRule type="expression" priority="302" dxfId="2449">
      <formula>$N$164="Enter Dollar Amount"</formula>
    </cfRule>
    <cfRule type="expression" priority="304" dxfId="2448">
      <formula>$N$164="Enter Percentages"</formula>
    </cfRule>
  </conditionalFormatting>
  <conditionalFormatting sqref="N165:O168">
    <cfRule type="expression" priority="301" dxfId="2445">
      <formula>$N$164="Drop Plan"</formula>
    </cfRule>
  </conditionalFormatting>
  <conditionalFormatting sqref="W165:W168">
    <cfRule type="expression" priority="298" dxfId="2449">
      <formula>$V$164="Enter Percentages"</formula>
    </cfRule>
    <cfRule type="expression" priority="300" dxfId="2448">
      <formula>$V$164="Enter Dollar Amount"</formula>
    </cfRule>
  </conditionalFormatting>
  <conditionalFormatting sqref="V165:V168">
    <cfRule type="expression" priority="297" dxfId="2449">
      <formula>$V$164="Enter Dollar Amount"</formula>
    </cfRule>
    <cfRule type="expression" priority="299" dxfId="2448">
      <formula>$V$164="Enter Percentages"</formula>
    </cfRule>
  </conditionalFormatting>
  <conditionalFormatting sqref="V165:W168">
    <cfRule type="expression" priority="296" dxfId="2445">
      <formula>$V$164="Drop Plan"</formula>
    </cfRule>
  </conditionalFormatting>
  <conditionalFormatting sqref="O215:O218">
    <cfRule type="expression" priority="293" dxfId="2449">
      <formula>$N$214="Enter Percentages"</formula>
    </cfRule>
    <cfRule type="expression" priority="295" dxfId="2448">
      <formula>$N$214="Enter Dollar Amount"</formula>
    </cfRule>
  </conditionalFormatting>
  <conditionalFormatting sqref="N215:N218">
    <cfRule type="expression" priority="292" dxfId="2449">
      <formula>$N$214="Enter Dollar Amount"</formula>
    </cfRule>
    <cfRule type="expression" priority="294" dxfId="2448">
      <formula>$N$214="Enter Percentages"</formula>
    </cfRule>
  </conditionalFormatting>
  <conditionalFormatting sqref="N215:O218">
    <cfRule type="expression" priority="291" dxfId="2445">
      <formula>$N$214="Drop Plan"</formula>
    </cfRule>
  </conditionalFormatting>
  <conditionalFormatting sqref="W215:W218">
    <cfRule type="expression" priority="288" dxfId="2449">
      <formula>$V$214="Enter Percentages"</formula>
    </cfRule>
    <cfRule type="expression" priority="290" dxfId="2448">
      <formula>$V$214="Enter Dollar Amount"</formula>
    </cfRule>
  </conditionalFormatting>
  <conditionalFormatting sqref="V215:V218">
    <cfRule type="expression" priority="287" dxfId="2449">
      <formula>$V$214="Enter Dollar Amount"</formula>
    </cfRule>
    <cfRule type="expression" priority="289" dxfId="2448">
      <formula>$V$214="Enter Percentages"</formula>
    </cfRule>
  </conditionalFormatting>
  <conditionalFormatting sqref="V215:W218">
    <cfRule type="expression" priority="286" dxfId="2445">
      <formula>$V$214="Drop Plan"</formula>
    </cfRule>
  </conditionalFormatting>
  <conditionalFormatting sqref="O265:O268">
    <cfRule type="expression" priority="283" dxfId="2449">
      <formula>$N$264="Enter Percentages"</formula>
    </cfRule>
    <cfRule type="expression" priority="285" dxfId="2448">
      <formula>$N$264="Enter Dollar Amount"</formula>
    </cfRule>
  </conditionalFormatting>
  <conditionalFormatting sqref="N265:N268">
    <cfRule type="expression" priority="282" dxfId="2449">
      <formula>$N$264="Enter Dollar Amount"</formula>
    </cfRule>
    <cfRule type="expression" priority="284" dxfId="2448">
      <formula>$N$264="Enter Percentages"</formula>
    </cfRule>
  </conditionalFormatting>
  <conditionalFormatting sqref="N265:O268">
    <cfRule type="expression" priority="281" dxfId="2445">
      <formula>$N$264="Drop Plan"</formula>
    </cfRule>
  </conditionalFormatting>
  <conditionalFormatting sqref="W265:W268">
    <cfRule type="expression" priority="278" dxfId="2449">
      <formula>$V$264="Enter Percentages"</formula>
    </cfRule>
    <cfRule type="expression" priority="280" dxfId="2448">
      <formula>$V$264="Enter Dollar Amount"</formula>
    </cfRule>
  </conditionalFormatting>
  <conditionalFormatting sqref="V265:V268">
    <cfRule type="expression" priority="277" dxfId="2449">
      <formula>$V$264="Enter Dollar Amount"</formula>
    </cfRule>
    <cfRule type="expression" priority="279" dxfId="2448">
      <formula>$V$264="Enter Percentages"</formula>
    </cfRule>
  </conditionalFormatting>
  <conditionalFormatting sqref="V265:W268">
    <cfRule type="expression" priority="276" dxfId="2445">
      <formula>$V$264="Drop Plan"</formula>
    </cfRule>
  </conditionalFormatting>
  <conditionalFormatting sqref="O315:O318">
    <cfRule type="expression" priority="273" dxfId="2449">
      <formula>$N$314="Enter Percentages"</formula>
    </cfRule>
    <cfRule type="expression" priority="275" dxfId="2448">
      <formula>$N$314="Enter Dollar Amount"</formula>
    </cfRule>
  </conditionalFormatting>
  <conditionalFormatting sqref="N315:N318">
    <cfRule type="expression" priority="272" dxfId="2449">
      <formula>$N$314="Enter Dollar Amount"</formula>
    </cfRule>
    <cfRule type="expression" priority="274" dxfId="2448">
      <formula>$N$314="Enter Percentages"</formula>
    </cfRule>
  </conditionalFormatting>
  <conditionalFormatting sqref="N315:O318">
    <cfRule type="expression" priority="271" dxfId="2445">
      <formula>$N$314="Drop Plan"</formula>
    </cfRule>
  </conditionalFormatting>
  <conditionalFormatting sqref="W315:W318">
    <cfRule type="expression" priority="268" dxfId="2449">
      <formula>$V$314="Enter Percentages"</formula>
    </cfRule>
    <cfRule type="expression" priority="270" dxfId="2448">
      <formula>$V$314="Enter Dollar Amount"</formula>
    </cfRule>
  </conditionalFormatting>
  <conditionalFormatting sqref="V315:V318">
    <cfRule type="expression" priority="267" dxfId="2449">
      <formula>$V$314="Enter Dollar Amount"</formula>
    </cfRule>
    <cfRule type="expression" priority="269" dxfId="2448">
      <formula>$V$314="Enter Percentages"</formula>
    </cfRule>
  </conditionalFormatting>
  <conditionalFormatting sqref="V315:W318">
    <cfRule type="expression" priority="266" dxfId="2445">
      <formula>$V$314="Drop Plan"</formula>
    </cfRule>
  </conditionalFormatting>
  <conditionalFormatting sqref="O365:O368">
    <cfRule type="expression" priority="263" dxfId="2449">
      <formula>$N$364="Enter Percentages"</formula>
    </cfRule>
    <cfRule type="expression" priority="265" dxfId="2448">
      <formula>$N$364="Enter Dollar Amount"</formula>
    </cfRule>
  </conditionalFormatting>
  <conditionalFormatting sqref="N365:N368">
    <cfRule type="expression" priority="262" dxfId="2449">
      <formula>$N$364="Enter Dollar Amount"</formula>
    </cfRule>
    <cfRule type="expression" priority="264" dxfId="2448">
      <formula>$N$364="Enter Percentages"</formula>
    </cfRule>
  </conditionalFormatting>
  <conditionalFormatting sqref="N365:O368">
    <cfRule type="expression" priority="261" dxfId="2445">
      <formula>$N$364="Drop Plan"</formula>
    </cfRule>
  </conditionalFormatting>
  <conditionalFormatting sqref="W365:W368">
    <cfRule type="expression" priority="258" dxfId="2449">
      <formula>$V$364="Enter Percentages"</formula>
    </cfRule>
    <cfRule type="expression" priority="260" dxfId="2448">
      <formula>$V$364="Enter Dollar Amount"</formula>
    </cfRule>
  </conditionalFormatting>
  <conditionalFormatting sqref="V365:V368">
    <cfRule type="expression" priority="257" dxfId="2449">
      <formula>$V$364="Enter Dollar Amount"</formula>
    </cfRule>
    <cfRule type="expression" priority="259" dxfId="2448">
      <formula>$V$364="Enter Percentages"</formula>
    </cfRule>
  </conditionalFormatting>
  <conditionalFormatting sqref="V365:W368">
    <cfRule type="expression" priority="256" dxfId="2445">
      <formula>$V$364="Drop Plan"</formula>
    </cfRule>
  </conditionalFormatting>
  <conditionalFormatting sqref="O415:O418">
    <cfRule type="expression" priority="253" dxfId="2449">
      <formula>$N$414="Enter Percentages"</formula>
    </cfRule>
    <cfRule type="expression" priority="255" dxfId="2448">
      <formula>$N$414="Enter Dollar Amount"</formula>
    </cfRule>
  </conditionalFormatting>
  <conditionalFormatting sqref="N415:N418">
    <cfRule type="expression" priority="252" dxfId="2449">
      <formula>$N$414="Enter Dollar Amount"</formula>
    </cfRule>
    <cfRule type="expression" priority="254" dxfId="2448">
      <formula>$N$414="Enter Percentages"</formula>
    </cfRule>
  </conditionalFormatting>
  <conditionalFormatting sqref="N415:O418">
    <cfRule type="expression" priority="251" dxfId="2445">
      <formula>$N$414="Drop Plan"</formula>
    </cfRule>
  </conditionalFormatting>
  <conditionalFormatting sqref="W415:W418">
    <cfRule type="expression" priority="248" dxfId="2449">
      <formula>$V$414="Enter Percentages"</formula>
    </cfRule>
    <cfRule type="expression" priority="250" dxfId="2448">
      <formula>$V$414="Enter Dollar Amount"</formula>
    </cfRule>
  </conditionalFormatting>
  <conditionalFormatting sqref="V415:V418">
    <cfRule type="expression" priority="247" dxfId="2449">
      <formula>$V$414="Enter Dollar Amount"</formula>
    </cfRule>
    <cfRule type="expression" priority="249" dxfId="2448">
      <formula>$V$414="Enter Percentages"</formula>
    </cfRule>
  </conditionalFormatting>
  <conditionalFormatting sqref="V415:W418">
    <cfRule type="expression" priority="246" dxfId="2445">
      <formula>$V$414="Drop Plan"</formula>
    </cfRule>
  </conditionalFormatting>
  <conditionalFormatting sqref="O465:O468">
    <cfRule type="expression" priority="243" dxfId="2449">
      <formula>$N$464="Enter Percentages"</formula>
    </cfRule>
    <cfRule type="expression" priority="245" dxfId="2448">
      <formula>$N$464="Enter Dollar Amount"</formula>
    </cfRule>
  </conditionalFormatting>
  <conditionalFormatting sqref="N465:N468">
    <cfRule type="expression" priority="242" dxfId="2449">
      <formula>$N$464="Enter Dollar Amount"</formula>
    </cfRule>
    <cfRule type="expression" priority="244" dxfId="2448">
      <formula>$N$464="Enter Percentages"</formula>
    </cfRule>
  </conditionalFormatting>
  <conditionalFormatting sqref="N465:O468">
    <cfRule type="expression" priority="241" dxfId="2445">
      <formula>$N$464="Drop Plan"</formula>
    </cfRule>
  </conditionalFormatting>
  <conditionalFormatting sqref="W465:W468">
    <cfRule type="expression" priority="238" dxfId="2449">
      <formula>$V$464="Enter Percentages"</formula>
    </cfRule>
    <cfRule type="expression" priority="240" dxfId="2448">
      <formula>$V$464="Enter Dollar Amount"</formula>
    </cfRule>
  </conditionalFormatting>
  <conditionalFormatting sqref="V465:V468">
    <cfRule type="expression" priority="237" dxfId="2449">
      <formula>$V$464="Enter Dollar Amount"</formula>
    </cfRule>
    <cfRule type="expression" priority="239" dxfId="2448">
      <formula>$V$464="Enter Percentages"</formula>
    </cfRule>
  </conditionalFormatting>
  <conditionalFormatting sqref="V465:W468">
    <cfRule type="expression" priority="236" dxfId="2445">
      <formula>$V$464="Drop Plan"</formula>
    </cfRule>
  </conditionalFormatting>
  <conditionalFormatting sqref="O515:O518">
    <cfRule type="expression" priority="233" dxfId="2449">
      <formula>$N$514="Enter Percentages"</formula>
    </cfRule>
    <cfRule type="expression" priority="235" dxfId="2448">
      <formula>$N$514="Enter Dollar Amount"</formula>
    </cfRule>
  </conditionalFormatting>
  <conditionalFormatting sqref="N515:N518">
    <cfRule type="expression" priority="232" dxfId="2449">
      <formula>$N$514="Enter Dollar Amount"</formula>
    </cfRule>
    <cfRule type="expression" priority="234" dxfId="2448">
      <formula>$N$514="Enter Percentages"</formula>
    </cfRule>
  </conditionalFormatting>
  <conditionalFormatting sqref="N515:O518">
    <cfRule type="expression" priority="231" dxfId="2445">
      <formula>$N$514="Drop Plan"</formula>
    </cfRule>
  </conditionalFormatting>
  <conditionalFormatting sqref="W515:W518">
    <cfRule type="expression" priority="228" dxfId="2449">
      <formula>$V$514="Enter Percentages"</formula>
    </cfRule>
    <cfRule type="expression" priority="230" dxfId="2448">
      <formula>$V$514="Enter Dollar Amount"</formula>
    </cfRule>
  </conditionalFormatting>
  <conditionalFormatting sqref="V515:V518">
    <cfRule type="expression" priority="227" dxfId="2449">
      <formula>$V$514="Enter Dollar Amount"</formula>
    </cfRule>
    <cfRule type="expression" priority="229" dxfId="2448">
      <formula>$V$514="Enter Percentages"</formula>
    </cfRule>
  </conditionalFormatting>
  <conditionalFormatting sqref="V515:W518">
    <cfRule type="expression" priority="226" dxfId="2445">
      <formula>$V$514="Drop Plan"</formula>
    </cfRule>
  </conditionalFormatting>
  <conditionalFormatting sqref="O565:O568">
    <cfRule type="expression" priority="223" dxfId="2449">
      <formula>$N$564="Enter Percentages"</formula>
    </cfRule>
    <cfRule type="expression" priority="225" dxfId="2448">
      <formula>$N$564="Enter Dollar Amount"</formula>
    </cfRule>
  </conditionalFormatting>
  <conditionalFormatting sqref="N565:N568">
    <cfRule type="expression" priority="222" dxfId="2449">
      <formula>$N$564="Enter Dollar Amount"</formula>
    </cfRule>
    <cfRule type="expression" priority="224" dxfId="2448">
      <formula>$N$564="Enter Percentages"</formula>
    </cfRule>
  </conditionalFormatting>
  <conditionalFormatting sqref="N565:O568">
    <cfRule type="expression" priority="221" dxfId="2445">
      <formula>$N$564="Drop Plan"</formula>
    </cfRule>
  </conditionalFormatting>
  <conditionalFormatting sqref="W565:W568">
    <cfRule type="expression" priority="218" dxfId="2449">
      <formula>$V$564="Enter Percentages"</formula>
    </cfRule>
    <cfRule type="expression" priority="220" dxfId="2448">
      <formula>$V$564="Enter Dollar Amount"</formula>
    </cfRule>
  </conditionalFormatting>
  <conditionalFormatting sqref="V565:V568">
    <cfRule type="expression" priority="217" dxfId="2449">
      <formula>$V$564="Enter Dollar Amount"</formula>
    </cfRule>
    <cfRule type="expression" priority="219" dxfId="2448">
      <formula>$V$564="Enter Percentages"</formula>
    </cfRule>
  </conditionalFormatting>
  <conditionalFormatting sqref="V565:W568">
    <cfRule type="expression" priority="216" dxfId="2445">
      <formula>$V$564="Drop Plan"</formula>
    </cfRule>
  </conditionalFormatting>
  <conditionalFormatting sqref="O615:O618">
    <cfRule type="expression" priority="213" dxfId="2449">
      <formula>$N$614="Enter Percentages"</formula>
    </cfRule>
    <cfRule type="expression" priority="215" dxfId="2448">
      <formula>$N$614="Enter Dollar Amount"</formula>
    </cfRule>
  </conditionalFormatting>
  <conditionalFormatting sqref="N615:N618">
    <cfRule type="expression" priority="212" dxfId="2449">
      <formula>$N$614="Enter Dollar Amount"</formula>
    </cfRule>
    <cfRule type="expression" priority="214" dxfId="2448">
      <formula>$N$614="Enter Percentages"</formula>
    </cfRule>
  </conditionalFormatting>
  <conditionalFormatting sqref="N615:O618">
    <cfRule type="expression" priority="211" dxfId="2445">
      <formula>$N$614="Drop Plan"</formula>
    </cfRule>
  </conditionalFormatting>
  <conditionalFormatting sqref="W615:W618">
    <cfRule type="expression" priority="208" dxfId="2449">
      <formula>$V$614="Enter Percentages"</formula>
    </cfRule>
    <cfRule type="expression" priority="210" dxfId="2448">
      <formula>$V$614="Enter Dollar Amount"</formula>
    </cfRule>
  </conditionalFormatting>
  <conditionalFormatting sqref="V615:V618">
    <cfRule type="expression" priority="207" dxfId="2449">
      <formula>$V$614="Enter Dollar Amount"</formula>
    </cfRule>
    <cfRule type="expression" priority="209" dxfId="2448">
      <formula>$V$614="Enter Percentages"</formula>
    </cfRule>
  </conditionalFormatting>
  <conditionalFormatting sqref="V615:W618">
    <cfRule type="expression" priority="206" dxfId="2445">
      <formula>$V$614="Drop Plan"</formula>
    </cfRule>
  </conditionalFormatting>
  <conditionalFormatting sqref="O666:O669">
    <cfRule type="expression" priority="198" dxfId="2449">
      <formula>$N$665="Enter Percentages"</formula>
    </cfRule>
    <cfRule type="expression" priority="200" dxfId="2448">
      <formula>$N$665="Enter Dollar Amount"</formula>
    </cfRule>
  </conditionalFormatting>
  <conditionalFormatting sqref="N666:N669">
    <cfRule type="expression" priority="197" dxfId="2449">
      <formula>$N$665="Enter Dollar Amount"</formula>
    </cfRule>
    <cfRule type="expression" priority="199" dxfId="2448">
      <formula>$N$665="Enter Percentages"</formula>
    </cfRule>
  </conditionalFormatting>
  <conditionalFormatting sqref="N666:O669">
    <cfRule type="expression" priority="196" dxfId="2445">
      <formula>$N$665="Drop Plan"</formula>
    </cfRule>
  </conditionalFormatting>
  <conditionalFormatting sqref="W666:W669">
    <cfRule type="expression" priority="193" dxfId="2449">
      <formula>$V$665="Enter Percentages"</formula>
    </cfRule>
    <cfRule type="expression" priority="195" dxfId="2448">
      <formula>$V$665="Enter Dollar Amount"</formula>
    </cfRule>
  </conditionalFormatting>
  <conditionalFormatting sqref="V666:V669">
    <cfRule type="expression" priority="192" dxfId="2449">
      <formula>$V$665="Enter Dollar Amount"</formula>
    </cfRule>
    <cfRule type="expression" priority="194" dxfId="2448">
      <formula>$V$665="Enter Percentages"</formula>
    </cfRule>
  </conditionalFormatting>
  <conditionalFormatting sqref="V666:W669">
    <cfRule type="expression" priority="191" dxfId="2445">
      <formula>$V$665="Drop Plan"</formula>
    </cfRule>
  </conditionalFormatting>
  <conditionalFormatting sqref="O676:O679">
    <cfRule type="expression" priority="188" dxfId="2449">
      <formula>$N$675="Enter Percentages"</formula>
    </cfRule>
    <cfRule type="expression" priority="190" dxfId="2448">
      <formula>$N$675="Enter Dollar Amount"</formula>
    </cfRule>
  </conditionalFormatting>
  <conditionalFormatting sqref="N676:N679">
    <cfRule type="expression" priority="187" dxfId="2449">
      <formula>$N$675="Enter Dollar Amount"</formula>
    </cfRule>
    <cfRule type="expression" priority="189" dxfId="2448">
      <formula>$N$675="Enter Percentages"</formula>
    </cfRule>
  </conditionalFormatting>
  <conditionalFormatting sqref="N676:O679">
    <cfRule type="expression" priority="186" dxfId="2445">
      <formula>$N$675="Drop Plan"</formula>
    </cfRule>
  </conditionalFormatting>
  <conditionalFormatting sqref="W676:W679">
    <cfRule type="expression" priority="183" dxfId="2449">
      <formula>$V$675="Enter Percentages"</formula>
    </cfRule>
    <cfRule type="expression" priority="185" dxfId="2448">
      <formula>$V$675="Enter Dollar Amount"</formula>
    </cfRule>
  </conditionalFormatting>
  <conditionalFormatting sqref="V676:V679">
    <cfRule type="expression" priority="182" dxfId="2449">
      <formula>$V$675="Enter Dollar Amount"</formula>
    </cfRule>
    <cfRule type="expression" priority="184" dxfId="2448">
      <formula>$V$675="Enter Percentages"</formula>
    </cfRule>
  </conditionalFormatting>
  <conditionalFormatting sqref="V676:W679">
    <cfRule type="expression" priority="181" dxfId="2445">
      <formula>$V$675="Drop Plan"</formula>
    </cfRule>
  </conditionalFormatting>
  <conditionalFormatting sqref="O686:O689">
    <cfRule type="expression" priority="178" dxfId="2449">
      <formula>$N$685="Enter Percentages"</formula>
    </cfRule>
    <cfRule type="expression" priority="180" dxfId="2448">
      <formula>$N$685="Enter Dollar Amount"</formula>
    </cfRule>
  </conditionalFormatting>
  <conditionalFormatting sqref="N686:N689">
    <cfRule type="expression" priority="177" dxfId="2449">
      <formula>$N$685="Enter Dollar Amount"</formula>
    </cfRule>
    <cfRule type="expression" priority="179" dxfId="2448">
      <formula>$N$685="Enter Percentages"</formula>
    </cfRule>
  </conditionalFormatting>
  <conditionalFormatting sqref="N686:O689">
    <cfRule type="expression" priority="176" dxfId="2445">
      <formula>$N$685="Drop Plan"</formula>
    </cfRule>
  </conditionalFormatting>
  <conditionalFormatting sqref="W686:W689">
    <cfRule type="expression" priority="173" dxfId="2449">
      <formula>$V$685="Enter Percentages"</formula>
    </cfRule>
    <cfRule type="expression" priority="175" dxfId="2448">
      <formula>$V$685="Enter Dollar Amount"</formula>
    </cfRule>
  </conditionalFormatting>
  <conditionalFormatting sqref="V686:V689">
    <cfRule type="expression" priority="172" dxfId="2449">
      <formula>$V$685="Enter Dollar Amount"</formula>
    </cfRule>
    <cfRule type="expression" priority="174" dxfId="2448">
      <formula>$V$685="Enter Percentages"</formula>
    </cfRule>
  </conditionalFormatting>
  <conditionalFormatting sqref="V686:W689">
    <cfRule type="expression" priority="171" dxfId="2445">
      <formula>$V$685="Drop Plan"</formula>
    </cfRule>
  </conditionalFormatting>
  <conditionalFormatting sqref="O696:O699">
    <cfRule type="expression" priority="168" dxfId="2449">
      <formula>$N$695="Enter Percentages"</formula>
    </cfRule>
    <cfRule type="expression" priority="170" dxfId="2448">
      <formula>$N$695="Enter Dollar Amount"</formula>
    </cfRule>
  </conditionalFormatting>
  <conditionalFormatting sqref="N696:N699">
    <cfRule type="expression" priority="167" dxfId="2449">
      <formula>$N$695="Enter Dollar Amount"</formula>
    </cfRule>
    <cfRule type="expression" priority="169" dxfId="2448">
      <formula>$N$695="Enter Percentages"</formula>
    </cfRule>
  </conditionalFormatting>
  <conditionalFormatting sqref="N696:O699">
    <cfRule type="expression" priority="166" dxfId="2445">
      <formula>$N$695="Drop Plan"</formula>
    </cfRule>
  </conditionalFormatting>
  <conditionalFormatting sqref="W696:W699">
    <cfRule type="expression" priority="163" dxfId="2449">
      <formula>$V$695="Enter Percentages"</formula>
    </cfRule>
    <cfRule type="expression" priority="165" dxfId="2448">
      <formula>$V$695="Enter Dollar Amount"</formula>
    </cfRule>
  </conditionalFormatting>
  <conditionalFormatting sqref="V696:V699">
    <cfRule type="expression" priority="162" dxfId="2449">
      <formula>$V$695="Enter Dollar Amount"</formula>
    </cfRule>
    <cfRule type="expression" priority="164" dxfId="2448">
      <formula>$V$695="Enter Percentages"</formula>
    </cfRule>
  </conditionalFormatting>
  <conditionalFormatting sqref="V696:W699">
    <cfRule type="expression" priority="161" dxfId="2445">
      <formula>$V$695="Drop Plan"</formula>
    </cfRule>
  </conditionalFormatting>
  <conditionalFormatting sqref="O706:O709">
    <cfRule type="expression" priority="158" dxfId="2449">
      <formula>$N$705="Enter Percentages"</formula>
    </cfRule>
    <cfRule type="expression" priority="160" dxfId="2448">
      <formula>$N$705="Enter Dollar Amount"</formula>
    </cfRule>
  </conditionalFormatting>
  <conditionalFormatting sqref="N706:N709">
    <cfRule type="expression" priority="157" dxfId="2449">
      <formula>$N$705="Enter Dollar Amount"</formula>
    </cfRule>
    <cfRule type="expression" priority="159" dxfId="2448">
      <formula>$N$705="Enter Percentages"</formula>
    </cfRule>
  </conditionalFormatting>
  <conditionalFormatting sqref="N706:O709">
    <cfRule type="expression" priority="156" dxfId="2445">
      <formula>$N$705="Drop Plan"</formula>
    </cfRule>
  </conditionalFormatting>
  <conditionalFormatting sqref="W706:W709">
    <cfRule type="expression" priority="153" dxfId="2449">
      <formula>$V$705="Enter Percentages"</formula>
    </cfRule>
    <cfRule type="expression" priority="155" dxfId="2448">
      <formula>$V$705="Enter Dollar Amount"</formula>
    </cfRule>
  </conditionalFormatting>
  <conditionalFormatting sqref="V706:V709">
    <cfRule type="expression" priority="152" dxfId="2449">
      <formula>$V$705="Enter Dollar Amount"</formula>
    </cfRule>
    <cfRule type="expression" priority="154" dxfId="2448">
      <formula>$V$705="Enter Percentages"</formula>
    </cfRule>
  </conditionalFormatting>
  <conditionalFormatting sqref="V706:W709">
    <cfRule type="expression" priority="151" dxfId="2445">
      <formula>$V$705="Drop Plan"</formula>
    </cfRule>
  </conditionalFormatting>
  <conditionalFormatting sqref="O716:O719">
    <cfRule type="expression" priority="148" dxfId="2449">
      <formula>$N$715="Enter Percentages"</formula>
    </cfRule>
    <cfRule type="expression" priority="150" dxfId="2448">
      <formula>$N$715="Enter Dollar Amount"</formula>
    </cfRule>
  </conditionalFormatting>
  <conditionalFormatting sqref="N716:N719">
    <cfRule type="expression" priority="147" dxfId="2449">
      <formula>$N$715="Enter Dollar Amount"</formula>
    </cfRule>
    <cfRule type="expression" priority="149" dxfId="2448">
      <formula>$N$715="Enter Percentages"</formula>
    </cfRule>
  </conditionalFormatting>
  <conditionalFormatting sqref="N716:O719">
    <cfRule type="expression" priority="146" dxfId="2445">
      <formula>$N$715="Drop Plan"</formula>
    </cfRule>
  </conditionalFormatting>
  <conditionalFormatting sqref="W716:W719">
    <cfRule type="expression" priority="143" dxfId="2449">
      <formula>$V$715="Enter Percentages"</formula>
    </cfRule>
    <cfRule type="expression" priority="145" dxfId="2448">
      <formula>$V$715="Enter Dollar Amount"</formula>
    </cfRule>
  </conditionalFormatting>
  <conditionalFormatting sqref="V716:V719">
    <cfRule type="expression" priority="142" dxfId="2449">
      <formula>$V$715="Enter Dollar Amount"</formula>
    </cfRule>
    <cfRule type="expression" priority="144" dxfId="2448">
      <formula>$V$715="Enter Percentages"</formula>
    </cfRule>
  </conditionalFormatting>
  <conditionalFormatting sqref="V716:W719">
    <cfRule type="expression" priority="141" dxfId="2445">
      <formula>$V$715="Drop Plan"</formula>
    </cfRule>
  </conditionalFormatting>
  <conditionalFormatting sqref="O726:O729">
    <cfRule type="expression" priority="138" dxfId="2449">
      <formula>$N$725="Enter Percentages"</formula>
    </cfRule>
    <cfRule type="expression" priority="140" dxfId="2448">
      <formula>$N$725="Enter Dollar Amount"</formula>
    </cfRule>
  </conditionalFormatting>
  <conditionalFormatting sqref="N726:N729">
    <cfRule type="expression" priority="137" dxfId="2449">
      <formula>$N$725="Enter Dollar Amount"</formula>
    </cfRule>
    <cfRule type="expression" priority="139" dxfId="2448">
      <formula>$N$725="Enter Percentages"</formula>
    </cfRule>
  </conditionalFormatting>
  <conditionalFormatting sqref="N726:O729">
    <cfRule type="expression" priority="136" dxfId="2445">
      <formula>$N$725="Drop Plan"</formula>
    </cfRule>
  </conditionalFormatting>
  <conditionalFormatting sqref="W726:W729">
    <cfRule type="expression" priority="133" dxfId="2449">
      <formula>$V$725="Enter Percentages"</formula>
    </cfRule>
    <cfRule type="expression" priority="135" dxfId="2448">
      <formula>$V$725="Enter Dollar Amount"</formula>
    </cfRule>
  </conditionalFormatting>
  <conditionalFormatting sqref="V726:V729">
    <cfRule type="expression" priority="132" dxfId="2449">
      <formula>$V$725="Enter Dollar Amount"</formula>
    </cfRule>
    <cfRule type="expression" priority="134" dxfId="2448">
      <formula>$V$725="Enter Percentages"</formula>
    </cfRule>
  </conditionalFormatting>
  <conditionalFormatting sqref="V726:W729">
    <cfRule type="expression" priority="131" dxfId="2445">
      <formula>$V$725="Drop Plan"</formula>
    </cfRule>
  </conditionalFormatting>
  <conditionalFormatting sqref="O736:O739">
    <cfRule type="expression" priority="128" dxfId="2449">
      <formula>$N$735="Enter Percentages"</formula>
    </cfRule>
    <cfRule type="expression" priority="130" dxfId="2448">
      <formula>$N$735="Enter Dollar Amount"</formula>
    </cfRule>
  </conditionalFormatting>
  <conditionalFormatting sqref="N736:N739">
    <cfRule type="expression" priority="127" dxfId="2449">
      <formula>$N$735="Enter Dollar Amount"</formula>
    </cfRule>
    <cfRule type="expression" priority="129" dxfId="2448">
      <formula>$N$735="Enter Percentages"</formula>
    </cfRule>
  </conditionalFormatting>
  <conditionalFormatting sqref="N736:O739">
    <cfRule type="expression" priority="126" dxfId="2445">
      <formula>$N$735="Drop Plan"</formula>
    </cfRule>
  </conditionalFormatting>
  <conditionalFormatting sqref="W736:W739">
    <cfRule type="expression" priority="123" dxfId="2449">
      <formula>$V$735="Enter Percentages"</formula>
    </cfRule>
    <cfRule type="expression" priority="125" dxfId="2448">
      <formula>$V$735="Enter Dollar Amount"</formula>
    </cfRule>
  </conditionalFormatting>
  <conditionalFormatting sqref="V736:V739">
    <cfRule type="expression" priority="122" dxfId="2449">
      <formula>$V$735="Enter Dollar Amount"</formula>
    </cfRule>
    <cfRule type="expression" priority="124" dxfId="2448">
      <formula>$V$735="Enter Percentages"</formula>
    </cfRule>
  </conditionalFormatting>
  <conditionalFormatting sqref="V736:W739">
    <cfRule type="expression" priority="121" dxfId="2445">
      <formula>$V$735="Drop Plan"</formula>
    </cfRule>
  </conditionalFormatting>
  <conditionalFormatting sqref="O746:O749">
    <cfRule type="expression" priority="118" dxfId="2449">
      <formula>$N$745="Enter Percentages"</formula>
    </cfRule>
    <cfRule type="expression" priority="120" dxfId="2448">
      <formula>$N$745="Enter Dollar Amount"</formula>
    </cfRule>
  </conditionalFormatting>
  <conditionalFormatting sqref="N746:N749">
    <cfRule type="expression" priority="117" dxfId="2449">
      <formula>$N$745="Enter Dollar Amount"</formula>
    </cfRule>
    <cfRule type="expression" priority="119" dxfId="2448">
      <formula>$N$745="Enter Percentages"</formula>
    </cfRule>
  </conditionalFormatting>
  <conditionalFormatting sqref="N746:O749">
    <cfRule type="expression" priority="116" dxfId="2445">
      <formula>$N$745="Drop Plan"</formula>
    </cfRule>
  </conditionalFormatting>
  <conditionalFormatting sqref="W746:W749">
    <cfRule type="expression" priority="113" dxfId="2449">
      <formula>$V$745="Enter Percentages"</formula>
    </cfRule>
    <cfRule type="expression" priority="115" dxfId="2448">
      <formula>$V$745="Enter Dollar Amount"</formula>
    </cfRule>
  </conditionalFormatting>
  <conditionalFormatting sqref="V746:V749">
    <cfRule type="expression" priority="112" dxfId="2449">
      <formula>$V$745="Enter Dollar Amount"</formula>
    </cfRule>
    <cfRule type="expression" priority="114" dxfId="2448">
      <formula>$V$745="Enter Percentages"</formula>
    </cfRule>
  </conditionalFormatting>
  <conditionalFormatting sqref="V746:W749">
    <cfRule type="expression" priority="111" dxfId="2445">
      <formula>$V$745="Drop Plan"</formula>
    </cfRule>
  </conditionalFormatting>
  <conditionalFormatting sqref="O756:O759">
    <cfRule type="expression" priority="108" dxfId="2449">
      <formula>$N$755="Enter Percentages"</formula>
    </cfRule>
    <cfRule type="expression" priority="110" dxfId="2448">
      <formula>$N$755="Enter Dollar Amount"</formula>
    </cfRule>
  </conditionalFormatting>
  <conditionalFormatting sqref="N756:N759">
    <cfRule type="expression" priority="107" dxfId="2449">
      <formula>$N$755="Enter Dollar Amount"</formula>
    </cfRule>
    <cfRule type="expression" priority="109" dxfId="2448">
      <formula>$N$755="Enter Percentages"</formula>
    </cfRule>
  </conditionalFormatting>
  <conditionalFormatting sqref="N756:O759">
    <cfRule type="expression" priority="106" dxfId="2445">
      <formula>$N$755="Drop Plan"</formula>
    </cfRule>
  </conditionalFormatting>
  <conditionalFormatting sqref="W756:W759">
    <cfRule type="expression" priority="103" dxfId="2449">
      <formula>$V$755="Enter Percentages"</formula>
    </cfRule>
    <cfRule type="expression" priority="105" dxfId="2448">
      <formula>$V$755="Enter Dollar Amount"</formula>
    </cfRule>
  </conditionalFormatting>
  <conditionalFormatting sqref="V756:V759">
    <cfRule type="expression" priority="102" dxfId="2449">
      <formula>$V$755="Enter Dollar Amount"</formula>
    </cfRule>
    <cfRule type="expression" priority="104" dxfId="2448">
      <formula>$V$755="Enter Percentages"</formula>
    </cfRule>
  </conditionalFormatting>
  <conditionalFormatting sqref="V756:W759">
    <cfRule type="expression" priority="101" dxfId="2445">
      <formula>$V$755="Drop Plan"</formula>
    </cfRule>
  </conditionalFormatting>
  <conditionalFormatting sqref="O767:O770">
    <cfRule type="expression" priority="98" dxfId="2449">
      <formula>$N$766="Enter Percentages"</formula>
    </cfRule>
    <cfRule type="expression" priority="100" dxfId="2448">
      <formula>$N$766="Enter Dollar Amount"</formula>
    </cfRule>
  </conditionalFormatting>
  <conditionalFormatting sqref="N767:N770">
    <cfRule type="expression" priority="97" dxfId="2449">
      <formula>$N$766="Enter Dollar Amount"</formula>
    </cfRule>
    <cfRule type="expression" priority="99" dxfId="2448">
      <formula>$N$766="Enter Percentages"</formula>
    </cfRule>
  </conditionalFormatting>
  <conditionalFormatting sqref="N767:O770">
    <cfRule type="expression" priority="96" dxfId="2445">
      <formula>$N$766="Drop Plan"</formula>
    </cfRule>
  </conditionalFormatting>
  <conditionalFormatting sqref="W767:W770">
    <cfRule type="expression" priority="93" dxfId="2449">
      <formula>$V$766="Enter Percentages"</formula>
    </cfRule>
    <cfRule type="expression" priority="95" dxfId="2448">
      <formula>$V$766="Enter Dollar Amount"</formula>
    </cfRule>
  </conditionalFormatting>
  <conditionalFormatting sqref="V767:V770">
    <cfRule type="expression" priority="92" dxfId="2449">
      <formula>$V$766="Enter Dollar Amount"</formula>
    </cfRule>
    <cfRule type="expression" priority="94" dxfId="2448">
      <formula>$V$766="Enter Percentages"</formula>
    </cfRule>
  </conditionalFormatting>
  <conditionalFormatting sqref="V767:W770">
    <cfRule type="expression" priority="91" dxfId="2445">
      <formula>$V$766="Drop Plan"</formula>
    </cfRule>
  </conditionalFormatting>
  <conditionalFormatting sqref="O777:O780">
    <cfRule type="expression" priority="88" dxfId="2449">
      <formula>$N$776="Enter Percentages"</formula>
    </cfRule>
    <cfRule type="expression" priority="90" dxfId="2448">
      <formula>$N$776="Enter Dollar Amount"</formula>
    </cfRule>
  </conditionalFormatting>
  <conditionalFormatting sqref="N777:N780">
    <cfRule type="expression" priority="87" dxfId="2449">
      <formula>$N$776="Enter Dollar Amount"</formula>
    </cfRule>
    <cfRule type="expression" priority="89" dxfId="2448">
      <formula>$N$776="Enter Percentages"</formula>
    </cfRule>
  </conditionalFormatting>
  <conditionalFormatting sqref="N777:O780">
    <cfRule type="expression" priority="86" dxfId="2445">
      <formula>$N$776="Drop Plan"</formula>
    </cfRule>
  </conditionalFormatting>
  <conditionalFormatting sqref="W777:W780">
    <cfRule type="expression" priority="83" dxfId="2449">
      <formula>$V$776="Enter Percentages"</formula>
    </cfRule>
    <cfRule type="expression" priority="85" dxfId="2448">
      <formula>$V$776="Enter Dollar Amount"</formula>
    </cfRule>
  </conditionalFormatting>
  <conditionalFormatting sqref="V777:V780">
    <cfRule type="expression" priority="82" dxfId="2449">
      <formula>$V$776="Enter Dollar Amount"</formula>
    </cfRule>
    <cfRule type="expression" priority="84" dxfId="2448">
      <formula>$V$776="Enter Percentages"</formula>
    </cfRule>
  </conditionalFormatting>
  <conditionalFormatting sqref="V777:W780">
    <cfRule type="expression" priority="81" dxfId="2445">
      <formula>$V$776="Drop Plan"</formula>
    </cfRule>
  </conditionalFormatting>
  <conditionalFormatting sqref="O787:O790">
    <cfRule type="expression" priority="78" dxfId="2449">
      <formula>$N$786="Enter Percentages"</formula>
    </cfRule>
    <cfRule type="expression" priority="80" dxfId="2448">
      <formula>$N$786="Enter Dollar Amount"</formula>
    </cfRule>
  </conditionalFormatting>
  <conditionalFormatting sqref="N787:N790">
    <cfRule type="expression" priority="77" dxfId="2449">
      <formula>$N$786="Enter Dollar Amount"</formula>
    </cfRule>
    <cfRule type="expression" priority="79" dxfId="2448">
      <formula>$N$786="Enter Percentages"</formula>
    </cfRule>
  </conditionalFormatting>
  <conditionalFormatting sqref="N787:O790">
    <cfRule type="expression" priority="76" dxfId="2445">
      <formula>$N$786="Drop Plan"</formula>
    </cfRule>
  </conditionalFormatting>
  <conditionalFormatting sqref="W787:W790">
    <cfRule type="expression" priority="73" dxfId="2449">
      <formula>$V$786="Enter Percentages"</formula>
    </cfRule>
    <cfRule type="expression" priority="75" dxfId="2448">
      <formula>$V$786="Enter Dollar Amount"</formula>
    </cfRule>
  </conditionalFormatting>
  <conditionalFormatting sqref="V787:V790">
    <cfRule type="expression" priority="72" dxfId="2449">
      <formula>$V$786="Enter Dollar Amount"</formula>
    </cfRule>
    <cfRule type="expression" priority="74" dxfId="2448">
      <formula>$V$786="Enter Percentages"</formula>
    </cfRule>
  </conditionalFormatting>
  <conditionalFormatting sqref="V787:W790">
    <cfRule type="expression" priority="71" dxfId="2445">
      <formula>$V$786="Drop Plan"</formula>
    </cfRule>
  </conditionalFormatting>
  <conditionalFormatting sqref="O797:O800">
    <cfRule type="expression" priority="68" dxfId="2449">
      <formula>$N$796="Enter Percentages"</formula>
    </cfRule>
    <cfRule type="expression" priority="70" dxfId="2448">
      <formula>$N$796="Enter Dollar Amount"</formula>
    </cfRule>
  </conditionalFormatting>
  <conditionalFormatting sqref="N797:N800">
    <cfRule type="expression" priority="67" dxfId="2449">
      <formula>$N$796="Enter Dollar Amount"</formula>
    </cfRule>
    <cfRule type="expression" priority="69" dxfId="2448">
      <formula>$N$796="Enter Percentages"</formula>
    </cfRule>
  </conditionalFormatting>
  <conditionalFormatting sqref="N797:O800">
    <cfRule type="expression" priority="66" dxfId="2445">
      <formula>$N$796="Drop Plan"</formula>
    </cfRule>
  </conditionalFormatting>
  <conditionalFormatting sqref="W797:W800">
    <cfRule type="expression" priority="63" dxfId="2449">
      <formula>$V$796="Enter Percentages"</formula>
    </cfRule>
    <cfRule type="expression" priority="65" dxfId="2448">
      <formula>$V$796="Enter Dollar Amount"</formula>
    </cfRule>
  </conditionalFormatting>
  <conditionalFormatting sqref="V797:V800">
    <cfRule type="expression" priority="62" dxfId="2449">
      <formula>$V$796="Enter Dollar Amount"</formula>
    </cfRule>
    <cfRule type="expression" priority="64" dxfId="2448">
      <formula>$V$796="Enter Percentages"</formula>
    </cfRule>
  </conditionalFormatting>
  <conditionalFormatting sqref="V797:W800">
    <cfRule type="expression" priority="61" dxfId="2445">
      <formula>$V$796="Drop Plan"</formula>
    </cfRule>
  </conditionalFormatting>
  <conditionalFormatting sqref="O807:O810">
    <cfRule type="expression" priority="58" dxfId="2449">
      <formula>$N$806="Enter Percentages"</formula>
    </cfRule>
    <cfRule type="expression" priority="60" dxfId="2448">
      <formula>$N$806="Enter Dollar Amount"</formula>
    </cfRule>
  </conditionalFormatting>
  <conditionalFormatting sqref="N807:N810">
    <cfRule type="expression" priority="57" dxfId="2449">
      <formula>$N$806="Enter Dollar Amount"</formula>
    </cfRule>
    <cfRule type="expression" priority="59" dxfId="2448">
      <formula>$N$806="Enter Percentages"</formula>
    </cfRule>
  </conditionalFormatting>
  <conditionalFormatting sqref="N807:O810">
    <cfRule type="expression" priority="56" dxfId="2445">
      <formula>$N$806="Drop Plan"</formula>
    </cfRule>
  </conditionalFormatting>
  <conditionalFormatting sqref="W807:W810">
    <cfRule type="expression" priority="53" dxfId="2449">
      <formula>$V$806="Enter Percentages"</formula>
    </cfRule>
    <cfRule type="expression" priority="55" dxfId="2448">
      <formula>$V$806="Enter Dollar Amount"</formula>
    </cfRule>
  </conditionalFormatting>
  <conditionalFormatting sqref="V807:V810">
    <cfRule type="expression" priority="52" dxfId="2449">
      <formula>$V$806="Enter Dollar Amount"</formula>
    </cfRule>
    <cfRule type="expression" priority="54" dxfId="2448">
      <formula>$V$806="Enter Percentages"</formula>
    </cfRule>
  </conditionalFormatting>
  <conditionalFormatting sqref="V807:W810">
    <cfRule type="expression" priority="51" dxfId="2445">
      <formula>$V$806="Drop Plan"</formula>
    </cfRule>
  </conditionalFormatting>
  <conditionalFormatting sqref="O817:O820">
    <cfRule type="expression" priority="48" dxfId="2449">
      <formula>$N$816="Enter Percentages"</formula>
    </cfRule>
    <cfRule type="expression" priority="50" dxfId="2448">
      <formula>$N$816="Enter Dollar Amount"</formula>
    </cfRule>
  </conditionalFormatting>
  <conditionalFormatting sqref="N817:N820">
    <cfRule type="expression" priority="47" dxfId="2449">
      <formula>$N$816="Enter Dollar Amount"</formula>
    </cfRule>
    <cfRule type="expression" priority="49" dxfId="2448">
      <formula>$N$816="Enter Percentages"</formula>
    </cfRule>
  </conditionalFormatting>
  <conditionalFormatting sqref="N817:O820">
    <cfRule type="expression" priority="46" dxfId="2445">
      <formula>$N$816="Drop Plan"</formula>
    </cfRule>
  </conditionalFormatting>
  <conditionalFormatting sqref="W817:W820">
    <cfRule type="expression" priority="43" dxfId="2449">
      <formula>$V$816="Enter Percentages"</formula>
    </cfRule>
    <cfRule type="expression" priority="45" dxfId="2448">
      <formula>$V$816="Enter Dollar Amount"</formula>
    </cfRule>
  </conditionalFormatting>
  <conditionalFormatting sqref="V817:V820">
    <cfRule type="expression" priority="42" dxfId="2449">
      <formula>$V$816="Enter Dollar Amount"</formula>
    </cfRule>
    <cfRule type="expression" priority="44" dxfId="2448">
      <formula>$V$816="Enter Percentages"</formula>
    </cfRule>
  </conditionalFormatting>
  <conditionalFormatting sqref="V817:W820">
    <cfRule type="expression" priority="41" dxfId="2445">
      <formula>$V$816="Drop Plan"</formula>
    </cfRule>
  </conditionalFormatting>
  <conditionalFormatting sqref="O827:O830">
    <cfRule type="expression" priority="38" dxfId="2449">
      <formula>$N$826="Enter Percentages"</formula>
    </cfRule>
    <cfRule type="expression" priority="40" dxfId="2448">
      <formula>$N$826="Enter Dollar Amount"</formula>
    </cfRule>
  </conditionalFormatting>
  <conditionalFormatting sqref="N827:N830">
    <cfRule type="expression" priority="37" dxfId="2449">
      <formula>$N$826="Enter Dollar Amount"</formula>
    </cfRule>
    <cfRule type="expression" priority="39" dxfId="2448">
      <formula>$N$826="Enter Percentages"</formula>
    </cfRule>
  </conditionalFormatting>
  <conditionalFormatting sqref="N827:O830">
    <cfRule type="expression" priority="36" dxfId="2445">
      <formula>$N$826="Drop Plan"</formula>
    </cfRule>
  </conditionalFormatting>
  <conditionalFormatting sqref="W827:W830">
    <cfRule type="expression" priority="33" dxfId="2449">
      <formula>$V$826="Enter Percentages"</formula>
    </cfRule>
    <cfRule type="expression" priority="35" dxfId="2448">
      <formula>$V$826="Enter Dollar Amount"</formula>
    </cfRule>
  </conditionalFormatting>
  <conditionalFormatting sqref="V827:V830">
    <cfRule type="expression" priority="32" dxfId="2449">
      <formula>$V$826="Enter Dollar Amount"</formula>
    </cfRule>
    <cfRule type="expression" priority="34" dxfId="2448">
      <formula>$V$826="Enter Percentages"</formula>
    </cfRule>
  </conditionalFormatting>
  <conditionalFormatting sqref="V827:W830">
    <cfRule type="expression" priority="31" dxfId="2445">
      <formula>$V$826="Drop Plan"</formula>
    </cfRule>
  </conditionalFormatting>
  <conditionalFormatting sqref="O837:O840">
    <cfRule type="expression" priority="28" dxfId="2449">
      <formula>$N$836="Enter Percentages"</formula>
    </cfRule>
    <cfRule type="expression" priority="30" dxfId="2448">
      <formula>$N$836="Enter Dollar Amount"</formula>
    </cfRule>
  </conditionalFormatting>
  <conditionalFormatting sqref="N837:N840">
    <cfRule type="expression" priority="27" dxfId="2449">
      <formula>$N$836="Enter Dollar Amount"</formula>
    </cfRule>
    <cfRule type="expression" priority="29" dxfId="2448">
      <formula>$N$836="Enter Percentages"</formula>
    </cfRule>
  </conditionalFormatting>
  <conditionalFormatting sqref="N837:O840">
    <cfRule type="expression" priority="26" dxfId="2445">
      <formula>$N$836="Drop Plan"</formula>
    </cfRule>
  </conditionalFormatting>
  <conditionalFormatting sqref="W837:W840">
    <cfRule type="expression" priority="23" dxfId="2449">
      <formula>$V$836="Enter Percentages"</formula>
    </cfRule>
    <cfRule type="expression" priority="25" dxfId="2448">
      <formula>$V$836="Enter Dollar Amount"</formula>
    </cfRule>
  </conditionalFormatting>
  <conditionalFormatting sqref="V837:V840">
    <cfRule type="expression" priority="22" dxfId="2449">
      <formula>$V$836="Enter Dollar Amount"</formula>
    </cfRule>
    <cfRule type="expression" priority="24" dxfId="2448">
      <formula>$V$836="Enter Percentages"</formula>
    </cfRule>
  </conditionalFormatting>
  <conditionalFormatting sqref="V837:W840">
    <cfRule type="expression" priority="21" dxfId="2445">
      <formula>$V$836="Drop Plan"</formula>
    </cfRule>
  </conditionalFormatting>
  <conditionalFormatting sqref="O847:O850">
    <cfRule type="expression" priority="18" dxfId="2449">
      <formula>$N$846="Enter Percentages"</formula>
    </cfRule>
    <cfRule type="expression" priority="20" dxfId="2448">
      <formula>$N$846="Enter Dollar Amount"</formula>
    </cfRule>
  </conditionalFormatting>
  <conditionalFormatting sqref="N847:N850">
    <cfRule type="expression" priority="17" dxfId="2449">
      <formula>$N$846="Enter Dollar Amount"</formula>
    </cfRule>
    <cfRule type="expression" priority="19" dxfId="2448">
      <formula>$N$846="Enter Percentages"</formula>
    </cfRule>
  </conditionalFormatting>
  <conditionalFormatting sqref="N847:O850">
    <cfRule type="expression" priority="16" dxfId="2445">
      <formula>$N$846="Drop Plan"</formula>
    </cfRule>
  </conditionalFormatting>
  <conditionalFormatting sqref="W847:W850">
    <cfRule type="expression" priority="13" dxfId="2449">
      <formula>$V$846="Enter Percentages"</formula>
    </cfRule>
    <cfRule type="expression" priority="15" dxfId="2448">
      <formula>$V$846="Enter Dollar Amount"</formula>
    </cfRule>
  </conditionalFormatting>
  <conditionalFormatting sqref="V847:V850">
    <cfRule type="expression" priority="12" dxfId="2449">
      <formula>$V$846="Enter Dollar Amount"</formula>
    </cfRule>
    <cfRule type="expression" priority="14" dxfId="2448">
      <formula>$V$846="Enter Percentages"</formula>
    </cfRule>
  </conditionalFormatting>
  <conditionalFormatting sqref="V847:W850">
    <cfRule type="expression" priority="11" dxfId="2445">
      <formula>$V$846="Drop Plan"</formula>
    </cfRule>
  </conditionalFormatting>
  <conditionalFormatting sqref="O857:O860">
    <cfRule type="expression" priority="8" dxfId="2449">
      <formula>$N$856="Enter Percentages"</formula>
    </cfRule>
    <cfRule type="expression" priority="10" dxfId="2448">
      <formula>$N$856="Enter Dollar Amount"</formula>
    </cfRule>
  </conditionalFormatting>
  <conditionalFormatting sqref="N857:N860">
    <cfRule type="expression" priority="7" dxfId="2449">
      <formula>$N$856="Enter Dollar Amount"</formula>
    </cfRule>
    <cfRule type="expression" priority="9" dxfId="2448">
      <formula>$N$856="Enter Percentages"</formula>
    </cfRule>
  </conditionalFormatting>
  <conditionalFormatting sqref="N857:O860">
    <cfRule type="expression" priority="6" dxfId="2445">
      <formula>$N$856="Drop Plan"</formula>
    </cfRule>
  </conditionalFormatting>
  <conditionalFormatting sqref="W857:W860">
    <cfRule type="expression" priority="3" dxfId="2449">
      <formula>$V$856="Enter Percentages"</formula>
    </cfRule>
    <cfRule type="expression" priority="5" dxfId="2448">
      <formula>$V$856="Enter Dollar Amount"</formula>
    </cfRule>
  </conditionalFormatting>
  <conditionalFormatting sqref="V857:V860">
    <cfRule type="expression" priority="2" dxfId="2449">
      <formula>$V$856="Enter Dollar Amount"</formula>
    </cfRule>
    <cfRule type="expression" priority="4" dxfId="2448">
      <formula>$V$856="Enter Percentages"</formula>
    </cfRule>
  </conditionalFormatting>
  <conditionalFormatting sqref="V857:W860">
    <cfRule type="expression" priority="1" dxfId="2445">
      <formula>$V$856="Drop Plan"</formula>
    </cfRule>
  </conditionalFormatting>
  <dataValidations count="8">
    <dataValidation type="list" allowBlank="1" showInputMessage="1" showErrorMessage="1" sqref="N14 V14 N64 V64 N114 V114 N164 V164 N214 V214 N264 V264 N314 V314 N364 V364 N414 V414 N464 V464 N514 V514 N564 V564 N614 V614 N665 V665 N675 V675 N685 V685 N695 V695 N705 V705 N715 V715 N725 V725 N735 V735 N745 V745 N755 V755 N766 V766 N776 V776 N786 V786 N796 V796 N806 V806 N816 V816 N826 V826 N836 V836 N846 V846 N856 V856">
      <formula1>"[Contribution Methods],Keep Contribution Same,Keep Percentage Same,Enter Dollar Amount,Enter Percentages,Drop Plan"</formula1>
    </dataValidation>
    <dataValidation type="list" allowBlank="1" showInputMessage="1" showErrorMessage="1" sqref="F876 F878:F879">
      <formula1>"Yes,No"</formula1>
    </dataValidation>
    <dataValidation type="list" allowBlank="1" showInputMessage="1" showErrorMessage="1" sqref="L14 T14 L64 T64 L114 T114 L164 T164 L214 T214 L264 T264 L314 T314 L364 T364 L414 T414 L464 T464 L514 T514 L564 T564 L614 T614">
      <formula1>'Health Summary'!$B$5:$AK$5</formula1>
    </dataValidation>
    <dataValidation type="list" allowBlank="1" showInputMessage="1" showErrorMessage="1" sqref="L665 T665 L675 T675 L685 T685 L695 T695 L705 T705 L715 T715 L725 T725 L735 T735 L745 T745 L755 T755">
      <formula1>'Dental Summary'!$B$5:$AK$5</formula1>
    </dataValidation>
    <dataValidation type="list" allowBlank="1" showInputMessage="1" showErrorMessage="1" sqref="L766 T766 L776 T776 L786 T786 L796 T796 L806 T806 L816 T816 L826 T826 L836 T836 L846 T846 L856 T856">
      <formula1>'Vision Summary'!$B$5:$AK$5</formula1>
    </dataValidation>
    <dataValidation type="list" allowBlank="1" showInputMessage="1" showErrorMessage="1" sqref="N879:O879">
      <formula1>'Life Summary'!$B$6:$W$6</formula1>
    </dataValidation>
    <dataValidation type="list" allowBlank="1" showInputMessage="1" showErrorMessage="1" sqref="N877:O877">
      <formula1>'LTD Summary'!$B$5:$W$5</formula1>
    </dataValidation>
    <dataValidation type="list" allowBlank="1" showInputMessage="1" showErrorMessage="1" sqref="N878:O878">
      <formula1>'STD Summary'!$B$5:$W$5</formula1>
    </dataValidation>
  </dataValidations>
  <hyperlinks>
    <hyperlink ref="E4" location="Class1_Health_Section" display="Medical"/>
    <hyperlink ref="E5" location="Class7_HealthSection" display="Dental"/>
    <hyperlink ref="E4:R4" location="Class7_HealthSection" display="Medical"/>
    <hyperlink ref="E5:R5" location="Class7_DentalSection" display="Dental"/>
    <hyperlink ref="E6:R6" location="Class7_VisionSection" display="Vision"/>
    <hyperlink ref="E7:R7" location="Class7_LifeSection" display="Life / Disability"/>
  </hyperlinks>
  <pageMargins left="0.25" right="0.25" top="0.5" bottom="0.25" header="0.3" footer="0.3"/>
  <pageSetup fitToHeight="0" orientation="landscape" paperSize="1" scale="33" r:id="rId4"/>
  <drawing r:id="rId2"/>
  <legacyDrawing r:id="rId3"/>
  <mc:AlternateContent xmlns:mc="http://schemas.openxmlformats.org/markup-compatibility/2006">
    <mc:Choice Requires="x14">
      <controls>
        <mc:AlternateContent xmlns:mc="http://schemas.openxmlformats.org/markup-compatibility/2006">
          <mc:Choice Requires="x14">
            <control shapeId="4101" r:id="rId1" name="Button 5">
              <controlPr defaultSize="0" print="0" autoLine="0" autoPict="0" macro="[0]!Loc">
                <anchor moveWithCells="1" sizeWithCells="1">
                  <from>
                    <xdr:col>2</xdr:col>
                    <xdr:colOff>31750</xdr:colOff>
                    <xdr:row>9</xdr:row>
                    <xdr:rowOff>222250</xdr:rowOff>
                  </from>
                  <to>
                    <xdr:col>2</xdr:col>
                    <xdr:colOff>609600</xdr:colOff>
                    <xdr:row>11</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C2B86096-2C21-46AF-9A93-64AC0ADADBB2}">
  <sheetPr codeName="Sheet9"/>
  <dimension ref="A1:BI38"/>
  <sheetViews>
    <sheetView showZeros="0" workbookViewId="0" topLeftCell="A1">
      <pane xSplit="2" ySplit="5" topLeftCell="C6" activePane="bottomRight" state="frozen"/>
      <selection pane="topLeft" activeCell="A1" sqref="A1"/>
      <selection pane="bottomLeft" activeCell="B5" sqref="B5"/>
      <selection pane="topRight" activeCell="B5" sqref="B5"/>
      <selection pane="bottomRight" activeCell="F12" sqref="F12"/>
    </sheetView>
  </sheetViews>
  <sheetFormatPr defaultColWidth="8.79333333333333" defaultRowHeight="12.5"/>
  <cols>
    <col min="1" max="1" width="3.83333333333333" style="3" customWidth="1"/>
    <col min="2" max="2" width="34.1666666666667" style="3" customWidth="1"/>
    <col min="3" max="3" width="25.8333333333333" style="3" customWidth="1"/>
    <col min="4" max="4" width="26.1666666666667" style="3" customWidth="1"/>
    <col min="5" max="37" width="25.8333333333333" style="3" customWidth="1"/>
    <col min="38" max="52" width="8.83333333333333" style="3" customWidth="1"/>
    <col min="53" max="16384" width="8.83333333333333" style="3"/>
  </cols>
  <sheetData>
    <row r="1" spans="2:37" ht="12.5">
      <c r="B1" s="3" t="s">
        <v>331</v>
      </c>
      <c r="C1" s="3">
        <v>1</v>
      </c>
      <c r="D1" s="3">
        <v>2</v>
      </c>
      <c r="E1" s="3">
        <v>3</v>
      </c>
      <c r="F1" s="3">
        <v>4</v>
      </c>
      <c r="G1" s="3">
        <v>5</v>
      </c>
      <c r="H1" s="3">
        <v>6</v>
      </c>
      <c r="I1" s="3">
        <v>7</v>
      </c>
      <c r="J1" s="3">
        <v>8</v>
      </c>
      <c r="K1" s="3">
        <v>9</v>
      </c>
      <c r="L1" s="3">
        <v>10</v>
      </c>
      <c r="M1" s="3">
        <v>11</v>
      </c>
      <c r="N1" s="3">
        <v>12</v>
      </c>
      <c r="O1" s="3">
        <v>13</v>
      </c>
      <c r="P1" s="3">
        <v>14</v>
      </c>
      <c r="Q1" s="3">
        <v>15</v>
      </c>
      <c r="R1" s="3">
        <v>16</v>
      </c>
      <c r="S1" s="3">
        <v>17</v>
      </c>
      <c r="T1" s="3">
        <v>18</v>
      </c>
      <c r="U1" s="3">
        <v>19</v>
      </c>
      <c r="V1" s="3">
        <v>20</v>
      </c>
      <c r="W1" s="3">
        <v>21</v>
      </c>
      <c r="X1" s="3">
        <v>22</v>
      </c>
      <c r="Y1" s="3">
        <v>23</v>
      </c>
      <c r="Z1" s="3">
        <v>24</v>
      </c>
      <c r="AA1" s="3">
        <v>25</v>
      </c>
      <c r="AB1" s="3">
        <v>26</v>
      </c>
      <c r="AC1" s="3">
        <v>27</v>
      </c>
      <c r="AD1" s="3">
        <v>28</v>
      </c>
      <c r="AE1" s="3">
        <v>29</v>
      </c>
      <c r="AF1" s="3">
        <v>30</v>
      </c>
      <c r="AG1" s="3">
        <v>31</v>
      </c>
      <c r="AH1" s="3">
        <v>32</v>
      </c>
      <c r="AI1" s="3">
        <v>33</v>
      </c>
      <c r="AJ1" s="3">
        <v>34</v>
      </c>
      <c r="AK1" s="3">
        <v>35</v>
      </c>
    </row>
    <row r="2" spans="2:37" ht="12.5">
      <c r="B2" s="334">
        <f>COUNTA(BEGIN_UniqueHealthPlans:Row_Unique_Health_PlanCode)-1</f>
        <v>0</v>
      </c>
      <c r="C2" s="3" t="str">
        <f>IF(C1&gt;$B2,"DELETE",C1)</f>
        <v>DELETE</v>
      </c>
      <c r="D2" s="3" t="str">
        <f t="shared" si="0" ref="D2:AK2">IF(D1&gt;$B2,"DELETE",D1)</f>
        <v>DELETE</v>
      </c>
      <c r="E2" s="3" t="str">
        <f t="shared" si="0"/>
        <v>DELETE</v>
      </c>
      <c r="F2" s="3" t="str">
        <f t="shared" si="0"/>
        <v>DELETE</v>
      </c>
      <c r="G2" s="3" t="str">
        <f t="shared" si="0"/>
        <v>DELETE</v>
      </c>
      <c r="H2" s="3" t="str">
        <f t="shared" si="0"/>
        <v>DELETE</v>
      </c>
      <c r="I2" s="3" t="str">
        <f t="shared" si="0"/>
        <v>DELETE</v>
      </c>
      <c r="J2" s="3" t="str">
        <f t="shared" si="0"/>
        <v>DELETE</v>
      </c>
      <c r="K2" s="3" t="str">
        <f t="shared" si="0"/>
        <v>DELETE</v>
      </c>
      <c r="L2" s="3" t="str">
        <f t="shared" si="0"/>
        <v>DELETE</v>
      </c>
      <c r="M2" s="3" t="str">
        <f t="shared" si="0"/>
        <v>DELETE</v>
      </c>
      <c r="N2" s="3" t="str">
        <f t="shared" si="0"/>
        <v>DELETE</v>
      </c>
      <c r="O2" s="3" t="str">
        <f t="shared" si="0"/>
        <v>DELETE</v>
      </c>
      <c r="P2" s="3" t="str">
        <f t="shared" si="0"/>
        <v>DELETE</v>
      </c>
      <c r="Q2" s="3" t="str">
        <f t="shared" si="0"/>
        <v>DELETE</v>
      </c>
      <c r="R2" s="3" t="str">
        <f t="shared" si="0"/>
        <v>DELETE</v>
      </c>
      <c r="S2" s="3" t="str">
        <f t="shared" si="0"/>
        <v>DELETE</v>
      </c>
      <c r="T2" s="3" t="str">
        <f t="shared" si="0"/>
        <v>DELETE</v>
      </c>
      <c r="U2" s="3" t="str">
        <f t="shared" si="0"/>
        <v>DELETE</v>
      </c>
      <c r="V2" s="3" t="str">
        <f t="shared" si="0"/>
        <v>DELETE</v>
      </c>
      <c r="W2" s="3" t="str">
        <f t="shared" si="0"/>
        <v>DELETE</v>
      </c>
      <c r="X2" s="3" t="str">
        <f t="shared" si="0"/>
        <v>DELETE</v>
      </c>
      <c r="Y2" s="3" t="str">
        <f t="shared" si="0"/>
        <v>DELETE</v>
      </c>
      <c r="Z2" s="3" t="str">
        <f t="shared" si="0"/>
        <v>DELETE</v>
      </c>
      <c r="AA2" s="3" t="str">
        <f t="shared" si="0"/>
        <v>DELETE</v>
      </c>
      <c r="AB2" s="3" t="str">
        <f t="shared" si="0"/>
        <v>DELETE</v>
      </c>
      <c r="AC2" s="3" t="str">
        <f t="shared" si="0"/>
        <v>DELETE</v>
      </c>
      <c r="AD2" s="3" t="str">
        <f t="shared" si="0"/>
        <v>DELETE</v>
      </c>
      <c r="AE2" s="3" t="str">
        <f t="shared" si="0"/>
        <v>DELETE</v>
      </c>
      <c r="AF2" s="3" t="str">
        <f t="shared" si="0"/>
        <v>DELETE</v>
      </c>
      <c r="AG2" s="3" t="str">
        <f t="shared" si="0"/>
        <v>DELETE</v>
      </c>
      <c r="AH2" s="3" t="str">
        <f t="shared" si="0"/>
        <v>DELETE</v>
      </c>
      <c r="AI2" s="3" t="str">
        <f t="shared" si="0"/>
        <v>DELETE</v>
      </c>
      <c r="AJ2" s="3" t="str">
        <f t="shared" si="0"/>
        <v>DELETE</v>
      </c>
      <c r="AK2" s="3" t="str">
        <f t="shared" si="0"/>
        <v>DELETE</v>
      </c>
    </row>
    <row r="3" spans="2:37" ht="12.5">
      <c r="B3" s="334"/>
      <c r="C3" s="3" t="str">
        <f ca="1">IF(RIGHT(C5,4)="-VOL","DELETE",C2)</f>
        <v>DELETE</v>
      </c>
      <c r="D3" s="3" t="str">
        <f ca="1" t="shared" si="1" ref="D3:AK3">IF(RIGHT(D5,4)="-VOL","DELETE",D2)</f>
        <v>DELETE</v>
      </c>
      <c r="E3" s="3" t="str">
        <f t="shared" ca="1" si="1"/>
        <v>DELETE</v>
      </c>
      <c r="F3" s="3" t="str">
        <f t="shared" ca="1" si="1"/>
        <v>DELETE</v>
      </c>
      <c r="G3" s="3" t="str">
        <f t="shared" ca="1" si="1"/>
        <v>DELETE</v>
      </c>
      <c r="H3" s="3" t="str">
        <f t="shared" ca="1" si="1"/>
        <v>DELETE</v>
      </c>
      <c r="I3" s="3" t="str">
        <f t="shared" ca="1" si="1"/>
        <v>DELETE</v>
      </c>
      <c r="J3" s="3" t="str">
        <f t="shared" ca="1" si="1"/>
        <v>DELETE</v>
      </c>
      <c r="K3" s="3" t="str">
        <f t="shared" ca="1" si="1"/>
        <v>DELETE</v>
      </c>
      <c r="L3" s="3" t="str">
        <f t="shared" ca="1" si="1"/>
        <v>DELETE</v>
      </c>
      <c r="M3" s="3" t="str">
        <f t="shared" ca="1" si="1"/>
        <v>DELETE</v>
      </c>
      <c r="N3" s="3" t="str">
        <f t="shared" ca="1" si="1"/>
        <v>DELETE</v>
      </c>
      <c r="O3" s="3" t="str">
        <f t="shared" ca="1" si="1"/>
        <v>DELETE</v>
      </c>
      <c r="P3" s="3" t="str">
        <f t="shared" ca="1" si="1"/>
        <v>DELETE</v>
      </c>
      <c r="Q3" s="3" t="str">
        <f t="shared" ca="1" si="1"/>
        <v>DELETE</v>
      </c>
      <c r="R3" s="3" t="str">
        <f t="shared" ca="1" si="1"/>
        <v>DELETE</v>
      </c>
      <c r="S3" s="3" t="str">
        <f t="shared" ca="1" si="1"/>
        <v>DELETE</v>
      </c>
      <c r="T3" s="3" t="str">
        <f t="shared" ca="1" si="1"/>
        <v>DELETE</v>
      </c>
      <c r="U3" s="3" t="str">
        <f t="shared" ca="1" si="1"/>
        <v>DELETE</v>
      </c>
      <c r="V3" s="3" t="str">
        <f t="shared" ca="1" si="1"/>
        <v>DELETE</v>
      </c>
      <c r="W3" s="3" t="str">
        <f t="shared" ca="1" si="1"/>
        <v>DELETE</v>
      </c>
      <c r="X3" s="3" t="str">
        <f t="shared" ca="1" si="1"/>
        <v>DELETE</v>
      </c>
      <c r="Y3" s="3" t="str">
        <f t="shared" ca="1" si="1"/>
        <v>DELETE</v>
      </c>
      <c r="Z3" s="3" t="str">
        <f t="shared" ca="1" si="1"/>
        <v>DELETE</v>
      </c>
      <c r="AA3" s="3" t="str">
        <f t="shared" ca="1" si="1"/>
        <v>DELETE</v>
      </c>
      <c r="AB3" s="3" t="str">
        <f t="shared" ca="1" si="1"/>
        <v>DELETE</v>
      </c>
      <c r="AC3" s="3" t="str">
        <f t="shared" ca="1" si="1"/>
        <v>DELETE</v>
      </c>
      <c r="AD3" s="3" t="str">
        <f t="shared" ca="1" si="1"/>
        <v>DELETE</v>
      </c>
      <c r="AE3" s="3" t="str">
        <f t="shared" ca="1" si="1"/>
        <v>DELETE</v>
      </c>
      <c r="AF3" s="3" t="str">
        <f t="shared" ca="1" si="1"/>
        <v>DELETE</v>
      </c>
      <c r="AG3" s="3" t="str">
        <f t="shared" ca="1" si="1"/>
        <v>DELETE</v>
      </c>
      <c r="AH3" s="3" t="str">
        <f t="shared" ca="1" si="1"/>
        <v>DELETE</v>
      </c>
      <c r="AI3" s="3" t="str">
        <f t="shared" ca="1" si="1"/>
        <v>DELETE</v>
      </c>
      <c r="AJ3" s="3" t="str">
        <f t="shared" ca="1" si="1"/>
        <v>DELETE</v>
      </c>
      <c r="AK3" s="3" t="str">
        <f t="shared" ca="1" si="1"/>
        <v>DELETE</v>
      </c>
    </row>
    <row r="4" spans="2:2" ht="12.5">
      <c r="B4" s="334"/>
    </row>
    <row r="5" spans="1:37" s="260" customFormat="1" ht="36" customHeight="1">
      <c r="A5" s="335" t="s">
        <v>332</v>
      </c>
      <c r="B5" s="342" t="s">
        <v>38</v>
      </c>
      <c r="C5" s="336" t="str" cm="1">
        <f t="array" ca="1" aca="1" ref="C5">IFERROR(INDIRECT("ClassesPlans!A"&amp;ROW(BEGIN_UniqueHealthPlans)+C2,TRUE),"")</f>
        <v/>
      </c>
      <c r="D5" s="336" t="str" cm="1">
        <f t="array" ca="1" aca="1" ref="D5">IFERROR(INDIRECT("ClassesPlans!A"&amp;ROW(BEGIN_UniqueHealthPlans)+D2,TRUE),"")</f>
        <v/>
      </c>
      <c r="E5" s="336" t="str" cm="1">
        <f t="array" ca="1" aca="1" ref="E5">IFERROR(INDIRECT("ClassesPlans!A"&amp;ROW(BEGIN_UniqueHealthPlans)+E2,TRUE),"")</f>
        <v/>
      </c>
      <c r="F5" s="336" t="str" cm="1">
        <f t="array" ca="1" aca="1" ref="F5">IFERROR(INDIRECT("ClassesPlans!A"&amp;ROW(BEGIN_UniqueHealthPlans)+F2,TRUE),"")</f>
        <v/>
      </c>
      <c r="G5" s="336" t="str" cm="1">
        <f t="array" ca="1" aca="1" ref="G5">IFERROR(INDIRECT("ClassesPlans!A"&amp;ROW(BEGIN_UniqueHealthPlans)+G2,TRUE),"")</f>
        <v/>
      </c>
      <c r="H5" s="336" t="str" cm="1">
        <f t="array" ca="1" aca="1" ref="H5">IFERROR(INDIRECT("ClassesPlans!A"&amp;ROW(BEGIN_UniqueHealthPlans)+H2,TRUE),"")</f>
        <v/>
      </c>
      <c r="I5" s="336" t="str" cm="1">
        <f t="array" ca="1" aca="1" ref="I5">IFERROR(INDIRECT("ClassesPlans!A"&amp;ROW(BEGIN_UniqueHealthPlans)+I2,TRUE),"")</f>
        <v/>
      </c>
      <c r="J5" s="336" t="str" cm="1">
        <f t="array" ca="1" aca="1" ref="J5">IFERROR(INDIRECT("ClassesPlans!A"&amp;ROW(BEGIN_UniqueHealthPlans)+J2,TRUE),"")</f>
        <v/>
      </c>
      <c r="K5" s="336" t="str" cm="1">
        <f t="array" ca="1" aca="1" ref="K5">IFERROR(INDIRECT("ClassesPlans!A"&amp;ROW(BEGIN_UniqueHealthPlans)+K2,TRUE),"")</f>
        <v/>
      </c>
      <c r="L5" s="336" t="str" cm="1">
        <f t="array" ca="1" aca="1" ref="L5">IFERROR(INDIRECT("ClassesPlans!A"&amp;ROW(BEGIN_UniqueHealthPlans)+L2,TRUE),"")</f>
        <v/>
      </c>
      <c r="M5" s="336" t="str" cm="1">
        <f t="array" ca="1" aca="1" ref="M5">IFERROR(INDIRECT("ClassesPlans!A"&amp;ROW(BEGIN_UniqueHealthPlans)+M2,TRUE),"")</f>
        <v/>
      </c>
      <c r="N5" s="336" t="str" cm="1">
        <f t="array" ca="1" aca="1" ref="N5">IFERROR(INDIRECT("ClassesPlans!A"&amp;ROW(BEGIN_UniqueHealthPlans)+N2,TRUE),"")</f>
        <v/>
      </c>
      <c r="O5" s="336" t="str" cm="1">
        <f t="array" ca="1" aca="1" ref="O5">IFERROR(INDIRECT("ClassesPlans!A"&amp;ROW(BEGIN_UniqueHealthPlans)+O2,TRUE),"")</f>
        <v/>
      </c>
      <c r="P5" s="336" t="str" cm="1">
        <f t="array" ca="1" aca="1" ref="P5">IFERROR(INDIRECT("ClassesPlans!A"&amp;ROW(BEGIN_UniqueHealthPlans)+P2,TRUE),"")</f>
        <v/>
      </c>
      <c r="Q5" s="336" t="str" cm="1">
        <f t="array" ca="1" aca="1" ref="Q5">IFERROR(INDIRECT("ClassesPlans!A"&amp;ROW(BEGIN_UniqueHealthPlans)+Q2,TRUE),"")</f>
        <v/>
      </c>
      <c r="R5" s="336" t="str" cm="1">
        <f t="array" ca="1" aca="1" ref="R5">IFERROR(INDIRECT("ClassesPlans!A"&amp;ROW(BEGIN_UniqueHealthPlans)+R2,TRUE),"")</f>
        <v/>
      </c>
      <c r="S5" s="336" t="str" cm="1">
        <f t="array" ca="1" aca="1" ref="S5">IFERROR(INDIRECT("ClassesPlans!A"&amp;ROW(BEGIN_UniqueHealthPlans)+S2,TRUE),"")</f>
        <v/>
      </c>
      <c r="T5" s="336" t="str" cm="1">
        <f t="array" ca="1" aca="1" ref="T5">IFERROR(INDIRECT("ClassesPlans!A"&amp;ROW(BEGIN_UniqueHealthPlans)+T2,TRUE),"")</f>
        <v/>
      </c>
      <c r="U5" s="336" t="str" cm="1">
        <f t="array" ca="1" aca="1" ref="U5">IFERROR(INDIRECT("ClassesPlans!A"&amp;ROW(BEGIN_UniqueHealthPlans)+U2,TRUE),"")</f>
        <v/>
      </c>
      <c r="V5" s="336" t="str" cm="1">
        <f t="array" ca="1" aca="1" ref="V5">IFERROR(INDIRECT("ClassesPlans!A"&amp;ROW(BEGIN_UniqueHealthPlans)+V2,TRUE),"")</f>
        <v/>
      </c>
      <c r="W5" s="336" t="str" cm="1">
        <f t="array" ca="1" aca="1" ref="W5">IFERROR(INDIRECT("ClassesPlans!A"&amp;ROW(BEGIN_UniqueHealthPlans)+W2,TRUE),"")</f>
        <v/>
      </c>
      <c r="X5" s="336" t="str" cm="1">
        <f t="array" ca="1" aca="1" ref="X5">IFERROR(INDIRECT("ClassesPlans!A"&amp;ROW(BEGIN_UniqueHealthPlans)+X2,TRUE),"")</f>
        <v/>
      </c>
      <c r="Y5" s="336" t="str" cm="1">
        <f t="array" ca="1" aca="1" ref="Y5">IFERROR(INDIRECT("ClassesPlans!A"&amp;ROW(BEGIN_UniqueHealthPlans)+Y2,TRUE),"")</f>
        <v/>
      </c>
      <c r="Z5" s="336" t="str" cm="1">
        <f t="array" ca="1" aca="1" ref="Z5">IFERROR(INDIRECT("ClassesPlans!A"&amp;ROW(BEGIN_UniqueHealthPlans)+Z2,TRUE),"")</f>
        <v/>
      </c>
      <c r="AA5" s="336" t="str" cm="1">
        <f t="array" ca="1" aca="1" ref="AA5">IFERROR(INDIRECT("ClassesPlans!A"&amp;ROW(BEGIN_UniqueHealthPlans)+AA2,TRUE),"")</f>
        <v/>
      </c>
      <c r="AB5" s="336" t="str" cm="1">
        <f t="array" ca="1" aca="1" ref="AB5">IFERROR(INDIRECT("ClassesPlans!A"&amp;ROW(BEGIN_UniqueHealthPlans)+AB2,TRUE),"")</f>
        <v/>
      </c>
      <c r="AC5" s="336" t="str" cm="1">
        <f t="array" ca="1" aca="1" ref="AC5">IFERROR(INDIRECT("ClassesPlans!A"&amp;ROW(BEGIN_UniqueHealthPlans)+AC2,TRUE),"")</f>
        <v/>
      </c>
      <c r="AD5" s="336" t="str" cm="1">
        <f t="array" ca="1" aca="1" ref="AD5">IFERROR(INDIRECT("ClassesPlans!A"&amp;ROW(BEGIN_UniqueHealthPlans)+AD2,TRUE),"")</f>
        <v/>
      </c>
      <c r="AE5" s="336" t="str" cm="1">
        <f t="array" ca="1" aca="1" ref="AE5">IFERROR(INDIRECT("ClassesPlans!A"&amp;ROW(BEGIN_UniqueHealthPlans)+AE2,TRUE),"")</f>
        <v/>
      </c>
      <c r="AF5" s="336" t="str" cm="1">
        <f t="array" ca="1" aca="1" ref="AF5">IFERROR(INDIRECT("ClassesPlans!A"&amp;ROW(BEGIN_UniqueHealthPlans)+AF2,TRUE),"")</f>
        <v/>
      </c>
      <c r="AG5" s="336" t="str" cm="1">
        <f t="array" ca="1" aca="1" ref="AG5">IFERROR(INDIRECT("ClassesPlans!A"&amp;ROW(BEGIN_UniqueHealthPlans)+AG2,TRUE),"")</f>
        <v/>
      </c>
      <c r="AH5" s="336" t="str" cm="1">
        <f t="array" ca="1" aca="1" ref="AH5">IFERROR(INDIRECT("ClassesPlans!A"&amp;ROW(BEGIN_UniqueHealthPlans)+AH2,TRUE),"")</f>
        <v/>
      </c>
      <c r="AI5" s="336" t="str" cm="1">
        <f t="array" ca="1" aca="1" ref="AI5">IFERROR(INDIRECT("ClassesPlans!A"&amp;ROW(BEGIN_UniqueHealthPlans)+AI2,TRUE),"")</f>
        <v/>
      </c>
      <c r="AJ5" s="336" t="str" cm="1">
        <f t="array" ca="1" aca="1" ref="AJ5">IFERROR(INDIRECT("ClassesPlans!A"&amp;ROW(BEGIN_UniqueHealthPlans)+AJ2,TRUE),"")</f>
        <v/>
      </c>
      <c r="AK5" s="336" t="str" cm="1">
        <f t="array" ca="1" aca="1" ref="AK5">IFERROR(INDIRECT("ClassesPlans!A"&amp;ROW(BEGIN_UniqueHealthPlans)+AK2,TRUE),"")</f>
        <v/>
      </c>
    </row>
    <row r="6" spans="2:37" ht="12.5">
      <c r="B6" s="344" t="s">
        <v>333</v>
      </c>
      <c r="C6" s="337"/>
      <c r="D6" s="337"/>
      <c r="E6" s="337"/>
      <c r="F6" s="337"/>
      <c r="G6" s="337"/>
      <c r="H6" s="337"/>
      <c r="I6" s="337"/>
      <c r="J6" s="337"/>
      <c r="K6" s="337"/>
      <c r="L6" s="337"/>
      <c r="M6" s="337"/>
      <c r="N6" s="337"/>
      <c r="O6" s="337"/>
      <c r="P6" s="337"/>
      <c r="Q6" s="337"/>
      <c r="R6" s="337"/>
      <c r="S6" s="337"/>
      <c r="T6" s="337"/>
      <c r="U6" s="337"/>
      <c r="V6" s="337"/>
      <c r="W6" s="337"/>
      <c r="X6" s="337"/>
      <c r="Y6" s="337"/>
      <c r="Z6" s="337"/>
      <c r="AA6" s="337"/>
      <c r="AB6" s="337"/>
      <c r="AC6" s="337"/>
      <c r="AD6" s="337"/>
      <c r="AE6" s="337"/>
      <c r="AF6" s="337"/>
      <c r="AG6" s="337"/>
      <c r="AH6" s="337"/>
      <c r="AI6" s="337"/>
      <c r="AJ6" s="337"/>
      <c r="AK6" s="337"/>
    </row>
    <row r="7" spans="1:37" ht="12.5">
      <c r="A7" s="3">
        <v>9</v>
      </c>
      <c r="B7" s="343" t="s">
        <v>238</v>
      </c>
      <c r="C7" s="322" t="str">
        <f ca="1">IFERROR(VLOOKUP(C$5,BEGIN_RENEW_HEALTH_PLANID:END_RENEW_HEALTH,$A7,FALSE),"")</f>
        <v/>
      </c>
      <c r="D7" s="322" t="str">
        <f ca="1">IFERROR(VLOOKUP(D$5,BEGIN_RENEW_HEALTH_PLANID:END_RENEW_HEALTH,$A7,FALSE),"")</f>
        <v/>
      </c>
      <c r="E7" s="322" t="str">
        <f ca="1">IFERROR(VLOOKUP(E$5,BEGIN_RENEW_HEALTH_PLANID:END_RENEW_HEALTH,$A7,FALSE),"")</f>
        <v/>
      </c>
      <c r="F7" s="322" t="str">
        <f ca="1">IFERROR(VLOOKUP(F$5,BEGIN_RENEW_HEALTH_PLANID:END_RENEW_HEALTH,$A7,FALSE),"")</f>
        <v/>
      </c>
      <c r="G7" s="322" t="str">
        <f ca="1">IFERROR(VLOOKUP(G$5,BEGIN_RENEW_HEALTH_PLANID:END_RENEW_HEALTH,$A7,FALSE),"")</f>
        <v/>
      </c>
      <c r="H7" s="322" t="str">
        <f ca="1">IFERROR(VLOOKUP(H$5,BEGIN_RENEW_HEALTH_PLANID:END_RENEW_HEALTH,$A7,FALSE),"")</f>
        <v/>
      </c>
      <c r="I7" s="322" t="str">
        <f ca="1">IFERROR(VLOOKUP(I$5,BEGIN_RENEW_HEALTH_PLANID:END_RENEW_HEALTH,$A7,FALSE),"")</f>
        <v/>
      </c>
      <c r="J7" s="322" t="str">
        <f ca="1">IFERROR(VLOOKUP(J$5,BEGIN_RENEW_HEALTH_PLANID:END_RENEW_HEALTH,$A7,FALSE),"")</f>
        <v/>
      </c>
      <c r="K7" s="322" t="str">
        <f ca="1">IFERROR(VLOOKUP(K$5,BEGIN_RENEW_HEALTH_PLANID:END_RENEW_HEALTH,$A7,FALSE),"")</f>
        <v/>
      </c>
      <c r="L7" s="322" t="str">
        <f ca="1">IFERROR(VLOOKUP(L$5,BEGIN_RENEW_HEALTH_PLANID:END_RENEW_HEALTH,$A7,FALSE),"")</f>
        <v/>
      </c>
      <c r="M7" s="322" t="str">
        <f ca="1">IFERROR(VLOOKUP(M$5,BEGIN_RENEW_HEALTH_PLANID:END_RENEW_HEALTH,$A7,FALSE),"")</f>
        <v/>
      </c>
      <c r="N7" s="322" t="str">
        <f ca="1">IFERROR(VLOOKUP(N$5,BEGIN_RENEW_HEALTH_PLANID:END_RENEW_HEALTH,$A7,FALSE),"")</f>
        <v/>
      </c>
      <c r="O7" s="322" t="str">
        <f ca="1">IFERROR(VLOOKUP(O$5,BEGIN_RENEW_HEALTH_PLANID:END_RENEW_HEALTH,$A7,FALSE),"")</f>
        <v/>
      </c>
      <c r="P7" s="322" t="str">
        <f ca="1">IFERROR(VLOOKUP(P$5,BEGIN_RENEW_HEALTH_PLANID:END_RENEW_HEALTH,$A7,FALSE),"")</f>
        <v/>
      </c>
      <c r="Q7" s="322" t="str">
        <f ca="1">IFERROR(VLOOKUP(Q$5,BEGIN_RENEW_HEALTH_PLANID:END_RENEW_HEALTH,$A7,FALSE),"")</f>
        <v/>
      </c>
      <c r="R7" s="322" t="str">
        <f ca="1">IFERROR(VLOOKUP(R$5,BEGIN_RENEW_HEALTH_PLANID:END_RENEW_HEALTH,$A7,FALSE),"")</f>
        <v/>
      </c>
      <c r="S7" s="322" t="str">
        <f ca="1">IFERROR(VLOOKUP(S$5,BEGIN_RENEW_HEALTH_PLANID:END_RENEW_HEALTH,$A7,FALSE),"")</f>
        <v/>
      </c>
      <c r="T7" s="322" t="str">
        <f ca="1">IFERROR(VLOOKUP(T$5,BEGIN_RENEW_HEALTH_PLANID:END_RENEW_HEALTH,$A7,FALSE),"")</f>
        <v/>
      </c>
      <c r="U7" s="322" t="str">
        <f ca="1">IFERROR(VLOOKUP(U$5,BEGIN_RENEW_HEALTH_PLANID:END_RENEW_HEALTH,$A7,FALSE),"")</f>
        <v/>
      </c>
      <c r="V7" s="322" t="str">
        <f ca="1">IFERROR(VLOOKUP(V$5,BEGIN_RENEW_HEALTH_PLANID:END_RENEW_HEALTH,$A7,FALSE),"")</f>
        <v/>
      </c>
      <c r="W7" s="322" t="str">
        <f ca="1">IFERROR(VLOOKUP(W$5,BEGIN_RENEW_HEALTH_PLANID:END_RENEW_HEALTH,$A7,FALSE),"")</f>
        <v/>
      </c>
      <c r="X7" s="322" t="str">
        <f ca="1">IFERROR(VLOOKUP(X$5,BEGIN_RENEW_HEALTH_PLANID:END_RENEW_HEALTH,$A7,FALSE),"")</f>
        <v/>
      </c>
      <c r="Y7" s="322" t="str">
        <f ca="1">IFERROR(VLOOKUP(Y$5,BEGIN_RENEW_HEALTH_PLANID:END_RENEW_HEALTH,$A7,FALSE),"")</f>
        <v/>
      </c>
      <c r="Z7" s="322" t="str">
        <f ca="1">IFERROR(VLOOKUP(Z$5,BEGIN_RENEW_HEALTH_PLANID:END_RENEW_HEALTH,$A7,FALSE),"")</f>
        <v/>
      </c>
      <c r="AA7" s="322" t="str">
        <f ca="1">IFERROR(VLOOKUP(AA$5,BEGIN_RENEW_HEALTH_PLANID:END_RENEW_HEALTH,$A7,FALSE),"")</f>
        <v/>
      </c>
      <c r="AB7" s="322" t="str">
        <f ca="1">IFERROR(VLOOKUP(AB$5,BEGIN_RENEW_HEALTH_PLANID:END_RENEW_HEALTH,$A7,FALSE),"")</f>
        <v/>
      </c>
      <c r="AC7" s="322" t="str">
        <f ca="1">IFERROR(VLOOKUP(AC$5,BEGIN_RENEW_HEALTH_PLANID:END_RENEW_HEALTH,$A7,FALSE),"")</f>
        <v/>
      </c>
      <c r="AD7" s="322" t="str">
        <f ca="1">IFERROR(VLOOKUP(AD$5,BEGIN_RENEW_HEALTH_PLANID:END_RENEW_HEALTH,$A7,FALSE),"")</f>
        <v/>
      </c>
      <c r="AE7" s="322" t="str">
        <f ca="1">IFERROR(VLOOKUP(AE$5,BEGIN_RENEW_HEALTH_PLANID:END_RENEW_HEALTH,$A7,FALSE),"")</f>
        <v/>
      </c>
      <c r="AF7" s="322" t="str">
        <f ca="1">IFERROR(VLOOKUP(AF$5,BEGIN_RENEW_HEALTH_PLANID:END_RENEW_HEALTH,$A7,FALSE),"")</f>
        <v/>
      </c>
      <c r="AG7" s="322" t="str">
        <f ca="1">IFERROR(VLOOKUP(AG$5,BEGIN_RENEW_HEALTH_PLANID:END_RENEW_HEALTH,$A7,FALSE),"")</f>
        <v/>
      </c>
      <c r="AH7" s="322" t="str">
        <f ca="1">IFERROR(VLOOKUP(AH$5,BEGIN_RENEW_HEALTH_PLANID:END_RENEW_HEALTH,$A7,FALSE),"")</f>
        <v/>
      </c>
      <c r="AI7" s="322" t="str">
        <f ca="1">IFERROR(VLOOKUP(AI$5,BEGIN_RENEW_HEALTH_PLANID:END_RENEW_HEALTH,$A7,FALSE),"")</f>
        <v/>
      </c>
      <c r="AJ7" s="322" t="str">
        <f ca="1">IFERROR(VLOOKUP(AJ$5,BEGIN_RENEW_HEALTH_PLANID:END_RENEW_HEALTH,$A7,FALSE),"")</f>
        <v/>
      </c>
      <c r="AK7" s="322" t="str">
        <f ca="1">IFERROR(VLOOKUP(AK$5,BEGIN_RENEW_HEALTH_PLANID:END_RENEW_HEALTH,$A7,FALSE),"")</f>
        <v/>
      </c>
    </row>
    <row r="8" spans="1:37" ht="12.5">
      <c r="A8" s="3">
        <v>10</v>
      </c>
      <c r="B8" s="343" t="s">
        <v>239</v>
      </c>
      <c r="C8" s="322" t="str">
        <f ca="1">IFERROR(VLOOKUP(C$5,BEGIN_RENEW_HEALTH_PLANID:END_RENEW_HEALTH,$A8,FALSE),"")</f>
        <v/>
      </c>
      <c r="D8" s="322" t="str">
        <f ca="1">IFERROR(VLOOKUP(D$5,BEGIN_RENEW_HEALTH_PLANID:END_RENEW_HEALTH,$A8,FALSE),"")</f>
        <v/>
      </c>
      <c r="E8" s="322" t="str">
        <f ca="1">IFERROR(VLOOKUP(E$5,BEGIN_RENEW_HEALTH_PLANID:END_RENEW_HEALTH,$A8,FALSE),"")</f>
        <v/>
      </c>
      <c r="F8" s="322" t="str">
        <f ca="1">IFERROR(VLOOKUP(F$5,BEGIN_RENEW_HEALTH_PLANID:END_RENEW_HEALTH,$A8,FALSE),"")</f>
        <v/>
      </c>
      <c r="G8" s="322" t="str">
        <f ca="1">IFERROR(VLOOKUP(G$5,BEGIN_RENEW_HEALTH_PLANID:END_RENEW_HEALTH,$A8,FALSE),"")</f>
        <v/>
      </c>
      <c r="H8" s="322" t="str">
        <f ca="1">IFERROR(VLOOKUP(H$5,BEGIN_RENEW_HEALTH_PLANID:END_RENEW_HEALTH,$A8,FALSE),"")</f>
        <v/>
      </c>
      <c r="I8" s="322" t="str">
        <f ca="1">IFERROR(VLOOKUP(I$5,BEGIN_RENEW_HEALTH_PLANID:END_RENEW_HEALTH,$A8,FALSE),"")</f>
        <v/>
      </c>
      <c r="J8" s="322" t="str">
        <f ca="1">IFERROR(VLOOKUP(J$5,BEGIN_RENEW_HEALTH_PLANID:END_RENEW_HEALTH,$A8,FALSE),"")</f>
        <v/>
      </c>
      <c r="K8" s="322" t="str">
        <f ca="1">IFERROR(VLOOKUP(K$5,BEGIN_RENEW_HEALTH_PLANID:END_RENEW_HEALTH,$A8,FALSE),"")</f>
        <v/>
      </c>
      <c r="L8" s="322" t="str">
        <f ca="1">IFERROR(VLOOKUP(L$5,BEGIN_RENEW_HEALTH_PLANID:END_RENEW_HEALTH,$A8,FALSE),"")</f>
        <v/>
      </c>
      <c r="M8" s="322" t="str">
        <f ca="1">IFERROR(VLOOKUP(M$5,BEGIN_RENEW_HEALTH_PLANID:END_RENEW_HEALTH,$A8,FALSE),"")</f>
        <v/>
      </c>
      <c r="N8" s="322" t="str">
        <f ca="1">IFERROR(VLOOKUP(N$5,BEGIN_RENEW_HEALTH_PLANID:END_RENEW_HEALTH,$A8,FALSE),"")</f>
        <v/>
      </c>
      <c r="O8" s="322" t="str">
        <f ca="1">IFERROR(VLOOKUP(O$5,BEGIN_RENEW_HEALTH_PLANID:END_RENEW_HEALTH,$A8,FALSE),"")</f>
        <v/>
      </c>
      <c r="P8" s="322" t="str">
        <f ca="1">IFERROR(VLOOKUP(P$5,BEGIN_RENEW_HEALTH_PLANID:END_RENEW_HEALTH,$A8,FALSE),"")</f>
        <v/>
      </c>
      <c r="Q8" s="322" t="str">
        <f ca="1">IFERROR(VLOOKUP(Q$5,BEGIN_RENEW_HEALTH_PLANID:END_RENEW_HEALTH,$A8,FALSE),"")</f>
        <v/>
      </c>
      <c r="R8" s="322" t="str">
        <f ca="1">IFERROR(VLOOKUP(R$5,BEGIN_RENEW_HEALTH_PLANID:END_RENEW_HEALTH,$A8,FALSE),"")</f>
        <v/>
      </c>
      <c r="S8" s="322" t="str">
        <f ca="1">IFERROR(VLOOKUP(S$5,BEGIN_RENEW_HEALTH_PLANID:END_RENEW_HEALTH,$A8,FALSE),"")</f>
        <v/>
      </c>
      <c r="T8" s="322" t="str">
        <f ca="1">IFERROR(VLOOKUP(T$5,BEGIN_RENEW_HEALTH_PLANID:END_RENEW_HEALTH,$A8,FALSE),"")</f>
        <v/>
      </c>
      <c r="U8" s="322" t="str">
        <f ca="1">IFERROR(VLOOKUP(U$5,BEGIN_RENEW_HEALTH_PLANID:END_RENEW_HEALTH,$A8,FALSE),"")</f>
        <v/>
      </c>
      <c r="V8" s="322" t="str">
        <f ca="1">IFERROR(VLOOKUP(V$5,BEGIN_RENEW_HEALTH_PLANID:END_RENEW_HEALTH,$A8,FALSE),"")</f>
        <v/>
      </c>
      <c r="W8" s="322" t="str">
        <f ca="1">IFERROR(VLOOKUP(W$5,BEGIN_RENEW_HEALTH_PLANID:END_RENEW_HEALTH,$A8,FALSE),"")</f>
        <v/>
      </c>
      <c r="X8" s="322" t="str">
        <f ca="1">IFERROR(VLOOKUP(X$5,BEGIN_RENEW_HEALTH_PLANID:END_RENEW_HEALTH,$A8,FALSE),"")</f>
        <v/>
      </c>
      <c r="Y8" s="322" t="str">
        <f ca="1">IFERROR(VLOOKUP(Y$5,BEGIN_RENEW_HEALTH_PLANID:END_RENEW_HEALTH,$A8,FALSE),"")</f>
        <v/>
      </c>
      <c r="Z8" s="322" t="str">
        <f ca="1">IFERROR(VLOOKUP(Z$5,BEGIN_RENEW_HEALTH_PLANID:END_RENEW_HEALTH,$A8,FALSE),"")</f>
        <v/>
      </c>
      <c r="AA8" s="322" t="str">
        <f ca="1">IFERROR(VLOOKUP(AA$5,BEGIN_RENEW_HEALTH_PLANID:END_RENEW_HEALTH,$A8,FALSE),"")</f>
        <v/>
      </c>
      <c r="AB8" s="322" t="str">
        <f ca="1">IFERROR(VLOOKUP(AB$5,BEGIN_RENEW_HEALTH_PLANID:END_RENEW_HEALTH,$A8,FALSE),"")</f>
        <v/>
      </c>
      <c r="AC8" s="322" t="str">
        <f ca="1">IFERROR(VLOOKUP(AC$5,BEGIN_RENEW_HEALTH_PLANID:END_RENEW_HEALTH,$A8,FALSE),"")</f>
        <v/>
      </c>
      <c r="AD8" s="322" t="str">
        <f ca="1">IFERROR(VLOOKUP(AD$5,BEGIN_RENEW_HEALTH_PLANID:END_RENEW_HEALTH,$A8,FALSE),"")</f>
        <v/>
      </c>
      <c r="AE8" s="322" t="str">
        <f ca="1">IFERROR(VLOOKUP(AE$5,BEGIN_RENEW_HEALTH_PLANID:END_RENEW_HEALTH,$A8,FALSE),"")</f>
        <v/>
      </c>
      <c r="AF8" s="322" t="str">
        <f ca="1">IFERROR(VLOOKUP(AF$5,BEGIN_RENEW_HEALTH_PLANID:END_RENEW_HEALTH,$A8,FALSE),"")</f>
        <v/>
      </c>
      <c r="AG8" s="322" t="str">
        <f ca="1">IFERROR(VLOOKUP(AG$5,BEGIN_RENEW_HEALTH_PLANID:END_RENEW_HEALTH,$A8,FALSE),"")</f>
        <v/>
      </c>
      <c r="AH8" s="322" t="str">
        <f ca="1">IFERROR(VLOOKUP(AH$5,BEGIN_RENEW_HEALTH_PLANID:END_RENEW_HEALTH,$A8,FALSE),"")</f>
        <v/>
      </c>
      <c r="AI8" s="322" t="str">
        <f ca="1">IFERROR(VLOOKUP(AI$5,BEGIN_RENEW_HEALTH_PLANID:END_RENEW_HEALTH,$A8,FALSE),"")</f>
        <v/>
      </c>
      <c r="AJ8" s="322" t="str">
        <f ca="1">IFERROR(VLOOKUP(AJ$5,BEGIN_RENEW_HEALTH_PLANID:END_RENEW_HEALTH,$A8,FALSE),"")</f>
        <v/>
      </c>
      <c r="AK8" s="322" t="str">
        <f ca="1">IFERROR(VLOOKUP(AK$5,BEGIN_RENEW_HEALTH_PLANID:END_RENEW_HEALTH,$A8,FALSE),"")</f>
        <v/>
      </c>
    </row>
    <row r="9" spans="1:37" ht="12.5">
      <c r="A9" s="3">
        <v>11</v>
      </c>
      <c r="B9" s="343" t="s">
        <v>334</v>
      </c>
      <c r="C9" s="322" t="str">
        <f ca="1">IFERROR(VLOOKUP(C$5,BEGIN_RENEW_HEALTH_PLANID:END_RENEW_HEALTH,$A9,FALSE),"")</f>
        <v/>
      </c>
      <c r="D9" s="322" t="str">
        <f ca="1">IFERROR(VLOOKUP(D$5,BEGIN_RENEW_HEALTH_PLANID:END_RENEW_HEALTH,$A9,FALSE),"")</f>
        <v/>
      </c>
      <c r="E9" s="322" t="str">
        <f ca="1">IFERROR(VLOOKUP(E$5,BEGIN_RENEW_HEALTH_PLANID:END_RENEW_HEALTH,$A9,FALSE),"")</f>
        <v/>
      </c>
      <c r="F9" s="322" t="str">
        <f ca="1">IFERROR(VLOOKUP(F$5,BEGIN_RENEW_HEALTH_PLANID:END_RENEW_HEALTH,$A9,FALSE),"")</f>
        <v/>
      </c>
      <c r="G9" s="322" t="str">
        <f ca="1">IFERROR(VLOOKUP(G$5,BEGIN_RENEW_HEALTH_PLANID:END_RENEW_HEALTH,$A9,FALSE),"")</f>
        <v/>
      </c>
      <c r="H9" s="322" t="str">
        <f ca="1">IFERROR(VLOOKUP(H$5,BEGIN_RENEW_HEALTH_PLANID:END_RENEW_HEALTH,$A9,FALSE),"")</f>
        <v/>
      </c>
      <c r="I9" s="322" t="str">
        <f ca="1">IFERROR(VLOOKUP(I$5,BEGIN_RENEW_HEALTH_PLANID:END_RENEW_HEALTH,$A9,FALSE),"")</f>
        <v/>
      </c>
      <c r="J9" s="322" t="str">
        <f ca="1">IFERROR(VLOOKUP(J$5,BEGIN_RENEW_HEALTH_PLANID:END_RENEW_HEALTH,$A9,FALSE),"")</f>
        <v/>
      </c>
      <c r="K9" s="322" t="str">
        <f ca="1">IFERROR(VLOOKUP(K$5,BEGIN_RENEW_HEALTH_PLANID:END_RENEW_HEALTH,$A9,FALSE),"")</f>
        <v/>
      </c>
      <c r="L9" s="322" t="str">
        <f ca="1">IFERROR(VLOOKUP(L$5,BEGIN_RENEW_HEALTH_PLANID:END_RENEW_HEALTH,$A9,FALSE),"")</f>
        <v/>
      </c>
      <c r="M9" s="322" t="str">
        <f ca="1">IFERROR(VLOOKUP(M$5,BEGIN_RENEW_HEALTH_PLANID:END_RENEW_HEALTH,$A9,FALSE),"")</f>
        <v/>
      </c>
      <c r="N9" s="322" t="str">
        <f ca="1">IFERROR(VLOOKUP(N$5,BEGIN_RENEW_HEALTH_PLANID:END_RENEW_HEALTH,$A9,FALSE),"")</f>
        <v/>
      </c>
      <c r="O9" s="322" t="str">
        <f ca="1">IFERROR(VLOOKUP(O$5,BEGIN_RENEW_HEALTH_PLANID:END_RENEW_HEALTH,$A9,FALSE),"")</f>
        <v/>
      </c>
      <c r="P9" s="322" t="str">
        <f ca="1">IFERROR(VLOOKUP(P$5,BEGIN_RENEW_HEALTH_PLANID:END_RENEW_HEALTH,$A9,FALSE),"")</f>
        <v/>
      </c>
      <c r="Q9" s="322" t="str">
        <f ca="1">IFERROR(VLOOKUP(Q$5,BEGIN_RENEW_HEALTH_PLANID:END_RENEW_HEALTH,$A9,FALSE),"")</f>
        <v/>
      </c>
      <c r="R9" s="322" t="str">
        <f ca="1">IFERROR(VLOOKUP(R$5,BEGIN_RENEW_HEALTH_PLANID:END_RENEW_HEALTH,$A9,FALSE),"")</f>
        <v/>
      </c>
      <c r="S9" s="322" t="str">
        <f ca="1">IFERROR(VLOOKUP(S$5,BEGIN_RENEW_HEALTH_PLANID:END_RENEW_HEALTH,$A9,FALSE),"")</f>
        <v/>
      </c>
      <c r="T9" s="322" t="str">
        <f ca="1">IFERROR(VLOOKUP(T$5,BEGIN_RENEW_HEALTH_PLANID:END_RENEW_HEALTH,$A9,FALSE),"")</f>
        <v/>
      </c>
      <c r="U9" s="322" t="str">
        <f ca="1">IFERROR(VLOOKUP(U$5,BEGIN_RENEW_HEALTH_PLANID:END_RENEW_HEALTH,$A9,FALSE),"")</f>
        <v/>
      </c>
      <c r="V9" s="322" t="str">
        <f ca="1">IFERROR(VLOOKUP(V$5,BEGIN_RENEW_HEALTH_PLANID:END_RENEW_HEALTH,$A9,FALSE),"")</f>
        <v/>
      </c>
      <c r="W9" s="322" t="str">
        <f ca="1">IFERROR(VLOOKUP(W$5,BEGIN_RENEW_HEALTH_PLANID:END_RENEW_HEALTH,$A9,FALSE),"")</f>
        <v/>
      </c>
      <c r="X9" s="322" t="str">
        <f ca="1">IFERROR(VLOOKUP(X$5,BEGIN_RENEW_HEALTH_PLANID:END_RENEW_HEALTH,$A9,FALSE),"")</f>
        <v/>
      </c>
      <c r="Y9" s="322" t="str">
        <f ca="1">IFERROR(VLOOKUP(Y$5,BEGIN_RENEW_HEALTH_PLANID:END_RENEW_HEALTH,$A9,FALSE),"")</f>
        <v/>
      </c>
      <c r="Z9" s="322" t="str">
        <f ca="1">IFERROR(VLOOKUP(Z$5,BEGIN_RENEW_HEALTH_PLANID:END_RENEW_HEALTH,$A9,FALSE),"")</f>
        <v/>
      </c>
      <c r="AA9" s="322" t="str">
        <f ca="1">IFERROR(VLOOKUP(AA$5,BEGIN_RENEW_HEALTH_PLANID:END_RENEW_HEALTH,$A9,FALSE),"")</f>
        <v/>
      </c>
      <c r="AB9" s="322" t="str">
        <f ca="1">IFERROR(VLOOKUP(AB$5,BEGIN_RENEW_HEALTH_PLANID:END_RENEW_HEALTH,$A9,FALSE),"")</f>
        <v/>
      </c>
      <c r="AC9" s="322" t="str">
        <f ca="1">IFERROR(VLOOKUP(AC$5,BEGIN_RENEW_HEALTH_PLANID:END_RENEW_HEALTH,$A9,FALSE),"")</f>
        <v/>
      </c>
      <c r="AD9" s="322" t="str">
        <f ca="1">IFERROR(VLOOKUP(AD$5,BEGIN_RENEW_HEALTH_PLANID:END_RENEW_HEALTH,$A9,FALSE),"")</f>
        <v/>
      </c>
      <c r="AE9" s="322" t="str">
        <f ca="1">IFERROR(VLOOKUP(AE$5,BEGIN_RENEW_HEALTH_PLANID:END_RENEW_HEALTH,$A9,FALSE),"")</f>
        <v/>
      </c>
      <c r="AF9" s="322" t="str">
        <f ca="1">IFERROR(VLOOKUP(AF$5,BEGIN_RENEW_HEALTH_PLANID:END_RENEW_HEALTH,$A9,FALSE),"")</f>
        <v/>
      </c>
      <c r="AG9" s="322" t="str">
        <f ca="1">IFERROR(VLOOKUP(AG$5,BEGIN_RENEW_HEALTH_PLANID:END_RENEW_HEALTH,$A9,FALSE),"")</f>
        <v/>
      </c>
      <c r="AH9" s="322" t="str">
        <f ca="1">IFERROR(VLOOKUP(AH$5,BEGIN_RENEW_HEALTH_PLANID:END_RENEW_HEALTH,$A9,FALSE),"")</f>
        <v/>
      </c>
      <c r="AI9" s="322" t="str">
        <f ca="1">IFERROR(VLOOKUP(AI$5,BEGIN_RENEW_HEALTH_PLANID:END_RENEW_HEALTH,$A9,FALSE),"")</f>
        <v/>
      </c>
      <c r="AJ9" s="322" t="str">
        <f ca="1">IFERROR(VLOOKUP(AJ$5,BEGIN_RENEW_HEALTH_PLANID:END_RENEW_HEALTH,$A9,FALSE),"")</f>
        <v/>
      </c>
      <c r="AK9" s="322" t="str">
        <f ca="1">IFERROR(VLOOKUP(AK$5,BEGIN_RENEW_HEALTH_PLANID:END_RENEW_HEALTH,$A9,FALSE),"")</f>
        <v/>
      </c>
    </row>
    <row r="10" spans="1:37" ht="12.5">
      <c r="A10" s="3">
        <v>13</v>
      </c>
      <c r="B10" s="343" t="s">
        <v>335</v>
      </c>
      <c r="C10" s="322" t="str">
        <f ca="1">IFERROR(VLOOKUP(C$5,BEGIN_RENEW_HEALTH_PLANID:END_RENEW_HEALTH,$A10,FALSE),"")</f>
        <v/>
      </c>
      <c r="D10" s="322" t="str">
        <f ca="1">IFERROR(VLOOKUP(D$5,BEGIN_RENEW_HEALTH_PLANID:END_RENEW_HEALTH,$A10,FALSE),"")</f>
        <v/>
      </c>
      <c r="E10" s="322" t="str">
        <f ca="1">IFERROR(VLOOKUP(E$5,BEGIN_RENEW_HEALTH_PLANID:END_RENEW_HEALTH,$A10,FALSE),"")</f>
        <v/>
      </c>
      <c r="F10" s="322" t="str">
        <f ca="1">IFERROR(VLOOKUP(F$5,BEGIN_RENEW_HEALTH_PLANID:END_RENEW_HEALTH,$A10,FALSE),"")</f>
        <v/>
      </c>
      <c r="G10" s="322" t="str">
        <f ca="1">IFERROR(VLOOKUP(G$5,BEGIN_RENEW_HEALTH_PLANID:END_RENEW_HEALTH,$A10,FALSE),"")</f>
        <v/>
      </c>
      <c r="H10" s="322" t="str">
        <f ca="1">IFERROR(VLOOKUP(H$5,BEGIN_RENEW_HEALTH_PLANID:END_RENEW_HEALTH,$A10,FALSE),"")</f>
        <v/>
      </c>
      <c r="I10" s="322" t="str">
        <f ca="1">IFERROR(VLOOKUP(I$5,BEGIN_RENEW_HEALTH_PLANID:END_RENEW_HEALTH,$A10,FALSE),"")</f>
        <v/>
      </c>
      <c r="J10" s="322" t="str">
        <f ca="1">IFERROR(VLOOKUP(J$5,BEGIN_RENEW_HEALTH_PLANID:END_RENEW_HEALTH,$A10,FALSE),"")</f>
        <v/>
      </c>
      <c r="K10" s="322" t="str">
        <f ca="1">IFERROR(VLOOKUP(K$5,BEGIN_RENEW_HEALTH_PLANID:END_RENEW_HEALTH,$A10,FALSE),"")</f>
        <v/>
      </c>
      <c r="L10" s="322" t="str">
        <f ca="1">IFERROR(VLOOKUP(L$5,BEGIN_RENEW_HEALTH_PLANID:END_RENEW_HEALTH,$A10,FALSE),"")</f>
        <v/>
      </c>
      <c r="M10" s="322" t="str">
        <f ca="1">IFERROR(VLOOKUP(M$5,BEGIN_RENEW_HEALTH_PLANID:END_RENEW_HEALTH,$A10,FALSE),"")</f>
        <v/>
      </c>
      <c r="N10" s="322" t="str">
        <f ca="1">IFERROR(VLOOKUP(N$5,BEGIN_RENEW_HEALTH_PLANID:END_RENEW_HEALTH,$A10,FALSE),"")</f>
        <v/>
      </c>
      <c r="O10" s="322" t="str">
        <f ca="1">IFERROR(VLOOKUP(O$5,BEGIN_RENEW_HEALTH_PLANID:END_RENEW_HEALTH,$A10,FALSE),"")</f>
        <v/>
      </c>
      <c r="P10" s="322" t="str">
        <f ca="1">IFERROR(VLOOKUP(P$5,BEGIN_RENEW_HEALTH_PLANID:END_RENEW_HEALTH,$A10,FALSE),"")</f>
        <v/>
      </c>
      <c r="Q10" s="322" t="str">
        <f ca="1">IFERROR(VLOOKUP(Q$5,BEGIN_RENEW_HEALTH_PLANID:END_RENEW_HEALTH,$A10,FALSE),"")</f>
        <v/>
      </c>
      <c r="R10" s="322" t="str">
        <f ca="1">IFERROR(VLOOKUP(R$5,BEGIN_RENEW_HEALTH_PLANID:END_RENEW_HEALTH,$A10,FALSE),"")</f>
        <v/>
      </c>
      <c r="S10" s="322" t="str">
        <f ca="1">IFERROR(VLOOKUP(S$5,BEGIN_RENEW_HEALTH_PLANID:END_RENEW_HEALTH,$A10,FALSE),"")</f>
        <v/>
      </c>
      <c r="T10" s="322" t="str">
        <f ca="1">IFERROR(VLOOKUP(T$5,BEGIN_RENEW_HEALTH_PLANID:END_RENEW_HEALTH,$A10,FALSE),"")</f>
        <v/>
      </c>
      <c r="U10" s="322" t="str">
        <f ca="1">IFERROR(VLOOKUP(U$5,BEGIN_RENEW_HEALTH_PLANID:END_RENEW_HEALTH,$A10,FALSE),"")</f>
        <v/>
      </c>
      <c r="V10" s="322" t="str">
        <f ca="1">IFERROR(VLOOKUP(V$5,BEGIN_RENEW_HEALTH_PLANID:END_RENEW_HEALTH,$A10,FALSE),"")</f>
        <v/>
      </c>
      <c r="W10" s="322" t="str">
        <f ca="1">IFERROR(VLOOKUP(W$5,BEGIN_RENEW_HEALTH_PLANID:END_RENEW_HEALTH,$A10,FALSE),"")</f>
        <v/>
      </c>
      <c r="X10" s="322" t="str">
        <f ca="1">IFERROR(VLOOKUP(X$5,BEGIN_RENEW_HEALTH_PLANID:END_RENEW_HEALTH,$A10,FALSE),"")</f>
        <v/>
      </c>
      <c r="Y10" s="322" t="str">
        <f ca="1">IFERROR(VLOOKUP(Y$5,BEGIN_RENEW_HEALTH_PLANID:END_RENEW_HEALTH,$A10,FALSE),"")</f>
        <v/>
      </c>
      <c r="Z10" s="322" t="str">
        <f ca="1">IFERROR(VLOOKUP(Z$5,BEGIN_RENEW_HEALTH_PLANID:END_RENEW_HEALTH,$A10,FALSE),"")</f>
        <v/>
      </c>
      <c r="AA10" s="322" t="str">
        <f ca="1">IFERROR(VLOOKUP(AA$5,BEGIN_RENEW_HEALTH_PLANID:END_RENEW_HEALTH,$A10,FALSE),"")</f>
        <v/>
      </c>
      <c r="AB10" s="322" t="str">
        <f ca="1">IFERROR(VLOOKUP(AB$5,BEGIN_RENEW_HEALTH_PLANID:END_RENEW_HEALTH,$A10,FALSE),"")</f>
        <v/>
      </c>
      <c r="AC10" s="322" t="str">
        <f ca="1">IFERROR(VLOOKUP(AC$5,BEGIN_RENEW_HEALTH_PLANID:END_RENEW_HEALTH,$A10,FALSE),"")</f>
        <v/>
      </c>
      <c r="AD10" s="322" t="str">
        <f ca="1">IFERROR(VLOOKUP(AD$5,BEGIN_RENEW_HEALTH_PLANID:END_RENEW_HEALTH,$A10,FALSE),"")</f>
        <v/>
      </c>
      <c r="AE10" s="322" t="str">
        <f ca="1">IFERROR(VLOOKUP(AE$5,BEGIN_RENEW_HEALTH_PLANID:END_RENEW_HEALTH,$A10,FALSE),"")</f>
        <v/>
      </c>
      <c r="AF10" s="322" t="str">
        <f ca="1">IFERROR(VLOOKUP(AF$5,BEGIN_RENEW_HEALTH_PLANID:END_RENEW_HEALTH,$A10,FALSE),"")</f>
        <v/>
      </c>
      <c r="AG10" s="322" t="str">
        <f ca="1">IFERROR(VLOOKUP(AG$5,BEGIN_RENEW_HEALTH_PLANID:END_RENEW_HEALTH,$A10,FALSE),"")</f>
        <v/>
      </c>
      <c r="AH10" s="322" t="str">
        <f ca="1">IFERROR(VLOOKUP(AH$5,BEGIN_RENEW_HEALTH_PLANID:END_RENEW_HEALTH,$A10,FALSE),"")</f>
        <v/>
      </c>
      <c r="AI10" s="322" t="str">
        <f ca="1">IFERROR(VLOOKUP(AI$5,BEGIN_RENEW_HEALTH_PLANID:END_RENEW_HEALTH,$A10,FALSE),"")</f>
        <v/>
      </c>
      <c r="AJ10" s="322" t="str">
        <f ca="1">IFERROR(VLOOKUP(AJ$5,BEGIN_RENEW_HEALTH_PLANID:END_RENEW_HEALTH,$A10,FALSE),"")</f>
        <v/>
      </c>
      <c r="AK10" s="322" t="str">
        <f ca="1">IFERROR(VLOOKUP(AK$5,BEGIN_RENEW_HEALTH_PLANID:END_RENEW_HEALTH,$A10,FALSE),"")</f>
        <v/>
      </c>
    </row>
    <row r="11" spans="2:37" ht="12.5">
      <c r="B11" s="344" t="s">
        <v>336</v>
      </c>
      <c r="C11" s="337" t="str">
        <f ca="1">IFERROR(VLOOKUP(C$5,BEGIN_RENEW_HEALTH_PLANID:END_RENEW_HEALTH,$A11,FALSE),"")</f>
        <v/>
      </c>
      <c r="D11" s="337" t="str">
        <f ca="1">IFERROR(VLOOKUP(D$5,BEGIN_RENEW_HEALTH_PLANID:END_RENEW_HEALTH,$A11,FALSE),"")</f>
        <v/>
      </c>
      <c r="E11" s="337" t="str">
        <f ca="1">IFERROR(VLOOKUP(E$5,BEGIN_RENEW_HEALTH_PLANID:END_RENEW_HEALTH,$A11,FALSE),"")</f>
        <v/>
      </c>
      <c r="F11" s="337" t="str">
        <f ca="1">IFERROR(VLOOKUP(F$5,BEGIN_RENEW_HEALTH_PLANID:END_RENEW_HEALTH,$A11,FALSE),"")</f>
        <v/>
      </c>
      <c r="G11" s="337" t="str">
        <f ca="1">IFERROR(VLOOKUP(G$5,BEGIN_RENEW_HEALTH_PLANID:END_RENEW_HEALTH,$A11,FALSE),"")</f>
        <v/>
      </c>
      <c r="H11" s="337" t="str">
        <f ca="1">IFERROR(VLOOKUP(H$5,BEGIN_RENEW_HEALTH_PLANID:END_RENEW_HEALTH,$A11,FALSE),"")</f>
        <v/>
      </c>
      <c r="I11" s="337" t="str">
        <f ca="1">IFERROR(VLOOKUP(I$5,BEGIN_RENEW_HEALTH_PLANID:END_RENEW_HEALTH,$A11,FALSE),"")</f>
        <v/>
      </c>
      <c r="J11" s="337" t="str">
        <f ca="1">IFERROR(VLOOKUP(J$5,BEGIN_RENEW_HEALTH_PLANID:END_RENEW_HEALTH,$A11,FALSE),"")</f>
        <v/>
      </c>
      <c r="K11" s="337" t="str">
        <f ca="1">IFERROR(VLOOKUP(K$5,BEGIN_RENEW_HEALTH_PLANID:END_RENEW_HEALTH,$A11,FALSE),"")</f>
        <v/>
      </c>
      <c r="L11" s="337" t="str">
        <f ca="1">IFERROR(VLOOKUP(L$5,BEGIN_RENEW_HEALTH_PLANID:END_RENEW_HEALTH,$A11,FALSE),"")</f>
        <v/>
      </c>
      <c r="M11" s="337" t="str">
        <f ca="1">IFERROR(VLOOKUP(M$5,BEGIN_RENEW_HEALTH_PLANID:END_RENEW_HEALTH,$A11,FALSE),"")</f>
        <v/>
      </c>
      <c r="N11" s="337" t="str">
        <f ca="1">IFERROR(VLOOKUP(N$5,BEGIN_RENEW_HEALTH_PLANID:END_RENEW_HEALTH,$A11,FALSE),"")</f>
        <v/>
      </c>
      <c r="O11" s="337" t="str">
        <f ca="1">IFERROR(VLOOKUP(O$5,BEGIN_RENEW_HEALTH_PLANID:END_RENEW_HEALTH,$A11,FALSE),"")</f>
        <v/>
      </c>
      <c r="P11" s="337" t="str">
        <f ca="1">IFERROR(VLOOKUP(P$5,BEGIN_RENEW_HEALTH_PLANID:END_RENEW_HEALTH,$A11,FALSE),"")</f>
        <v/>
      </c>
      <c r="Q11" s="337" t="str">
        <f ca="1">IFERROR(VLOOKUP(Q$5,BEGIN_RENEW_HEALTH_PLANID:END_RENEW_HEALTH,$A11,FALSE),"")</f>
        <v/>
      </c>
      <c r="R11" s="337" t="str">
        <f ca="1">IFERROR(VLOOKUP(R$5,BEGIN_RENEW_HEALTH_PLANID:END_RENEW_HEALTH,$A11,FALSE),"")</f>
        <v/>
      </c>
      <c r="S11" s="337" t="str">
        <f ca="1">IFERROR(VLOOKUP(S$5,BEGIN_RENEW_HEALTH_PLANID:END_RENEW_HEALTH,$A11,FALSE),"")</f>
        <v/>
      </c>
      <c r="T11" s="337" t="str">
        <f ca="1">IFERROR(VLOOKUP(T$5,BEGIN_RENEW_HEALTH_PLANID:END_RENEW_HEALTH,$A11,FALSE),"")</f>
        <v/>
      </c>
      <c r="U11" s="337" t="str">
        <f ca="1">IFERROR(VLOOKUP(U$5,BEGIN_RENEW_HEALTH_PLANID:END_RENEW_HEALTH,$A11,FALSE),"")</f>
        <v/>
      </c>
      <c r="V11" s="337" t="str">
        <f ca="1">IFERROR(VLOOKUP(V$5,BEGIN_RENEW_HEALTH_PLANID:END_RENEW_HEALTH,$A11,FALSE),"")</f>
        <v/>
      </c>
      <c r="W11" s="337" t="str">
        <f ca="1">IFERROR(VLOOKUP(W$5,BEGIN_RENEW_HEALTH_PLANID:END_RENEW_HEALTH,$A11,FALSE),"")</f>
        <v/>
      </c>
      <c r="X11" s="337" t="str">
        <f ca="1">IFERROR(VLOOKUP(X$5,BEGIN_RENEW_HEALTH_PLANID:END_RENEW_HEALTH,$A11,FALSE),"")</f>
        <v/>
      </c>
      <c r="Y11" s="337" t="str">
        <f ca="1">IFERROR(VLOOKUP(Y$5,BEGIN_RENEW_HEALTH_PLANID:END_RENEW_HEALTH,$A11,FALSE),"")</f>
        <v/>
      </c>
      <c r="Z11" s="337" t="str">
        <f ca="1">IFERROR(VLOOKUP(Z$5,BEGIN_RENEW_HEALTH_PLANID:END_RENEW_HEALTH,$A11,FALSE),"")</f>
        <v/>
      </c>
      <c r="AA11" s="337" t="str">
        <f ca="1">IFERROR(VLOOKUP(AA$5,BEGIN_RENEW_HEALTH_PLANID:END_RENEW_HEALTH,$A11,FALSE),"")</f>
        <v/>
      </c>
      <c r="AB11" s="337" t="str">
        <f ca="1">IFERROR(VLOOKUP(AB$5,BEGIN_RENEW_HEALTH_PLANID:END_RENEW_HEALTH,$A11,FALSE),"")</f>
        <v/>
      </c>
      <c r="AC11" s="337" t="str">
        <f ca="1">IFERROR(VLOOKUP(AC$5,BEGIN_RENEW_HEALTH_PLANID:END_RENEW_HEALTH,$A11,FALSE),"")</f>
        <v/>
      </c>
      <c r="AD11" s="337" t="str">
        <f ca="1">IFERROR(VLOOKUP(AD$5,BEGIN_RENEW_HEALTH_PLANID:END_RENEW_HEALTH,$A11,FALSE),"")</f>
        <v/>
      </c>
      <c r="AE11" s="337" t="str">
        <f ca="1">IFERROR(VLOOKUP(AE$5,BEGIN_RENEW_HEALTH_PLANID:END_RENEW_HEALTH,$A11,FALSE),"")</f>
        <v/>
      </c>
      <c r="AF11" s="337" t="str">
        <f ca="1">IFERROR(VLOOKUP(AF$5,BEGIN_RENEW_HEALTH_PLANID:END_RENEW_HEALTH,$A11,FALSE),"")</f>
        <v/>
      </c>
      <c r="AG11" s="337" t="str">
        <f ca="1">IFERROR(VLOOKUP(AG$5,BEGIN_RENEW_HEALTH_PLANID:END_RENEW_HEALTH,$A11,FALSE),"")</f>
        <v/>
      </c>
      <c r="AH11" s="337" t="str">
        <f ca="1">IFERROR(VLOOKUP(AH$5,BEGIN_RENEW_HEALTH_PLANID:END_RENEW_HEALTH,$A11,FALSE),"")</f>
        <v/>
      </c>
      <c r="AI11" s="337" t="str">
        <f ca="1">IFERROR(VLOOKUP(AI$5,BEGIN_RENEW_HEALTH_PLANID:END_RENEW_HEALTH,$A11,FALSE),"")</f>
        <v/>
      </c>
      <c r="AJ11" s="337" t="str">
        <f ca="1">IFERROR(VLOOKUP(AJ$5,BEGIN_RENEW_HEALTH_PLANID:END_RENEW_HEALTH,$A11,FALSE),"")</f>
        <v/>
      </c>
      <c r="AK11" s="337" t="str">
        <f ca="1">IFERROR(VLOOKUP(AK$5,BEGIN_RENEW_HEALTH_PLANID:END_RENEW_HEALTH,$A11,FALSE),"")</f>
        <v/>
      </c>
    </row>
    <row r="12" spans="1:37" ht="12.5">
      <c r="A12" s="3">
        <v>25</v>
      </c>
      <c r="B12" s="346" t="s">
        <v>337</v>
      </c>
      <c r="C12" s="323" t="str">
        <f ca="1">IFERROR(VLOOKUP(C$5,BEGIN_RENEW_HEALTH_PLANID:END_RENEW_HEALTH,$A12,FALSE),"")</f>
        <v/>
      </c>
      <c r="D12" s="323" t="str">
        <f ca="1">IFERROR(VLOOKUP(D$5,BEGIN_RENEW_HEALTH_PLANID:END_RENEW_HEALTH,$A12,FALSE),"")</f>
        <v/>
      </c>
      <c r="E12" s="323" t="str">
        <f ca="1">IFERROR(VLOOKUP(E$5,BEGIN_RENEW_HEALTH_PLANID:END_RENEW_HEALTH,$A12,FALSE),"")</f>
        <v/>
      </c>
      <c r="F12" s="323" t="str">
        <f ca="1">IFERROR(VLOOKUP(F$5,BEGIN_RENEW_HEALTH_PLANID:END_RENEW_HEALTH,$A12,FALSE),"")</f>
        <v/>
      </c>
      <c r="G12" s="323" t="str">
        <f ca="1">IFERROR(VLOOKUP(G$5,BEGIN_RENEW_HEALTH_PLANID:END_RENEW_HEALTH,$A12,FALSE),"")</f>
        <v/>
      </c>
      <c r="H12" s="323" t="str">
        <f ca="1">IFERROR(VLOOKUP(H$5,BEGIN_RENEW_HEALTH_PLANID:END_RENEW_HEALTH,$A12,FALSE),"")</f>
        <v/>
      </c>
      <c r="I12" s="323" t="str">
        <f ca="1">IFERROR(VLOOKUP(I$5,BEGIN_RENEW_HEALTH_PLANID:END_RENEW_HEALTH,$A12,FALSE),"")</f>
        <v/>
      </c>
      <c r="J12" s="323" t="str">
        <f ca="1">IFERROR(VLOOKUP(J$5,BEGIN_RENEW_HEALTH_PLANID:END_RENEW_HEALTH,$A12,FALSE),"")</f>
        <v/>
      </c>
      <c r="K12" s="323" t="str">
        <f ca="1">IFERROR(VLOOKUP(K$5,BEGIN_RENEW_HEALTH_PLANID:END_RENEW_HEALTH,$A12,FALSE),"")</f>
        <v/>
      </c>
      <c r="L12" s="323" t="str">
        <f ca="1">IFERROR(VLOOKUP(L$5,BEGIN_RENEW_HEALTH_PLANID:END_RENEW_HEALTH,$A12,FALSE),"")</f>
        <v/>
      </c>
      <c r="M12" s="323" t="str">
        <f ca="1">IFERROR(VLOOKUP(M$5,BEGIN_RENEW_HEALTH_PLANID:END_RENEW_HEALTH,$A12,FALSE),"")</f>
        <v/>
      </c>
      <c r="N12" s="323" t="str">
        <f ca="1">IFERROR(VLOOKUP(N$5,BEGIN_RENEW_HEALTH_PLANID:END_RENEW_HEALTH,$A12,FALSE),"")</f>
        <v/>
      </c>
      <c r="O12" s="323" t="str">
        <f ca="1">IFERROR(VLOOKUP(O$5,BEGIN_RENEW_HEALTH_PLANID:END_RENEW_HEALTH,$A12,FALSE),"")</f>
        <v/>
      </c>
      <c r="P12" s="323" t="str">
        <f ca="1">IFERROR(VLOOKUP(P$5,BEGIN_RENEW_HEALTH_PLANID:END_RENEW_HEALTH,$A12,FALSE),"")</f>
        <v/>
      </c>
      <c r="Q12" s="323" t="str">
        <f ca="1">IFERROR(VLOOKUP(Q$5,BEGIN_RENEW_HEALTH_PLANID:END_RENEW_HEALTH,$A12,FALSE),"")</f>
        <v/>
      </c>
      <c r="R12" s="323" t="str">
        <f ca="1">IFERROR(VLOOKUP(R$5,BEGIN_RENEW_HEALTH_PLANID:END_RENEW_HEALTH,$A12,FALSE),"")</f>
        <v/>
      </c>
      <c r="S12" s="323" t="str">
        <f ca="1">IFERROR(VLOOKUP(S$5,BEGIN_RENEW_HEALTH_PLANID:END_RENEW_HEALTH,$A12,FALSE),"")</f>
        <v/>
      </c>
      <c r="T12" s="323" t="str">
        <f ca="1">IFERROR(VLOOKUP(T$5,BEGIN_RENEW_HEALTH_PLANID:END_RENEW_HEALTH,$A12,FALSE),"")</f>
        <v/>
      </c>
      <c r="U12" s="323" t="str">
        <f ca="1">IFERROR(VLOOKUP(U$5,BEGIN_RENEW_HEALTH_PLANID:END_RENEW_HEALTH,$A12,FALSE),"")</f>
        <v/>
      </c>
      <c r="V12" s="323" t="str">
        <f ca="1">IFERROR(VLOOKUP(V$5,BEGIN_RENEW_HEALTH_PLANID:END_RENEW_HEALTH,$A12,FALSE),"")</f>
        <v/>
      </c>
      <c r="W12" s="323" t="str">
        <f ca="1">IFERROR(VLOOKUP(W$5,BEGIN_RENEW_HEALTH_PLANID:END_RENEW_HEALTH,$A12,FALSE),"")</f>
        <v/>
      </c>
      <c r="X12" s="323" t="str">
        <f ca="1">IFERROR(VLOOKUP(X$5,BEGIN_RENEW_HEALTH_PLANID:END_RENEW_HEALTH,$A12,FALSE),"")</f>
        <v/>
      </c>
      <c r="Y12" s="323" t="str">
        <f ca="1">IFERROR(VLOOKUP(Y$5,BEGIN_RENEW_HEALTH_PLANID:END_RENEW_HEALTH,$A12,FALSE),"")</f>
        <v/>
      </c>
      <c r="Z12" s="323" t="str">
        <f ca="1">IFERROR(VLOOKUP(Z$5,BEGIN_RENEW_HEALTH_PLANID:END_RENEW_HEALTH,$A12,FALSE),"")</f>
        <v/>
      </c>
      <c r="AA12" s="323" t="str">
        <f ca="1">IFERROR(VLOOKUP(AA$5,BEGIN_RENEW_HEALTH_PLANID:END_RENEW_HEALTH,$A12,FALSE),"")</f>
        <v/>
      </c>
      <c r="AB12" s="323" t="str">
        <f ca="1">IFERROR(VLOOKUP(AB$5,BEGIN_RENEW_HEALTH_PLANID:END_RENEW_HEALTH,$A12,FALSE),"")</f>
        <v/>
      </c>
      <c r="AC12" s="323" t="str">
        <f ca="1">IFERROR(VLOOKUP(AC$5,BEGIN_RENEW_HEALTH_PLANID:END_RENEW_HEALTH,$A12,FALSE),"")</f>
        <v/>
      </c>
      <c r="AD12" s="324" t="str">
        <f ca="1">IFERROR(VLOOKUP(AD$5,BEGIN_RENEW_HEALTH_PLANID:END_RENEW_HEALTH,$A12,FALSE),"")</f>
        <v/>
      </c>
      <c r="AE12" s="324" t="str">
        <f ca="1">IFERROR(VLOOKUP(AE$5,BEGIN_RENEW_HEALTH_PLANID:END_RENEW_HEALTH,$A12,FALSE),"")</f>
        <v/>
      </c>
      <c r="AF12" s="324" t="str">
        <f ca="1">IFERROR(VLOOKUP(AF$5,BEGIN_RENEW_HEALTH_PLANID:END_RENEW_HEALTH,$A12,FALSE),"")</f>
        <v/>
      </c>
      <c r="AG12" s="324" t="str">
        <f ca="1">IFERROR(VLOOKUP(AG$5,BEGIN_RENEW_HEALTH_PLANID:END_RENEW_HEALTH,$A12,FALSE),"")</f>
        <v/>
      </c>
      <c r="AH12" s="324" t="str">
        <f ca="1">IFERROR(VLOOKUP(AH$5,BEGIN_RENEW_HEALTH_PLANID:END_RENEW_HEALTH,$A12,FALSE),"")</f>
        <v/>
      </c>
      <c r="AI12" s="324" t="str">
        <f ca="1">IFERROR(VLOOKUP(AI$5,BEGIN_RENEW_HEALTH_PLANID:END_RENEW_HEALTH,$A12,FALSE),"")</f>
        <v/>
      </c>
      <c r="AJ12" s="324" t="str">
        <f ca="1">IFERROR(VLOOKUP(AJ$5,BEGIN_RENEW_HEALTH_PLANID:END_RENEW_HEALTH,$A12,FALSE),"")</f>
        <v/>
      </c>
      <c r="AK12" s="324" t="str">
        <f ca="1">IFERROR(VLOOKUP(AK$5,BEGIN_RENEW_HEALTH_PLANID:END_RENEW_HEALTH,$A12,FALSE),"")</f>
        <v/>
      </c>
    </row>
    <row r="13" spans="1:37" ht="12.5">
      <c r="A13" s="3">
        <v>26</v>
      </c>
      <c r="B13" s="346" t="s">
        <v>338</v>
      </c>
      <c r="C13" s="323" t="str">
        <f ca="1">IFERROR(VLOOKUP(C$5,BEGIN_RENEW_HEALTH_PLANID:END_RENEW_HEALTH,$A13,FALSE),"")</f>
        <v/>
      </c>
      <c r="D13" s="323" t="str">
        <f ca="1">IFERROR(VLOOKUP(D$5,BEGIN_RENEW_HEALTH_PLANID:END_RENEW_HEALTH,$A13,FALSE),"")</f>
        <v/>
      </c>
      <c r="E13" s="323" t="str">
        <f ca="1">IFERROR(VLOOKUP(E$5,BEGIN_RENEW_HEALTH_PLANID:END_RENEW_HEALTH,$A13,FALSE),"")</f>
        <v/>
      </c>
      <c r="F13" s="323" t="str">
        <f ca="1">IFERROR(VLOOKUP(F$5,BEGIN_RENEW_HEALTH_PLANID:END_RENEW_HEALTH,$A13,FALSE),"")</f>
        <v/>
      </c>
      <c r="G13" s="323" t="str">
        <f ca="1">IFERROR(VLOOKUP(G$5,BEGIN_RENEW_HEALTH_PLANID:END_RENEW_HEALTH,$A13,FALSE),"")</f>
        <v/>
      </c>
      <c r="H13" s="323" t="str">
        <f ca="1">IFERROR(VLOOKUP(H$5,BEGIN_RENEW_HEALTH_PLANID:END_RENEW_HEALTH,$A13,FALSE),"")</f>
        <v/>
      </c>
      <c r="I13" s="323" t="str">
        <f ca="1">IFERROR(VLOOKUP(I$5,BEGIN_RENEW_HEALTH_PLANID:END_RENEW_HEALTH,$A13,FALSE),"")</f>
        <v/>
      </c>
      <c r="J13" s="323" t="str">
        <f ca="1">IFERROR(VLOOKUP(J$5,BEGIN_RENEW_HEALTH_PLANID:END_RENEW_HEALTH,$A13,FALSE),"")</f>
        <v/>
      </c>
      <c r="K13" s="323" t="str">
        <f ca="1">IFERROR(VLOOKUP(K$5,BEGIN_RENEW_HEALTH_PLANID:END_RENEW_HEALTH,$A13,FALSE),"")</f>
        <v/>
      </c>
      <c r="L13" s="323" t="str">
        <f ca="1">IFERROR(VLOOKUP(L$5,BEGIN_RENEW_HEALTH_PLANID:END_RENEW_HEALTH,$A13,FALSE),"")</f>
        <v/>
      </c>
      <c r="M13" s="323" t="str">
        <f ca="1">IFERROR(VLOOKUP(M$5,BEGIN_RENEW_HEALTH_PLANID:END_RENEW_HEALTH,$A13,FALSE),"")</f>
        <v/>
      </c>
      <c r="N13" s="323" t="str">
        <f ca="1">IFERROR(VLOOKUP(N$5,BEGIN_RENEW_HEALTH_PLANID:END_RENEW_HEALTH,$A13,FALSE),"")</f>
        <v/>
      </c>
      <c r="O13" s="323" t="str">
        <f ca="1">IFERROR(VLOOKUP(O$5,BEGIN_RENEW_HEALTH_PLANID:END_RENEW_HEALTH,$A13,FALSE),"")</f>
        <v/>
      </c>
      <c r="P13" s="323" t="str">
        <f ca="1">IFERROR(VLOOKUP(P$5,BEGIN_RENEW_HEALTH_PLANID:END_RENEW_HEALTH,$A13,FALSE),"")</f>
        <v/>
      </c>
      <c r="Q13" s="323" t="str">
        <f ca="1">IFERROR(VLOOKUP(Q$5,BEGIN_RENEW_HEALTH_PLANID:END_RENEW_HEALTH,$A13,FALSE),"")</f>
        <v/>
      </c>
      <c r="R13" s="323" t="str">
        <f ca="1">IFERROR(VLOOKUP(R$5,BEGIN_RENEW_HEALTH_PLANID:END_RENEW_HEALTH,$A13,FALSE),"")</f>
        <v/>
      </c>
      <c r="S13" s="323" t="str">
        <f ca="1">IFERROR(VLOOKUP(S$5,BEGIN_RENEW_HEALTH_PLANID:END_RENEW_HEALTH,$A13,FALSE),"")</f>
        <v/>
      </c>
      <c r="T13" s="323" t="str">
        <f ca="1">IFERROR(VLOOKUP(T$5,BEGIN_RENEW_HEALTH_PLANID:END_RENEW_HEALTH,$A13,FALSE),"")</f>
        <v/>
      </c>
      <c r="U13" s="323" t="str">
        <f ca="1">IFERROR(VLOOKUP(U$5,BEGIN_RENEW_HEALTH_PLANID:END_RENEW_HEALTH,$A13,FALSE),"")</f>
        <v/>
      </c>
      <c r="V13" s="323" t="str">
        <f ca="1">IFERROR(VLOOKUP(V$5,BEGIN_RENEW_HEALTH_PLANID:END_RENEW_HEALTH,$A13,FALSE),"")</f>
        <v/>
      </c>
      <c r="W13" s="323" t="str">
        <f ca="1">IFERROR(VLOOKUP(W$5,BEGIN_RENEW_HEALTH_PLANID:END_RENEW_HEALTH,$A13,FALSE),"")</f>
        <v/>
      </c>
      <c r="X13" s="323" t="str">
        <f ca="1">IFERROR(VLOOKUP(X$5,BEGIN_RENEW_HEALTH_PLANID:END_RENEW_HEALTH,$A13,FALSE),"")</f>
        <v/>
      </c>
      <c r="Y13" s="323" t="str">
        <f ca="1">IFERROR(VLOOKUP(Y$5,BEGIN_RENEW_HEALTH_PLANID:END_RENEW_HEALTH,$A13,FALSE),"")</f>
        <v/>
      </c>
      <c r="Z13" s="323" t="str">
        <f ca="1">IFERROR(VLOOKUP(Z$5,BEGIN_RENEW_HEALTH_PLANID:END_RENEW_HEALTH,$A13,FALSE),"")</f>
        <v/>
      </c>
      <c r="AA13" s="323" t="str">
        <f ca="1">IFERROR(VLOOKUP(AA$5,BEGIN_RENEW_HEALTH_PLANID:END_RENEW_HEALTH,$A13,FALSE),"")</f>
        <v/>
      </c>
      <c r="AB13" s="323" t="str">
        <f ca="1">IFERROR(VLOOKUP(AB$5,BEGIN_RENEW_HEALTH_PLANID:END_RENEW_HEALTH,$A13,FALSE),"")</f>
        <v/>
      </c>
      <c r="AC13" s="323" t="str">
        <f ca="1">IFERROR(VLOOKUP(AC$5,BEGIN_RENEW_HEALTH_PLANID:END_RENEW_HEALTH,$A13,FALSE),"")</f>
        <v/>
      </c>
      <c r="AD13" s="324" t="str">
        <f ca="1">IFERROR(VLOOKUP(AD$5,BEGIN_RENEW_HEALTH_PLANID:END_RENEW_HEALTH,$A13,FALSE),"")</f>
        <v/>
      </c>
      <c r="AE13" s="324" t="str">
        <f ca="1">IFERROR(VLOOKUP(AE$5,BEGIN_RENEW_HEALTH_PLANID:END_RENEW_HEALTH,$A13,FALSE),"")</f>
        <v/>
      </c>
      <c r="AF13" s="324" t="str">
        <f ca="1">IFERROR(VLOOKUP(AF$5,BEGIN_RENEW_HEALTH_PLANID:END_RENEW_HEALTH,$A13,FALSE),"")</f>
        <v/>
      </c>
      <c r="AG13" s="324" t="str">
        <f ca="1">IFERROR(VLOOKUP(AG$5,BEGIN_RENEW_HEALTH_PLANID:END_RENEW_HEALTH,$A13,FALSE),"")</f>
        <v/>
      </c>
      <c r="AH13" s="324" t="str">
        <f ca="1">IFERROR(VLOOKUP(AH$5,BEGIN_RENEW_HEALTH_PLANID:END_RENEW_HEALTH,$A13,FALSE),"")</f>
        <v/>
      </c>
      <c r="AI13" s="324" t="str">
        <f ca="1">IFERROR(VLOOKUP(AI$5,BEGIN_RENEW_HEALTH_PLANID:END_RENEW_HEALTH,$A13,FALSE),"")</f>
        <v/>
      </c>
      <c r="AJ13" s="324" t="str">
        <f ca="1">IFERROR(VLOOKUP(AJ$5,BEGIN_RENEW_HEALTH_PLANID:END_RENEW_HEALTH,$A13,FALSE),"")</f>
        <v/>
      </c>
      <c r="AK13" s="325" t="str">
        <f ca="1">IFERROR(VLOOKUP(AK$5,BEGIN_RENEW_HEALTH_PLANID:END_RENEW_HEALTH,$A13,FALSE),"")</f>
        <v/>
      </c>
    </row>
    <row r="14" spans="1:37" ht="12.5">
      <c r="A14" s="3">
        <v>24</v>
      </c>
      <c r="B14" s="346" t="s">
        <v>253</v>
      </c>
      <c r="C14" s="323" t="str">
        <f ca="1">IFERROR(VLOOKUP(C$5,BEGIN_RENEW_HEALTH_PLANID:END_RENEW_HEALTH,$A14,FALSE),"")</f>
        <v/>
      </c>
      <c r="D14" s="323" t="str">
        <f ca="1">IFERROR(VLOOKUP(D$5,BEGIN_RENEW_HEALTH_PLANID:END_RENEW_HEALTH,$A14,FALSE),"")</f>
        <v/>
      </c>
      <c r="E14" s="323" t="str">
        <f ca="1">IFERROR(VLOOKUP(E$5,BEGIN_RENEW_HEALTH_PLANID:END_RENEW_HEALTH,$A14,FALSE),"")</f>
        <v/>
      </c>
      <c r="F14" s="323" t="str">
        <f ca="1">IFERROR(VLOOKUP(F$5,BEGIN_RENEW_HEALTH_PLANID:END_RENEW_HEALTH,$A14,FALSE),"")</f>
        <v/>
      </c>
      <c r="G14" s="323" t="str">
        <f ca="1">IFERROR(VLOOKUP(G$5,BEGIN_RENEW_HEALTH_PLANID:END_RENEW_HEALTH,$A14,FALSE),"")</f>
        <v/>
      </c>
      <c r="H14" s="323" t="str">
        <f ca="1">IFERROR(VLOOKUP(H$5,BEGIN_RENEW_HEALTH_PLANID:END_RENEW_HEALTH,$A14,FALSE),"")</f>
        <v/>
      </c>
      <c r="I14" s="323" t="str">
        <f ca="1">IFERROR(VLOOKUP(I$5,BEGIN_RENEW_HEALTH_PLANID:END_RENEW_HEALTH,$A14,FALSE),"")</f>
        <v/>
      </c>
      <c r="J14" s="323" t="str">
        <f ca="1">IFERROR(VLOOKUP(J$5,BEGIN_RENEW_HEALTH_PLANID:END_RENEW_HEALTH,$A14,FALSE),"")</f>
        <v/>
      </c>
      <c r="K14" s="323" t="str">
        <f ca="1">IFERROR(VLOOKUP(K$5,BEGIN_RENEW_HEALTH_PLANID:END_RENEW_HEALTH,$A14,FALSE),"")</f>
        <v/>
      </c>
      <c r="L14" s="323" t="str">
        <f ca="1">IFERROR(VLOOKUP(L$5,BEGIN_RENEW_HEALTH_PLANID:END_RENEW_HEALTH,$A14,FALSE),"")</f>
        <v/>
      </c>
      <c r="M14" s="323" t="str">
        <f ca="1">IFERROR(VLOOKUP(M$5,BEGIN_RENEW_HEALTH_PLANID:END_RENEW_HEALTH,$A14,FALSE),"")</f>
        <v/>
      </c>
      <c r="N14" s="323" t="str">
        <f ca="1">IFERROR(VLOOKUP(N$5,BEGIN_RENEW_HEALTH_PLANID:END_RENEW_HEALTH,$A14,FALSE),"")</f>
        <v/>
      </c>
      <c r="O14" s="323" t="str">
        <f ca="1">IFERROR(VLOOKUP(O$5,BEGIN_RENEW_HEALTH_PLANID:END_RENEW_HEALTH,$A14,FALSE),"")</f>
        <v/>
      </c>
      <c r="P14" s="323" t="str">
        <f ca="1">IFERROR(VLOOKUP(P$5,BEGIN_RENEW_HEALTH_PLANID:END_RENEW_HEALTH,$A14,FALSE),"")</f>
        <v/>
      </c>
      <c r="Q14" s="323" t="str">
        <f ca="1">IFERROR(VLOOKUP(Q$5,BEGIN_RENEW_HEALTH_PLANID:END_RENEW_HEALTH,$A14,FALSE),"")</f>
        <v/>
      </c>
      <c r="R14" s="323" t="str">
        <f ca="1">IFERROR(VLOOKUP(R$5,BEGIN_RENEW_HEALTH_PLANID:END_RENEW_HEALTH,$A14,FALSE),"")</f>
        <v/>
      </c>
      <c r="S14" s="323" t="str">
        <f ca="1">IFERROR(VLOOKUP(S$5,BEGIN_RENEW_HEALTH_PLANID:END_RENEW_HEALTH,$A14,FALSE),"")</f>
        <v/>
      </c>
      <c r="T14" s="323" t="str">
        <f ca="1">IFERROR(VLOOKUP(T$5,BEGIN_RENEW_HEALTH_PLANID:END_RENEW_HEALTH,$A14,FALSE),"")</f>
        <v/>
      </c>
      <c r="U14" s="323" t="str">
        <f ca="1">IFERROR(VLOOKUP(U$5,BEGIN_RENEW_HEALTH_PLANID:END_RENEW_HEALTH,$A14,FALSE),"")</f>
        <v/>
      </c>
      <c r="V14" s="323" t="str">
        <f ca="1">IFERROR(VLOOKUP(V$5,BEGIN_RENEW_HEALTH_PLANID:END_RENEW_HEALTH,$A14,FALSE),"")</f>
        <v/>
      </c>
      <c r="W14" s="323" t="str">
        <f ca="1">IFERROR(VLOOKUP(W$5,BEGIN_RENEW_HEALTH_PLANID:END_RENEW_HEALTH,$A14,FALSE),"")</f>
        <v/>
      </c>
      <c r="X14" s="323" t="str">
        <f ca="1">IFERROR(VLOOKUP(X$5,BEGIN_RENEW_HEALTH_PLANID:END_RENEW_HEALTH,$A14,FALSE),"")</f>
        <v/>
      </c>
      <c r="Y14" s="323" t="str">
        <f ca="1">IFERROR(VLOOKUP(Y$5,BEGIN_RENEW_HEALTH_PLANID:END_RENEW_HEALTH,$A14,FALSE),"")</f>
        <v/>
      </c>
      <c r="Z14" s="323" t="str">
        <f ca="1">IFERROR(VLOOKUP(Z$5,BEGIN_RENEW_HEALTH_PLANID:END_RENEW_HEALTH,$A14,FALSE),"")</f>
        <v/>
      </c>
      <c r="AA14" s="323" t="str">
        <f ca="1">IFERROR(VLOOKUP(AA$5,BEGIN_RENEW_HEALTH_PLANID:END_RENEW_HEALTH,$A14,FALSE),"")</f>
        <v/>
      </c>
      <c r="AB14" s="323" t="str">
        <f ca="1">IFERROR(VLOOKUP(AB$5,BEGIN_RENEW_HEALTH_PLANID:END_RENEW_HEALTH,$A14,FALSE),"")</f>
        <v/>
      </c>
      <c r="AC14" s="323" t="str">
        <f ca="1">IFERROR(VLOOKUP(AC$5,BEGIN_RENEW_HEALTH_PLANID:END_RENEW_HEALTH,$A14,FALSE),"")</f>
        <v/>
      </c>
      <c r="AD14" s="324" t="str">
        <f ca="1">IFERROR(VLOOKUP(AD$5,BEGIN_RENEW_HEALTH_PLANID:END_RENEW_HEALTH,$A14,FALSE),"")</f>
        <v/>
      </c>
      <c r="AE14" s="324" t="str">
        <f ca="1">IFERROR(VLOOKUP(AE$5,BEGIN_RENEW_HEALTH_PLANID:END_RENEW_HEALTH,$A14,FALSE),"")</f>
        <v/>
      </c>
      <c r="AF14" s="324" t="str">
        <f ca="1">IFERROR(VLOOKUP(AF$5,BEGIN_RENEW_HEALTH_PLANID:END_RENEW_HEALTH,$A14,FALSE),"")</f>
        <v/>
      </c>
      <c r="AG14" s="324" t="str">
        <f ca="1">IFERROR(VLOOKUP(AG$5,BEGIN_RENEW_HEALTH_PLANID:END_RENEW_HEALTH,$A14,FALSE),"")</f>
        <v/>
      </c>
      <c r="AH14" s="324" t="str">
        <f ca="1">IFERROR(VLOOKUP(AH$5,BEGIN_RENEW_HEALTH_PLANID:END_RENEW_HEALTH,$A14,FALSE),"")</f>
        <v/>
      </c>
      <c r="AI14" s="324" t="str">
        <f ca="1">IFERROR(VLOOKUP(AI$5,BEGIN_RENEW_HEALTH_PLANID:END_RENEW_HEALTH,$A14,FALSE),"")</f>
        <v/>
      </c>
      <c r="AJ14" s="324" t="str">
        <f ca="1">IFERROR(VLOOKUP(AJ$5,BEGIN_RENEW_HEALTH_PLANID:END_RENEW_HEALTH,$A14,FALSE),"")</f>
        <v/>
      </c>
      <c r="AK14" s="324" t="str">
        <f ca="1">IFERROR(VLOOKUP(AK$5,BEGIN_RENEW_HEALTH_PLANID:END_RENEW_HEALTH,$A14,FALSE),"")</f>
        <v/>
      </c>
    </row>
    <row r="15" spans="1:37" ht="12.5">
      <c r="A15" s="3">
        <v>27</v>
      </c>
      <c r="B15" s="346" t="s">
        <v>339</v>
      </c>
      <c r="C15" s="323" t="str">
        <f ca="1">IFERROR(VLOOKUP(C$5,BEGIN_RENEW_HEALTH_PLANID:END_RENEW_HEALTH,$A15,FALSE),"")</f>
        <v/>
      </c>
      <c r="D15" s="323" t="str">
        <f ca="1">IFERROR(VLOOKUP(D$5,BEGIN_RENEW_HEALTH_PLANID:END_RENEW_HEALTH,$A15,FALSE),"")</f>
        <v/>
      </c>
      <c r="E15" s="323" t="str">
        <f ca="1">IFERROR(VLOOKUP(E$5,BEGIN_RENEW_HEALTH_PLANID:END_RENEW_HEALTH,$A15,FALSE),"")</f>
        <v/>
      </c>
      <c r="F15" s="323" t="str">
        <f ca="1">IFERROR(VLOOKUP(F$5,BEGIN_RENEW_HEALTH_PLANID:END_RENEW_HEALTH,$A15,FALSE),"")</f>
        <v/>
      </c>
      <c r="G15" s="323" t="str">
        <f ca="1">IFERROR(VLOOKUP(G$5,BEGIN_RENEW_HEALTH_PLANID:END_RENEW_HEALTH,$A15,FALSE),"")</f>
        <v/>
      </c>
      <c r="H15" s="323" t="str">
        <f ca="1">IFERROR(VLOOKUP(H$5,BEGIN_RENEW_HEALTH_PLANID:END_RENEW_HEALTH,$A15,FALSE),"")</f>
        <v/>
      </c>
      <c r="I15" s="323" t="str">
        <f ca="1">IFERROR(VLOOKUP(I$5,BEGIN_RENEW_HEALTH_PLANID:END_RENEW_HEALTH,$A15,FALSE),"")</f>
        <v/>
      </c>
      <c r="J15" s="323" t="str">
        <f ca="1">IFERROR(VLOOKUP(J$5,BEGIN_RENEW_HEALTH_PLANID:END_RENEW_HEALTH,$A15,FALSE),"")</f>
        <v/>
      </c>
      <c r="K15" s="323" t="str">
        <f ca="1">IFERROR(VLOOKUP(K$5,BEGIN_RENEW_HEALTH_PLANID:END_RENEW_HEALTH,$A15,FALSE),"")</f>
        <v/>
      </c>
      <c r="L15" s="323" t="str">
        <f ca="1">IFERROR(VLOOKUP(L$5,BEGIN_RENEW_HEALTH_PLANID:END_RENEW_HEALTH,$A15,FALSE),"")</f>
        <v/>
      </c>
      <c r="M15" s="323" t="str">
        <f ca="1">IFERROR(VLOOKUP(M$5,BEGIN_RENEW_HEALTH_PLANID:END_RENEW_HEALTH,$A15,FALSE),"")</f>
        <v/>
      </c>
      <c r="N15" s="323" t="str">
        <f ca="1">IFERROR(VLOOKUP(N$5,BEGIN_RENEW_HEALTH_PLANID:END_RENEW_HEALTH,$A15,FALSE),"")</f>
        <v/>
      </c>
      <c r="O15" s="323" t="str">
        <f ca="1">IFERROR(VLOOKUP(O$5,BEGIN_RENEW_HEALTH_PLANID:END_RENEW_HEALTH,$A15,FALSE),"")</f>
        <v/>
      </c>
      <c r="P15" s="323" t="str">
        <f ca="1">IFERROR(VLOOKUP(P$5,BEGIN_RENEW_HEALTH_PLANID:END_RENEW_HEALTH,$A15,FALSE),"")</f>
        <v/>
      </c>
      <c r="Q15" s="323" t="str">
        <f ca="1">IFERROR(VLOOKUP(Q$5,BEGIN_RENEW_HEALTH_PLANID:END_RENEW_HEALTH,$A15,FALSE),"")</f>
        <v/>
      </c>
      <c r="R15" s="323" t="str">
        <f ca="1">IFERROR(VLOOKUP(R$5,BEGIN_RENEW_HEALTH_PLANID:END_RENEW_HEALTH,$A15,FALSE),"")</f>
        <v/>
      </c>
      <c r="S15" s="323" t="str">
        <f ca="1">IFERROR(VLOOKUP(S$5,BEGIN_RENEW_HEALTH_PLANID:END_RENEW_HEALTH,$A15,FALSE),"")</f>
        <v/>
      </c>
      <c r="T15" s="323" t="str">
        <f ca="1">IFERROR(VLOOKUP(T$5,BEGIN_RENEW_HEALTH_PLANID:END_RENEW_HEALTH,$A15,FALSE),"")</f>
        <v/>
      </c>
      <c r="U15" s="323" t="str">
        <f ca="1">IFERROR(VLOOKUP(U$5,BEGIN_RENEW_HEALTH_PLANID:END_RENEW_HEALTH,$A15,FALSE),"")</f>
        <v/>
      </c>
      <c r="V15" s="323" t="str">
        <f ca="1">IFERROR(VLOOKUP(V$5,BEGIN_RENEW_HEALTH_PLANID:END_RENEW_HEALTH,$A15,FALSE),"")</f>
        <v/>
      </c>
      <c r="W15" s="323" t="str">
        <f ca="1">IFERROR(VLOOKUP(W$5,BEGIN_RENEW_HEALTH_PLANID:END_RENEW_HEALTH,$A15,FALSE),"")</f>
        <v/>
      </c>
      <c r="X15" s="323" t="str">
        <f ca="1">IFERROR(VLOOKUP(X$5,BEGIN_RENEW_HEALTH_PLANID:END_RENEW_HEALTH,$A15,FALSE),"")</f>
        <v/>
      </c>
      <c r="Y15" s="323" t="str">
        <f ca="1">IFERROR(VLOOKUP(Y$5,BEGIN_RENEW_HEALTH_PLANID:END_RENEW_HEALTH,$A15,FALSE),"")</f>
        <v/>
      </c>
      <c r="Z15" s="323" t="str">
        <f ca="1">IFERROR(VLOOKUP(Z$5,BEGIN_RENEW_HEALTH_PLANID:END_RENEW_HEALTH,$A15,FALSE),"")</f>
        <v/>
      </c>
      <c r="AA15" s="323" t="str">
        <f ca="1">IFERROR(VLOOKUP(AA$5,BEGIN_RENEW_HEALTH_PLANID:END_RENEW_HEALTH,$A15,FALSE),"")</f>
        <v/>
      </c>
      <c r="AB15" s="323" t="str">
        <f ca="1">IFERROR(VLOOKUP(AB$5,BEGIN_RENEW_HEALTH_PLANID:END_RENEW_HEALTH,$A15,FALSE),"")</f>
        <v/>
      </c>
      <c r="AC15" s="323" t="str">
        <f ca="1">IFERROR(VLOOKUP(AC$5,BEGIN_RENEW_HEALTH_PLANID:END_RENEW_HEALTH,$A15,FALSE),"")</f>
        <v/>
      </c>
      <c r="AD15" s="324" t="str">
        <f ca="1">IFERROR(VLOOKUP(AD$5,BEGIN_RENEW_HEALTH_PLANID:END_RENEW_HEALTH,$A15,FALSE),"")</f>
        <v/>
      </c>
      <c r="AE15" s="324" t="str">
        <f ca="1">IFERROR(VLOOKUP(AE$5,BEGIN_RENEW_HEALTH_PLANID:END_RENEW_HEALTH,$A15,FALSE),"")</f>
        <v/>
      </c>
      <c r="AF15" s="324" t="str">
        <f ca="1">IFERROR(VLOOKUP(AF$5,BEGIN_RENEW_HEALTH_PLANID:END_RENEW_HEALTH,$A15,FALSE),"")</f>
        <v/>
      </c>
      <c r="AG15" s="324" t="str">
        <f ca="1">IFERROR(VLOOKUP(AG$5,BEGIN_RENEW_HEALTH_PLANID:END_RENEW_HEALTH,$A15,FALSE),"")</f>
        <v/>
      </c>
      <c r="AH15" s="324" t="str">
        <f ca="1">IFERROR(VLOOKUP(AH$5,BEGIN_RENEW_HEALTH_PLANID:END_RENEW_HEALTH,$A15,FALSE),"")</f>
        <v/>
      </c>
      <c r="AI15" s="324" t="str">
        <f ca="1">IFERROR(VLOOKUP(AI$5,BEGIN_RENEW_HEALTH_PLANID:END_RENEW_HEALTH,$A15,FALSE),"")</f>
        <v/>
      </c>
      <c r="AJ15" s="324" t="str">
        <f ca="1">IFERROR(VLOOKUP(AJ$5,BEGIN_RENEW_HEALTH_PLANID:END_RENEW_HEALTH,$A15,FALSE),"")</f>
        <v/>
      </c>
      <c r="AK15" s="324" t="str">
        <f ca="1">IFERROR(VLOOKUP(AK$5,BEGIN_RENEW_HEALTH_PLANID:END_RENEW_HEALTH,$A15,FALSE),"")</f>
        <v/>
      </c>
    </row>
    <row r="16" spans="1:37" ht="12.5">
      <c r="A16" s="3">
        <v>28</v>
      </c>
      <c r="B16" s="346" t="s">
        <v>340</v>
      </c>
      <c r="C16" s="323" t="str">
        <f ca="1">IFERROR(VLOOKUP(C$5,BEGIN_RENEW_HEALTH_PLANID:END_RENEW_HEALTH,$A16,FALSE),"")</f>
        <v/>
      </c>
      <c r="D16" s="323" t="str">
        <f ca="1">IFERROR(VLOOKUP(D$5,BEGIN_RENEW_HEALTH_PLANID:END_RENEW_HEALTH,$A16,FALSE),"")</f>
        <v/>
      </c>
      <c r="E16" s="323" t="str">
        <f ca="1">IFERROR(VLOOKUP(E$5,BEGIN_RENEW_HEALTH_PLANID:END_RENEW_HEALTH,$A16,FALSE),"")</f>
        <v/>
      </c>
      <c r="F16" s="323" t="str">
        <f ca="1">IFERROR(VLOOKUP(F$5,BEGIN_RENEW_HEALTH_PLANID:END_RENEW_HEALTH,$A16,FALSE),"")</f>
        <v/>
      </c>
      <c r="G16" s="323" t="str">
        <f ca="1">IFERROR(VLOOKUP(G$5,BEGIN_RENEW_HEALTH_PLANID:END_RENEW_HEALTH,$A16,FALSE),"")</f>
        <v/>
      </c>
      <c r="H16" s="323" t="str">
        <f ca="1">IFERROR(VLOOKUP(H$5,BEGIN_RENEW_HEALTH_PLANID:END_RENEW_HEALTH,$A16,FALSE),"")</f>
        <v/>
      </c>
      <c r="I16" s="323" t="str">
        <f ca="1">IFERROR(VLOOKUP(I$5,BEGIN_RENEW_HEALTH_PLANID:END_RENEW_HEALTH,$A16,FALSE),"")</f>
        <v/>
      </c>
      <c r="J16" s="323" t="str">
        <f ca="1">IFERROR(VLOOKUP(J$5,BEGIN_RENEW_HEALTH_PLANID:END_RENEW_HEALTH,$A16,FALSE),"")</f>
        <v/>
      </c>
      <c r="K16" s="323" t="str">
        <f ca="1">IFERROR(VLOOKUP(K$5,BEGIN_RENEW_HEALTH_PLANID:END_RENEW_HEALTH,$A16,FALSE),"")</f>
        <v/>
      </c>
      <c r="L16" s="323" t="str">
        <f ca="1">IFERROR(VLOOKUP(L$5,BEGIN_RENEW_HEALTH_PLANID:END_RENEW_HEALTH,$A16,FALSE),"")</f>
        <v/>
      </c>
      <c r="M16" s="323" t="str">
        <f ca="1">IFERROR(VLOOKUP(M$5,BEGIN_RENEW_HEALTH_PLANID:END_RENEW_HEALTH,$A16,FALSE),"")</f>
        <v/>
      </c>
      <c r="N16" s="323" t="str">
        <f ca="1">IFERROR(VLOOKUP(N$5,BEGIN_RENEW_HEALTH_PLANID:END_RENEW_HEALTH,$A16,FALSE),"")</f>
        <v/>
      </c>
      <c r="O16" s="323" t="str">
        <f ca="1">IFERROR(VLOOKUP(O$5,BEGIN_RENEW_HEALTH_PLANID:END_RENEW_HEALTH,$A16,FALSE),"")</f>
        <v/>
      </c>
      <c r="P16" s="323" t="str">
        <f ca="1">IFERROR(VLOOKUP(P$5,BEGIN_RENEW_HEALTH_PLANID:END_RENEW_HEALTH,$A16,FALSE),"")</f>
        <v/>
      </c>
      <c r="Q16" s="323" t="str">
        <f ca="1">IFERROR(VLOOKUP(Q$5,BEGIN_RENEW_HEALTH_PLANID:END_RENEW_HEALTH,$A16,FALSE),"")</f>
        <v/>
      </c>
      <c r="R16" s="323" t="str">
        <f ca="1">IFERROR(VLOOKUP(R$5,BEGIN_RENEW_HEALTH_PLANID:END_RENEW_HEALTH,$A16,FALSE),"")</f>
        <v/>
      </c>
      <c r="S16" s="323" t="str">
        <f ca="1">IFERROR(VLOOKUP(S$5,BEGIN_RENEW_HEALTH_PLANID:END_RENEW_HEALTH,$A16,FALSE),"")</f>
        <v/>
      </c>
      <c r="T16" s="323" t="str">
        <f ca="1">IFERROR(VLOOKUP(T$5,BEGIN_RENEW_HEALTH_PLANID:END_RENEW_HEALTH,$A16,FALSE),"")</f>
        <v/>
      </c>
      <c r="U16" s="323" t="str">
        <f ca="1">IFERROR(VLOOKUP(U$5,BEGIN_RENEW_HEALTH_PLANID:END_RENEW_HEALTH,$A16,FALSE),"")</f>
        <v/>
      </c>
      <c r="V16" s="323" t="str">
        <f ca="1">IFERROR(VLOOKUP(V$5,BEGIN_RENEW_HEALTH_PLANID:END_RENEW_HEALTH,$A16,FALSE),"")</f>
        <v/>
      </c>
      <c r="W16" s="323" t="str">
        <f ca="1">IFERROR(VLOOKUP(W$5,BEGIN_RENEW_HEALTH_PLANID:END_RENEW_HEALTH,$A16,FALSE),"")</f>
        <v/>
      </c>
      <c r="X16" s="323" t="str">
        <f ca="1">IFERROR(VLOOKUP(X$5,BEGIN_RENEW_HEALTH_PLANID:END_RENEW_HEALTH,$A16,FALSE),"")</f>
        <v/>
      </c>
      <c r="Y16" s="323" t="str">
        <f ca="1">IFERROR(VLOOKUP(Y$5,BEGIN_RENEW_HEALTH_PLANID:END_RENEW_HEALTH,$A16,FALSE),"")</f>
        <v/>
      </c>
      <c r="Z16" s="323" t="str">
        <f ca="1">IFERROR(VLOOKUP(Z$5,BEGIN_RENEW_HEALTH_PLANID:END_RENEW_HEALTH,$A16,FALSE),"")</f>
        <v/>
      </c>
      <c r="AA16" s="323" t="str">
        <f ca="1">IFERROR(VLOOKUP(AA$5,BEGIN_RENEW_HEALTH_PLANID:END_RENEW_HEALTH,$A16,FALSE),"")</f>
        <v/>
      </c>
      <c r="AB16" s="323" t="str">
        <f ca="1">IFERROR(VLOOKUP(AB$5,BEGIN_RENEW_HEALTH_PLANID:END_RENEW_HEALTH,$A16,FALSE),"")</f>
        <v/>
      </c>
      <c r="AC16" s="323" t="str">
        <f ca="1">IFERROR(VLOOKUP(AC$5,BEGIN_RENEW_HEALTH_PLANID:END_RENEW_HEALTH,$A16,FALSE),"")</f>
        <v/>
      </c>
      <c r="AD16" s="324" t="str">
        <f ca="1">IFERROR(VLOOKUP(AD$5,BEGIN_RENEW_HEALTH_PLANID:END_RENEW_HEALTH,$A16,FALSE),"")</f>
        <v/>
      </c>
      <c r="AE16" s="324" t="str">
        <f ca="1">IFERROR(VLOOKUP(AE$5,BEGIN_RENEW_HEALTH_PLANID:END_RENEW_HEALTH,$A16,FALSE),"")</f>
        <v/>
      </c>
      <c r="AF16" s="324" t="str">
        <f ca="1">IFERROR(VLOOKUP(AF$5,BEGIN_RENEW_HEALTH_PLANID:END_RENEW_HEALTH,$A16,FALSE),"")</f>
        <v/>
      </c>
      <c r="AG16" s="324" t="str">
        <f ca="1">IFERROR(VLOOKUP(AG$5,BEGIN_RENEW_HEALTH_PLANID:END_RENEW_HEALTH,$A16,FALSE),"")</f>
        <v/>
      </c>
      <c r="AH16" s="324" t="str">
        <f ca="1">IFERROR(VLOOKUP(AH$5,BEGIN_RENEW_HEALTH_PLANID:END_RENEW_HEALTH,$A16,FALSE),"")</f>
        <v/>
      </c>
      <c r="AI16" s="324" t="str">
        <f ca="1">IFERROR(VLOOKUP(AI$5,BEGIN_RENEW_HEALTH_PLANID:END_RENEW_HEALTH,$A16,FALSE),"")</f>
        <v/>
      </c>
      <c r="AJ16" s="324" t="str">
        <f ca="1">IFERROR(VLOOKUP(AJ$5,BEGIN_RENEW_HEALTH_PLANID:END_RENEW_HEALTH,$A16,FALSE),"")</f>
        <v/>
      </c>
      <c r="AK16" s="324" t="str">
        <f ca="1">IFERROR(VLOOKUP(AK$5,BEGIN_RENEW_HEALTH_PLANID:END_RENEW_HEALTH,$A16,FALSE),"")</f>
        <v/>
      </c>
    </row>
    <row r="17" spans="1:37" ht="12.5">
      <c r="A17" s="3">
        <v>29</v>
      </c>
      <c r="B17" s="346" t="s">
        <v>341</v>
      </c>
      <c r="C17" s="323" t="str">
        <f ca="1">IFERROR(VLOOKUP(C$5,BEGIN_RENEW_HEALTH_PLANID:END_RENEW_HEALTH,$A17,FALSE),"")</f>
        <v/>
      </c>
      <c r="D17" s="323" t="str">
        <f ca="1">IFERROR(VLOOKUP(D$5,BEGIN_RENEW_HEALTH_PLANID:END_RENEW_HEALTH,$A17,FALSE),"")</f>
        <v/>
      </c>
      <c r="E17" s="323" t="str">
        <f ca="1">IFERROR(VLOOKUP(E$5,BEGIN_RENEW_HEALTH_PLANID:END_RENEW_HEALTH,$A17,FALSE),"")</f>
        <v/>
      </c>
      <c r="F17" s="323" t="str">
        <f ca="1">IFERROR(VLOOKUP(F$5,BEGIN_RENEW_HEALTH_PLANID:END_RENEW_HEALTH,$A17,FALSE),"")</f>
        <v/>
      </c>
      <c r="G17" s="323" t="str">
        <f ca="1">IFERROR(VLOOKUP(G$5,BEGIN_RENEW_HEALTH_PLANID:END_RENEW_HEALTH,$A17,FALSE),"")</f>
        <v/>
      </c>
      <c r="H17" s="323" t="str">
        <f ca="1">IFERROR(VLOOKUP(H$5,BEGIN_RENEW_HEALTH_PLANID:END_RENEW_HEALTH,$A17,FALSE),"")</f>
        <v/>
      </c>
      <c r="I17" s="323" t="str">
        <f ca="1">IFERROR(VLOOKUP(I$5,BEGIN_RENEW_HEALTH_PLANID:END_RENEW_HEALTH,$A17,FALSE),"")</f>
        <v/>
      </c>
      <c r="J17" s="323" t="str">
        <f ca="1">IFERROR(VLOOKUP(J$5,BEGIN_RENEW_HEALTH_PLANID:END_RENEW_HEALTH,$A17,FALSE),"")</f>
        <v/>
      </c>
      <c r="K17" s="323" t="str">
        <f ca="1">IFERROR(VLOOKUP(K$5,BEGIN_RENEW_HEALTH_PLANID:END_RENEW_HEALTH,$A17,FALSE),"")</f>
        <v/>
      </c>
      <c r="L17" s="323" t="str">
        <f ca="1">IFERROR(VLOOKUP(L$5,BEGIN_RENEW_HEALTH_PLANID:END_RENEW_HEALTH,$A17,FALSE),"")</f>
        <v/>
      </c>
      <c r="M17" s="323" t="str">
        <f ca="1">IFERROR(VLOOKUP(M$5,BEGIN_RENEW_HEALTH_PLANID:END_RENEW_HEALTH,$A17,FALSE),"")</f>
        <v/>
      </c>
      <c r="N17" s="323" t="str">
        <f ca="1">IFERROR(VLOOKUP(N$5,BEGIN_RENEW_HEALTH_PLANID:END_RENEW_HEALTH,$A17,FALSE),"")</f>
        <v/>
      </c>
      <c r="O17" s="323" t="str">
        <f ca="1">IFERROR(VLOOKUP(O$5,BEGIN_RENEW_HEALTH_PLANID:END_RENEW_HEALTH,$A17,FALSE),"")</f>
        <v/>
      </c>
      <c r="P17" s="323" t="str">
        <f ca="1">IFERROR(VLOOKUP(P$5,BEGIN_RENEW_HEALTH_PLANID:END_RENEW_HEALTH,$A17,FALSE),"")</f>
        <v/>
      </c>
      <c r="Q17" s="323" t="str">
        <f ca="1">IFERROR(VLOOKUP(Q$5,BEGIN_RENEW_HEALTH_PLANID:END_RENEW_HEALTH,$A17,FALSE),"")</f>
        <v/>
      </c>
      <c r="R17" s="323" t="str">
        <f ca="1">IFERROR(VLOOKUP(R$5,BEGIN_RENEW_HEALTH_PLANID:END_RENEW_HEALTH,$A17,FALSE),"")</f>
        <v/>
      </c>
      <c r="S17" s="323" t="str">
        <f ca="1">IFERROR(VLOOKUP(S$5,BEGIN_RENEW_HEALTH_PLANID:END_RENEW_HEALTH,$A17,FALSE),"")</f>
        <v/>
      </c>
      <c r="T17" s="323" t="str">
        <f ca="1">IFERROR(VLOOKUP(T$5,BEGIN_RENEW_HEALTH_PLANID:END_RENEW_HEALTH,$A17,FALSE),"")</f>
        <v/>
      </c>
      <c r="U17" s="323" t="str">
        <f ca="1">IFERROR(VLOOKUP(U$5,BEGIN_RENEW_HEALTH_PLANID:END_RENEW_HEALTH,$A17,FALSE),"")</f>
        <v/>
      </c>
      <c r="V17" s="323" t="str">
        <f ca="1">IFERROR(VLOOKUP(V$5,BEGIN_RENEW_HEALTH_PLANID:END_RENEW_HEALTH,$A17,FALSE),"")</f>
        <v/>
      </c>
      <c r="W17" s="323" t="str">
        <f ca="1">IFERROR(VLOOKUP(W$5,BEGIN_RENEW_HEALTH_PLANID:END_RENEW_HEALTH,$A17,FALSE),"")</f>
        <v/>
      </c>
      <c r="X17" s="323" t="str">
        <f ca="1">IFERROR(VLOOKUP(X$5,BEGIN_RENEW_HEALTH_PLANID:END_RENEW_HEALTH,$A17,FALSE),"")</f>
        <v/>
      </c>
      <c r="Y17" s="323" t="str">
        <f ca="1">IFERROR(VLOOKUP(Y$5,BEGIN_RENEW_HEALTH_PLANID:END_RENEW_HEALTH,$A17,FALSE),"")</f>
        <v/>
      </c>
      <c r="Z17" s="323" t="str">
        <f ca="1">IFERROR(VLOOKUP(Z$5,BEGIN_RENEW_HEALTH_PLANID:END_RENEW_HEALTH,$A17,FALSE),"")</f>
        <v/>
      </c>
      <c r="AA17" s="323" t="str">
        <f ca="1">IFERROR(VLOOKUP(AA$5,BEGIN_RENEW_HEALTH_PLANID:END_RENEW_HEALTH,$A17,FALSE),"")</f>
        <v/>
      </c>
      <c r="AB17" s="323" t="str">
        <f ca="1">IFERROR(VLOOKUP(AB$5,BEGIN_RENEW_HEALTH_PLANID:END_RENEW_HEALTH,$A17,FALSE),"")</f>
        <v/>
      </c>
      <c r="AC17" s="323" t="str">
        <f ca="1">IFERROR(VLOOKUP(AC$5,BEGIN_RENEW_HEALTH_PLANID:END_RENEW_HEALTH,$A17,FALSE),"")</f>
        <v/>
      </c>
      <c r="AD17" s="324" t="str">
        <f ca="1">IFERROR(VLOOKUP(AD$5,BEGIN_RENEW_HEALTH_PLANID:END_RENEW_HEALTH,$A17,FALSE),"")</f>
        <v/>
      </c>
      <c r="AE17" s="324" t="str">
        <f ca="1">IFERROR(VLOOKUP(AE$5,BEGIN_RENEW_HEALTH_PLANID:END_RENEW_HEALTH,$A17,FALSE),"")</f>
        <v/>
      </c>
      <c r="AF17" s="324" t="str">
        <f ca="1">IFERROR(VLOOKUP(AF$5,BEGIN_RENEW_HEALTH_PLANID:END_RENEW_HEALTH,$A17,FALSE),"")</f>
        <v/>
      </c>
      <c r="AG17" s="324" t="str">
        <f ca="1">IFERROR(VLOOKUP(AG$5,BEGIN_RENEW_HEALTH_PLANID:END_RENEW_HEALTH,$A17,FALSE),"")</f>
        <v/>
      </c>
      <c r="AH17" s="324" t="str">
        <f ca="1">IFERROR(VLOOKUP(AH$5,BEGIN_RENEW_HEALTH_PLANID:END_RENEW_HEALTH,$A17,FALSE),"")</f>
        <v/>
      </c>
      <c r="AI17" s="324" t="str">
        <f ca="1">IFERROR(VLOOKUP(AI$5,BEGIN_RENEW_HEALTH_PLANID:END_RENEW_HEALTH,$A17,FALSE),"")</f>
        <v/>
      </c>
      <c r="AJ17" s="324" t="str">
        <f ca="1">IFERROR(VLOOKUP(AJ$5,BEGIN_RENEW_HEALTH_PLANID:END_RENEW_HEALTH,$A17,FALSE),"")</f>
        <v/>
      </c>
      <c r="AK17" s="324" t="str">
        <f ca="1">IFERROR(VLOOKUP(AK$5,BEGIN_RENEW_HEALTH_PLANID:END_RENEW_HEALTH,$A17,FALSE),"")</f>
        <v/>
      </c>
    </row>
    <row r="18" spans="1:37" ht="12.5">
      <c r="A18" s="3">
        <v>30</v>
      </c>
      <c r="B18" s="346" t="s">
        <v>128</v>
      </c>
      <c r="C18" s="323" t="str">
        <f ca="1">IFERROR(VLOOKUP(C$5,BEGIN_RENEW_HEALTH_PLANID:END_RENEW_HEALTH,$A18,FALSE),"")</f>
        <v/>
      </c>
      <c r="D18" s="323" t="str">
        <f ca="1">IFERROR(VLOOKUP(D$5,BEGIN_RENEW_HEALTH_PLANID:END_RENEW_HEALTH,$A18,FALSE),"")</f>
        <v/>
      </c>
      <c r="E18" s="323" t="str">
        <f ca="1">IFERROR(VLOOKUP(E$5,BEGIN_RENEW_HEALTH_PLANID:END_RENEW_HEALTH,$A18,FALSE),"")</f>
        <v/>
      </c>
      <c r="F18" s="323" t="str">
        <f ca="1">IFERROR(VLOOKUP(F$5,BEGIN_RENEW_HEALTH_PLANID:END_RENEW_HEALTH,$A18,FALSE),"")</f>
        <v/>
      </c>
      <c r="G18" s="323" t="str">
        <f ca="1">IFERROR(VLOOKUP(G$5,BEGIN_RENEW_HEALTH_PLANID:END_RENEW_HEALTH,$A18,FALSE),"")</f>
        <v/>
      </c>
      <c r="H18" s="323" t="str">
        <f ca="1">IFERROR(VLOOKUP(H$5,BEGIN_RENEW_HEALTH_PLANID:END_RENEW_HEALTH,$A18,FALSE),"")</f>
        <v/>
      </c>
      <c r="I18" s="323" t="str">
        <f ca="1">IFERROR(VLOOKUP(I$5,BEGIN_RENEW_HEALTH_PLANID:END_RENEW_HEALTH,$A18,FALSE),"")</f>
        <v/>
      </c>
      <c r="J18" s="323" t="str">
        <f ca="1">IFERROR(VLOOKUP(J$5,BEGIN_RENEW_HEALTH_PLANID:END_RENEW_HEALTH,$A18,FALSE),"")</f>
        <v/>
      </c>
      <c r="K18" s="323" t="str">
        <f ca="1">IFERROR(VLOOKUP(K$5,BEGIN_RENEW_HEALTH_PLANID:END_RENEW_HEALTH,$A18,FALSE),"")</f>
        <v/>
      </c>
      <c r="L18" s="323" t="str">
        <f ca="1">IFERROR(VLOOKUP(L$5,BEGIN_RENEW_HEALTH_PLANID:END_RENEW_HEALTH,$A18,FALSE),"")</f>
        <v/>
      </c>
      <c r="M18" s="323" t="str">
        <f ca="1">IFERROR(VLOOKUP(M$5,BEGIN_RENEW_HEALTH_PLANID:END_RENEW_HEALTH,$A18,FALSE),"")</f>
        <v/>
      </c>
      <c r="N18" s="323" t="str">
        <f ca="1">IFERROR(VLOOKUP(N$5,BEGIN_RENEW_HEALTH_PLANID:END_RENEW_HEALTH,$A18,FALSE),"")</f>
        <v/>
      </c>
      <c r="O18" s="323" t="str">
        <f ca="1">IFERROR(VLOOKUP(O$5,BEGIN_RENEW_HEALTH_PLANID:END_RENEW_HEALTH,$A18,FALSE),"")</f>
        <v/>
      </c>
      <c r="P18" s="323" t="str">
        <f ca="1">IFERROR(VLOOKUP(P$5,BEGIN_RENEW_HEALTH_PLANID:END_RENEW_HEALTH,$A18,FALSE),"")</f>
        <v/>
      </c>
      <c r="Q18" s="323" t="str">
        <f ca="1">IFERROR(VLOOKUP(Q$5,BEGIN_RENEW_HEALTH_PLANID:END_RENEW_HEALTH,$A18,FALSE),"")</f>
        <v/>
      </c>
      <c r="R18" s="323" t="str">
        <f ca="1">IFERROR(VLOOKUP(R$5,BEGIN_RENEW_HEALTH_PLANID:END_RENEW_HEALTH,$A18,FALSE),"")</f>
        <v/>
      </c>
      <c r="S18" s="323" t="str">
        <f ca="1">IFERROR(VLOOKUP(S$5,BEGIN_RENEW_HEALTH_PLANID:END_RENEW_HEALTH,$A18,FALSE),"")</f>
        <v/>
      </c>
      <c r="T18" s="323" t="str">
        <f ca="1">IFERROR(VLOOKUP(T$5,BEGIN_RENEW_HEALTH_PLANID:END_RENEW_HEALTH,$A18,FALSE),"")</f>
        <v/>
      </c>
      <c r="U18" s="323" t="str">
        <f ca="1">IFERROR(VLOOKUP(U$5,BEGIN_RENEW_HEALTH_PLANID:END_RENEW_HEALTH,$A18,FALSE),"")</f>
        <v/>
      </c>
      <c r="V18" s="323" t="str">
        <f ca="1">IFERROR(VLOOKUP(V$5,BEGIN_RENEW_HEALTH_PLANID:END_RENEW_HEALTH,$A18,FALSE),"")</f>
        <v/>
      </c>
      <c r="W18" s="323" t="str">
        <f ca="1">IFERROR(VLOOKUP(W$5,BEGIN_RENEW_HEALTH_PLANID:END_RENEW_HEALTH,$A18,FALSE),"")</f>
        <v/>
      </c>
      <c r="X18" s="323" t="str">
        <f ca="1">IFERROR(VLOOKUP(X$5,BEGIN_RENEW_HEALTH_PLANID:END_RENEW_HEALTH,$A18,FALSE),"")</f>
        <v/>
      </c>
      <c r="Y18" s="323" t="str">
        <f ca="1">IFERROR(VLOOKUP(Y$5,BEGIN_RENEW_HEALTH_PLANID:END_RENEW_HEALTH,$A18,FALSE),"")</f>
        <v/>
      </c>
      <c r="Z18" s="323" t="str">
        <f ca="1">IFERROR(VLOOKUP(Z$5,BEGIN_RENEW_HEALTH_PLANID:END_RENEW_HEALTH,$A18,FALSE),"")</f>
        <v/>
      </c>
      <c r="AA18" s="323" t="str">
        <f ca="1">IFERROR(VLOOKUP(AA$5,BEGIN_RENEW_HEALTH_PLANID:END_RENEW_HEALTH,$A18,FALSE),"")</f>
        <v/>
      </c>
      <c r="AB18" s="323" t="str">
        <f ca="1">IFERROR(VLOOKUP(AB$5,BEGIN_RENEW_HEALTH_PLANID:END_RENEW_HEALTH,$A18,FALSE),"")</f>
        <v/>
      </c>
      <c r="AC18" s="323" t="str">
        <f ca="1">IFERROR(VLOOKUP(AC$5,BEGIN_RENEW_HEALTH_PLANID:END_RENEW_HEALTH,$A18,FALSE),"")</f>
        <v/>
      </c>
      <c r="AD18" s="324" t="str">
        <f ca="1">IFERROR(VLOOKUP(AD$5,BEGIN_RENEW_HEALTH_PLANID:END_RENEW_HEALTH,$A18,FALSE),"")</f>
        <v/>
      </c>
      <c r="AE18" s="324" t="str">
        <f ca="1">IFERROR(VLOOKUP(AE$5,BEGIN_RENEW_HEALTH_PLANID:END_RENEW_HEALTH,$A18,FALSE),"")</f>
        <v/>
      </c>
      <c r="AF18" s="324" t="str">
        <f ca="1">IFERROR(VLOOKUP(AF$5,BEGIN_RENEW_HEALTH_PLANID:END_RENEW_HEALTH,$A18,FALSE),"")</f>
        <v/>
      </c>
      <c r="AG18" s="324" t="str">
        <f ca="1">IFERROR(VLOOKUP(AG$5,BEGIN_RENEW_HEALTH_PLANID:END_RENEW_HEALTH,$A18,FALSE),"")</f>
        <v/>
      </c>
      <c r="AH18" s="324" t="str">
        <f ca="1">IFERROR(VLOOKUP(AH$5,BEGIN_RENEW_HEALTH_PLANID:END_RENEW_HEALTH,$A18,FALSE),"")</f>
        <v/>
      </c>
      <c r="AI18" s="324" t="str">
        <f ca="1">IFERROR(VLOOKUP(AI$5,BEGIN_RENEW_HEALTH_PLANID:END_RENEW_HEALTH,$A18,FALSE),"")</f>
        <v/>
      </c>
      <c r="AJ18" s="324" t="str">
        <f ca="1">IFERROR(VLOOKUP(AJ$5,BEGIN_RENEW_HEALTH_PLANID:END_RENEW_HEALTH,$A18,FALSE),"")</f>
        <v/>
      </c>
      <c r="AK18" s="324" t="str">
        <f ca="1">IFERROR(VLOOKUP(AK$5,BEGIN_RENEW_HEALTH_PLANID:END_RENEW_HEALTH,$A18,FALSE),"")</f>
        <v/>
      </c>
    </row>
    <row r="19" spans="1:37" ht="12.5">
      <c r="A19" s="3">
        <v>47</v>
      </c>
      <c r="B19" s="346" t="s">
        <v>145</v>
      </c>
      <c r="C19" s="323" t="str">
        <f ca="1">IFERROR(VLOOKUP(C$5,BEGIN_RENEW_HEALTH_PLANID:END_RENEW_HEALTH,$A19,FALSE),"")</f>
        <v/>
      </c>
      <c r="D19" s="323" t="str">
        <f ca="1">IFERROR(VLOOKUP(D$5,BEGIN_RENEW_HEALTH_PLANID:END_RENEW_HEALTH,$A19,FALSE),"")</f>
        <v/>
      </c>
      <c r="E19" s="323" t="str">
        <f ca="1">IFERROR(VLOOKUP(E$5,BEGIN_RENEW_HEALTH_PLANID:END_RENEW_HEALTH,$A19,FALSE),"")</f>
        <v/>
      </c>
      <c r="F19" s="323" t="str">
        <f ca="1">IFERROR(VLOOKUP(F$5,BEGIN_RENEW_HEALTH_PLANID:END_RENEW_HEALTH,$A19,FALSE),"")</f>
        <v/>
      </c>
      <c r="G19" s="323" t="str">
        <f ca="1">IFERROR(VLOOKUP(G$5,BEGIN_RENEW_HEALTH_PLANID:END_RENEW_HEALTH,$A19,FALSE),"")</f>
        <v/>
      </c>
      <c r="H19" s="323" t="str">
        <f ca="1">IFERROR(VLOOKUP(H$5,BEGIN_RENEW_HEALTH_PLANID:END_RENEW_HEALTH,$A19,FALSE),"")</f>
        <v/>
      </c>
      <c r="I19" s="323" t="str">
        <f ca="1">IFERROR(VLOOKUP(I$5,BEGIN_RENEW_HEALTH_PLANID:END_RENEW_HEALTH,$A19,FALSE),"")</f>
        <v/>
      </c>
      <c r="J19" s="323" t="str">
        <f ca="1">IFERROR(VLOOKUP(J$5,BEGIN_RENEW_HEALTH_PLANID:END_RENEW_HEALTH,$A19,FALSE),"")</f>
        <v/>
      </c>
      <c r="K19" s="323" t="str">
        <f ca="1">IFERROR(VLOOKUP(K$5,BEGIN_RENEW_HEALTH_PLANID:END_RENEW_HEALTH,$A19,FALSE),"")</f>
        <v/>
      </c>
      <c r="L19" s="323" t="str">
        <f ca="1">IFERROR(VLOOKUP(L$5,BEGIN_RENEW_HEALTH_PLANID:END_RENEW_HEALTH,$A19,FALSE),"")</f>
        <v/>
      </c>
      <c r="M19" s="323" t="str">
        <f ca="1">IFERROR(VLOOKUP(M$5,BEGIN_RENEW_HEALTH_PLANID:END_RENEW_HEALTH,$A19,FALSE),"")</f>
        <v/>
      </c>
      <c r="N19" s="323" t="str">
        <f ca="1">IFERROR(VLOOKUP(N$5,BEGIN_RENEW_HEALTH_PLANID:END_RENEW_HEALTH,$A19,FALSE),"")</f>
        <v/>
      </c>
      <c r="O19" s="323" t="str">
        <f ca="1">IFERROR(VLOOKUP(O$5,BEGIN_RENEW_HEALTH_PLANID:END_RENEW_HEALTH,$A19,FALSE),"")</f>
        <v/>
      </c>
      <c r="P19" s="323" t="str">
        <f ca="1">IFERROR(VLOOKUP(P$5,BEGIN_RENEW_HEALTH_PLANID:END_RENEW_HEALTH,$A19,FALSE),"")</f>
        <v/>
      </c>
      <c r="Q19" s="323" t="str">
        <f ca="1">IFERROR(VLOOKUP(Q$5,BEGIN_RENEW_HEALTH_PLANID:END_RENEW_HEALTH,$A19,FALSE),"")</f>
        <v/>
      </c>
      <c r="R19" s="323" t="str">
        <f ca="1">IFERROR(VLOOKUP(R$5,BEGIN_RENEW_HEALTH_PLANID:END_RENEW_HEALTH,$A19,FALSE),"")</f>
        <v/>
      </c>
      <c r="S19" s="323" t="str">
        <f ca="1">IFERROR(VLOOKUP(S$5,BEGIN_RENEW_HEALTH_PLANID:END_RENEW_HEALTH,$A19,FALSE),"")</f>
        <v/>
      </c>
      <c r="T19" s="323" t="str">
        <f ca="1">IFERROR(VLOOKUP(T$5,BEGIN_RENEW_HEALTH_PLANID:END_RENEW_HEALTH,$A19,FALSE),"")</f>
        <v/>
      </c>
      <c r="U19" s="323" t="str">
        <f ca="1">IFERROR(VLOOKUP(U$5,BEGIN_RENEW_HEALTH_PLANID:END_RENEW_HEALTH,$A19,FALSE),"")</f>
        <v/>
      </c>
      <c r="V19" s="323" t="str">
        <f ca="1">IFERROR(VLOOKUP(V$5,BEGIN_RENEW_HEALTH_PLANID:END_RENEW_HEALTH,$A19,FALSE),"")</f>
        <v/>
      </c>
      <c r="W19" s="323" t="str">
        <f ca="1">IFERROR(VLOOKUP(W$5,BEGIN_RENEW_HEALTH_PLANID:END_RENEW_HEALTH,$A19,FALSE),"")</f>
        <v/>
      </c>
      <c r="X19" s="323" t="str">
        <f ca="1">IFERROR(VLOOKUP(X$5,BEGIN_RENEW_HEALTH_PLANID:END_RENEW_HEALTH,$A19,FALSE),"")</f>
        <v/>
      </c>
      <c r="Y19" s="323" t="str">
        <f ca="1">IFERROR(VLOOKUP(Y$5,BEGIN_RENEW_HEALTH_PLANID:END_RENEW_HEALTH,$A19,FALSE),"")</f>
        <v/>
      </c>
      <c r="Z19" s="323" t="str">
        <f ca="1">IFERROR(VLOOKUP(Z$5,BEGIN_RENEW_HEALTH_PLANID:END_RENEW_HEALTH,$A19,FALSE),"")</f>
        <v/>
      </c>
      <c r="AA19" s="323" t="str">
        <f ca="1">IFERROR(VLOOKUP(AA$5,BEGIN_RENEW_HEALTH_PLANID:END_RENEW_HEALTH,$A19,FALSE),"")</f>
        <v/>
      </c>
      <c r="AB19" s="323" t="str">
        <f ca="1">IFERROR(VLOOKUP(AB$5,BEGIN_RENEW_HEALTH_PLANID:END_RENEW_HEALTH,$A19,FALSE),"")</f>
        <v/>
      </c>
      <c r="AC19" s="323" t="str">
        <f ca="1">IFERROR(VLOOKUP(AC$5,BEGIN_RENEW_HEALTH_PLANID:END_RENEW_HEALTH,$A19,FALSE),"")</f>
        <v/>
      </c>
      <c r="AD19" s="324" t="str">
        <f ca="1">IFERROR(VLOOKUP(AD$5,BEGIN_RENEW_HEALTH_PLANID:END_RENEW_HEALTH,$A19,FALSE),"")</f>
        <v/>
      </c>
      <c r="AE19" s="324" t="str">
        <f ca="1">IFERROR(VLOOKUP(AE$5,BEGIN_RENEW_HEALTH_PLANID:END_RENEW_HEALTH,$A19,FALSE),"")</f>
        <v/>
      </c>
      <c r="AF19" s="324" t="str">
        <f ca="1">IFERROR(VLOOKUP(AF$5,BEGIN_RENEW_HEALTH_PLANID:END_RENEW_HEALTH,$A19,FALSE),"")</f>
        <v/>
      </c>
      <c r="AG19" s="324" t="str">
        <f ca="1">IFERROR(VLOOKUP(AG$5,BEGIN_RENEW_HEALTH_PLANID:END_RENEW_HEALTH,$A19,FALSE),"")</f>
        <v/>
      </c>
      <c r="AH19" s="324" t="str">
        <f ca="1">IFERROR(VLOOKUP(AH$5,BEGIN_RENEW_HEALTH_PLANID:END_RENEW_HEALTH,$A19,FALSE),"")</f>
        <v/>
      </c>
      <c r="AI19" s="324" t="str">
        <f ca="1">IFERROR(VLOOKUP(AI$5,BEGIN_RENEW_HEALTH_PLANID:END_RENEW_HEALTH,$A19,FALSE),"")</f>
        <v/>
      </c>
      <c r="AJ19" s="324" t="str">
        <f ca="1">IFERROR(VLOOKUP(AJ$5,BEGIN_RENEW_HEALTH_PLANID:END_RENEW_HEALTH,$A19,FALSE),"")</f>
        <v/>
      </c>
      <c r="AK19" s="324" t="str">
        <f ca="1">IFERROR(VLOOKUP(AK$5,BEGIN_RENEW_HEALTH_PLANID:END_RENEW_HEALTH,$A19,FALSE),"")</f>
        <v/>
      </c>
    </row>
    <row r="20" spans="1:37" ht="12.5">
      <c r="A20" s="3">
        <v>48</v>
      </c>
      <c r="B20" s="346" t="s">
        <v>342</v>
      </c>
      <c r="C20" s="323" t="str">
        <f ca="1">IFERROR(VLOOKUP(C$5,BEGIN_RENEW_HEALTH_PLANID:END_RENEW_HEALTH,$A20,FALSE),"")</f>
        <v/>
      </c>
      <c r="D20" s="323" t="str">
        <f ca="1">IFERROR(VLOOKUP(D$5,BEGIN_RENEW_HEALTH_PLANID:END_RENEW_HEALTH,$A20,FALSE),"")</f>
        <v/>
      </c>
      <c r="E20" s="323" t="str">
        <f ca="1">IFERROR(VLOOKUP(E$5,BEGIN_RENEW_HEALTH_PLANID:END_RENEW_HEALTH,$A20,FALSE),"")</f>
        <v/>
      </c>
      <c r="F20" s="323" t="str">
        <f ca="1">IFERROR(VLOOKUP(F$5,BEGIN_RENEW_HEALTH_PLANID:END_RENEW_HEALTH,$A20,FALSE),"")</f>
        <v/>
      </c>
      <c r="G20" s="323" t="str">
        <f ca="1">IFERROR(VLOOKUP(G$5,BEGIN_RENEW_HEALTH_PLANID:END_RENEW_HEALTH,$A20,FALSE),"")</f>
        <v/>
      </c>
      <c r="H20" s="323" t="str">
        <f ca="1">IFERROR(VLOOKUP(H$5,BEGIN_RENEW_HEALTH_PLANID:END_RENEW_HEALTH,$A20,FALSE),"")</f>
        <v/>
      </c>
      <c r="I20" s="323" t="str">
        <f ca="1">IFERROR(VLOOKUP(I$5,BEGIN_RENEW_HEALTH_PLANID:END_RENEW_HEALTH,$A20,FALSE),"")</f>
        <v/>
      </c>
      <c r="J20" s="323" t="str">
        <f ca="1">IFERROR(VLOOKUP(J$5,BEGIN_RENEW_HEALTH_PLANID:END_RENEW_HEALTH,$A20,FALSE),"")</f>
        <v/>
      </c>
      <c r="K20" s="323" t="str">
        <f ca="1">IFERROR(VLOOKUP(K$5,BEGIN_RENEW_HEALTH_PLANID:END_RENEW_HEALTH,$A20,FALSE),"")</f>
        <v/>
      </c>
      <c r="L20" s="323" t="str">
        <f ca="1">IFERROR(VLOOKUP(L$5,BEGIN_RENEW_HEALTH_PLANID:END_RENEW_HEALTH,$A20,FALSE),"")</f>
        <v/>
      </c>
      <c r="M20" s="323" t="str">
        <f ca="1">IFERROR(VLOOKUP(M$5,BEGIN_RENEW_HEALTH_PLANID:END_RENEW_HEALTH,$A20,FALSE),"")</f>
        <v/>
      </c>
      <c r="N20" s="323" t="str">
        <f ca="1">IFERROR(VLOOKUP(N$5,BEGIN_RENEW_HEALTH_PLANID:END_RENEW_HEALTH,$A20,FALSE),"")</f>
        <v/>
      </c>
      <c r="O20" s="323" t="str">
        <f ca="1">IFERROR(VLOOKUP(O$5,BEGIN_RENEW_HEALTH_PLANID:END_RENEW_HEALTH,$A20,FALSE),"")</f>
        <v/>
      </c>
      <c r="P20" s="323" t="str">
        <f ca="1">IFERROR(VLOOKUP(P$5,BEGIN_RENEW_HEALTH_PLANID:END_RENEW_HEALTH,$A20,FALSE),"")</f>
        <v/>
      </c>
      <c r="Q20" s="323" t="str">
        <f ca="1">IFERROR(VLOOKUP(Q$5,BEGIN_RENEW_HEALTH_PLANID:END_RENEW_HEALTH,$A20,FALSE),"")</f>
        <v/>
      </c>
      <c r="R20" s="323" t="str">
        <f ca="1">IFERROR(VLOOKUP(R$5,BEGIN_RENEW_HEALTH_PLANID:END_RENEW_HEALTH,$A20,FALSE),"")</f>
        <v/>
      </c>
      <c r="S20" s="323" t="str">
        <f ca="1">IFERROR(VLOOKUP(S$5,BEGIN_RENEW_HEALTH_PLANID:END_RENEW_HEALTH,$A20,FALSE),"")</f>
        <v/>
      </c>
      <c r="T20" s="323" t="str">
        <f ca="1">IFERROR(VLOOKUP(T$5,BEGIN_RENEW_HEALTH_PLANID:END_RENEW_HEALTH,$A20,FALSE),"")</f>
        <v/>
      </c>
      <c r="U20" s="323" t="str">
        <f ca="1">IFERROR(VLOOKUP(U$5,BEGIN_RENEW_HEALTH_PLANID:END_RENEW_HEALTH,$A20,FALSE),"")</f>
        <v/>
      </c>
      <c r="V20" s="323" t="str">
        <f ca="1">IFERROR(VLOOKUP(V$5,BEGIN_RENEW_HEALTH_PLANID:END_RENEW_HEALTH,$A20,FALSE),"")</f>
        <v/>
      </c>
      <c r="W20" s="323" t="str">
        <f ca="1">IFERROR(VLOOKUP(W$5,BEGIN_RENEW_HEALTH_PLANID:END_RENEW_HEALTH,$A20,FALSE),"")</f>
        <v/>
      </c>
      <c r="X20" s="323" t="str">
        <f ca="1">IFERROR(VLOOKUP(X$5,BEGIN_RENEW_HEALTH_PLANID:END_RENEW_HEALTH,$A20,FALSE),"")</f>
        <v/>
      </c>
      <c r="Y20" s="323" t="str">
        <f ca="1">IFERROR(VLOOKUP(Y$5,BEGIN_RENEW_HEALTH_PLANID:END_RENEW_HEALTH,$A20,FALSE),"")</f>
        <v/>
      </c>
      <c r="Z20" s="323" t="str">
        <f ca="1">IFERROR(VLOOKUP(Z$5,BEGIN_RENEW_HEALTH_PLANID:END_RENEW_HEALTH,$A20,FALSE),"")</f>
        <v/>
      </c>
      <c r="AA20" s="323" t="str">
        <f ca="1">IFERROR(VLOOKUP(AA$5,BEGIN_RENEW_HEALTH_PLANID:END_RENEW_HEALTH,$A20,FALSE),"")</f>
        <v/>
      </c>
      <c r="AB20" s="323" t="str">
        <f ca="1">IFERROR(VLOOKUP(AB$5,BEGIN_RENEW_HEALTH_PLANID:END_RENEW_HEALTH,$A20,FALSE),"")</f>
        <v/>
      </c>
      <c r="AC20" s="323" t="str">
        <f ca="1">IFERROR(VLOOKUP(AC$5,BEGIN_RENEW_HEALTH_PLANID:END_RENEW_HEALTH,$A20,FALSE),"")</f>
        <v/>
      </c>
      <c r="AD20" s="324" t="str">
        <f ca="1">IFERROR(VLOOKUP(AD$5,BEGIN_RENEW_HEALTH_PLANID:END_RENEW_HEALTH,$A20,FALSE),"")</f>
        <v/>
      </c>
      <c r="AE20" s="324" t="str">
        <f ca="1">IFERROR(VLOOKUP(AE$5,BEGIN_RENEW_HEALTH_PLANID:END_RENEW_HEALTH,$A20,FALSE),"")</f>
        <v/>
      </c>
      <c r="AF20" s="324" t="str">
        <f ca="1">IFERROR(VLOOKUP(AF$5,BEGIN_RENEW_HEALTH_PLANID:END_RENEW_HEALTH,$A20,FALSE),"")</f>
        <v/>
      </c>
      <c r="AG20" s="324" t="str">
        <f ca="1">IFERROR(VLOOKUP(AG$5,BEGIN_RENEW_HEALTH_PLANID:END_RENEW_HEALTH,$A20,FALSE),"")</f>
        <v/>
      </c>
      <c r="AH20" s="324" t="str">
        <f ca="1">IFERROR(VLOOKUP(AH$5,BEGIN_RENEW_HEALTH_PLANID:END_RENEW_HEALTH,$A20,FALSE),"")</f>
        <v/>
      </c>
      <c r="AI20" s="324" t="str">
        <f ca="1">IFERROR(VLOOKUP(AI$5,BEGIN_RENEW_HEALTH_PLANID:END_RENEW_HEALTH,$A20,FALSE),"")</f>
        <v/>
      </c>
      <c r="AJ20" s="324" t="str">
        <f ca="1">IFERROR(VLOOKUP(AJ$5,BEGIN_RENEW_HEALTH_PLANID:END_RENEW_HEALTH,$A20,FALSE),"")</f>
        <v/>
      </c>
      <c r="AK20" s="324" t="str">
        <f ca="1">IFERROR(VLOOKUP(AK$5,BEGIN_RENEW_HEALTH_PLANID:END_RENEW_HEALTH,$A20,FALSE),"")</f>
        <v/>
      </c>
    </row>
    <row r="21" spans="1:37" ht="12.5">
      <c r="A21" s="3">
        <v>31</v>
      </c>
      <c r="B21" s="346" t="s">
        <v>343</v>
      </c>
      <c r="C21" s="323" t="str">
        <f ca="1">IFERROR(VLOOKUP(C$5,BEGIN_RENEW_HEALTH_PLANID:END_RENEW_HEALTH,$A21,FALSE),"")</f>
        <v/>
      </c>
      <c r="D21" s="323" t="str">
        <f ca="1">IFERROR(VLOOKUP(D$5,BEGIN_RENEW_HEALTH_PLANID:END_RENEW_HEALTH,$A21,FALSE),"")</f>
        <v/>
      </c>
      <c r="E21" s="323" t="str">
        <f ca="1">IFERROR(VLOOKUP(E$5,BEGIN_RENEW_HEALTH_PLANID:END_RENEW_HEALTH,$A21,FALSE),"")</f>
        <v/>
      </c>
      <c r="F21" s="323" t="str">
        <f ca="1">IFERROR(VLOOKUP(F$5,BEGIN_RENEW_HEALTH_PLANID:END_RENEW_HEALTH,$A21,FALSE),"")</f>
        <v/>
      </c>
      <c r="G21" s="323" t="str">
        <f ca="1">IFERROR(VLOOKUP(G$5,BEGIN_RENEW_HEALTH_PLANID:END_RENEW_HEALTH,$A21,FALSE),"")</f>
        <v/>
      </c>
      <c r="H21" s="323" t="str">
        <f ca="1">IFERROR(VLOOKUP(H$5,BEGIN_RENEW_HEALTH_PLANID:END_RENEW_HEALTH,$A21,FALSE),"")</f>
        <v/>
      </c>
      <c r="I21" s="323" t="str">
        <f ca="1">IFERROR(VLOOKUP(I$5,BEGIN_RENEW_HEALTH_PLANID:END_RENEW_HEALTH,$A21,FALSE),"")</f>
        <v/>
      </c>
      <c r="J21" s="323" t="str">
        <f ca="1">IFERROR(VLOOKUP(J$5,BEGIN_RENEW_HEALTH_PLANID:END_RENEW_HEALTH,$A21,FALSE),"")</f>
        <v/>
      </c>
      <c r="K21" s="323" t="str">
        <f ca="1">IFERROR(VLOOKUP(K$5,BEGIN_RENEW_HEALTH_PLANID:END_RENEW_HEALTH,$A21,FALSE),"")</f>
        <v/>
      </c>
      <c r="L21" s="323" t="str">
        <f ca="1">IFERROR(VLOOKUP(L$5,BEGIN_RENEW_HEALTH_PLANID:END_RENEW_HEALTH,$A21,FALSE),"")</f>
        <v/>
      </c>
      <c r="M21" s="323" t="str">
        <f ca="1">IFERROR(VLOOKUP(M$5,BEGIN_RENEW_HEALTH_PLANID:END_RENEW_HEALTH,$A21,FALSE),"")</f>
        <v/>
      </c>
      <c r="N21" s="323" t="str">
        <f ca="1">IFERROR(VLOOKUP(N$5,BEGIN_RENEW_HEALTH_PLANID:END_RENEW_HEALTH,$A21,FALSE),"")</f>
        <v/>
      </c>
      <c r="O21" s="323" t="str">
        <f ca="1">IFERROR(VLOOKUP(O$5,BEGIN_RENEW_HEALTH_PLANID:END_RENEW_HEALTH,$A21,FALSE),"")</f>
        <v/>
      </c>
      <c r="P21" s="323" t="str">
        <f ca="1">IFERROR(VLOOKUP(P$5,BEGIN_RENEW_HEALTH_PLANID:END_RENEW_HEALTH,$A21,FALSE),"")</f>
        <v/>
      </c>
      <c r="Q21" s="323" t="str">
        <f ca="1">IFERROR(VLOOKUP(Q$5,BEGIN_RENEW_HEALTH_PLANID:END_RENEW_HEALTH,$A21,FALSE),"")</f>
        <v/>
      </c>
      <c r="R21" s="323" t="str">
        <f ca="1">IFERROR(VLOOKUP(R$5,BEGIN_RENEW_HEALTH_PLANID:END_RENEW_HEALTH,$A21,FALSE),"")</f>
        <v/>
      </c>
      <c r="S21" s="323" t="str">
        <f ca="1">IFERROR(VLOOKUP(S$5,BEGIN_RENEW_HEALTH_PLANID:END_RENEW_HEALTH,$A21,FALSE),"")</f>
        <v/>
      </c>
      <c r="T21" s="323" t="str">
        <f ca="1">IFERROR(VLOOKUP(T$5,BEGIN_RENEW_HEALTH_PLANID:END_RENEW_HEALTH,$A21,FALSE),"")</f>
        <v/>
      </c>
      <c r="U21" s="323" t="str">
        <f ca="1">IFERROR(VLOOKUP(U$5,BEGIN_RENEW_HEALTH_PLANID:END_RENEW_HEALTH,$A21,FALSE),"")</f>
        <v/>
      </c>
      <c r="V21" s="323" t="str">
        <f ca="1">IFERROR(VLOOKUP(V$5,BEGIN_RENEW_HEALTH_PLANID:END_RENEW_HEALTH,$A21,FALSE),"")</f>
        <v/>
      </c>
      <c r="W21" s="323" t="str">
        <f ca="1">IFERROR(VLOOKUP(W$5,BEGIN_RENEW_HEALTH_PLANID:END_RENEW_HEALTH,$A21,FALSE),"")</f>
        <v/>
      </c>
      <c r="X21" s="323" t="str">
        <f ca="1">IFERROR(VLOOKUP(X$5,BEGIN_RENEW_HEALTH_PLANID:END_RENEW_HEALTH,$A21,FALSE),"")</f>
        <v/>
      </c>
      <c r="Y21" s="323" t="str">
        <f ca="1">IFERROR(VLOOKUP(Y$5,BEGIN_RENEW_HEALTH_PLANID:END_RENEW_HEALTH,$A21,FALSE),"")</f>
        <v/>
      </c>
      <c r="Z21" s="323" t="str">
        <f ca="1">IFERROR(VLOOKUP(Z$5,BEGIN_RENEW_HEALTH_PLANID:END_RENEW_HEALTH,$A21,FALSE),"")</f>
        <v/>
      </c>
      <c r="AA21" s="323" t="str">
        <f ca="1">IFERROR(VLOOKUP(AA$5,BEGIN_RENEW_HEALTH_PLANID:END_RENEW_HEALTH,$A21,FALSE),"")</f>
        <v/>
      </c>
      <c r="AB21" s="323" t="str">
        <f ca="1">IFERROR(VLOOKUP(AB$5,BEGIN_RENEW_HEALTH_PLANID:END_RENEW_HEALTH,$A21,FALSE),"")</f>
        <v/>
      </c>
      <c r="AC21" s="323" t="str">
        <f ca="1">IFERROR(VLOOKUP(AC$5,BEGIN_RENEW_HEALTH_PLANID:END_RENEW_HEALTH,$A21,FALSE),"")</f>
        <v/>
      </c>
      <c r="AD21" s="324" t="str">
        <f ca="1">IFERROR(VLOOKUP(AD$5,BEGIN_RENEW_HEALTH_PLANID:END_RENEW_HEALTH,$A21,FALSE),"")</f>
        <v/>
      </c>
      <c r="AE21" s="324" t="str">
        <f ca="1">IFERROR(VLOOKUP(AE$5,BEGIN_RENEW_HEALTH_PLANID:END_RENEW_HEALTH,$A21,FALSE),"")</f>
        <v/>
      </c>
      <c r="AF21" s="324" t="str">
        <f ca="1">IFERROR(VLOOKUP(AF$5,BEGIN_RENEW_HEALTH_PLANID:END_RENEW_HEALTH,$A21,FALSE),"")</f>
        <v/>
      </c>
      <c r="AG21" s="324" t="str">
        <f ca="1">IFERROR(VLOOKUP(AG$5,BEGIN_RENEW_HEALTH_PLANID:END_RENEW_HEALTH,$A21,FALSE),"")</f>
        <v/>
      </c>
      <c r="AH21" s="324" t="str">
        <f ca="1">IFERROR(VLOOKUP(AH$5,BEGIN_RENEW_HEALTH_PLANID:END_RENEW_HEALTH,$A21,FALSE),"")</f>
        <v/>
      </c>
      <c r="AI21" s="324" t="str">
        <f ca="1">IFERROR(VLOOKUP(AI$5,BEGIN_RENEW_HEALTH_PLANID:END_RENEW_HEALTH,$A21,FALSE),"")</f>
        <v/>
      </c>
      <c r="AJ21" s="324" t="str">
        <f ca="1">IFERROR(VLOOKUP(AJ$5,BEGIN_RENEW_HEALTH_PLANID:END_RENEW_HEALTH,$A21,FALSE),"")</f>
        <v/>
      </c>
      <c r="AK21" s="324" t="str">
        <f ca="1">IFERROR(VLOOKUP(AK$5,BEGIN_RENEW_HEALTH_PLANID:END_RENEW_HEALTH,$A21,FALSE),"")</f>
        <v/>
      </c>
    </row>
    <row r="22" spans="1:37" ht="12.5">
      <c r="A22" s="3">
        <v>32</v>
      </c>
      <c r="B22" s="346" t="s">
        <v>130</v>
      </c>
      <c r="C22" s="323" t="str">
        <f ca="1">IFERROR(VLOOKUP(C$5,BEGIN_RENEW_HEALTH_PLANID:END_RENEW_HEALTH,$A22,FALSE),"")</f>
        <v/>
      </c>
      <c r="D22" s="323" t="str">
        <f ca="1">IFERROR(VLOOKUP(D$5,BEGIN_RENEW_HEALTH_PLANID:END_RENEW_HEALTH,$A22,FALSE),"")</f>
        <v/>
      </c>
      <c r="E22" s="323" t="str">
        <f ca="1">IFERROR(VLOOKUP(E$5,BEGIN_RENEW_HEALTH_PLANID:END_RENEW_HEALTH,$A22,FALSE),"")</f>
        <v/>
      </c>
      <c r="F22" s="323" t="str">
        <f ca="1">IFERROR(VLOOKUP(F$5,BEGIN_RENEW_HEALTH_PLANID:END_RENEW_HEALTH,$A22,FALSE),"")</f>
        <v/>
      </c>
      <c r="G22" s="323" t="str">
        <f ca="1">IFERROR(VLOOKUP(G$5,BEGIN_RENEW_HEALTH_PLANID:END_RENEW_HEALTH,$A22,FALSE),"")</f>
        <v/>
      </c>
      <c r="H22" s="323" t="str">
        <f ca="1">IFERROR(VLOOKUP(H$5,BEGIN_RENEW_HEALTH_PLANID:END_RENEW_HEALTH,$A22,FALSE),"")</f>
        <v/>
      </c>
      <c r="I22" s="323" t="str">
        <f ca="1">IFERROR(VLOOKUP(I$5,BEGIN_RENEW_HEALTH_PLANID:END_RENEW_HEALTH,$A22,FALSE),"")</f>
        <v/>
      </c>
      <c r="J22" s="323" t="str">
        <f ca="1">IFERROR(VLOOKUP(J$5,BEGIN_RENEW_HEALTH_PLANID:END_RENEW_HEALTH,$A22,FALSE),"")</f>
        <v/>
      </c>
      <c r="K22" s="323" t="str">
        <f ca="1">IFERROR(VLOOKUP(K$5,BEGIN_RENEW_HEALTH_PLANID:END_RENEW_HEALTH,$A22,FALSE),"")</f>
        <v/>
      </c>
      <c r="L22" s="323" t="str">
        <f ca="1">IFERROR(VLOOKUP(L$5,BEGIN_RENEW_HEALTH_PLANID:END_RENEW_HEALTH,$A22,FALSE),"")</f>
        <v/>
      </c>
      <c r="M22" s="323" t="str">
        <f ca="1">IFERROR(VLOOKUP(M$5,BEGIN_RENEW_HEALTH_PLANID:END_RENEW_HEALTH,$A22,FALSE),"")</f>
        <v/>
      </c>
      <c r="N22" s="323" t="str">
        <f ca="1">IFERROR(VLOOKUP(N$5,BEGIN_RENEW_HEALTH_PLANID:END_RENEW_HEALTH,$A22,FALSE),"")</f>
        <v/>
      </c>
      <c r="O22" s="323" t="str">
        <f ca="1">IFERROR(VLOOKUP(O$5,BEGIN_RENEW_HEALTH_PLANID:END_RENEW_HEALTH,$A22,FALSE),"")</f>
        <v/>
      </c>
      <c r="P22" s="323" t="str">
        <f ca="1">IFERROR(VLOOKUP(P$5,BEGIN_RENEW_HEALTH_PLANID:END_RENEW_HEALTH,$A22,FALSE),"")</f>
        <v/>
      </c>
      <c r="Q22" s="323" t="str">
        <f ca="1">IFERROR(VLOOKUP(Q$5,BEGIN_RENEW_HEALTH_PLANID:END_RENEW_HEALTH,$A22,FALSE),"")</f>
        <v/>
      </c>
      <c r="R22" s="323" t="str">
        <f ca="1">IFERROR(VLOOKUP(R$5,BEGIN_RENEW_HEALTH_PLANID:END_RENEW_HEALTH,$A22,FALSE),"")</f>
        <v/>
      </c>
      <c r="S22" s="323" t="str">
        <f ca="1">IFERROR(VLOOKUP(S$5,BEGIN_RENEW_HEALTH_PLANID:END_RENEW_HEALTH,$A22,FALSE),"")</f>
        <v/>
      </c>
      <c r="T22" s="323" t="str">
        <f ca="1">IFERROR(VLOOKUP(T$5,BEGIN_RENEW_HEALTH_PLANID:END_RENEW_HEALTH,$A22,FALSE),"")</f>
        <v/>
      </c>
      <c r="U22" s="323" t="str">
        <f ca="1">IFERROR(VLOOKUP(U$5,BEGIN_RENEW_HEALTH_PLANID:END_RENEW_HEALTH,$A22,FALSE),"")</f>
        <v/>
      </c>
      <c r="V22" s="323" t="str">
        <f ca="1">IFERROR(VLOOKUP(V$5,BEGIN_RENEW_HEALTH_PLANID:END_RENEW_HEALTH,$A22,FALSE),"")</f>
        <v/>
      </c>
      <c r="W22" s="323" t="str">
        <f ca="1">IFERROR(VLOOKUP(W$5,BEGIN_RENEW_HEALTH_PLANID:END_RENEW_HEALTH,$A22,FALSE),"")</f>
        <v/>
      </c>
      <c r="X22" s="323" t="str">
        <f ca="1">IFERROR(VLOOKUP(X$5,BEGIN_RENEW_HEALTH_PLANID:END_RENEW_HEALTH,$A22,FALSE),"")</f>
        <v/>
      </c>
      <c r="Y22" s="323" t="str">
        <f ca="1">IFERROR(VLOOKUP(Y$5,BEGIN_RENEW_HEALTH_PLANID:END_RENEW_HEALTH,$A22,FALSE),"")</f>
        <v/>
      </c>
      <c r="Z22" s="323" t="str">
        <f ca="1">IFERROR(VLOOKUP(Z$5,BEGIN_RENEW_HEALTH_PLANID:END_RENEW_HEALTH,$A22,FALSE),"")</f>
        <v/>
      </c>
      <c r="AA22" s="323" t="str">
        <f ca="1">IFERROR(VLOOKUP(AA$5,BEGIN_RENEW_HEALTH_PLANID:END_RENEW_HEALTH,$A22,FALSE),"")</f>
        <v/>
      </c>
      <c r="AB22" s="323" t="str">
        <f ca="1">IFERROR(VLOOKUP(AB$5,BEGIN_RENEW_HEALTH_PLANID:END_RENEW_HEALTH,$A22,FALSE),"")</f>
        <v/>
      </c>
      <c r="AC22" s="323" t="str">
        <f ca="1">IFERROR(VLOOKUP(AC$5,BEGIN_RENEW_HEALTH_PLANID:END_RENEW_HEALTH,$A22,FALSE),"")</f>
        <v/>
      </c>
      <c r="AD22" s="324" t="str">
        <f ca="1">IFERROR(VLOOKUP(AD$5,BEGIN_RENEW_HEALTH_PLANID:END_RENEW_HEALTH,$A22,FALSE),"")</f>
        <v/>
      </c>
      <c r="AE22" s="324" t="str">
        <f ca="1">IFERROR(VLOOKUP(AE$5,BEGIN_RENEW_HEALTH_PLANID:END_RENEW_HEALTH,$A22,FALSE),"")</f>
        <v/>
      </c>
      <c r="AF22" s="324" t="str">
        <f ca="1">IFERROR(VLOOKUP(AF$5,BEGIN_RENEW_HEALTH_PLANID:END_RENEW_HEALTH,$A22,FALSE),"")</f>
        <v/>
      </c>
      <c r="AG22" s="324" t="str">
        <f ca="1">IFERROR(VLOOKUP(AG$5,BEGIN_RENEW_HEALTH_PLANID:END_RENEW_HEALTH,$A22,FALSE),"")</f>
        <v/>
      </c>
      <c r="AH22" s="324" t="str">
        <f ca="1">IFERROR(VLOOKUP(AH$5,BEGIN_RENEW_HEALTH_PLANID:END_RENEW_HEALTH,$A22,FALSE),"")</f>
        <v/>
      </c>
      <c r="AI22" s="324" t="str">
        <f ca="1">IFERROR(VLOOKUP(AI$5,BEGIN_RENEW_HEALTH_PLANID:END_RENEW_HEALTH,$A22,FALSE),"")</f>
        <v/>
      </c>
      <c r="AJ22" s="324" t="str">
        <f ca="1">IFERROR(VLOOKUP(AJ$5,BEGIN_RENEW_HEALTH_PLANID:END_RENEW_HEALTH,$A22,FALSE),"")</f>
        <v/>
      </c>
      <c r="AK22" s="324" t="str">
        <f ca="1">IFERROR(VLOOKUP(AK$5,BEGIN_RENEW_HEALTH_PLANID:END_RENEW_HEALTH,$A22,FALSE),"")</f>
        <v/>
      </c>
    </row>
    <row r="23" spans="1:37" ht="12.5">
      <c r="A23" s="3">
        <v>33</v>
      </c>
      <c r="B23" s="346" t="s">
        <v>131</v>
      </c>
      <c r="C23" s="323" t="str">
        <f ca="1">IFERROR(VLOOKUP(C$5,BEGIN_RENEW_HEALTH_PLANID:END_RENEW_HEALTH,$A23,FALSE),"")</f>
        <v/>
      </c>
      <c r="D23" s="323" t="str">
        <f ca="1">IFERROR(VLOOKUP(D$5,BEGIN_RENEW_HEALTH_PLANID:END_RENEW_HEALTH,$A23,FALSE),"")</f>
        <v/>
      </c>
      <c r="E23" s="323" t="str">
        <f ca="1">IFERROR(VLOOKUP(E$5,BEGIN_RENEW_HEALTH_PLANID:END_RENEW_HEALTH,$A23,FALSE),"")</f>
        <v/>
      </c>
      <c r="F23" s="323" t="str">
        <f ca="1">IFERROR(VLOOKUP(F$5,BEGIN_RENEW_HEALTH_PLANID:END_RENEW_HEALTH,$A23,FALSE),"")</f>
        <v/>
      </c>
      <c r="G23" s="323" t="str">
        <f ca="1">IFERROR(VLOOKUP(G$5,BEGIN_RENEW_HEALTH_PLANID:END_RENEW_HEALTH,$A23,FALSE),"")</f>
        <v/>
      </c>
      <c r="H23" s="323" t="str">
        <f ca="1">IFERROR(VLOOKUP(H$5,BEGIN_RENEW_HEALTH_PLANID:END_RENEW_HEALTH,$A23,FALSE),"")</f>
        <v/>
      </c>
      <c r="I23" s="323" t="str">
        <f ca="1">IFERROR(VLOOKUP(I$5,BEGIN_RENEW_HEALTH_PLANID:END_RENEW_HEALTH,$A23,FALSE),"")</f>
        <v/>
      </c>
      <c r="J23" s="323" t="str">
        <f ca="1">IFERROR(VLOOKUP(J$5,BEGIN_RENEW_HEALTH_PLANID:END_RENEW_HEALTH,$A23,FALSE),"")</f>
        <v/>
      </c>
      <c r="K23" s="323" t="str">
        <f ca="1">IFERROR(VLOOKUP(K$5,BEGIN_RENEW_HEALTH_PLANID:END_RENEW_HEALTH,$A23,FALSE),"")</f>
        <v/>
      </c>
      <c r="L23" s="323" t="str">
        <f ca="1">IFERROR(VLOOKUP(L$5,BEGIN_RENEW_HEALTH_PLANID:END_RENEW_HEALTH,$A23,FALSE),"")</f>
        <v/>
      </c>
      <c r="M23" s="323" t="str">
        <f ca="1">IFERROR(VLOOKUP(M$5,BEGIN_RENEW_HEALTH_PLANID:END_RENEW_HEALTH,$A23,FALSE),"")</f>
        <v/>
      </c>
      <c r="N23" s="323" t="str">
        <f ca="1">IFERROR(VLOOKUP(N$5,BEGIN_RENEW_HEALTH_PLANID:END_RENEW_HEALTH,$A23,FALSE),"")</f>
        <v/>
      </c>
      <c r="O23" s="323" t="str">
        <f ca="1">IFERROR(VLOOKUP(O$5,BEGIN_RENEW_HEALTH_PLANID:END_RENEW_HEALTH,$A23,FALSE),"")</f>
        <v/>
      </c>
      <c r="P23" s="323" t="str">
        <f ca="1">IFERROR(VLOOKUP(P$5,BEGIN_RENEW_HEALTH_PLANID:END_RENEW_HEALTH,$A23,FALSE),"")</f>
        <v/>
      </c>
      <c r="Q23" s="323" t="str">
        <f ca="1">IFERROR(VLOOKUP(Q$5,BEGIN_RENEW_HEALTH_PLANID:END_RENEW_HEALTH,$A23,FALSE),"")</f>
        <v/>
      </c>
      <c r="R23" s="323" t="str">
        <f ca="1">IFERROR(VLOOKUP(R$5,BEGIN_RENEW_HEALTH_PLANID:END_RENEW_HEALTH,$A23,FALSE),"")</f>
        <v/>
      </c>
      <c r="S23" s="323" t="str">
        <f ca="1">IFERROR(VLOOKUP(S$5,BEGIN_RENEW_HEALTH_PLANID:END_RENEW_HEALTH,$A23,FALSE),"")</f>
        <v/>
      </c>
      <c r="T23" s="323" t="str">
        <f ca="1">IFERROR(VLOOKUP(T$5,BEGIN_RENEW_HEALTH_PLANID:END_RENEW_HEALTH,$A23,FALSE),"")</f>
        <v/>
      </c>
      <c r="U23" s="323" t="str">
        <f ca="1">IFERROR(VLOOKUP(U$5,BEGIN_RENEW_HEALTH_PLANID:END_RENEW_HEALTH,$A23,FALSE),"")</f>
        <v/>
      </c>
      <c r="V23" s="323" t="str">
        <f ca="1">IFERROR(VLOOKUP(V$5,BEGIN_RENEW_HEALTH_PLANID:END_RENEW_HEALTH,$A23,FALSE),"")</f>
        <v/>
      </c>
      <c r="W23" s="323" t="str">
        <f ca="1">IFERROR(VLOOKUP(W$5,BEGIN_RENEW_HEALTH_PLANID:END_RENEW_HEALTH,$A23,FALSE),"")</f>
        <v/>
      </c>
      <c r="X23" s="323" t="str">
        <f ca="1">IFERROR(VLOOKUP(X$5,BEGIN_RENEW_HEALTH_PLANID:END_RENEW_HEALTH,$A23,FALSE),"")</f>
        <v/>
      </c>
      <c r="Y23" s="323" t="str">
        <f ca="1">IFERROR(VLOOKUP(Y$5,BEGIN_RENEW_HEALTH_PLANID:END_RENEW_HEALTH,$A23,FALSE),"")</f>
        <v/>
      </c>
      <c r="Z23" s="323" t="str">
        <f ca="1">IFERROR(VLOOKUP(Z$5,BEGIN_RENEW_HEALTH_PLANID:END_RENEW_HEALTH,$A23,FALSE),"")</f>
        <v/>
      </c>
      <c r="AA23" s="323" t="str">
        <f ca="1">IFERROR(VLOOKUP(AA$5,BEGIN_RENEW_HEALTH_PLANID:END_RENEW_HEALTH,$A23,FALSE),"")</f>
        <v/>
      </c>
      <c r="AB23" s="323" t="str">
        <f ca="1">IFERROR(VLOOKUP(AB$5,BEGIN_RENEW_HEALTH_PLANID:END_RENEW_HEALTH,$A23,FALSE),"")</f>
        <v/>
      </c>
      <c r="AC23" s="323" t="str">
        <f ca="1">IFERROR(VLOOKUP(AC$5,BEGIN_RENEW_HEALTH_PLANID:END_RENEW_HEALTH,$A23,FALSE),"")</f>
        <v/>
      </c>
      <c r="AD23" s="324" t="str">
        <f ca="1">IFERROR(VLOOKUP(AD$5,BEGIN_RENEW_HEALTH_PLANID:END_RENEW_HEALTH,$A23,FALSE),"")</f>
        <v/>
      </c>
      <c r="AE23" s="324" t="str">
        <f ca="1">IFERROR(VLOOKUP(AE$5,BEGIN_RENEW_HEALTH_PLANID:END_RENEW_HEALTH,$A23,FALSE),"")</f>
        <v/>
      </c>
      <c r="AF23" s="324" t="str">
        <f ca="1">IFERROR(VLOOKUP(AF$5,BEGIN_RENEW_HEALTH_PLANID:END_RENEW_HEALTH,$A23,FALSE),"")</f>
        <v/>
      </c>
      <c r="AG23" s="324" t="str">
        <f ca="1">IFERROR(VLOOKUP(AG$5,BEGIN_RENEW_HEALTH_PLANID:END_RENEW_HEALTH,$A23,FALSE),"")</f>
        <v/>
      </c>
      <c r="AH23" s="324" t="str">
        <f ca="1">IFERROR(VLOOKUP(AH$5,BEGIN_RENEW_HEALTH_PLANID:END_RENEW_HEALTH,$A23,FALSE),"")</f>
        <v/>
      </c>
      <c r="AI23" s="324" t="str">
        <f ca="1">IFERROR(VLOOKUP(AI$5,BEGIN_RENEW_HEALTH_PLANID:END_RENEW_HEALTH,$A23,FALSE),"")</f>
        <v/>
      </c>
      <c r="AJ23" s="324" t="str">
        <f ca="1">IFERROR(VLOOKUP(AJ$5,BEGIN_RENEW_HEALTH_PLANID:END_RENEW_HEALTH,$A23,FALSE),"")</f>
        <v/>
      </c>
      <c r="AK23" s="324" t="str">
        <f ca="1">IFERROR(VLOOKUP(AK$5,BEGIN_RENEW_HEALTH_PLANID:END_RENEW_HEALTH,$A23,FALSE),"")</f>
        <v/>
      </c>
    </row>
    <row r="24" spans="1:37" ht="12.5">
      <c r="A24" s="3">
        <v>34</v>
      </c>
      <c r="B24" s="346" t="s">
        <v>132</v>
      </c>
      <c r="C24" s="323" t="str">
        <f ca="1">IFERROR(VLOOKUP(C$5,BEGIN_RENEW_HEALTH_PLANID:END_RENEW_HEALTH,$A24,FALSE),"")</f>
        <v/>
      </c>
      <c r="D24" s="323" t="str">
        <f ca="1">IFERROR(VLOOKUP(D$5,BEGIN_RENEW_HEALTH_PLANID:END_RENEW_HEALTH,$A24,FALSE),"")</f>
        <v/>
      </c>
      <c r="E24" s="323" t="str">
        <f ca="1">IFERROR(VLOOKUP(E$5,BEGIN_RENEW_HEALTH_PLANID:END_RENEW_HEALTH,$A24,FALSE),"")</f>
        <v/>
      </c>
      <c r="F24" s="323" t="str">
        <f ca="1">IFERROR(VLOOKUP(F$5,BEGIN_RENEW_HEALTH_PLANID:END_RENEW_HEALTH,$A24,FALSE),"")</f>
        <v/>
      </c>
      <c r="G24" s="323" t="str">
        <f ca="1">IFERROR(VLOOKUP(G$5,BEGIN_RENEW_HEALTH_PLANID:END_RENEW_HEALTH,$A24,FALSE),"")</f>
        <v/>
      </c>
      <c r="H24" s="323" t="str">
        <f ca="1">IFERROR(VLOOKUP(H$5,BEGIN_RENEW_HEALTH_PLANID:END_RENEW_HEALTH,$A24,FALSE),"")</f>
        <v/>
      </c>
      <c r="I24" s="323" t="str">
        <f ca="1">IFERROR(VLOOKUP(I$5,BEGIN_RENEW_HEALTH_PLANID:END_RENEW_HEALTH,$A24,FALSE),"")</f>
        <v/>
      </c>
      <c r="J24" s="323" t="str">
        <f ca="1">IFERROR(VLOOKUP(J$5,BEGIN_RENEW_HEALTH_PLANID:END_RENEW_HEALTH,$A24,FALSE),"")</f>
        <v/>
      </c>
      <c r="K24" s="323" t="str">
        <f ca="1">IFERROR(VLOOKUP(K$5,BEGIN_RENEW_HEALTH_PLANID:END_RENEW_HEALTH,$A24,FALSE),"")</f>
        <v/>
      </c>
      <c r="L24" s="323" t="str">
        <f ca="1">IFERROR(VLOOKUP(L$5,BEGIN_RENEW_HEALTH_PLANID:END_RENEW_HEALTH,$A24,FALSE),"")</f>
        <v/>
      </c>
      <c r="M24" s="323" t="str">
        <f ca="1">IFERROR(VLOOKUP(M$5,BEGIN_RENEW_HEALTH_PLANID:END_RENEW_HEALTH,$A24,FALSE),"")</f>
        <v/>
      </c>
      <c r="N24" s="323" t="str">
        <f ca="1">IFERROR(VLOOKUP(N$5,BEGIN_RENEW_HEALTH_PLANID:END_RENEW_HEALTH,$A24,FALSE),"")</f>
        <v/>
      </c>
      <c r="O24" s="323" t="str">
        <f ca="1">IFERROR(VLOOKUP(O$5,BEGIN_RENEW_HEALTH_PLANID:END_RENEW_HEALTH,$A24,FALSE),"")</f>
        <v/>
      </c>
      <c r="P24" s="323" t="str">
        <f ca="1">IFERROR(VLOOKUP(P$5,BEGIN_RENEW_HEALTH_PLANID:END_RENEW_HEALTH,$A24,FALSE),"")</f>
        <v/>
      </c>
      <c r="Q24" s="323" t="str">
        <f ca="1">IFERROR(VLOOKUP(Q$5,BEGIN_RENEW_HEALTH_PLANID:END_RENEW_HEALTH,$A24,FALSE),"")</f>
        <v/>
      </c>
      <c r="R24" s="323" t="str">
        <f ca="1">IFERROR(VLOOKUP(R$5,BEGIN_RENEW_HEALTH_PLANID:END_RENEW_HEALTH,$A24,FALSE),"")</f>
        <v/>
      </c>
      <c r="S24" s="323" t="str">
        <f ca="1">IFERROR(VLOOKUP(S$5,BEGIN_RENEW_HEALTH_PLANID:END_RENEW_HEALTH,$A24,FALSE),"")</f>
        <v/>
      </c>
      <c r="T24" s="323" t="str">
        <f ca="1">IFERROR(VLOOKUP(T$5,BEGIN_RENEW_HEALTH_PLANID:END_RENEW_HEALTH,$A24,FALSE),"")</f>
        <v/>
      </c>
      <c r="U24" s="323" t="str">
        <f ca="1">IFERROR(VLOOKUP(U$5,BEGIN_RENEW_HEALTH_PLANID:END_RENEW_HEALTH,$A24,FALSE),"")</f>
        <v/>
      </c>
      <c r="V24" s="323" t="str">
        <f ca="1">IFERROR(VLOOKUP(V$5,BEGIN_RENEW_HEALTH_PLANID:END_RENEW_HEALTH,$A24,FALSE),"")</f>
        <v/>
      </c>
      <c r="W24" s="323" t="str">
        <f ca="1">IFERROR(VLOOKUP(W$5,BEGIN_RENEW_HEALTH_PLANID:END_RENEW_HEALTH,$A24,FALSE),"")</f>
        <v/>
      </c>
      <c r="X24" s="323" t="str">
        <f ca="1">IFERROR(VLOOKUP(X$5,BEGIN_RENEW_HEALTH_PLANID:END_RENEW_HEALTH,$A24,FALSE),"")</f>
        <v/>
      </c>
      <c r="Y24" s="323" t="str">
        <f ca="1">IFERROR(VLOOKUP(Y$5,BEGIN_RENEW_HEALTH_PLANID:END_RENEW_HEALTH,$A24,FALSE),"")</f>
        <v/>
      </c>
      <c r="Z24" s="323" t="str">
        <f ca="1">IFERROR(VLOOKUP(Z$5,BEGIN_RENEW_HEALTH_PLANID:END_RENEW_HEALTH,$A24,FALSE),"")</f>
        <v/>
      </c>
      <c r="AA24" s="323" t="str">
        <f ca="1">IFERROR(VLOOKUP(AA$5,BEGIN_RENEW_HEALTH_PLANID:END_RENEW_HEALTH,$A24,FALSE),"")</f>
        <v/>
      </c>
      <c r="AB24" s="323" t="str">
        <f ca="1">IFERROR(VLOOKUP(AB$5,BEGIN_RENEW_HEALTH_PLANID:END_RENEW_HEALTH,$A24,FALSE),"")</f>
        <v/>
      </c>
      <c r="AC24" s="323" t="str">
        <f ca="1">IFERROR(VLOOKUP(AC$5,BEGIN_RENEW_HEALTH_PLANID:END_RENEW_HEALTH,$A24,FALSE),"")</f>
        <v/>
      </c>
      <c r="AD24" s="324" t="str">
        <f ca="1">IFERROR(VLOOKUP(AD$5,BEGIN_RENEW_HEALTH_PLANID:END_RENEW_HEALTH,$A24,FALSE),"")</f>
        <v/>
      </c>
      <c r="AE24" s="324" t="str">
        <f ca="1">IFERROR(VLOOKUP(AE$5,BEGIN_RENEW_HEALTH_PLANID:END_RENEW_HEALTH,$A24,FALSE),"")</f>
        <v/>
      </c>
      <c r="AF24" s="324" t="str">
        <f ca="1">IFERROR(VLOOKUP(AF$5,BEGIN_RENEW_HEALTH_PLANID:END_RENEW_HEALTH,$A24,FALSE),"")</f>
        <v/>
      </c>
      <c r="AG24" s="324" t="str">
        <f ca="1">IFERROR(VLOOKUP(AG$5,BEGIN_RENEW_HEALTH_PLANID:END_RENEW_HEALTH,$A24,FALSE),"")</f>
        <v/>
      </c>
      <c r="AH24" s="324" t="str">
        <f ca="1">IFERROR(VLOOKUP(AH$5,BEGIN_RENEW_HEALTH_PLANID:END_RENEW_HEALTH,$A24,FALSE),"")</f>
        <v/>
      </c>
      <c r="AI24" s="324" t="str">
        <f ca="1">IFERROR(VLOOKUP(AI$5,BEGIN_RENEW_HEALTH_PLANID:END_RENEW_HEALTH,$A24,FALSE),"")</f>
        <v/>
      </c>
      <c r="AJ24" s="324" t="str">
        <f ca="1">IFERROR(VLOOKUP(AJ$5,BEGIN_RENEW_HEALTH_PLANID:END_RENEW_HEALTH,$A24,FALSE),"")</f>
        <v/>
      </c>
      <c r="AK24" s="324" t="str">
        <f ca="1">IFERROR(VLOOKUP(AK$5,BEGIN_RENEW_HEALTH_PLANID:END_RENEW_HEALTH,$A24,FALSE),"")</f>
        <v/>
      </c>
    </row>
    <row r="25" spans="1:37" ht="12.5">
      <c r="A25" s="3">
        <v>35</v>
      </c>
      <c r="B25" s="346" t="s">
        <v>133</v>
      </c>
      <c r="C25" s="323" t="str">
        <f ca="1">IFERROR(VLOOKUP(C$5,BEGIN_RENEW_HEALTH_PLANID:END_RENEW_HEALTH,$A25,FALSE),"")</f>
        <v/>
      </c>
      <c r="D25" s="323" t="str">
        <f ca="1">IFERROR(VLOOKUP(D$5,BEGIN_RENEW_HEALTH_PLANID:END_RENEW_HEALTH,$A25,FALSE),"")</f>
        <v/>
      </c>
      <c r="E25" s="323" t="str">
        <f ca="1">IFERROR(VLOOKUP(E$5,BEGIN_RENEW_HEALTH_PLANID:END_RENEW_HEALTH,$A25,FALSE),"")</f>
        <v/>
      </c>
      <c r="F25" s="323" t="str">
        <f ca="1">IFERROR(VLOOKUP(F$5,BEGIN_RENEW_HEALTH_PLANID:END_RENEW_HEALTH,$A25,FALSE),"")</f>
        <v/>
      </c>
      <c r="G25" s="323" t="str">
        <f ca="1">IFERROR(VLOOKUP(G$5,BEGIN_RENEW_HEALTH_PLANID:END_RENEW_HEALTH,$A25,FALSE),"")</f>
        <v/>
      </c>
      <c r="H25" s="323" t="str">
        <f ca="1">IFERROR(VLOOKUP(H$5,BEGIN_RENEW_HEALTH_PLANID:END_RENEW_HEALTH,$A25,FALSE),"")</f>
        <v/>
      </c>
      <c r="I25" s="323" t="str">
        <f ca="1">IFERROR(VLOOKUP(I$5,BEGIN_RENEW_HEALTH_PLANID:END_RENEW_HEALTH,$A25,FALSE),"")</f>
        <v/>
      </c>
      <c r="J25" s="323" t="str">
        <f ca="1">IFERROR(VLOOKUP(J$5,BEGIN_RENEW_HEALTH_PLANID:END_RENEW_HEALTH,$A25,FALSE),"")</f>
        <v/>
      </c>
      <c r="K25" s="323" t="str">
        <f ca="1">IFERROR(VLOOKUP(K$5,BEGIN_RENEW_HEALTH_PLANID:END_RENEW_HEALTH,$A25,FALSE),"")</f>
        <v/>
      </c>
      <c r="L25" s="323" t="str">
        <f ca="1">IFERROR(VLOOKUP(L$5,BEGIN_RENEW_HEALTH_PLANID:END_RENEW_HEALTH,$A25,FALSE),"")</f>
        <v/>
      </c>
      <c r="M25" s="323" t="str">
        <f ca="1">IFERROR(VLOOKUP(M$5,BEGIN_RENEW_HEALTH_PLANID:END_RENEW_HEALTH,$A25,FALSE),"")</f>
        <v/>
      </c>
      <c r="N25" s="323" t="str">
        <f ca="1">IFERROR(VLOOKUP(N$5,BEGIN_RENEW_HEALTH_PLANID:END_RENEW_HEALTH,$A25,FALSE),"")</f>
        <v/>
      </c>
      <c r="O25" s="323" t="str">
        <f ca="1">IFERROR(VLOOKUP(O$5,BEGIN_RENEW_HEALTH_PLANID:END_RENEW_HEALTH,$A25,FALSE),"")</f>
        <v/>
      </c>
      <c r="P25" s="323" t="str">
        <f ca="1">IFERROR(VLOOKUP(P$5,BEGIN_RENEW_HEALTH_PLANID:END_RENEW_HEALTH,$A25,FALSE),"")</f>
        <v/>
      </c>
      <c r="Q25" s="323" t="str">
        <f ca="1">IFERROR(VLOOKUP(Q$5,BEGIN_RENEW_HEALTH_PLANID:END_RENEW_HEALTH,$A25,FALSE),"")</f>
        <v/>
      </c>
      <c r="R25" s="323" t="str">
        <f ca="1">IFERROR(VLOOKUP(R$5,BEGIN_RENEW_HEALTH_PLANID:END_RENEW_HEALTH,$A25,FALSE),"")</f>
        <v/>
      </c>
      <c r="S25" s="323" t="str">
        <f ca="1">IFERROR(VLOOKUP(S$5,BEGIN_RENEW_HEALTH_PLANID:END_RENEW_HEALTH,$A25,FALSE),"")</f>
        <v/>
      </c>
      <c r="T25" s="323" t="str">
        <f ca="1">IFERROR(VLOOKUP(T$5,BEGIN_RENEW_HEALTH_PLANID:END_RENEW_HEALTH,$A25,FALSE),"")</f>
        <v/>
      </c>
      <c r="U25" s="323" t="str">
        <f ca="1">IFERROR(VLOOKUP(U$5,BEGIN_RENEW_HEALTH_PLANID:END_RENEW_HEALTH,$A25,FALSE),"")</f>
        <v/>
      </c>
      <c r="V25" s="323" t="str">
        <f ca="1">IFERROR(VLOOKUP(V$5,BEGIN_RENEW_HEALTH_PLANID:END_RENEW_HEALTH,$A25,FALSE),"")</f>
        <v/>
      </c>
      <c r="W25" s="323" t="str">
        <f ca="1">IFERROR(VLOOKUP(W$5,BEGIN_RENEW_HEALTH_PLANID:END_RENEW_HEALTH,$A25,FALSE),"")</f>
        <v/>
      </c>
      <c r="X25" s="323" t="str">
        <f ca="1">IFERROR(VLOOKUP(X$5,BEGIN_RENEW_HEALTH_PLANID:END_RENEW_HEALTH,$A25,FALSE),"")</f>
        <v/>
      </c>
      <c r="Y25" s="323" t="str">
        <f ca="1">IFERROR(VLOOKUP(Y$5,BEGIN_RENEW_HEALTH_PLANID:END_RENEW_HEALTH,$A25,FALSE),"")</f>
        <v/>
      </c>
      <c r="Z25" s="323" t="str">
        <f ca="1">IFERROR(VLOOKUP(Z$5,BEGIN_RENEW_HEALTH_PLANID:END_RENEW_HEALTH,$A25,FALSE),"")</f>
        <v/>
      </c>
      <c r="AA25" s="323" t="str">
        <f ca="1">IFERROR(VLOOKUP(AA$5,BEGIN_RENEW_HEALTH_PLANID:END_RENEW_HEALTH,$A25,FALSE),"")</f>
        <v/>
      </c>
      <c r="AB25" s="323" t="str">
        <f ca="1">IFERROR(VLOOKUP(AB$5,BEGIN_RENEW_HEALTH_PLANID:END_RENEW_HEALTH,$A25,FALSE),"")</f>
        <v/>
      </c>
      <c r="AC25" s="323" t="str">
        <f ca="1">IFERROR(VLOOKUP(AC$5,BEGIN_RENEW_HEALTH_PLANID:END_RENEW_HEALTH,$A25,FALSE),"")</f>
        <v/>
      </c>
      <c r="AD25" s="324" t="str">
        <f ca="1">IFERROR(VLOOKUP(AD$5,BEGIN_RENEW_HEALTH_PLANID:END_RENEW_HEALTH,$A25,FALSE),"")</f>
        <v/>
      </c>
      <c r="AE25" s="324" t="str">
        <f ca="1">IFERROR(VLOOKUP(AE$5,BEGIN_RENEW_HEALTH_PLANID:END_RENEW_HEALTH,$A25,FALSE),"")</f>
        <v/>
      </c>
      <c r="AF25" s="324" t="str">
        <f ca="1">IFERROR(VLOOKUP(AF$5,BEGIN_RENEW_HEALTH_PLANID:END_RENEW_HEALTH,$A25,FALSE),"")</f>
        <v/>
      </c>
      <c r="AG25" s="324" t="str">
        <f ca="1">IFERROR(VLOOKUP(AG$5,BEGIN_RENEW_HEALTH_PLANID:END_RENEW_HEALTH,$A25,FALSE),"")</f>
        <v/>
      </c>
      <c r="AH25" s="324" t="str">
        <f ca="1">IFERROR(VLOOKUP(AH$5,BEGIN_RENEW_HEALTH_PLANID:END_RENEW_HEALTH,$A25,FALSE),"")</f>
        <v/>
      </c>
      <c r="AI25" s="324" t="str">
        <f ca="1">IFERROR(VLOOKUP(AI$5,BEGIN_RENEW_HEALTH_PLANID:END_RENEW_HEALTH,$A25,FALSE),"")</f>
        <v/>
      </c>
      <c r="AJ25" s="324" t="str">
        <f ca="1">IFERROR(VLOOKUP(AJ$5,BEGIN_RENEW_HEALTH_PLANID:END_RENEW_HEALTH,$A25,FALSE),"")</f>
        <v/>
      </c>
      <c r="AK25" s="324" t="str">
        <f ca="1">IFERROR(VLOOKUP(AK$5,BEGIN_RENEW_HEALTH_PLANID:END_RENEW_HEALTH,$A25,FALSE),"")</f>
        <v/>
      </c>
    </row>
    <row r="26" spans="2:37" s="110" customFormat="1" ht="12.5">
      <c r="B26" s="339" t="s">
        <v>260</v>
      </c>
      <c r="C26" s="333" t="str">
        <f ca="1">IFERROR(VLOOKUP(C$5,BEGIN_RENEW_HEALTH_PLANID:END_RENEW_HEALTH,$A26,FALSE),"")</f>
        <v/>
      </c>
      <c r="D26" s="333" t="str">
        <f ca="1">IFERROR(VLOOKUP(D$5,BEGIN_RENEW_HEALTH_PLANID:END_RENEW_HEALTH,$A26,FALSE),"")</f>
        <v/>
      </c>
      <c r="E26" s="333" t="str">
        <f ca="1">IFERROR(VLOOKUP(E$5,BEGIN_RENEW_HEALTH_PLANID:END_RENEW_HEALTH,$A26,FALSE),"")</f>
        <v/>
      </c>
      <c r="F26" s="333" t="str">
        <f ca="1">IFERROR(VLOOKUP(F$5,BEGIN_RENEW_HEALTH_PLANID:END_RENEW_HEALTH,$A26,FALSE),"")</f>
        <v/>
      </c>
      <c r="G26" s="333" t="str">
        <f ca="1">IFERROR(VLOOKUP(G$5,BEGIN_RENEW_HEALTH_PLANID:END_RENEW_HEALTH,$A26,FALSE),"")</f>
        <v/>
      </c>
      <c r="H26" s="333" t="str">
        <f ca="1">IFERROR(VLOOKUP(H$5,BEGIN_RENEW_HEALTH_PLANID:END_RENEW_HEALTH,$A26,FALSE),"")</f>
        <v/>
      </c>
      <c r="I26" s="333" t="str">
        <f ca="1">IFERROR(VLOOKUP(I$5,BEGIN_RENEW_HEALTH_PLANID:END_RENEW_HEALTH,$A26,FALSE),"")</f>
        <v/>
      </c>
      <c r="J26" s="333" t="str">
        <f ca="1">IFERROR(VLOOKUP(J$5,BEGIN_RENEW_HEALTH_PLANID:END_RENEW_HEALTH,$A26,FALSE),"")</f>
        <v/>
      </c>
      <c r="K26" s="333" t="str">
        <f ca="1">IFERROR(VLOOKUP(K$5,BEGIN_RENEW_HEALTH_PLANID:END_RENEW_HEALTH,$A26,FALSE),"")</f>
        <v/>
      </c>
      <c r="L26" s="333" t="str">
        <f ca="1">IFERROR(VLOOKUP(L$5,BEGIN_RENEW_HEALTH_PLANID:END_RENEW_HEALTH,$A26,FALSE),"")</f>
        <v/>
      </c>
      <c r="M26" s="333" t="str">
        <f ca="1">IFERROR(VLOOKUP(M$5,BEGIN_RENEW_HEALTH_PLANID:END_RENEW_HEALTH,$A26,FALSE),"")</f>
        <v/>
      </c>
      <c r="N26" s="333" t="str">
        <f ca="1">IFERROR(VLOOKUP(N$5,BEGIN_RENEW_HEALTH_PLANID:END_RENEW_HEALTH,$A26,FALSE),"")</f>
        <v/>
      </c>
      <c r="O26" s="333" t="str">
        <f ca="1">IFERROR(VLOOKUP(O$5,BEGIN_RENEW_HEALTH_PLANID:END_RENEW_HEALTH,$A26,FALSE),"")</f>
        <v/>
      </c>
      <c r="P26" s="333" t="str">
        <f ca="1">IFERROR(VLOOKUP(P$5,BEGIN_RENEW_HEALTH_PLANID:END_RENEW_HEALTH,$A26,FALSE),"")</f>
        <v/>
      </c>
      <c r="Q26" s="333" t="str">
        <f ca="1">IFERROR(VLOOKUP(Q$5,BEGIN_RENEW_HEALTH_PLANID:END_RENEW_HEALTH,$A26,FALSE),"")</f>
        <v/>
      </c>
      <c r="R26" s="333" t="str">
        <f ca="1">IFERROR(VLOOKUP(R$5,BEGIN_RENEW_HEALTH_PLANID:END_RENEW_HEALTH,$A26,FALSE),"")</f>
        <v/>
      </c>
      <c r="S26" s="333" t="str">
        <f ca="1">IFERROR(VLOOKUP(S$5,BEGIN_RENEW_HEALTH_PLANID:END_RENEW_HEALTH,$A26,FALSE),"")</f>
        <v/>
      </c>
      <c r="T26" s="333" t="str">
        <f ca="1">IFERROR(VLOOKUP(T$5,BEGIN_RENEW_HEALTH_PLANID:END_RENEW_HEALTH,$A26,FALSE),"")</f>
        <v/>
      </c>
      <c r="U26" s="333" t="str">
        <f ca="1">IFERROR(VLOOKUP(U$5,BEGIN_RENEW_HEALTH_PLANID:END_RENEW_HEALTH,$A26,FALSE),"")</f>
        <v/>
      </c>
      <c r="V26" s="333" t="str">
        <f ca="1">IFERROR(VLOOKUP(V$5,BEGIN_RENEW_HEALTH_PLANID:END_RENEW_HEALTH,$A26,FALSE),"")</f>
        <v/>
      </c>
      <c r="W26" s="333" t="str">
        <f ca="1">IFERROR(VLOOKUP(W$5,BEGIN_RENEW_HEALTH_PLANID:END_RENEW_HEALTH,$A26,FALSE),"")</f>
        <v/>
      </c>
      <c r="X26" s="333" t="str">
        <f ca="1">IFERROR(VLOOKUP(X$5,BEGIN_RENEW_HEALTH_PLANID:END_RENEW_HEALTH,$A26,FALSE),"")</f>
        <v/>
      </c>
      <c r="Y26" s="333" t="str">
        <f ca="1">IFERROR(VLOOKUP(Y$5,BEGIN_RENEW_HEALTH_PLANID:END_RENEW_HEALTH,$A26,FALSE),"")</f>
        <v/>
      </c>
      <c r="Z26" s="333" t="str">
        <f ca="1">IFERROR(VLOOKUP(Z$5,BEGIN_RENEW_HEALTH_PLANID:END_RENEW_HEALTH,$A26,FALSE),"")</f>
        <v/>
      </c>
      <c r="AA26" s="333" t="str">
        <f ca="1">IFERROR(VLOOKUP(AA$5,BEGIN_RENEW_HEALTH_PLANID:END_RENEW_HEALTH,$A26,FALSE),"")</f>
        <v/>
      </c>
      <c r="AB26" s="333" t="str">
        <f ca="1">IFERROR(VLOOKUP(AB$5,BEGIN_RENEW_HEALTH_PLANID:END_RENEW_HEALTH,$A26,FALSE),"")</f>
        <v/>
      </c>
      <c r="AC26" s="333" t="str">
        <f ca="1">IFERROR(VLOOKUP(AC$5,BEGIN_RENEW_HEALTH_PLANID:END_RENEW_HEALTH,$A26,FALSE),"")</f>
        <v/>
      </c>
      <c r="AD26" s="333" t="str">
        <f ca="1">IFERROR(VLOOKUP(AD$5,BEGIN_RENEW_HEALTH_PLANID:END_RENEW_HEALTH,$A26,FALSE),"")</f>
        <v/>
      </c>
      <c r="AE26" s="333" t="str">
        <f ca="1">IFERROR(VLOOKUP(AE$5,BEGIN_RENEW_HEALTH_PLANID:END_RENEW_HEALTH,$A26,FALSE),"")</f>
        <v/>
      </c>
      <c r="AF26" s="333" t="str">
        <f ca="1">IFERROR(VLOOKUP(AF$5,BEGIN_RENEW_HEALTH_PLANID:END_RENEW_HEALTH,$A26,FALSE),"")</f>
        <v/>
      </c>
      <c r="AG26" s="333" t="str">
        <f ca="1">IFERROR(VLOOKUP(AG$5,BEGIN_RENEW_HEALTH_PLANID:END_RENEW_HEALTH,$A26,FALSE),"")</f>
        <v/>
      </c>
      <c r="AH26" s="333" t="str">
        <f ca="1">IFERROR(VLOOKUP(AH$5,BEGIN_RENEW_HEALTH_PLANID:END_RENEW_HEALTH,$A26,FALSE),"")</f>
        <v/>
      </c>
      <c r="AI26" s="333" t="str">
        <f ca="1">IFERROR(VLOOKUP(AI$5,BEGIN_RENEW_HEALTH_PLANID:END_RENEW_HEALTH,$A26,FALSE),"")</f>
        <v/>
      </c>
      <c r="AJ26" s="333" t="str">
        <f ca="1">IFERROR(VLOOKUP(AJ$5,BEGIN_RENEW_HEALTH_PLANID:END_RENEW_HEALTH,$A26,FALSE),"")</f>
        <v/>
      </c>
      <c r="AK26" s="333" t="str">
        <f ca="1">IFERROR(VLOOKUP(AK$5,BEGIN_RENEW_HEALTH_PLANID:END_RENEW_HEALTH,$A26,FALSE),"")</f>
        <v/>
      </c>
    </row>
    <row r="27" spans="1:37" ht="12.5">
      <c r="A27" s="3">
        <v>36</v>
      </c>
      <c r="B27" s="346" t="s">
        <v>344</v>
      </c>
      <c r="C27" s="323" t="str">
        <f ca="1">IFERROR(VLOOKUP(C$5,BEGIN_RENEW_HEALTH_PLANID:END_RENEW_HEALTH,$A27,FALSE),"")</f>
        <v/>
      </c>
      <c r="D27" s="323" t="str">
        <f ca="1">IFERROR(VLOOKUP(D$5,BEGIN_RENEW_HEALTH_PLANID:END_RENEW_HEALTH,$A27,FALSE),"")</f>
        <v/>
      </c>
      <c r="E27" s="323" t="str">
        <f ca="1">IFERROR(VLOOKUP(E$5,BEGIN_RENEW_HEALTH_PLANID:END_RENEW_HEALTH,$A27,FALSE),"")</f>
        <v/>
      </c>
      <c r="F27" s="323" t="str">
        <f ca="1">IFERROR(VLOOKUP(F$5,BEGIN_RENEW_HEALTH_PLANID:END_RENEW_HEALTH,$A27,FALSE),"")</f>
        <v/>
      </c>
      <c r="G27" s="323" t="str">
        <f ca="1">IFERROR(VLOOKUP(G$5,BEGIN_RENEW_HEALTH_PLANID:END_RENEW_HEALTH,$A27,FALSE),"")</f>
        <v/>
      </c>
      <c r="H27" s="323" t="str">
        <f ca="1">IFERROR(VLOOKUP(H$5,BEGIN_RENEW_HEALTH_PLANID:END_RENEW_HEALTH,$A27,FALSE),"")</f>
        <v/>
      </c>
      <c r="I27" s="323" t="str">
        <f ca="1">IFERROR(VLOOKUP(I$5,BEGIN_RENEW_HEALTH_PLANID:END_RENEW_HEALTH,$A27,FALSE),"")</f>
        <v/>
      </c>
      <c r="J27" s="323" t="str">
        <f ca="1">IFERROR(VLOOKUP(J$5,BEGIN_RENEW_HEALTH_PLANID:END_RENEW_HEALTH,$A27,FALSE),"")</f>
        <v/>
      </c>
      <c r="K27" s="323" t="str">
        <f ca="1">IFERROR(VLOOKUP(K$5,BEGIN_RENEW_HEALTH_PLANID:END_RENEW_HEALTH,$A27,FALSE),"")</f>
        <v/>
      </c>
      <c r="L27" s="323" t="str">
        <f ca="1">IFERROR(VLOOKUP(L$5,BEGIN_RENEW_HEALTH_PLANID:END_RENEW_HEALTH,$A27,FALSE),"")</f>
        <v/>
      </c>
      <c r="M27" s="323" t="str">
        <f ca="1">IFERROR(VLOOKUP(M$5,BEGIN_RENEW_HEALTH_PLANID:END_RENEW_HEALTH,$A27,FALSE),"")</f>
        <v/>
      </c>
      <c r="N27" s="323" t="str">
        <f ca="1">IFERROR(VLOOKUP(N$5,BEGIN_RENEW_HEALTH_PLANID:END_RENEW_HEALTH,$A27,FALSE),"")</f>
        <v/>
      </c>
      <c r="O27" s="323" t="str">
        <f ca="1">IFERROR(VLOOKUP(O$5,BEGIN_RENEW_HEALTH_PLANID:END_RENEW_HEALTH,$A27,FALSE),"")</f>
        <v/>
      </c>
      <c r="P27" s="323" t="str">
        <f ca="1">IFERROR(VLOOKUP(P$5,BEGIN_RENEW_HEALTH_PLANID:END_RENEW_HEALTH,$A27,FALSE),"")</f>
        <v/>
      </c>
      <c r="Q27" s="323" t="str">
        <f ca="1">IFERROR(VLOOKUP(Q$5,BEGIN_RENEW_HEALTH_PLANID:END_RENEW_HEALTH,$A27,FALSE),"")</f>
        <v/>
      </c>
      <c r="R27" s="323" t="str">
        <f ca="1">IFERROR(VLOOKUP(R$5,BEGIN_RENEW_HEALTH_PLANID:END_RENEW_HEALTH,$A27,FALSE),"")</f>
        <v/>
      </c>
      <c r="S27" s="323" t="str">
        <f ca="1">IFERROR(VLOOKUP(S$5,BEGIN_RENEW_HEALTH_PLANID:END_RENEW_HEALTH,$A27,FALSE),"")</f>
        <v/>
      </c>
      <c r="T27" s="323" t="str">
        <f ca="1">IFERROR(VLOOKUP(T$5,BEGIN_RENEW_HEALTH_PLANID:END_RENEW_HEALTH,$A27,FALSE),"")</f>
        <v/>
      </c>
      <c r="U27" s="323" t="str">
        <f ca="1">IFERROR(VLOOKUP(U$5,BEGIN_RENEW_HEALTH_PLANID:END_RENEW_HEALTH,$A27,FALSE),"")</f>
        <v/>
      </c>
      <c r="V27" s="323" t="str">
        <f ca="1">IFERROR(VLOOKUP(V$5,BEGIN_RENEW_HEALTH_PLANID:END_RENEW_HEALTH,$A27,FALSE),"")</f>
        <v/>
      </c>
      <c r="W27" s="323" t="str">
        <f ca="1">IFERROR(VLOOKUP(W$5,BEGIN_RENEW_HEALTH_PLANID:END_RENEW_HEALTH,$A27,FALSE),"")</f>
        <v/>
      </c>
      <c r="X27" s="323" t="str">
        <f ca="1">IFERROR(VLOOKUP(X$5,BEGIN_RENEW_HEALTH_PLANID:END_RENEW_HEALTH,$A27,FALSE),"")</f>
        <v/>
      </c>
      <c r="Y27" s="323" t="str">
        <f ca="1">IFERROR(VLOOKUP(Y$5,BEGIN_RENEW_HEALTH_PLANID:END_RENEW_HEALTH,$A27,FALSE),"")</f>
        <v/>
      </c>
      <c r="Z27" s="323" t="str">
        <f ca="1">IFERROR(VLOOKUP(Z$5,BEGIN_RENEW_HEALTH_PLANID:END_RENEW_HEALTH,$A27,FALSE),"")</f>
        <v/>
      </c>
      <c r="AA27" s="323" t="str">
        <f ca="1">IFERROR(VLOOKUP(AA$5,BEGIN_RENEW_HEALTH_PLANID:END_RENEW_HEALTH,$A27,FALSE),"")</f>
        <v/>
      </c>
      <c r="AB27" s="323" t="str">
        <f ca="1">IFERROR(VLOOKUP(AB$5,BEGIN_RENEW_HEALTH_PLANID:END_RENEW_HEALTH,$A27,FALSE),"")</f>
        <v/>
      </c>
      <c r="AC27" s="323" t="str">
        <f ca="1">IFERROR(VLOOKUP(AC$5,BEGIN_RENEW_HEALTH_PLANID:END_RENEW_HEALTH,$A27,FALSE),"")</f>
        <v/>
      </c>
      <c r="AD27" s="324" t="str">
        <f ca="1">IFERROR(VLOOKUP(AD$5,BEGIN_RENEW_HEALTH_PLANID:END_RENEW_HEALTH,$A27,FALSE),"")</f>
        <v/>
      </c>
      <c r="AE27" s="324" t="str">
        <f ca="1">IFERROR(VLOOKUP(AE$5,BEGIN_RENEW_HEALTH_PLANID:END_RENEW_HEALTH,$A27,FALSE),"")</f>
        <v/>
      </c>
      <c r="AF27" s="324" t="str">
        <f ca="1">IFERROR(VLOOKUP(AF$5,BEGIN_RENEW_HEALTH_PLANID:END_RENEW_HEALTH,$A27,FALSE),"")</f>
        <v/>
      </c>
      <c r="AG27" s="324" t="str">
        <f ca="1">IFERROR(VLOOKUP(AG$5,BEGIN_RENEW_HEALTH_PLANID:END_RENEW_HEALTH,$A27,FALSE),"")</f>
        <v/>
      </c>
      <c r="AH27" s="324" t="str">
        <f ca="1">IFERROR(VLOOKUP(AH$5,BEGIN_RENEW_HEALTH_PLANID:END_RENEW_HEALTH,$A27,FALSE),"")</f>
        <v/>
      </c>
      <c r="AI27" s="324" t="str">
        <f ca="1">IFERROR(VLOOKUP(AI$5,BEGIN_RENEW_HEALTH_PLANID:END_RENEW_HEALTH,$A27,FALSE),"")</f>
        <v/>
      </c>
      <c r="AJ27" s="324" t="str">
        <f ca="1">IFERROR(VLOOKUP(AJ$5,BEGIN_RENEW_HEALTH_PLANID:END_RENEW_HEALTH,$A27,FALSE),"")</f>
        <v/>
      </c>
      <c r="AK27" s="324" t="str">
        <f ca="1">IFERROR(VLOOKUP(AK$5,BEGIN_RENEW_HEALTH_PLANID:END_RENEW_HEALTH,$A27,FALSE),"")</f>
        <v/>
      </c>
    </row>
    <row r="28" spans="1:37" ht="12.5">
      <c r="A28" s="3">
        <v>37</v>
      </c>
      <c r="B28" s="346" t="s">
        <v>135</v>
      </c>
      <c r="C28" s="323" t="str">
        <f ca="1">IFERROR(VLOOKUP(C$5,BEGIN_RENEW_HEALTH_PLANID:END_RENEW_HEALTH,$A28,FALSE),"")</f>
        <v/>
      </c>
      <c r="D28" s="323" t="str">
        <f ca="1">IFERROR(VLOOKUP(D$5,BEGIN_RENEW_HEALTH_PLANID:END_RENEW_HEALTH,$A28,FALSE),"")</f>
        <v/>
      </c>
      <c r="E28" s="323" t="str">
        <f ca="1">IFERROR(VLOOKUP(E$5,BEGIN_RENEW_HEALTH_PLANID:END_RENEW_HEALTH,$A28,FALSE),"")</f>
        <v/>
      </c>
      <c r="F28" s="323" t="str">
        <f ca="1">IFERROR(VLOOKUP(F$5,BEGIN_RENEW_HEALTH_PLANID:END_RENEW_HEALTH,$A28,FALSE),"")</f>
        <v/>
      </c>
      <c r="G28" s="323" t="str">
        <f ca="1">IFERROR(VLOOKUP(G$5,BEGIN_RENEW_HEALTH_PLANID:END_RENEW_HEALTH,$A28,FALSE),"")</f>
        <v/>
      </c>
      <c r="H28" s="323" t="str">
        <f ca="1">IFERROR(VLOOKUP(H$5,BEGIN_RENEW_HEALTH_PLANID:END_RENEW_HEALTH,$A28,FALSE),"")</f>
        <v/>
      </c>
      <c r="I28" s="323" t="str">
        <f ca="1">IFERROR(VLOOKUP(I$5,BEGIN_RENEW_HEALTH_PLANID:END_RENEW_HEALTH,$A28,FALSE),"")</f>
        <v/>
      </c>
      <c r="J28" s="323" t="str">
        <f ca="1">IFERROR(VLOOKUP(J$5,BEGIN_RENEW_HEALTH_PLANID:END_RENEW_HEALTH,$A28,FALSE),"")</f>
        <v/>
      </c>
      <c r="K28" s="323" t="str">
        <f ca="1">IFERROR(VLOOKUP(K$5,BEGIN_RENEW_HEALTH_PLANID:END_RENEW_HEALTH,$A28,FALSE),"")</f>
        <v/>
      </c>
      <c r="L28" s="323" t="str">
        <f ca="1">IFERROR(VLOOKUP(L$5,BEGIN_RENEW_HEALTH_PLANID:END_RENEW_HEALTH,$A28,FALSE),"")</f>
        <v/>
      </c>
      <c r="M28" s="323" t="str">
        <f ca="1">IFERROR(VLOOKUP(M$5,BEGIN_RENEW_HEALTH_PLANID:END_RENEW_HEALTH,$A28,FALSE),"")</f>
        <v/>
      </c>
      <c r="N28" s="323" t="str">
        <f ca="1">IFERROR(VLOOKUP(N$5,BEGIN_RENEW_HEALTH_PLANID:END_RENEW_HEALTH,$A28,FALSE),"")</f>
        <v/>
      </c>
      <c r="O28" s="323" t="str">
        <f ca="1">IFERROR(VLOOKUP(O$5,BEGIN_RENEW_HEALTH_PLANID:END_RENEW_HEALTH,$A28,FALSE),"")</f>
        <v/>
      </c>
      <c r="P28" s="323" t="str">
        <f ca="1">IFERROR(VLOOKUP(P$5,BEGIN_RENEW_HEALTH_PLANID:END_RENEW_HEALTH,$A28,FALSE),"")</f>
        <v/>
      </c>
      <c r="Q28" s="323" t="str">
        <f ca="1">IFERROR(VLOOKUP(Q$5,BEGIN_RENEW_HEALTH_PLANID:END_RENEW_HEALTH,$A28,FALSE),"")</f>
        <v/>
      </c>
      <c r="R28" s="323" t="str">
        <f ca="1">IFERROR(VLOOKUP(R$5,BEGIN_RENEW_HEALTH_PLANID:END_RENEW_HEALTH,$A28,FALSE),"")</f>
        <v/>
      </c>
      <c r="S28" s="323" t="str">
        <f ca="1">IFERROR(VLOOKUP(S$5,BEGIN_RENEW_HEALTH_PLANID:END_RENEW_HEALTH,$A28,FALSE),"")</f>
        <v/>
      </c>
      <c r="T28" s="323" t="str">
        <f ca="1">IFERROR(VLOOKUP(T$5,BEGIN_RENEW_HEALTH_PLANID:END_RENEW_HEALTH,$A28,FALSE),"")</f>
        <v/>
      </c>
      <c r="U28" s="323" t="str">
        <f ca="1">IFERROR(VLOOKUP(U$5,BEGIN_RENEW_HEALTH_PLANID:END_RENEW_HEALTH,$A28,FALSE),"")</f>
        <v/>
      </c>
      <c r="V28" s="323" t="str">
        <f ca="1">IFERROR(VLOOKUP(V$5,BEGIN_RENEW_HEALTH_PLANID:END_RENEW_HEALTH,$A28,FALSE),"")</f>
        <v/>
      </c>
      <c r="W28" s="323" t="str">
        <f ca="1">IFERROR(VLOOKUP(W$5,BEGIN_RENEW_HEALTH_PLANID:END_RENEW_HEALTH,$A28,FALSE),"")</f>
        <v/>
      </c>
      <c r="X28" s="323" t="str">
        <f ca="1">IFERROR(VLOOKUP(X$5,BEGIN_RENEW_HEALTH_PLANID:END_RENEW_HEALTH,$A28,FALSE),"")</f>
        <v/>
      </c>
      <c r="Y28" s="323" t="str">
        <f ca="1">IFERROR(VLOOKUP(Y$5,BEGIN_RENEW_HEALTH_PLANID:END_RENEW_HEALTH,$A28,FALSE),"")</f>
        <v/>
      </c>
      <c r="Z28" s="323" t="str">
        <f ca="1">IFERROR(VLOOKUP(Z$5,BEGIN_RENEW_HEALTH_PLANID:END_RENEW_HEALTH,$A28,FALSE),"")</f>
        <v/>
      </c>
      <c r="AA28" s="323" t="str">
        <f ca="1">IFERROR(VLOOKUP(AA$5,BEGIN_RENEW_HEALTH_PLANID:END_RENEW_HEALTH,$A28,FALSE),"")</f>
        <v/>
      </c>
      <c r="AB28" s="323" t="str">
        <f ca="1">IFERROR(VLOOKUP(AB$5,BEGIN_RENEW_HEALTH_PLANID:END_RENEW_HEALTH,$A28,FALSE),"")</f>
        <v/>
      </c>
      <c r="AC28" s="323" t="str">
        <f ca="1">IFERROR(VLOOKUP(AC$5,BEGIN_RENEW_HEALTH_PLANID:END_RENEW_HEALTH,$A28,FALSE),"")</f>
        <v/>
      </c>
      <c r="AD28" s="324" t="str">
        <f ca="1">IFERROR(VLOOKUP(AD$5,BEGIN_RENEW_HEALTH_PLANID:END_RENEW_HEALTH,$A28,FALSE),"")</f>
        <v/>
      </c>
      <c r="AE28" s="324" t="str">
        <f ca="1">IFERROR(VLOOKUP(AE$5,BEGIN_RENEW_HEALTH_PLANID:END_RENEW_HEALTH,$A28,FALSE),"")</f>
        <v/>
      </c>
      <c r="AF28" s="324" t="str">
        <f ca="1">IFERROR(VLOOKUP(AF$5,BEGIN_RENEW_HEALTH_PLANID:END_RENEW_HEALTH,$A28,FALSE),"")</f>
        <v/>
      </c>
      <c r="AG28" s="324" t="str">
        <f ca="1">IFERROR(VLOOKUP(AG$5,BEGIN_RENEW_HEALTH_PLANID:END_RENEW_HEALTH,$A28,FALSE),"")</f>
        <v/>
      </c>
      <c r="AH28" s="324" t="str">
        <f ca="1">IFERROR(VLOOKUP(AH$5,BEGIN_RENEW_HEALTH_PLANID:END_RENEW_HEALTH,$A28,FALSE),"")</f>
        <v/>
      </c>
      <c r="AI28" s="324" t="str">
        <f ca="1">IFERROR(VLOOKUP(AI$5,BEGIN_RENEW_HEALTH_PLANID:END_RENEW_HEALTH,$A28,FALSE),"")</f>
        <v/>
      </c>
      <c r="AJ28" s="324" t="str">
        <f ca="1">IFERROR(VLOOKUP(AJ$5,BEGIN_RENEW_HEALTH_PLANID:END_RENEW_HEALTH,$A28,FALSE),"")</f>
        <v/>
      </c>
      <c r="AK28" s="324" t="str">
        <f ca="1">IFERROR(VLOOKUP(AK$5,BEGIN_RENEW_HEALTH_PLANID:END_RENEW_HEALTH,$A28,FALSE),"")</f>
        <v/>
      </c>
    </row>
    <row r="29" spans="1:37" ht="12.5">
      <c r="A29" s="3">
        <v>38</v>
      </c>
      <c r="B29" s="346" t="s">
        <v>136</v>
      </c>
      <c r="C29" s="323" t="str">
        <f ca="1">IFERROR(VLOOKUP(C$5,BEGIN_RENEW_HEALTH_PLANID:END_RENEW_HEALTH,$A29,FALSE),"")</f>
        <v/>
      </c>
      <c r="D29" s="323" t="str">
        <f ca="1">IFERROR(VLOOKUP(D$5,BEGIN_RENEW_HEALTH_PLANID:END_RENEW_HEALTH,$A29,FALSE),"")</f>
        <v/>
      </c>
      <c r="E29" s="323" t="str">
        <f ca="1">IFERROR(VLOOKUP(E$5,BEGIN_RENEW_HEALTH_PLANID:END_RENEW_HEALTH,$A29,FALSE),"")</f>
        <v/>
      </c>
      <c r="F29" s="323" t="str">
        <f ca="1">IFERROR(VLOOKUP(F$5,BEGIN_RENEW_HEALTH_PLANID:END_RENEW_HEALTH,$A29,FALSE),"")</f>
        <v/>
      </c>
      <c r="G29" s="323" t="str">
        <f ca="1">IFERROR(VLOOKUP(G$5,BEGIN_RENEW_HEALTH_PLANID:END_RENEW_HEALTH,$A29,FALSE),"")</f>
        <v/>
      </c>
      <c r="H29" s="323" t="str">
        <f ca="1">IFERROR(VLOOKUP(H$5,BEGIN_RENEW_HEALTH_PLANID:END_RENEW_HEALTH,$A29,FALSE),"")</f>
        <v/>
      </c>
      <c r="I29" s="323" t="str">
        <f ca="1">IFERROR(VLOOKUP(I$5,BEGIN_RENEW_HEALTH_PLANID:END_RENEW_HEALTH,$A29,FALSE),"")</f>
        <v/>
      </c>
      <c r="J29" s="323" t="str">
        <f ca="1">IFERROR(VLOOKUP(J$5,BEGIN_RENEW_HEALTH_PLANID:END_RENEW_HEALTH,$A29,FALSE),"")</f>
        <v/>
      </c>
      <c r="K29" s="323" t="str">
        <f ca="1">IFERROR(VLOOKUP(K$5,BEGIN_RENEW_HEALTH_PLANID:END_RENEW_HEALTH,$A29,FALSE),"")</f>
        <v/>
      </c>
      <c r="L29" s="323" t="str">
        <f ca="1">IFERROR(VLOOKUP(L$5,BEGIN_RENEW_HEALTH_PLANID:END_RENEW_HEALTH,$A29,FALSE),"")</f>
        <v/>
      </c>
      <c r="M29" s="323" t="str">
        <f ca="1">IFERROR(VLOOKUP(M$5,BEGIN_RENEW_HEALTH_PLANID:END_RENEW_HEALTH,$A29,FALSE),"")</f>
        <v/>
      </c>
      <c r="N29" s="323" t="str">
        <f ca="1">IFERROR(VLOOKUP(N$5,BEGIN_RENEW_HEALTH_PLANID:END_RENEW_HEALTH,$A29,FALSE),"")</f>
        <v/>
      </c>
      <c r="O29" s="323" t="str">
        <f ca="1">IFERROR(VLOOKUP(O$5,BEGIN_RENEW_HEALTH_PLANID:END_RENEW_HEALTH,$A29,FALSE),"")</f>
        <v/>
      </c>
      <c r="P29" s="323" t="str">
        <f ca="1">IFERROR(VLOOKUP(P$5,BEGIN_RENEW_HEALTH_PLANID:END_RENEW_HEALTH,$A29,FALSE),"")</f>
        <v/>
      </c>
      <c r="Q29" s="323" t="str">
        <f ca="1">IFERROR(VLOOKUP(Q$5,BEGIN_RENEW_HEALTH_PLANID:END_RENEW_HEALTH,$A29,FALSE),"")</f>
        <v/>
      </c>
      <c r="R29" s="323" t="str">
        <f ca="1">IFERROR(VLOOKUP(R$5,BEGIN_RENEW_HEALTH_PLANID:END_RENEW_HEALTH,$A29,FALSE),"")</f>
        <v/>
      </c>
      <c r="S29" s="323" t="str">
        <f ca="1">IFERROR(VLOOKUP(S$5,BEGIN_RENEW_HEALTH_PLANID:END_RENEW_HEALTH,$A29,FALSE),"")</f>
        <v/>
      </c>
      <c r="T29" s="323" t="str">
        <f ca="1">IFERROR(VLOOKUP(T$5,BEGIN_RENEW_HEALTH_PLANID:END_RENEW_HEALTH,$A29,FALSE),"")</f>
        <v/>
      </c>
      <c r="U29" s="323" t="str">
        <f ca="1">IFERROR(VLOOKUP(U$5,BEGIN_RENEW_HEALTH_PLANID:END_RENEW_HEALTH,$A29,FALSE),"")</f>
        <v/>
      </c>
      <c r="V29" s="323" t="str">
        <f ca="1">IFERROR(VLOOKUP(V$5,BEGIN_RENEW_HEALTH_PLANID:END_RENEW_HEALTH,$A29,FALSE),"")</f>
        <v/>
      </c>
      <c r="W29" s="323" t="str">
        <f ca="1">IFERROR(VLOOKUP(W$5,BEGIN_RENEW_HEALTH_PLANID:END_RENEW_HEALTH,$A29,FALSE),"")</f>
        <v/>
      </c>
      <c r="X29" s="323" t="str">
        <f ca="1">IFERROR(VLOOKUP(X$5,BEGIN_RENEW_HEALTH_PLANID:END_RENEW_HEALTH,$A29,FALSE),"")</f>
        <v/>
      </c>
      <c r="Y29" s="323" t="str">
        <f ca="1">IFERROR(VLOOKUP(Y$5,BEGIN_RENEW_HEALTH_PLANID:END_RENEW_HEALTH,$A29,FALSE),"")</f>
        <v/>
      </c>
      <c r="Z29" s="323" t="str">
        <f ca="1">IFERROR(VLOOKUP(Z$5,BEGIN_RENEW_HEALTH_PLANID:END_RENEW_HEALTH,$A29,FALSE),"")</f>
        <v/>
      </c>
      <c r="AA29" s="323" t="str">
        <f ca="1">IFERROR(VLOOKUP(AA$5,BEGIN_RENEW_HEALTH_PLANID:END_RENEW_HEALTH,$A29,FALSE),"")</f>
        <v/>
      </c>
      <c r="AB29" s="323" t="str">
        <f ca="1">IFERROR(VLOOKUP(AB$5,BEGIN_RENEW_HEALTH_PLANID:END_RENEW_HEALTH,$A29,FALSE),"")</f>
        <v/>
      </c>
      <c r="AC29" s="323" t="str">
        <f ca="1">IFERROR(VLOOKUP(AC$5,BEGIN_RENEW_HEALTH_PLANID:END_RENEW_HEALTH,$A29,FALSE),"")</f>
        <v/>
      </c>
      <c r="AD29" s="324" t="str">
        <f ca="1">IFERROR(VLOOKUP(AD$5,BEGIN_RENEW_HEALTH_PLANID:END_RENEW_HEALTH,$A29,FALSE),"")</f>
        <v/>
      </c>
      <c r="AE29" s="324" t="str">
        <f ca="1">IFERROR(VLOOKUP(AE$5,BEGIN_RENEW_HEALTH_PLANID:END_RENEW_HEALTH,$A29,FALSE),"")</f>
        <v/>
      </c>
      <c r="AF29" s="324" t="str">
        <f ca="1">IFERROR(VLOOKUP(AF$5,BEGIN_RENEW_HEALTH_PLANID:END_RENEW_HEALTH,$A29,FALSE),"")</f>
        <v/>
      </c>
      <c r="AG29" s="324" t="str">
        <f ca="1">IFERROR(VLOOKUP(AG$5,BEGIN_RENEW_HEALTH_PLANID:END_RENEW_HEALTH,$A29,FALSE),"")</f>
        <v/>
      </c>
      <c r="AH29" s="324" t="str">
        <f ca="1">IFERROR(VLOOKUP(AH$5,BEGIN_RENEW_HEALTH_PLANID:END_RENEW_HEALTH,$A29,FALSE),"")</f>
        <v/>
      </c>
      <c r="AI29" s="324" t="str">
        <f ca="1">IFERROR(VLOOKUP(AI$5,BEGIN_RENEW_HEALTH_PLANID:END_RENEW_HEALTH,$A29,FALSE),"")</f>
        <v/>
      </c>
      <c r="AJ29" s="324" t="str">
        <f ca="1">IFERROR(VLOOKUP(AJ$5,BEGIN_RENEW_HEALTH_PLANID:END_RENEW_HEALTH,$A29,FALSE),"")</f>
        <v/>
      </c>
      <c r="AK29" s="324" t="str">
        <f ca="1">IFERROR(VLOOKUP(AK$5,BEGIN_RENEW_HEALTH_PLANID:END_RENEW_HEALTH,$A29,FALSE),"")</f>
        <v/>
      </c>
    </row>
    <row r="30" spans="1:37" ht="12.5">
      <c r="A30" s="3">
        <v>39</v>
      </c>
      <c r="B30" s="346" t="s">
        <v>137</v>
      </c>
      <c r="C30" s="323" t="str">
        <f ca="1">IFERROR(VLOOKUP(C$5,BEGIN_RENEW_HEALTH_PLANID:END_RENEW_HEALTH,$A30,FALSE),"")</f>
        <v/>
      </c>
      <c r="D30" s="323" t="str">
        <f ca="1">IFERROR(VLOOKUP(D$5,BEGIN_RENEW_HEALTH_PLANID:END_RENEW_HEALTH,$A30,FALSE),"")</f>
        <v/>
      </c>
      <c r="E30" s="323" t="str">
        <f ca="1">IFERROR(VLOOKUP(E$5,BEGIN_RENEW_HEALTH_PLANID:END_RENEW_HEALTH,$A30,FALSE),"")</f>
        <v/>
      </c>
      <c r="F30" s="323" t="str">
        <f ca="1">IFERROR(VLOOKUP(F$5,BEGIN_RENEW_HEALTH_PLANID:END_RENEW_HEALTH,$A30,FALSE),"")</f>
        <v/>
      </c>
      <c r="G30" s="323" t="str">
        <f ca="1">IFERROR(VLOOKUP(G$5,BEGIN_RENEW_HEALTH_PLANID:END_RENEW_HEALTH,$A30,FALSE),"")</f>
        <v/>
      </c>
      <c r="H30" s="323" t="str">
        <f ca="1">IFERROR(VLOOKUP(H$5,BEGIN_RENEW_HEALTH_PLANID:END_RENEW_HEALTH,$A30,FALSE),"")</f>
        <v/>
      </c>
      <c r="I30" s="323" t="str">
        <f ca="1">IFERROR(VLOOKUP(I$5,BEGIN_RENEW_HEALTH_PLANID:END_RENEW_HEALTH,$A30,FALSE),"")</f>
        <v/>
      </c>
      <c r="J30" s="323" t="str">
        <f ca="1">IFERROR(VLOOKUP(J$5,BEGIN_RENEW_HEALTH_PLANID:END_RENEW_HEALTH,$A30,FALSE),"")</f>
        <v/>
      </c>
      <c r="K30" s="323" t="str">
        <f ca="1">IFERROR(VLOOKUP(K$5,BEGIN_RENEW_HEALTH_PLANID:END_RENEW_HEALTH,$A30,FALSE),"")</f>
        <v/>
      </c>
      <c r="L30" s="323" t="str">
        <f ca="1">IFERROR(VLOOKUP(L$5,BEGIN_RENEW_HEALTH_PLANID:END_RENEW_HEALTH,$A30,FALSE),"")</f>
        <v/>
      </c>
      <c r="M30" s="323" t="str">
        <f ca="1">IFERROR(VLOOKUP(M$5,BEGIN_RENEW_HEALTH_PLANID:END_RENEW_HEALTH,$A30,FALSE),"")</f>
        <v/>
      </c>
      <c r="N30" s="323" t="str">
        <f ca="1">IFERROR(VLOOKUP(N$5,BEGIN_RENEW_HEALTH_PLANID:END_RENEW_HEALTH,$A30,FALSE),"")</f>
        <v/>
      </c>
      <c r="O30" s="323" t="str">
        <f ca="1">IFERROR(VLOOKUP(O$5,BEGIN_RENEW_HEALTH_PLANID:END_RENEW_HEALTH,$A30,FALSE),"")</f>
        <v/>
      </c>
      <c r="P30" s="323" t="str">
        <f ca="1">IFERROR(VLOOKUP(P$5,BEGIN_RENEW_HEALTH_PLANID:END_RENEW_HEALTH,$A30,FALSE),"")</f>
        <v/>
      </c>
      <c r="Q30" s="323" t="str">
        <f ca="1">IFERROR(VLOOKUP(Q$5,BEGIN_RENEW_HEALTH_PLANID:END_RENEW_HEALTH,$A30,FALSE),"")</f>
        <v/>
      </c>
      <c r="R30" s="323" t="str">
        <f ca="1">IFERROR(VLOOKUP(R$5,BEGIN_RENEW_HEALTH_PLANID:END_RENEW_HEALTH,$A30,FALSE),"")</f>
        <v/>
      </c>
      <c r="S30" s="323" t="str">
        <f ca="1">IFERROR(VLOOKUP(S$5,BEGIN_RENEW_HEALTH_PLANID:END_RENEW_HEALTH,$A30,FALSE),"")</f>
        <v/>
      </c>
      <c r="T30" s="323" t="str">
        <f ca="1">IFERROR(VLOOKUP(T$5,BEGIN_RENEW_HEALTH_PLANID:END_RENEW_HEALTH,$A30,FALSE),"")</f>
        <v/>
      </c>
      <c r="U30" s="323" t="str">
        <f ca="1">IFERROR(VLOOKUP(U$5,BEGIN_RENEW_HEALTH_PLANID:END_RENEW_HEALTH,$A30,FALSE),"")</f>
        <v/>
      </c>
      <c r="V30" s="323" t="str">
        <f ca="1">IFERROR(VLOOKUP(V$5,BEGIN_RENEW_HEALTH_PLANID:END_RENEW_HEALTH,$A30,FALSE),"")</f>
        <v/>
      </c>
      <c r="W30" s="323" t="str">
        <f ca="1">IFERROR(VLOOKUP(W$5,BEGIN_RENEW_HEALTH_PLANID:END_RENEW_HEALTH,$A30,FALSE),"")</f>
        <v/>
      </c>
      <c r="X30" s="323" t="str">
        <f ca="1">IFERROR(VLOOKUP(X$5,BEGIN_RENEW_HEALTH_PLANID:END_RENEW_HEALTH,$A30,FALSE),"")</f>
        <v/>
      </c>
      <c r="Y30" s="323" t="str">
        <f ca="1">IFERROR(VLOOKUP(Y$5,BEGIN_RENEW_HEALTH_PLANID:END_RENEW_HEALTH,$A30,FALSE),"")</f>
        <v/>
      </c>
      <c r="Z30" s="323" t="str">
        <f ca="1">IFERROR(VLOOKUP(Z$5,BEGIN_RENEW_HEALTH_PLANID:END_RENEW_HEALTH,$A30,FALSE),"")</f>
        <v/>
      </c>
      <c r="AA30" s="323" t="str">
        <f ca="1">IFERROR(VLOOKUP(AA$5,BEGIN_RENEW_HEALTH_PLANID:END_RENEW_HEALTH,$A30,FALSE),"")</f>
        <v/>
      </c>
      <c r="AB30" s="323" t="str">
        <f ca="1">IFERROR(VLOOKUP(AB$5,BEGIN_RENEW_HEALTH_PLANID:END_RENEW_HEALTH,$A30,FALSE),"")</f>
        <v/>
      </c>
      <c r="AC30" s="323" t="str">
        <f ca="1">IFERROR(VLOOKUP(AC$5,BEGIN_RENEW_HEALTH_PLANID:END_RENEW_HEALTH,$A30,FALSE),"")</f>
        <v/>
      </c>
      <c r="AD30" s="324" t="str">
        <f ca="1">IFERROR(VLOOKUP(AD$5,BEGIN_RENEW_HEALTH_PLANID:END_RENEW_HEALTH,$A30,FALSE),"")</f>
        <v/>
      </c>
      <c r="AE30" s="324" t="str">
        <f ca="1">IFERROR(VLOOKUP(AE$5,BEGIN_RENEW_HEALTH_PLANID:END_RENEW_HEALTH,$A30,FALSE),"")</f>
        <v/>
      </c>
      <c r="AF30" s="324" t="str">
        <f ca="1">IFERROR(VLOOKUP(AF$5,BEGIN_RENEW_HEALTH_PLANID:END_RENEW_HEALTH,$A30,FALSE),"")</f>
        <v/>
      </c>
      <c r="AG30" s="324" t="str">
        <f ca="1">IFERROR(VLOOKUP(AG$5,BEGIN_RENEW_HEALTH_PLANID:END_RENEW_HEALTH,$A30,FALSE),"")</f>
        <v/>
      </c>
      <c r="AH30" s="324" t="str">
        <f ca="1">IFERROR(VLOOKUP(AH$5,BEGIN_RENEW_HEALTH_PLANID:END_RENEW_HEALTH,$A30,FALSE),"")</f>
        <v/>
      </c>
      <c r="AI30" s="324" t="str">
        <f ca="1">IFERROR(VLOOKUP(AI$5,BEGIN_RENEW_HEALTH_PLANID:END_RENEW_HEALTH,$A30,FALSE),"")</f>
        <v/>
      </c>
      <c r="AJ30" s="324" t="str">
        <f ca="1">IFERROR(VLOOKUP(AJ$5,BEGIN_RENEW_HEALTH_PLANID:END_RENEW_HEALTH,$A30,FALSE),"")</f>
        <v/>
      </c>
      <c r="AK30" s="324" t="str">
        <f ca="1">IFERROR(VLOOKUP(AK$5,BEGIN_RENEW_HEALTH_PLANID:END_RENEW_HEALTH,$A30,FALSE),"")</f>
        <v/>
      </c>
    </row>
    <row r="31" spans="1:37" ht="12.5">
      <c r="A31" s="3">
        <v>40</v>
      </c>
      <c r="B31" s="346" t="s">
        <v>138</v>
      </c>
      <c r="C31" s="323" t="str">
        <f ca="1">IFERROR(VLOOKUP(C$5,BEGIN_RENEW_HEALTH_PLANID:END_RENEW_HEALTH,$A31,FALSE),"")</f>
        <v/>
      </c>
      <c r="D31" s="323" t="str">
        <f ca="1">IFERROR(VLOOKUP(D$5,BEGIN_RENEW_HEALTH_PLANID:END_RENEW_HEALTH,$A31,FALSE),"")</f>
        <v/>
      </c>
      <c r="E31" s="323" t="str">
        <f ca="1">IFERROR(VLOOKUP(E$5,BEGIN_RENEW_HEALTH_PLANID:END_RENEW_HEALTH,$A31,FALSE),"")</f>
        <v/>
      </c>
      <c r="F31" s="323" t="str">
        <f ca="1">IFERROR(VLOOKUP(F$5,BEGIN_RENEW_HEALTH_PLANID:END_RENEW_HEALTH,$A31,FALSE),"")</f>
        <v/>
      </c>
      <c r="G31" s="323" t="str">
        <f ca="1">IFERROR(VLOOKUP(G$5,BEGIN_RENEW_HEALTH_PLANID:END_RENEW_HEALTH,$A31,FALSE),"")</f>
        <v/>
      </c>
      <c r="H31" s="323" t="str">
        <f ca="1">IFERROR(VLOOKUP(H$5,BEGIN_RENEW_HEALTH_PLANID:END_RENEW_HEALTH,$A31,FALSE),"")</f>
        <v/>
      </c>
      <c r="I31" s="323" t="str">
        <f ca="1">IFERROR(VLOOKUP(I$5,BEGIN_RENEW_HEALTH_PLANID:END_RENEW_HEALTH,$A31,FALSE),"")</f>
        <v/>
      </c>
      <c r="J31" s="323" t="str">
        <f ca="1">IFERROR(VLOOKUP(J$5,BEGIN_RENEW_HEALTH_PLANID:END_RENEW_HEALTH,$A31,FALSE),"")</f>
        <v/>
      </c>
      <c r="K31" s="323" t="str">
        <f ca="1">IFERROR(VLOOKUP(K$5,BEGIN_RENEW_HEALTH_PLANID:END_RENEW_HEALTH,$A31,FALSE),"")</f>
        <v/>
      </c>
      <c r="L31" s="323" t="str">
        <f ca="1">IFERROR(VLOOKUP(L$5,BEGIN_RENEW_HEALTH_PLANID:END_RENEW_HEALTH,$A31,FALSE),"")</f>
        <v/>
      </c>
      <c r="M31" s="323" t="str">
        <f ca="1">IFERROR(VLOOKUP(M$5,BEGIN_RENEW_HEALTH_PLANID:END_RENEW_HEALTH,$A31,FALSE),"")</f>
        <v/>
      </c>
      <c r="N31" s="323" t="str">
        <f ca="1">IFERROR(VLOOKUP(N$5,BEGIN_RENEW_HEALTH_PLANID:END_RENEW_HEALTH,$A31,FALSE),"")</f>
        <v/>
      </c>
      <c r="O31" s="323" t="str">
        <f ca="1">IFERROR(VLOOKUP(O$5,BEGIN_RENEW_HEALTH_PLANID:END_RENEW_HEALTH,$A31,FALSE),"")</f>
        <v/>
      </c>
      <c r="P31" s="323" t="str">
        <f ca="1">IFERROR(VLOOKUP(P$5,BEGIN_RENEW_HEALTH_PLANID:END_RENEW_HEALTH,$A31,FALSE),"")</f>
        <v/>
      </c>
      <c r="Q31" s="323" t="str">
        <f ca="1">IFERROR(VLOOKUP(Q$5,BEGIN_RENEW_HEALTH_PLANID:END_RENEW_HEALTH,$A31,FALSE),"")</f>
        <v/>
      </c>
      <c r="R31" s="323" t="str">
        <f ca="1">IFERROR(VLOOKUP(R$5,BEGIN_RENEW_HEALTH_PLANID:END_RENEW_HEALTH,$A31,FALSE),"")</f>
        <v/>
      </c>
      <c r="S31" s="323" t="str">
        <f ca="1">IFERROR(VLOOKUP(S$5,BEGIN_RENEW_HEALTH_PLANID:END_RENEW_HEALTH,$A31,FALSE),"")</f>
        <v/>
      </c>
      <c r="T31" s="323" t="str">
        <f ca="1">IFERROR(VLOOKUP(T$5,BEGIN_RENEW_HEALTH_PLANID:END_RENEW_HEALTH,$A31,FALSE),"")</f>
        <v/>
      </c>
      <c r="U31" s="323" t="str">
        <f ca="1">IFERROR(VLOOKUP(U$5,BEGIN_RENEW_HEALTH_PLANID:END_RENEW_HEALTH,$A31,FALSE),"")</f>
        <v/>
      </c>
      <c r="V31" s="323" t="str">
        <f ca="1">IFERROR(VLOOKUP(V$5,BEGIN_RENEW_HEALTH_PLANID:END_RENEW_HEALTH,$A31,FALSE),"")</f>
        <v/>
      </c>
      <c r="W31" s="323" t="str">
        <f ca="1">IFERROR(VLOOKUP(W$5,BEGIN_RENEW_HEALTH_PLANID:END_RENEW_HEALTH,$A31,FALSE),"")</f>
        <v/>
      </c>
      <c r="X31" s="323" t="str">
        <f ca="1">IFERROR(VLOOKUP(X$5,BEGIN_RENEW_HEALTH_PLANID:END_RENEW_HEALTH,$A31,FALSE),"")</f>
        <v/>
      </c>
      <c r="Y31" s="323" t="str">
        <f ca="1">IFERROR(VLOOKUP(Y$5,BEGIN_RENEW_HEALTH_PLANID:END_RENEW_HEALTH,$A31,FALSE),"")</f>
        <v/>
      </c>
      <c r="Z31" s="323" t="str">
        <f ca="1">IFERROR(VLOOKUP(Z$5,BEGIN_RENEW_HEALTH_PLANID:END_RENEW_HEALTH,$A31,FALSE),"")</f>
        <v/>
      </c>
      <c r="AA31" s="323" t="str">
        <f ca="1">IFERROR(VLOOKUP(AA$5,BEGIN_RENEW_HEALTH_PLANID:END_RENEW_HEALTH,$A31,FALSE),"")</f>
        <v/>
      </c>
      <c r="AB31" s="323" t="str">
        <f ca="1">IFERROR(VLOOKUP(AB$5,BEGIN_RENEW_HEALTH_PLANID:END_RENEW_HEALTH,$A31,FALSE),"")</f>
        <v/>
      </c>
      <c r="AC31" s="323" t="str">
        <f ca="1">IFERROR(VLOOKUP(AC$5,BEGIN_RENEW_HEALTH_PLANID:END_RENEW_HEALTH,$A31,FALSE),"")</f>
        <v/>
      </c>
      <c r="AD31" s="324" t="str">
        <f ca="1">IFERROR(VLOOKUP(AD$5,BEGIN_RENEW_HEALTH_PLANID:END_RENEW_HEALTH,$A31,FALSE),"")</f>
        <v/>
      </c>
      <c r="AE31" s="324" t="str">
        <f ca="1">IFERROR(VLOOKUP(AE$5,BEGIN_RENEW_HEALTH_PLANID:END_RENEW_HEALTH,$A31,FALSE),"")</f>
        <v/>
      </c>
      <c r="AF31" s="324" t="str">
        <f ca="1">IFERROR(VLOOKUP(AF$5,BEGIN_RENEW_HEALTH_PLANID:END_RENEW_HEALTH,$A31,FALSE),"")</f>
        <v/>
      </c>
      <c r="AG31" s="324" t="str">
        <f ca="1">IFERROR(VLOOKUP(AG$5,BEGIN_RENEW_HEALTH_PLANID:END_RENEW_HEALTH,$A31,FALSE),"")</f>
        <v/>
      </c>
      <c r="AH31" s="324" t="str">
        <f ca="1">IFERROR(VLOOKUP(AH$5,BEGIN_RENEW_HEALTH_PLANID:END_RENEW_HEALTH,$A31,FALSE),"")</f>
        <v/>
      </c>
      <c r="AI31" s="324" t="str">
        <f ca="1">IFERROR(VLOOKUP(AI$5,BEGIN_RENEW_HEALTH_PLANID:END_RENEW_HEALTH,$A31,FALSE),"")</f>
        <v/>
      </c>
      <c r="AJ31" s="324" t="str">
        <f ca="1">IFERROR(VLOOKUP(AJ$5,BEGIN_RENEW_HEALTH_PLANID:END_RENEW_HEALTH,$A31,FALSE),"")</f>
        <v/>
      </c>
      <c r="AK31" s="324" t="str">
        <f ca="1">IFERROR(VLOOKUP(AK$5,BEGIN_RENEW_HEALTH_PLANID:END_RENEW_HEALTH,$A31,FALSE),"")</f>
        <v/>
      </c>
    </row>
    <row r="32" spans="1:37" ht="12.5">
      <c r="A32" s="3">
        <v>41</v>
      </c>
      <c r="B32" s="346" t="s">
        <v>139</v>
      </c>
      <c r="C32" s="323" t="str">
        <f ca="1">IFERROR(VLOOKUP(C$5,BEGIN_RENEW_HEALTH_PLANID:END_RENEW_HEALTH,$A32,FALSE),"")</f>
        <v/>
      </c>
      <c r="D32" s="323" t="str">
        <f ca="1">IFERROR(VLOOKUP(D$5,BEGIN_RENEW_HEALTH_PLANID:END_RENEW_HEALTH,$A32,FALSE),"")</f>
        <v/>
      </c>
      <c r="E32" s="323" t="str">
        <f ca="1">IFERROR(VLOOKUP(E$5,BEGIN_RENEW_HEALTH_PLANID:END_RENEW_HEALTH,$A32,FALSE),"")</f>
        <v/>
      </c>
      <c r="F32" s="323" t="str">
        <f ca="1">IFERROR(VLOOKUP(F$5,BEGIN_RENEW_HEALTH_PLANID:END_RENEW_HEALTH,$A32,FALSE),"")</f>
        <v/>
      </c>
      <c r="G32" s="323" t="str">
        <f ca="1">IFERROR(VLOOKUP(G$5,BEGIN_RENEW_HEALTH_PLANID:END_RENEW_HEALTH,$A32,FALSE),"")</f>
        <v/>
      </c>
      <c r="H32" s="323" t="str">
        <f ca="1">IFERROR(VLOOKUP(H$5,BEGIN_RENEW_HEALTH_PLANID:END_RENEW_HEALTH,$A32,FALSE),"")</f>
        <v/>
      </c>
      <c r="I32" s="323" t="str">
        <f ca="1">IFERROR(VLOOKUP(I$5,BEGIN_RENEW_HEALTH_PLANID:END_RENEW_HEALTH,$A32,FALSE),"")</f>
        <v/>
      </c>
      <c r="J32" s="323" t="str">
        <f ca="1">IFERROR(VLOOKUP(J$5,BEGIN_RENEW_HEALTH_PLANID:END_RENEW_HEALTH,$A32,FALSE),"")</f>
        <v/>
      </c>
      <c r="K32" s="323" t="str">
        <f ca="1">IFERROR(VLOOKUP(K$5,BEGIN_RENEW_HEALTH_PLANID:END_RENEW_HEALTH,$A32,FALSE),"")</f>
        <v/>
      </c>
      <c r="L32" s="323" t="str">
        <f ca="1">IFERROR(VLOOKUP(L$5,BEGIN_RENEW_HEALTH_PLANID:END_RENEW_HEALTH,$A32,FALSE),"")</f>
        <v/>
      </c>
      <c r="M32" s="323" t="str">
        <f ca="1">IFERROR(VLOOKUP(M$5,BEGIN_RENEW_HEALTH_PLANID:END_RENEW_HEALTH,$A32,FALSE),"")</f>
        <v/>
      </c>
      <c r="N32" s="323" t="str">
        <f ca="1">IFERROR(VLOOKUP(N$5,BEGIN_RENEW_HEALTH_PLANID:END_RENEW_HEALTH,$A32,FALSE),"")</f>
        <v/>
      </c>
      <c r="O32" s="323" t="str">
        <f ca="1">IFERROR(VLOOKUP(O$5,BEGIN_RENEW_HEALTH_PLANID:END_RENEW_HEALTH,$A32,FALSE),"")</f>
        <v/>
      </c>
      <c r="P32" s="323" t="str">
        <f ca="1">IFERROR(VLOOKUP(P$5,BEGIN_RENEW_HEALTH_PLANID:END_RENEW_HEALTH,$A32,FALSE),"")</f>
        <v/>
      </c>
      <c r="Q32" s="323" t="str">
        <f ca="1">IFERROR(VLOOKUP(Q$5,BEGIN_RENEW_HEALTH_PLANID:END_RENEW_HEALTH,$A32,FALSE),"")</f>
        <v/>
      </c>
      <c r="R32" s="323" t="str">
        <f ca="1">IFERROR(VLOOKUP(R$5,BEGIN_RENEW_HEALTH_PLANID:END_RENEW_HEALTH,$A32,FALSE),"")</f>
        <v/>
      </c>
      <c r="S32" s="323" t="str">
        <f ca="1">IFERROR(VLOOKUP(S$5,BEGIN_RENEW_HEALTH_PLANID:END_RENEW_HEALTH,$A32,FALSE),"")</f>
        <v/>
      </c>
      <c r="T32" s="323" t="str">
        <f ca="1">IFERROR(VLOOKUP(T$5,BEGIN_RENEW_HEALTH_PLANID:END_RENEW_HEALTH,$A32,FALSE),"")</f>
        <v/>
      </c>
      <c r="U32" s="323" t="str">
        <f ca="1">IFERROR(VLOOKUP(U$5,BEGIN_RENEW_HEALTH_PLANID:END_RENEW_HEALTH,$A32,FALSE),"")</f>
        <v/>
      </c>
      <c r="V32" s="323" t="str">
        <f ca="1">IFERROR(VLOOKUP(V$5,BEGIN_RENEW_HEALTH_PLANID:END_RENEW_HEALTH,$A32,FALSE),"")</f>
        <v/>
      </c>
      <c r="W32" s="323" t="str">
        <f ca="1">IFERROR(VLOOKUP(W$5,BEGIN_RENEW_HEALTH_PLANID:END_RENEW_HEALTH,$A32,FALSE),"")</f>
        <v/>
      </c>
      <c r="X32" s="323" t="str">
        <f ca="1">IFERROR(VLOOKUP(X$5,BEGIN_RENEW_HEALTH_PLANID:END_RENEW_HEALTH,$A32,FALSE),"")</f>
        <v/>
      </c>
      <c r="Y32" s="323" t="str">
        <f ca="1">IFERROR(VLOOKUP(Y$5,BEGIN_RENEW_HEALTH_PLANID:END_RENEW_HEALTH,$A32,FALSE),"")</f>
        <v/>
      </c>
      <c r="Z32" s="323" t="str">
        <f ca="1">IFERROR(VLOOKUP(Z$5,BEGIN_RENEW_HEALTH_PLANID:END_RENEW_HEALTH,$A32,FALSE),"")</f>
        <v/>
      </c>
      <c r="AA32" s="323" t="str">
        <f ca="1">IFERROR(VLOOKUP(AA$5,BEGIN_RENEW_HEALTH_PLANID:END_RENEW_HEALTH,$A32,FALSE),"")</f>
        <v/>
      </c>
      <c r="AB32" s="323" t="str">
        <f ca="1">IFERROR(VLOOKUP(AB$5,BEGIN_RENEW_HEALTH_PLANID:END_RENEW_HEALTH,$A32,FALSE),"")</f>
        <v/>
      </c>
      <c r="AC32" s="323" t="str">
        <f ca="1">IFERROR(VLOOKUP(AC$5,BEGIN_RENEW_HEALTH_PLANID:END_RENEW_HEALTH,$A32,FALSE),"")</f>
        <v/>
      </c>
      <c r="AD32" s="324" t="str">
        <f ca="1">IFERROR(VLOOKUP(AD$5,BEGIN_RENEW_HEALTH_PLANID:END_RENEW_HEALTH,$A32,FALSE),"")</f>
        <v/>
      </c>
      <c r="AE32" s="324" t="str">
        <f ca="1">IFERROR(VLOOKUP(AE$5,BEGIN_RENEW_HEALTH_PLANID:END_RENEW_HEALTH,$A32,FALSE),"")</f>
        <v/>
      </c>
      <c r="AF32" s="324" t="str">
        <f ca="1">IFERROR(VLOOKUP(AF$5,BEGIN_RENEW_HEALTH_PLANID:END_RENEW_HEALTH,$A32,FALSE),"")</f>
        <v/>
      </c>
      <c r="AG32" s="324" t="str">
        <f ca="1">IFERROR(VLOOKUP(AG$5,BEGIN_RENEW_HEALTH_PLANID:END_RENEW_HEALTH,$A32,FALSE),"")</f>
        <v/>
      </c>
      <c r="AH32" s="324" t="str">
        <f ca="1">IFERROR(VLOOKUP(AH$5,BEGIN_RENEW_HEALTH_PLANID:END_RENEW_HEALTH,$A32,FALSE),"")</f>
        <v/>
      </c>
      <c r="AI32" s="324" t="str">
        <f ca="1">IFERROR(VLOOKUP(AI$5,BEGIN_RENEW_HEALTH_PLANID:END_RENEW_HEALTH,$A32,FALSE),"")</f>
        <v/>
      </c>
      <c r="AJ32" s="324" t="str">
        <f ca="1">IFERROR(VLOOKUP(AJ$5,BEGIN_RENEW_HEALTH_PLANID:END_RENEW_HEALTH,$A32,FALSE),"")</f>
        <v/>
      </c>
      <c r="AK32" s="324" t="str">
        <f ca="1">IFERROR(VLOOKUP(AK$5,BEGIN_RENEW_HEALTH_PLANID:END_RENEW_HEALTH,$A32,FALSE),"")</f>
        <v/>
      </c>
    </row>
    <row r="33" spans="2:37" ht="12.5">
      <c r="B33" s="344" t="s">
        <v>345</v>
      </c>
      <c r="C33" s="337" t="str">
        <f ca="1">IFERROR(VLOOKUP(C$5,BEGIN_RENEW_HEALTH_PLANID:END_RENEW_HEALTH,$A33,FALSE),"")</f>
        <v/>
      </c>
      <c r="D33" s="337" t="str">
        <f ca="1">IFERROR(VLOOKUP(D$5,BEGIN_RENEW_HEALTH_PLANID:END_RENEW_HEALTH,$A33,FALSE),"")</f>
        <v/>
      </c>
      <c r="E33" s="337" t="str">
        <f ca="1">IFERROR(VLOOKUP(E$5,BEGIN_RENEW_HEALTH_PLANID:END_RENEW_HEALTH,$A33,FALSE),"")</f>
        <v/>
      </c>
      <c r="F33" s="337" t="str">
        <f ca="1">IFERROR(VLOOKUP(F$5,BEGIN_RENEW_HEALTH_PLANID:END_RENEW_HEALTH,$A33,FALSE),"")</f>
        <v/>
      </c>
      <c r="G33" s="337" t="str">
        <f ca="1">IFERROR(VLOOKUP(G$5,BEGIN_RENEW_HEALTH_PLANID:END_RENEW_HEALTH,$A33,FALSE),"")</f>
        <v/>
      </c>
      <c r="H33" s="337" t="str">
        <f ca="1">IFERROR(VLOOKUP(H$5,BEGIN_RENEW_HEALTH_PLANID:END_RENEW_HEALTH,$A33,FALSE),"")</f>
        <v/>
      </c>
      <c r="I33" s="337" t="str">
        <f ca="1">IFERROR(VLOOKUP(I$5,BEGIN_RENEW_HEALTH_PLANID:END_RENEW_HEALTH,$A33,FALSE),"")</f>
        <v/>
      </c>
      <c r="J33" s="337" t="str">
        <f ca="1">IFERROR(VLOOKUP(J$5,BEGIN_RENEW_HEALTH_PLANID:END_RENEW_HEALTH,$A33,FALSE),"")</f>
        <v/>
      </c>
      <c r="K33" s="337" t="str">
        <f ca="1">IFERROR(VLOOKUP(K$5,BEGIN_RENEW_HEALTH_PLANID:END_RENEW_HEALTH,$A33,FALSE),"")</f>
        <v/>
      </c>
      <c r="L33" s="337" t="str">
        <f ca="1">IFERROR(VLOOKUP(L$5,BEGIN_RENEW_HEALTH_PLANID:END_RENEW_HEALTH,$A33,FALSE),"")</f>
        <v/>
      </c>
      <c r="M33" s="337" t="str">
        <f ca="1">IFERROR(VLOOKUP(M$5,BEGIN_RENEW_HEALTH_PLANID:END_RENEW_HEALTH,$A33,FALSE),"")</f>
        <v/>
      </c>
      <c r="N33" s="337" t="str">
        <f ca="1">IFERROR(VLOOKUP(N$5,BEGIN_RENEW_HEALTH_PLANID:END_RENEW_HEALTH,$A33,FALSE),"")</f>
        <v/>
      </c>
      <c r="O33" s="337" t="str">
        <f ca="1">IFERROR(VLOOKUP(O$5,BEGIN_RENEW_HEALTH_PLANID:END_RENEW_HEALTH,$A33,FALSE),"")</f>
        <v/>
      </c>
      <c r="P33" s="337" t="str">
        <f ca="1">IFERROR(VLOOKUP(P$5,BEGIN_RENEW_HEALTH_PLANID:END_RENEW_HEALTH,$A33,FALSE),"")</f>
        <v/>
      </c>
      <c r="Q33" s="337" t="str">
        <f ca="1">IFERROR(VLOOKUP(Q$5,BEGIN_RENEW_HEALTH_PLANID:END_RENEW_HEALTH,$A33,FALSE),"")</f>
        <v/>
      </c>
      <c r="R33" s="337" t="str">
        <f ca="1">IFERROR(VLOOKUP(R$5,BEGIN_RENEW_HEALTH_PLANID:END_RENEW_HEALTH,$A33,FALSE),"")</f>
        <v/>
      </c>
      <c r="S33" s="337" t="str">
        <f ca="1">IFERROR(VLOOKUP(S$5,BEGIN_RENEW_HEALTH_PLANID:END_RENEW_HEALTH,$A33,FALSE),"")</f>
        <v/>
      </c>
      <c r="T33" s="337" t="str">
        <f ca="1">IFERROR(VLOOKUP(T$5,BEGIN_RENEW_HEALTH_PLANID:END_RENEW_HEALTH,$A33,FALSE),"")</f>
        <v/>
      </c>
      <c r="U33" s="337" t="str">
        <f ca="1">IFERROR(VLOOKUP(U$5,BEGIN_RENEW_HEALTH_PLANID:END_RENEW_HEALTH,$A33,FALSE),"")</f>
        <v/>
      </c>
      <c r="V33" s="337" t="str">
        <f ca="1">IFERROR(VLOOKUP(V$5,BEGIN_RENEW_HEALTH_PLANID:END_RENEW_HEALTH,$A33,FALSE),"")</f>
        <v/>
      </c>
      <c r="W33" s="337" t="str">
        <f ca="1">IFERROR(VLOOKUP(W$5,BEGIN_RENEW_HEALTH_PLANID:END_RENEW_HEALTH,$A33,FALSE),"")</f>
        <v/>
      </c>
      <c r="X33" s="337" t="str">
        <f ca="1">IFERROR(VLOOKUP(X$5,BEGIN_RENEW_HEALTH_PLANID:END_RENEW_HEALTH,$A33,FALSE),"")</f>
        <v/>
      </c>
      <c r="Y33" s="337" t="str">
        <f ca="1">IFERROR(VLOOKUP(Y$5,BEGIN_RENEW_HEALTH_PLANID:END_RENEW_HEALTH,$A33,FALSE),"")</f>
        <v/>
      </c>
      <c r="Z33" s="337" t="str">
        <f ca="1">IFERROR(VLOOKUP(Z$5,BEGIN_RENEW_HEALTH_PLANID:END_RENEW_HEALTH,$A33,FALSE),"")</f>
        <v/>
      </c>
      <c r="AA33" s="337" t="str">
        <f ca="1">IFERROR(VLOOKUP(AA$5,BEGIN_RENEW_HEALTH_PLANID:END_RENEW_HEALTH,$A33,FALSE),"")</f>
        <v/>
      </c>
      <c r="AB33" s="337" t="str">
        <f ca="1">IFERROR(VLOOKUP(AB$5,BEGIN_RENEW_HEALTH_PLANID:END_RENEW_HEALTH,$A33,FALSE),"")</f>
        <v/>
      </c>
      <c r="AC33" s="337" t="str">
        <f ca="1">IFERROR(VLOOKUP(AC$5,BEGIN_RENEW_HEALTH_PLANID:END_RENEW_HEALTH,$A33,FALSE),"")</f>
        <v/>
      </c>
      <c r="AD33" s="338" t="str">
        <f ca="1">IFERROR(VLOOKUP(AD$5,BEGIN_RENEW_HEALTH_PLANID:END_RENEW_HEALTH,$A33,FALSE),"")</f>
        <v/>
      </c>
      <c r="AE33" s="338" t="str">
        <f ca="1">IFERROR(VLOOKUP(AE$5,BEGIN_RENEW_HEALTH_PLANID:END_RENEW_HEALTH,$A33,FALSE),"")</f>
        <v/>
      </c>
      <c r="AF33" s="338" t="str">
        <f ca="1">IFERROR(VLOOKUP(AF$5,BEGIN_RENEW_HEALTH_PLANID:END_RENEW_HEALTH,$A33,FALSE),"")</f>
        <v/>
      </c>
      <c r="AG33" s="338" t="str">
        <f ca="1">IFERROR(VLOOKUP(AG$5,BEGIN_RENEW_HEALTH_PLANID:END_RENEW_HEALTH,$A33,FALSE),"")</f>
        <v/>
      </c>
      <c r="AH33" s="338" t="str">
        <f ca="1">IFERROR(VLOOKUP(AH$5,BEGIN_RENEW_HEALTH_PLANID:END_RENEW_HEALTH,$A33,FALSE),"")</f>
        <v/>
      </c>
      <c r="AI33" s="338" t="str">
        <f ca="1">IFERROR(VLOOKUP(AI$5,BEGIN_RENEW_HEALTH_PLANID:END_RENEW_HEALTH,$A33,FALSE),"")</f>
        <v/>
      </c>
      <c r="AJ33" s="338" t="str">
        <f ca="1">IFERROR(VLOOKUP(AJ$5,BEGIN_RENEW_HEALTH_PLANID:END_RENEW_HEALTH,$A33,FALSE),"")</f>
        <v/>
      </c>
      <c r="AK33" s="338" t="str">
        <f ca="1">IFERROR(VLOOKUP(AK$5,BEGIN_RENEW_HEALTH_PLANID:END_RENEW_HEALTH,$A33,FALSE),"")</f>
        <v/>
      </c>
    </row>
    <row r="34" spans="1:37" ht="12.5">
      <c r="A34" s="3">
        <v>43</v>
      </c>
      <c r="B34" s="346" t="s">
        <v>337</v>
      </c>
      <c r="C34" s="323" t="str">
        <f ca="1">IFERROR(VLOOKUP(C$5,BEGIN_RENEW_HEALTH_PLANID:END_RENEW_HEALTH,$A34,FALSE),"")</f>
        <v/>
      </c>
      <c r="D34" s="323" t="str">
        <f ca="1">IFERROR(VLOOKUP(D$5,BEGIN_RENEW_HEALTH_PLANID:END_RENEW_HEALTH,$A34,FALSE),"")</f>
        <v/>
      </c>
      <c r="E34" s="323" t="str">
        <f ca="1">IFERROR(VLOOKUP(E$5,BEGIN_RENEW_HEALTH_PLANID:END_RENEW_HEALTH,$A34,FALSE),"")</f>
        <v/>
      </c>
      <c r="F34" s="323" t="str">
        <f ca="1">IFERROR(VLOOKUP(F$5,BEGIN_RENEW_HEALTH_PLANID:END_RENEW_HEALTH,$A34,FALSE),"")</f>
        <v/>
      </c>
      <c r="G34" s="323" t="str">
        <f ca="1">IFERROR(VLOOKUP(G$5,BEGIN_RENEW_HEALTH_PLANID:END_RENEW_HEALTH,$A34,FALSE),"")</f>
        <v/>
      </c>
      <c r="H34" s="323" t="str">
        <f ca="1">IFERROR(VLOOKUP(H$5,BEGIN_RENEW_HEALTH_PLANID:END_RENEW_HEALTH,$A34,FALSE),"")</f>
        <v/>
      </c>
      <c r="I34" s="323" t="str">
        <f ca="1">IFERROR(VLOOKUP(I$5,BEGIN_RENEW_HEALTH_PLANID:END_RENEW_HEALTH,$A34,FALSE),"")</f>
        <v/>
      </c>
      <c r="J34" s="323" t="str">
        <f ca="1">IFERROR(VLOOKUP(J$5,BEGIN_RENEW_HEALTH_PLANID:END_RENEW_HEALTH,$A34,FALSE),"")</f>
        <v/>
      </c>
      <c r="K34" s="323" t="str">
        <f ca="1">IFERROR(VLOOKUP(K$5,BEGIN_RENEW_HEALTH_PLANID:END_RENEW_HEALTH,$A34,FALSE),"")</f>
        <v/>
      </c>
      <c r="L34" s="323" t="str">
        <f ca="1">IFERROR(VLOOKUP(L$5,BEGIN_RENEW_HEALTH_PLANID:END_RENEW_HEALTH,$A34,FALSE),"")</f>
        <v/>
      </c>
      <c r="M34" s="323" t="str">
        <f ca="1">IFERROR(VLOOKUP(M$5,BEGIN_RENEW_HEALTH_PLANID:END_RENEW_HEALTH,$A34,FALSE),"")</f>
        <v/>
      </c>
      <c r="N34" s="323" t="str">
        <f ca="1">IFERROR(VLOOKUP(N$5,BEGIN_RENEW_HEALTH_PLANID:END_RENEW_HEALTH,$A34,FALSE),"")</f>
        <v/>
      </c>
      <c r="O34" s="323" t="str">
        <f ca="1">IFERROR(VLOOKUP(O$5,BEGIN_RENEW_HEALTH_PLANID:END_RENEW_HEALTH,$A34,FALSE),"")</f>
        <v/>
      </c>
      <c r="P34" s="323" t="str">
        <f ca="1">IFERROR(VLOOKUP(P$5,BEGIN_RENEW_HEALTH_PLANID:END_RENEW_HEALTH,$A34,FALSE),"")</f>
        <v/>
      </c>
      <c r="Q34" s="323" t="str">
        <f ca="1">IFERROR(VLOOKUP(Q$5,BEGIN_RENEW_HEALTH_PLANID:END_RENEW_HEALTH,$A34,FALSE),"")</f>
        <v/>
      </c>
      <c r="R34" s="323" t="str">
        <f ca="1">IFERROR(VLOOKUP(R$5,BEGIN_RENEW_HEALTH_PLANID:END_RENEW_HEALTH,$A34,FALSE),"")</f>
        <v/>
      </c>
      <c r="S34" s="323" t="str">
        <f ca="1">IFERROR(VLOOKUP(S$5,BEGIN_RENEW_HEALTH_PLANID:END_RENEW_HEALTH,$A34,FALSE),"")</f>
        <v/>
      </c>
      <c r="T34" s="323" t="str">
        <f ca="1">IFERROR(VLOOKUP(T$5,BEGIN_RENEW_HEALTH_PLANID:END_RENEW_HEALTH,$A34,FALSE),"")</f>
        <v/>
      </c>
      <c r="U34" s="323" t="str">
        <f ca="1">IFERROR(VLOOKUP(U$5,BEGIN_RENEW_HEALTH_PLANID:END_RENEW_HEALTH,$A34,FALSE),"")</f>
        <v/>
      </c>
      <c r="V34" s="323" t="str">
        <f ca="1">IFERROR(VLOOKUP(V$5,BEGIN_RENEW_HEALTH_PLANID:END_RENEW_HEALTH,$A34,FALSE),"")</f>
        <v/>
      </c>
      <c r="W34" s="323" t="str">
        <f ca="1">IFERROR(VLOOKUP(W$5,BEGIN_RENEW_HEALTH_PLANID:END_RENEW_HEALTH,$A34,FALSE),"")</f>
        <v/>
      </c>
      <c r="X34" s="323" t="str">
        <f ca="1">IFERROR(VLOOKUP(X$5,BEGIN_RENEW_HEALTH_PLANID:END_RENEW_HEALTH,$A34,FALSE),"")</f>
        <v/>
      </c>
      <c r="Y34" s="323" t="str">
        <f ca="1">IFERROR(VLOOKUP(Y$5,BEGIN_RENEW_HEALTH_PLANID:END_RENEW_HEALTH,$A34,FALSE),"")</f>
        <v/>
      </c>
      <c r="Z34" s="323" t="str">
        <f ca="1">IFERROR(VLOOKUP(Z$5,BEGIN_RENEW_HEALTH_PLANID:END_RENEW_HEALTH,$A34,FALSE),"")</f>
        <v/>
      </c>
      <c r="AA34" s="323" t="str">
        <f ca="1">IFERROR(VLOOKUP(AA$5,BEGIN_RENEW_HEALTH_PLANID:END_RENEW_HEALTH,$A34,FALSE),"")</f>
        <v/>
      </c>
      <c r="AB34" s="323" t="str">
        <f ca="1">IFERROR(VLOOKUP(AB$5,BEGIN_RENEW_HEALTH_PLANID:END_RENEW_HEALTH,$A34,FALSE),"")</f>
        <v/>
      </c>
      <c r="AC34" s="323" t="str">
        <f ca="1">IFERROR(VLOOKUP(AC$5,BEGIN_RENEW_HEALTH_PLANID:END_RENEW_HEALTH,$A34,FALSE),"")</f>
        <v/>
      </c>
      <c r="AD34" s="324" t="str">
        <f ca="1">IFERROR(VLOOKUP(AD$5,BEGIN_RENEW_HEALTH_PLANID:END_RENEW_HEALTH,$A34,FALSE),"")</f>
        <v/>
      </c>
      <c r="AE34" s="324" t="str">
        <f ca="1">IFERROR(VLOOKUP(AE$5,BEGIN_RENEW_HEALTH_PLANID:END_RENEW_HEALTH,$A34,FALSE),"")</f>
        <v/>
      </c>
      <c r="AF34" s="324" t="str">
        <f ca="1">IFERROR(VLOOKUP(AF$5,BEGIN_RENEW_HEALTH_PLANID:END_RENEW_HEALTH,$A34,FALSE),"")</f>
        <v/>
      </c>
      <c r="AG34" s="324" t="str">
        <f ca="1">IFERROR(VLOOKUP(AG$5,BEGIN_RENEW_HEALTH_PLANID:END_RENEW_HEALTH,$A34,FALSE),"")</f>
        <v/>
      </c>
      <c r="AH34" s="324" t="str">
        <f ca="1">IFERROR(VLOOKUP(AH$5,BEGIN_RENEW_HEALTH_PLANID:END_RENEW_HEALTH,$A34,FALSE),"")</f>
        <v/>
      </c>
      <c r="AI34" s="324" t="str">
        <f ca="1">IFERROR(VLOOKUP(AI$5,BEGIN_RENEW_HEALTH_PLANID:END_RENEW_HEALTH,$A34,FALSE),"")</f>
        <v/>
      </c>
      <c r="AJ34" s="324" t="str">
        <f ca="1">IFERROR(VLOOKUP(AJ$5,BEGIN_RENEW_HEALTH_PLANID:END_RENEW_HEALTH,$A34,FALSE),"")</f>
        <v/>
      </c>
      <c r="AK34" s="324" t="str">
        <f ca="1">IFERROR(VLOOKUP(AK$5,BEGIN_RENEW_HEALTH_PLANID:END_RENEW_HEALTH,$A34,FALSE),"")</f>
        <v/>
      </c>
    </row>
    <row r="35" spans="1:37" ht="12.5">
      <c r="A35" s="3">
        <v>44</v>
      </c>
      <c r="B35" s="346" t="s">
        <v>338</v>
      </c>
      <c r="C35" s="323" t="str">
        <f ca="1">IFERROR(VLOOKUP(C$5,BEGIN_RENEW_HEALTH_PLANID:END_RENEW_HEALTH,$A35,FALSE),"")</f>
        <v/>
      </c>
      <c r="D35" s="323" t="str">
        <f ca="1">IFERROR(VLOOKUP(D$5,BEGIN_RENEW_HEALTH_PLANID:END_RENEW_HEALTH,$A35,FALSE),"")</f>
        <v/>
      </c>
      <c r="E35" s="323" t="str">
        <f ca="1">IFERROR(VLOOKUP(E$5,BEGIN_RENEW_HEALTH_PLANID:END_RENEW_HEALTH,$A35,FALSE),"")</f>
        <v/>
      </c>
      <c r="F35" s="323" t="str">
        <f ca="1">IFERROR(VLOOKUP(F$5,BEGIN_RENEW_HEALTH_PLANID:END_RENEW_HEALTH,$A35,FALSE),"")</f>
        <v/>
      </c>
      <c r="G35" s="323" t="str">
        <f ca="1">IFERROR(VLOOKUP(G$5,BEGIN_RENEW_HEALTH_PLANID:END_RENEW_HEALTH,$A35,FALSE),"")</f>
        <v/>
      </c>
      <c r="H35" s="323" t="str">
        <f ca="1">IFERROR(VLOOKUP(H$5,BEGIN_RENEW_HEALTH_PLANID:END_RENEW_HEALTH,$A35,FALSE),"")</f>
        <v/>
      </c>
      <c r="I35" s="323" t="str">
        <f ca="1">IFERROR(VLOOKUP(I$5,BEGIN_RENEW_HEALTH_PLANID:END_RENEW_HEALTH,$A35,FALSE),"")</f>
        <v/>
      </c>
      <c r="J35" s="323" t="str">
        <f ca="1">IFERROR(VLOOKUP(J$5,BEGIN_RENEW_HEALTH_PLANID:END_RENEW_HEALTH,$A35,FALSE),"")</f>
        <v/>
      </c>
      <c r="K35" s="323" t="str">
        <f ca="1">IFERROR(VLOOKUP(K$5,BEGIN_RENEW_HEALTH_PLANID:END_RENEW_HEALTH,$A35,FALSE),"")</f>
        <v/>
      </c>
      <c r="L35" s="323" t="str">
        <f ca="1">IFERROR(VLOOKUP(L$5,BEGIN_RENEW_HEALTH_PLANID:END_RENEW_HEALTH,$A35,FALSE),"")</f>
        <v/>
      </c>
      <c r="M35" s="323" t="str">
        <f ca="1">IFERROR(VLOOKUP(M$5,BEGIN_RENEW_HEALTH_PLANID:END_RENEW_HEALTH,$A35,FALSE),"")</f>
        <v/>
      </c>
      <c r="N35" s="323" t="str">
        <f ca="1">IFERROR(VLOOKUP(N$5,BEGIN_RENEW_HEALTH_PLANID:END_RENEW_HEALTH,$A35,FALSE),"")</f>
        <v/>
      </c>
      <c r="O35" s="323" t="str">
        <f ca="1">IFERROR(VLOOKUP(O$5,BEGIN_RENEW_HEALTH_PLANID:END_RENEW_HEALTH,$A35,FALSE),"")</f>
        <v/>
      </c>
      <c r="P35" s="323" t="str">
        <f ca="1">IFERROR(VLOOKUP(P$5,BEGIN_RENEW_HEALTH_PLANID:END_RENEW_HEALTH,$A35,FALSE),"")</f>
        <v/>
      </c>
      <c r="Q35" s="323" t="str">
        <f ca="1">IFERROR(VLOOKUP(Q$5,BEGIN_RENEW_HEALTH_PLANID:END_RENEW_HEALTH,$A35,FALSE),"")</f>
        <v/>
      </c>
      <c r="R35" s="323" t="str">
        <f ca="1">IFERROR(VLOOKUP(R$5,BEGIN_RENEW_HEALTH_PLANID:END_RENEW_HEALTH,$A35,FALSE),"")</f>
        <v/>
      </c>
      <c r="S35" s="323" t="str">
        <f ca="1">IFERROR(VLOOKUP(S$5,BEGIN_RENEW_HEALTH_PLANID:END_RENEW_HEALTH,$A35,FALSE),"")</f>
        <v/>
      </c>
      <c r="T35" s="323" t="str">
        <f ca="1">IFERROR(VLOOKUP(T$5,BEGIN_RENEW_HEALTH_PLANID:END_RENEW_HEALTH,$A35,FALSE),"")</f>
        <v/>
      </c>
      <c r="U35" s="323" t="str">
        <f ca="1">IFERROR(VLOOKUP(U$5,BEGIN_RENEW_HEALTH_PLANID:END_RENEW_HEALTH,$A35,FALSE),"")</f>
        <v/>
      </c>
      <c r="V35" s="323" t="str">
        <f ca="1">IFERROR(VLOOKUP(V$5,BEGIN_RENEW_HEALTH_PLANID:END_RENEW_HEALTH,$A35,FALSE),"")</f>
        <v/>
      </c>
      <c r="W35" s="323" t="str">
        <f ca="1">IFERROR(VLOOKUP(W$5,BEGIN_RENEW_HEALTH_PLANID:END_RENEW_HEALTH,$A35,FALSE),"")</f>
        <v/>
      </c>
      <c r="X35" s="323" t="str">
        <f ca="1">IFERROR(VLOOKUP(X$5,BEGIN_RENEW_HEALTH_PLANID:END_RENEW_HEALTH,$A35,FALSE),"")</f>
        <v/>
      </c>
      <c r="Y35" s="323" t="str">
        <f ca="1">IFERROR(VLOOKUP(Y$5,BEGIN_RENEW_HEALTH_PLANID:END_RENEW_HEALTH,$A35,FALSE),"")</f>
        <v/>
      </c>
      <c r="Z35" s="323" t="str">
        <f ca="1">IFERROR(VLOOKUP(Z$5,BEGIN_RENEW_HEALTH_PLANID:END_RENEW_HEALTH,$A35,FALSE),"")</f>
        <v/>
      </c>
      <c r="AA35" s="323" t="str">
        <f ca="1">IFERROR(VLOOKUP(AA$5,BEGIN_RENEW_HEALTH_PLANID:END_RENEW_HEALTH,$A35,FALSE),"")</f>
        <v/>
      </c>
      <c r="AB35" s="323" t="str">
        <f ca="1">IFERROR(VLOOKUP(AB$5,BEGIN_RENEW_HEALTH_PLANID:END_RENEW_HEALTH,$A35,FALSE),"")</f>
        <v/>
      </c>
      <c r="AC35" s="323" t="str">
        <f ca="1">IFERROR(VLOOKUP(AC$5,BEGIN_RENEW_HEALTH_PLANID:END_RENEW_HEALTH,$A35,FALSE),"")</f>
        <v/>
      </c>
      <c r="AD35" s="324" t="str">
        <f ca="1">IFERROR(VLOOKUP(AD$5,BEGIN_RENEW_HEALTH_PLANID:END_RENEW_HEALTH,$A35,FALSE),"")</f>
        <v/>
      </c>
      <c r="AE35" s="324" t="str">
        <f ca="1">IFERROR(VLOOKUP(AE$5,BEGIN_RENEW_HEALTH_PLANID:END_RENEW_HEALTH,$A35,FALSE),"")</f>
        <v/>
      </c>
      <c r="AF35" s="324" t="str">
        <f ca="1">IFERROR(VLOOKUP(AF$5,BEGIN_RENEW_HEALTH_PLANID:END_RENEW_HEALTH,$A35,FALSE),"")</f>
        <v/>
      </c>
      <c r="AG35" s="324" t="str">
        <f ca="1">IFERROR(VLOOKUP(AG$5,BEGIN_RENEW_HEALTH_PLANID:END_RENEW_HEALTH,$A35,FALSE),"")</f>
        <v/>
      </c>
      <c r="AH35" s="324" t="str">
        <f ca="1">IFERROR(VLOOKUP(AH$5,BEGIN_RENEW_HEALTH_PLANID:END_RENEW_HEALTH,$A35,FALSE),"")</f>
        <v/>
      </c>
      <c r="AI35" s="324" t="str">
        <f ca="1">IFERROR(VLOOKUP(AI$5,BEGIN_RENEW_HEALTH_PLANID:END_RENEW_HEALTH,$A35,FALSE),"")</f>
        <v/>
      </c>
      <c r="AJ35" s="324" t="str">
        <f ca="1">IFERROR(VLOOKUP(AJ$5,BEGIN_RENEW_HEALTH_PLANID:END_RENEW_HEALTH,$A35,FALSE),"")</f>
        <v/>
      </c>
      <c r="AK35" s="324" t="str">
        <f ca="1">IFERROR(VLOOKUP(AK$5,BEGIN_RENEW_HEALTH_PLANID:END_RENEW_HEALTH,$A35,FALSE),"")</f>
        <v/>
      </c>
    </row>
    <row r="36" spans="1:37" ht="12.5">
      <c r="A36" s="3">
        <v>42</v>
      </c>
      <c r="B36" s="346" t="s">
        <v>253</v>
      </c>
      <c r="C36" s="323" t="str">
        <f ca="1">IFERROR(VLOOKUP(C$5,BEGIN_RENEW_HEALTH_PLANID:END_RENEW_HEALTH,$A36,FALSE),"")</f>
        <v/>
      </c>
      <c r="D36" s="323" t="str">
        <f ca="1">IFERROR(VLOOKUP(D$5,BEGIN_RENEW_HEALTH_PLANID:END_RENEW_HEALTH,$A36,FALSE),"")</f>
        <v/>
      </c>
      <c r="E36" s="323" t="str">
        <f ca="1">IFERROR(VLOOKUP(E$5,BEGIN_RENEW_HEALTH_PLANID:END_RENEW_HEALTH,$A36,FALSE),"")</f>
        <v/>
      </c>
      <c r="F36" s="323" t="str">
        <f ca="1">IFERROR(VLOOKUP(F$5,BEGIN_RENEW_HEALTH_PLANID:END_RENEW_HEALTH,$A36,FALSE),"")</f>
        <v/>
      </c>
      <c r="G36" s="323" t="str">
        <f ca="1">IFERROR(VLOOKUP(G$5,BEGIN_RENEW_HEALTH_PLANID:END_RENEW_HEALTH,$A36,FALSE),"")</f>
        <v/>
      </c>
      <c r="H36" s="323" t="str">
        <f ca="1">IFERROR(VLOOKUP(H$5,BEGIN_RENEW_HEALTH_PLANID:END_RENEW_HEALTH,$A36,FALSE),"")</f>
        <v/>
      </c>
      <c r="I36" s="323" t="str">
        <f ca="1">IFERROR(VLOOKUP(I$5,BEGIN_RENEW_HEALTH_PLANID:END_RENEW_HEALTH,$A36,FALSE),"")</f>
        <v/>
      </c>
      <c r="J36" s="323" t="str">
        <f ca="1">IFERROR(VLOOKUP(J$5,BEGIN_RENEW_HEALTH_PLANID:END_RENEW_HEALTH,$A36,FALSE),"")</f>
        <v/>
      </c>
      <c r="K36" s="323" t="str">
        <f ca="1">IFERROR(VLOOKUP(K$5,BEGIN_RENEW_HEALTH_PLANID:END_RENEW_HEALTH,$A36,FALSE),"")</f>
        <v/>
      </c>
      <c r="L36" s="323" t="str">
        <f ca="1">IFERROR(VLOOKUP(L$5,BEGIN_RENEW_HEALTH_PLANID:END_RENEW_HEALTH,$A36,FALSE),"")</f>
        <v/>
      </c>
      <c r="M36" s="323" t="str">
        <f ca="1">IFERROR(VLOOKUP(M$5,BEGIN_RENEW_HEALTH_PLANID:END_RENEW_HEALTH,$A36,FALSE),"")</f>
        <v/>
      </c>
      <c r="N36" s="323" t="str">
        <f ca="1">IFERROR(VLOOKUP(N$5,BEGIN_RENEW_HEALTH_PLANID:END_RENEW_HEALTH,$A36,FALSE),"")</f>
        <v/>
      </c>
      <c r="O36" s="323" t="str">
        <f ca="1">IFERROR(VLOOKUP(O$5,BEGIN_RENEW_HEALTH_PLANID:END_RENEW_HEALTH,$A36,FALSE),"")</f>
        <v/>
      </c>
      <c r="P36" s="323" t="str">
        <f ca="1">IFERROR(VLOOKUP(P$5,BEGIN_RENEW_HEALTH_PLANID:END_RENEW_HEALTH,$A36,FALSE),"")</f>
        <v/>
      </c>
      <c r="Q36" s="323" t="str">
        <f ca="1">IFERROR(VLOOKUP(Q$5,BEGIN_RENEW_HEALTH_PLANID:END_RENEW_HEALTH,$A36,FALSE),"")</f>
        <v/>
      </c>
      <c r="R36" s="323" t="str">
        <f ca="1">IFERROR(VLOOKUP(R$5,BEGIN_RENEW_HEALTH_PLANID:END_RENEW_HEALTH,$A36,FALSE),"")</f>
        <v/>
      </c>
      <c r="S36" s="323" t="str">
        <f ca="1">IFERROR(VLOOKUP(S$5,BEGIN_RENEW_HEALTH_PLANID:END_RENEW_HEALTH,$A36,FALSE),"")</f>
        <v/>
      </c>
      <c r="T36" s="323" t="str">
        <f ca="1">IFERROR(VLOOKUP(T$5,BEGIN_RENEW_HEALTH_PLANID:END_RENEW_HEALTH,$A36,FALSE),"")</f>
        <v/>
      </c>
      <c r="U36" s="323" t="str">
        <f ca="1">IFERROR(VLOOKUP(U$5,BEGIN_RENEW_HEALTH_PLANID:END_RENEW_HEALTH,$A36,FALSE),"")</f>
        <v/>
      </c>
      <c r="V36" s="323" t="str">
        <f ca="1">IFERROR(VLOOKUP(V$5,BEGIN_RENEW_HEALTH_PLANID:END_RENEW_HEALTH,$A36,FALSE),"")</f>
        <v/>
      </c>
      <c r="W36" s="323" t="str">
        <f ca="1">IFERROR(VLOOKUP(W$5,BEGIN_RENEW_HEALTH_PLANID:END_RENEW_HEALTH,$A36,FALSE),"")</f>
        <v/>
      </c>
      <c r="X36" s="323" t="str">
        <f ca="1">IFERROR(VLOOKUP(X$5,BEGIN_RENEW_HEALTH_PLANID:END_RENEW_HEALTH,$A36,FALSE),"")</f>
        <v/>
      </c>
      <c r="Y36" s="323" t="str">
        <f ca="1">IFERROR(VLOOKUP(Y$5,BEGIN_RENEW_HEALTH_PLANID:END_RENEW_HEALTH,$A36,FALSE),"")</f>
        <v/>
      </c>
      <c r="Z36" s="323" t="str">
        <f ca="1">IFERROR(VLOOKUP(Z$5,BEGIN_RENEW_HEALTH_PLANID:END_RENEW_HEALTH,$A36,FALSE),"")</f>
        <v/>
      </c>
      <c r="AA36" s="323" t="str">
        <f ca="1">IFERROR(VLOOKUP(AA$5,BEGIN_RENEW_HEALTH_PLANID:END_RENEW_HEALTH,$A36,FALSE),"")</f>
        <v/>
      </c>
      <c r="AB36" s="323" t="str">
        <f ca="1">IFERROR(VLOOKUP(AB$5,BEGIN_RENEW_HEALTH_PLANID:END_RENEW_HEALTH,$A36,FALSE),"")</f>
        <v/>
      </c>
      <c r="AC36" s="323" t="str">
        <f ca="1">IFERROR(VLOOKUP(AC$5,BEGIN_RENEW_HEALTH_PLANID:END_RENEW_HEALTH,$A36,FALSE),"")</f>
        <v/>
      </c>
      <c r="AD36" s="324" t="str">
        <f ca="1">IFERROR(VLOOKUP(AD$5,BEGIN_RENEW_HEALTH_PLANID:END_RENEW_HEALTH,$A36,FALSE),"")</f>
        <v/>
      </c>
      <c r="AE36" s="324" t="str">
        <f ca="1">IFERROR(VLOOKUP(AE$5,BEGIN_RENEW_HEALTH_PLANID:END_RENEW_HEALTH,$A36,FALSE),"")</f>
        <v/>
      </c>
      <c r="AF36" s="324" t="str">
        <f ca="1">IFERROR(VLOOKUP(AF$5,BEGIN_RENEW_HEALTH_PLANID:END_RENEW_HEALTH,$A36,FALSE),"")</f>
        <v/>
      </c>
      <c r="AG36" s="324" t="str">
        <f ca="1">IFERROR(VLOOKUP(AG$5,BEGIN_RENEW_HEALTH_PLANID:END_RENEW_HEALTH,$A36,FALSE),"")</f>
        <v/>
      </c>
      <c r="AH36" s="324" t="str">
        <f ca="1">IFERROR(VLOOKUP(AH$5,BEGIN_RENEW_HEALTH_PLANID:END_RENEW_HEALTH,$A36,FALSE),"")</f>
        <v/>
      </c>
      <c r="AI36" s="324" t="str">
        <f ca="1">IFERROR(VLOOKUP(AI$5,BEGIN_RENEW_HEALTH_PLANID:END_RENEW_HEALTH,$A36,FALSE),"")</f>
        <v/>
      </c>
      <c r="AJ36" s="324" t="str">
        <f ca="1">IFERROR(VLOOKUP(AJ$5,BEGIN_RENEW_HEALTH_PLANID:END_RENEW_HEALTH,$A36,FALSE),"")</f>
        <v/>
      </c>
      <c r="AK36" s="324" t="str">
        <f ca="1">IFERROR(VLOOKUP(AK$5,BEGIN_RENEW_HEALTH_PLANID:END_RENEW_HEALTH,$A36,FALSE),"")</f>
        <v/>
      </c>
    </row>
    <row r="37" spans="1:61" ht="12.5">
      <c r="A37" s="3">
        <v>45</v>
      </c>
      <c r="B37" s="346" t="s">
        <v>346</v>
      </c>
      <c r="C37" s="323" t="str">
        <f ca="1">IFERROR(VLOOKUP(C$5,BEGIN_RENEW_HEALTH_PLANID:END_RENEW_HEALTH,$A37,FALSE),"")</f>
        <v/>
      </c>
      <c r="D37" s="323" t="str">
        <f ca="1">IFERROR(VLOOKUP(D$5,BEGIN_RENEW_HEALTH_PLANID:END_RENEW_HEALTH,$A37,FALSE),"")</f>
        <v/>
      </c>
      <c r="E37" s="323" t="str">
        <f ca="1">IFERROR(VLOOKUP(E$5,BEGIN_RENEW_HEALTH_PLANID:END_RENEW_HEALTH,$A37,FALSE),"")</f>
        <v/>
      </c>
      <c r="F37" s="323" t="str">
        <f ca="1">IFERROR(VLOOKUP(F$5,BEGIN_RENEW_HEALTH_PLANID:END_RENEW_HEALTH,$A37,FALSE),"")</f>
        <v/>
      </c>
      <c r="G37" s="323" t="str">
        <f ca="1">IFERROR(VLOOKUP(G$5,BEGIN_RENEW_HEALTH_PLANID:END_RENEW_HEALTH,$A37,FALSE),"")</f>
        <v/>
      </c>
      <c r="H37" s="323" t="str">
        <f ca="1">IFERROR(VLOOKUP(H$5,BEGIN_RENEW_HEALTH_PLANID:END_RENEW_HEALTH,$A37,FALSE),"")</f>
        <v/>
      </c>
      <c r="I37" s="323" t="str">
        <f ca="1">IFERROR(VLOOKUP(I$5,BEGIN_RENEW_HEALTH_PLANID:END_RENEW_HEALTH,$A37,FALSE),"")</f>
        <v/>
      </c>
      <c r="J37" s="323" t="str">
        <f ca="1">IFERROR(VLOOKUP(J$5,BEGIN_RENEW_HEALTH_PLANID:END_RENEW_HEALTH,$A37,FALSE),"")</f>
        <v/>
      </c>
      <c r="K37" s="323" t="str">
        <f ca="1">IFERROR(VLOOKUP(K$5,BEGIN_RENEW_HEALTH_PLANID:END_RENEW_HEALTH,$A37,FALSE),"")</f>
        <v/>
      </c>
      <c r="L37" s="323" t="str">
        <f ca="1">IFERROR(VLOOKUP(L$5,BEGIN_RENEW_HEALTH_PLANID:END_RENEW_HEALTH,$A37,FALSE),"")</f>
        <v/>
      </c>
      <c r="M37" s="323" t="str">
        <f ca="1">IFERROR(VLOOKUP(M$5,BEGIN_RENEW_HEALTH_PLANID:END_RENEW_HEALTH,$A37,FALSE),"")</f>
        <v/>
      </c>
      <c r="N37" s="323" t="str">
        <f ca="1">IFERROR(VLOOKUP(N$5,BEGIN_RENEW_HEALTH_PLANID:END_RENEW_HEALTH,$A37,FALSE),"")</f>
        <v/>
      </c>
      <c r="O37" s="323" t="str">
        <f ca="1">IFERROR(VLOOKUP(O$5,BEGIN_RENEW_HEALTH_PLANID:END_RENEW_HEALTH,$A37,FALSE),"")</f>
        <v/>
      </c>
      <c r="P37" s="323" t="str">
        <f ca="1">IFERROR(VLOOKUP(P$5,BEGIN_RENEW_HEALTH_PLANID:END_RENEW_HEALTH,$A37,FALSE),"")</f>
        <v/>
      </c>
      <c r="Q37" s="323" t="str">
        <f ca="1">IFERROR(VLOOKUP(Q$5,BEGIN_RENEW_HEALTH_PLANID:END_RENEW_HEALTH,$A37,FALSE),"")</f>
        <v/>
      </c>
      <c r="R37" s="323" t="str">
        <f ca="1">IFERROR(VLOOKUP(R$5,BEGIN_RENEW_HEALTH_PLANID:END_RENEW_HEALTH,$A37,FALSE),"")</f>
        <v/>
      </c>
      <c r="S37" s="323" t="str">
        <f ca="1">IFERROR(VLOOKUP(S$5,BEGIN_RENEW_HEALTH_PLANID:END_RENEW_HEALTH,$A37,FALSE),"")</f>
        <v/>
      </c>
      <c r="T37" s="323" t="str">
        <f ca="1">IFERROR(VLOOKUP(T$5,BEGIN_RENEW_HEALTH_PLANID:END_RENEW_HEALTH,$A37,FALSE),"")</f>
        <v/>
      </c>
      <c r="U37" s="323" t="str">
        <f ca="1">IFERROR(VLOOKUP(U$5,BEGIN_RENEW_HEALTH_PLANID:END_RENEW_HEALTH,$A37,FALSE),"")</f>
        <v/>
      </c>
      <c r="V37" s="323" t="str">
        <f ca="1">IFERROR(VLOOKUP(V$5,BEGIN_RENEW_HEALTH_PLANID:END_RENEW_HEALTH,$A37,FALSE),"")</f>
        <v/>
      </c>
      <c r="W37" s="323" t="str">
        <f ca="1">IFERROR(VLOOKUP(W$5,BEGIN_RENEW_HEALTH_PLANID:END_RENEW_HEALTH,$A37,FALSE),"")</f>
        <v/>
      </c>
      <c r="X37" s="323" t="str">
        <f ca="1">IFERROR(VLOOKUP(X$5,BEGIN_RENEW_HEALTH_PLANID:END_RENEW_HEALTH,$A37,FALSE),"")</f>
        <v/>
      </c>
      <c r="Y37" s="323" t="str">
        <f ca="1">IFERROR(VLOOKUP(Y$5,BEGIN_RENEW_HEALTH_PLANID:END_RENEW_HEALTH,$A37,FALSE),"")</f>
        <v/>
      </c>
      <c r="Z37" s="323" t="str">
        <f ca="1">IFERROR(VLOOKUP(Z$5,BEGIN_RENEW_HEALTH_PLANID:END_RENEW_HEALTH,$A37,FALSE),"")</f>
        <v/>
      </c>
      <c r="AA37" s="323" t="str">
        <f ca="1">IFERROR(VLOOKUP(AA$5,BEGIN_RENEW_HEALTH_PLANID:END_RENEW_HEALTH,$A37,FALSE),"")</f>
        <v/>
      </c>
      <c r="AB37" s="323" t="str">
        <f ca="1">IFERROR(VLOOKUP(AB$5,BEGIN_RENEW_HEALTH_PLANID:END_RENEW_HEALTH,$A37,FALSE),"")</f>
        <v/>
      </c>
      <c r="AC37" s="323" t="str">
        <f ca="1">IFERROR(VLOOKUP(AC$5,BEGIN_RENEW_HEALTH_PLANID:END_RENEW_HEALTH,$A37,FALSE),"")</f>
        <v/>
      </c>
      <c r="AD37" s="324" t="str">
        <f ca="1">IFERROR(VLOOKUP(AD$5,BEGIN_RENEW_HEALTH_PLANID:END_RENEW_HEALTH,$A37,FALSE),"")</f>
        <v/>
      </c>
      <c r="AE37" s="324" t="str">
        <f ca="1">IFERROR(VLOOKUP(AE$5,BEGIN_RENEW_HEALTH_PLANID:END_RENEW_HEALTH,$A37,FALSE),"")</f>
        <v/>
      </c>
      <c r="AF37" s="324" t="str">
        <f ca="1">IFERROR(VLOOKUP(AF$5,BEGIN_RENEW_HEALTH_PLANID:END_RENEW_HEALTH,$A37,FALSE),"")</f>
        <v/>
      </c>
      <c r="AG37" s="324" t="str">
        <f ca="1">IFERROR(VLOOKUP(AG$5,BEGIN_RENEW_HEALTH_PLANID:END_RENEW_HEALTH,$A37,FALSE),"")</f>
        <v/>
      </c>
      <c r="AH37" s="324" t="str">
        <f ca="1">IFERROR(VLOOKUP(AH$5,BEGIN_RENEW_HEALTH_PLANID:END_RENEW_HEALTH,$A37,FALSE),"")</f>
        <v/>
      </c>
      <c r="AI37" s="324" t="str">
        <f ca="1">IFERROR(VLOOKUP(AI$5,BEGIN_RENEW_HEALTH_PLANID:END_RENEW_HEALTH,$A37,FALSE),"")</f>
        <v/>
      </c>
      <c r="AJ37" s="324" t="str">
        <f ca="1">IFERROR(VLOOKUP(AJ$5,BEGIN_RENEW_HEALTH_PLANID:END_RENEW_HEALTH,$A37,FALSE),"")</f>
        <v/>
      </c>
      <c r="AK37" s="326" t="str">
        <f ca="1">IFERROR(VLOOKUP(AK$5,BEGIN_RENEW_HEALTH_PLANID:END_RENEW_HEALTH,$A37,FALSE),"")</f>
        <v/>
      </c>
      <c r="AL37" s="262" t="str">
        <f>IFERROR(VLOOKUP(AL$5,BEGIN_RENEW_HEALTH_PLANID:END_RENEW_HEALTH,$A37,FALSE),"")</f>
        <v/>
      </c>
      <c r="AM37" s="262" t="str">
        <f>IFERROR(VLOOKUP(AM$5,BEGIN_RENEW_HEALTH_PLANID:END_RENEW_HEALTH,$A37,FALSE),"")</f>
        <v/>
      </c>
      <c r="AN37" s="262" t="str">
        <f>IFERROR(VLOOKUP(AN$5,BEGIN_RENEW_HEALTH_PLANID:END_RENEW_HEALTH,$A37,FALSE),"")</f>
        <v/>
      </c>
      <c r="AO37" s="262" t="str">
        <f>IFERROR(VLOOKUP(AO$5,BEGIN_RENEW_HEALTH_PLANID:END_RENEW_HEALTH,$A37,FALSE),"")</f>
        <v/>
      </c>
      <c r="AP37" s="262" t="str">
        <f>IFERROR(VLOOKUP(AP$5,BEGIN_RENEW_HEALTH_PLANID:END_RENEW_HEALTH,$A37,FALSE),"")</f>
        <v/>
      </c>
      <c r="AQ37" s="262" t="str">
        <f>IFERROR(VLOOKUP(AQ$5,BEGIN_RENEW_HEALTH_PLANID:END_RENEW_HEALTH,$A37,FALSE),"")</f>
        <v/>
      </c>
      <c r="AR37" s="262" t="str">
        <f>IFERROR(VLOOKUP(AR$5,BEGIN_RENEW_HEALTH_PLANID:END_RENEW_HEALTH,$A37,FALSE),"")</f>
        <v/>
      </c>
      <c r="AS37" s="262" t="str">
        <f>IFERROR(VLOOKUP(AS$5,BEGIN_RENEW_HEALTH_PLANID:END_RENEW_HEALTH,$A37,FALSE),"")</f>
        <v/>
      </c>
      <c r="AT37" s="262" t="str">
        <f>IFERROR(VLOOKUP(AT$5,BEGIN_RENEW_HEALTH_PLANID:END_RENEW_HEALTH,$A37,FALSE),"")</f>
        <v/>
      </c>
      <c r="AU37" s="262" t="str">
        <f>IFERROR(VLOOKUP(AU$5,BEGIN_RENEW_HEALTH_PLANID:END_RENEW_HEALTH,$A37,FALSE),"")</f>
        <v/>
      </c>
      <c r="AV37" s="262" t="str">
        <f>IFERROR(VLOOKUP(AV$5,BEGIN_RENEW_HEALTH_PLANID:END_RENEW_HEALTH,$A37,FALSE),"")</f>
        <v/>
      </c>
      <c r="AW37" s="262" t="str">
        <f>IFERROR(VLOOKUP(AW$5,BEGIN_RENEW_HEALTH_PLANID:END_RENEW_HEALTH,$A37,FALSE),"")</f>
        <v/>
      </c>
      <c r="AX37" s="262" t="str">
        <f>IFERROR(VLOOKUP(AX$5,BEGIN_RENEW_HEALTH_PLANID:END_RENEW_HEALTH,$A37,FALSE),"")</f>
        <v/>
      </c>
      <c r="AY37" s="262" t="str">
        <f>IFERROR(VLOOKUP(AY$5,BEGIN_RENEW_HEALTH_PLANID:END_RENEW_HEALTH,$A37,FALSE),"")</f>
        <v/>
      </c>
      <c r="AZ37" s="262" t="str">
        <f>IFERROR(VLOOKUP(AZ$5,BEGIN_RENEW_HEALTH_PLANID:END_RENEW_HEALTH,$A37,FALSE),"")</f>
        <v/>
      </c>
      <c r="BA37" s="262" t="str">
        <f>IFERROR(VLOOKUP(BA$5,BEGIN_RENEW_HEALTH_PLANID:END_RENEW_HEALTH,$A37,FALSE),"")</f>
        <v/>
      </c>
      <c r="BB37" s="262" t="str">
        <f>IFERROR(VLOOKUP(BB$5,BEGIN_RENEW_HEALTH_PLANID:END_RENEW_HEALTH,$A37,FALSE),"")</f>
        <v/>
      </c>
      <c r="BC37" s="262" t="str">
        <f>IFERROR(VLOOKUP(BC$5,BEGIN_RENEW_HEALTH_PLANID:END_RENEW_HEALTH,$A37,FALSE),"")</f>
        <v/>
      </c>
      <c r="BD37" s="262" t="str">
        <f>IFERROR(VLOOKUP(BD$5,BEGIN_RENEW_HEALTH_PLANID:END_RENEW_HEALTH,$A37,FALSE),"")</f>
        <v/>
      </c>
      <c r="BE37" s="262" t="str">
        <f>IFERROR(VLOOKUP(BE$5,BEGIN_RENEW_HEALTH_PLANID:END_RENEW_HEALTH,$A37,FALSE),"")</f>
        <v/>
      </c>
      <c r="BF37" s="262" t="str">
        <f>IFERROR(VLOOKUP(BF$5,BEGIN_RENEW_HEALTH_PLANID:END_RENEW_HEALTH,$A37,FALSE),"")</f>
        <v/>
      </c>
      <c r="BG37" s="262" t="str">
        <f>IFERROR(VLOOKUP(BG$5,BEGIN_RENEW_HEALTH_PLANID:END_RENEW_HEALTH,$A37,FALSE),"")</f>
        <v/>
      </c>
      <c r="BH37" s="262" t="str">
        <f>IFERROR(VLOOKUP(BH$5,BEGIN_RENEW_HEALTH_PLANID:END_RENEW_HEALTH,$A37,FALSE),"")</f>
        <v/>
      </c>
      <c r="BI37" s="262" t="str">
        <f>IFERROR(VLOOKUP(BI$5,BEGIN_RENEW_HEALTH_PLANID:END_RENEW_HEALTH,$A37,FALSE),"")</f>
        <v/>
      </c>
    </row>
    <row r="38" spans="1:61" ht="12.5">
      <c r="A38" s="3">
        <v>46</v>
      </c>
      <c r="B38" s="346" t="s">
        <v>347</v>
      </c>
      <c r="C38" s="323" t="str">
        <f ca="1">IFERROR(VLOOKUP(C$5,BEGIN_RENEW_HEALTH_PLANID:END_RENEW_HEALTH,$A38,FALSE),"")</f>
        <v/>
      </c>
      <c r="D38" s="323" t="str">
        <f ca="1">IFERROR(VLOOKUP(D$5,BEGIN_RENEW_HEALTH_PLANID:END_RENEW_HEALTH,$A38,FALSE),"")</f>
        <v/>
      </c>
      <c r="E38" s="323" t="str">
        <f ca="1">IFERROR(VLOOKUP(E$5,BEGIN_RENEW_HEALTH_PLANID:END_RENEW_HEALTH,$A38,FALSE),"")</f>
        <v/>
      </c>
      <c r="F38" s="323" t="str">
        <f ca="1">IFERROR(VLOOKUP(F$5,BEGIN_RENEW_HEALTH_PLANID:END_RENEW_HEALTH,$A38,FALSE),"")</f>
        <v/>
      </c>
      <c r="G38" s="323" t="str">
        <f ca="1">IFERROR(VLOOKUP(G$5,BEGIN_RENEW_HEALTH_PLANID:END_RENEW_HEALTH,$A38,FALSE),"")</f>
        <v/>
      </c>
      <c r="H38" s="323" t="str">
        <f ca="1">IFERROR(VLOOKUP(H$5,BEGIN_RENEW_HEALTH_PLANID:END_RENEW_HEALTH,$A38,FALSE),"")</f>
        <v/>
      </c>
      <c r="I38" s="323" t="str">
        <f ca="1">IFERROR(VLOOKUP(I$5,BEGIN_RENEW_HEALTH_PLANID:END_RENEW_HEALTH,$A38,FALSE),"")</f>
        <v/>
      </c>
      <c r="J38" s="323" t="str">
        <f ca="1">IFERROR(VLOOKUP(J$5,BEGIN_RENEW_HEALTH_PLANID:END_RENEW_HEALTH,$A38,FALSE),"")</f>
        <v/>
      </c>
      <c r="K38" s="323" t="str">
        <f ca="1">IFERROR(VLOOKUP(K$5,BEGIN_RENEW_HEALTH_PLANID:END_RENEW_HEALTH,$A38,FALSE),"")</f>
        <v/>
      </c>
      <c r="L38" s="323" t="str">
        <f ca="1">IFERROR(VLOOKUP(L$5,BEGIN_RENEW_HEALTH_PLANID:END_RENEW_HEALTH,$A38,FALSE),"")</f>
        <v/>
      </c>
      <c r="M38" s="323" t="str">
        <f ca="1">IFERROR(VLOOKUP(M$5,BEGIN_RENEW_HEALTH_PLANID:END_RENEW_HEALTH,$A38,FALSE),"")</f>
        <v/>
      </c>
      <c r="N38" s="323" t="str">
        <f ca="1">IFERROR(VLOOKUP(N$5,BEGIN_RENEW_HEALTH_PLANID:END_RENEW_HEALTH,$A38,FALSE),"")</f>
        <v/>
      </c>
      <c r="O38" s="323" t="str">
        <f ca="1">IFERROR(VLOOKUP(O$5,BEGIN_RENEW_HEALTH_PLANID:END_RENEW_HEALTH,$A38,FALSE),"")</f>
        <v/>
      </c>
      <c r="P38" s="323" t="str">
        <f ca="1">IFERROR(VLOOKUP(P$5,BEGIN_RENEW_HEALTH_PLANID:END_RENEW_HEALTH,$A38,FALSE),"")</f>
        <v/>
      </c>
      <c r="Q38" s="323" t="str">
        <f ca="1">IFERROR(VLOOKUP(Q$5,BEGIN_RENEW_HEALTH_PLANID:END_RENEW_HEALTH,$A38,FALSE),"")</f>
        <v/>
      </c>
      <c r="R38" s="323" t="str">
        <f ca="1">IFERROR(VLOOKUP(R$5,BEGIN_RENEW_HEALTH_PLANID:END_RENEW_HEALTH,$A38,FALSE),"")</f>
        <v/>
      </c>
      <c r="S38" s="323" t="str">
        <f ca="1">IFERROR(VLOOKUP(S$5,BEGIN_RENEW_HEALTH_PLANID:END_RENEW_HEALTH,$A38,FALSE),"")</f>
        <v/>
      </c>
      <c r="T38" s="323" t="str">
        <f ca="1">IFERROR(VLOOKUP(T$5,BEGIN_RENEW_HEALTH_PLANID:END_RENEW_HEALTH,$A38,FALSE),"")</f>
        <v/>
      </c>
      <c r="U38" s="323" t="str">
        <f ca="1">IFERROR(VLOOKUP(U$5,BEGIN_RENEW_HEALTH_PLANID:END_RENEW_HEALTH,$A38,FALSE),"")</f>
        <v/>
      </c>
      <c r="V38" s="323" t="str">
        <f ca="1">IFERROR(VLOOKUP(V$5,BEGIN_RENEW_HEALTH_PLANID:END_RENEW_HEALTH,$A38,FALSE),"")</f>
        <v/>
      </c>
      <c r="W38" s="323" t="str">
        <f ca="1">IFERROR(VLOOKUP(W$5,BEGIN_RENEW_HEALTH_PLANID:END_RENEW_HEALTH,$A38,FALSE),"")</f>
        <v/>
      </c>
      <c r="X38" s="323" t="str">
        <f ca="1">IFERROR(VLOOKUP(X$5,BEGIN_RENEW_HEALTH_PLANID:END_RENEW_HEALTH,$A38,FALSE),"")</f>
        <v/>
      </c>
      <c r="Y38" s="323" t="str">
        <f ca="1">IFERROR(VLOOKUP(Y$5,BEGIN_RENEW_HEALTH_PLANID:END_RENEW_HEALTH,$A38,FALSE),"")</f>
        <v/>
      </c>
      <c r="Z38" s="323" t="str">
        <f ca="1">IFERROR(VLOOKUP(Z$5,BEGIN_RENEW_HEALTH_PLANID:END_RENEW_HEALTH,$A38,FALSE),"")</f>
        <v/>
      </c>
      <c r="AA38" s="323" t="str">
        <f ca="1">IFERROR(VLOOKUP(AA$5,BEGIN_RENEW_HEALTH_PLANID:END_RENEW_HEALTH,$A38,FALSE),"")</f>
        <v/>
      </c>
      <c r="AB38" s="323" t="str">
        <f ca="1">IFERROR(VLOOKUP(AB$5,BEGIN_RENEW_HEALTH_PLANID:END_RENEW_HEALTH,$A38,FALSE),"")</f>
        <v/>
      </c>
      <c r="AC38" s="323" t="str">
        <f ca="1">IFERROR(VLOOKUP(AC$5,BEGIN_RENEW_HEALTH_PLANID:END_RENEW_HEALTH,$A38,FALSE),"")</f>
        <v/>
      </c>
      <c r="AD38" s="324" t="str">
        <f ca="1">IFERROR(VLOOKUP(AD$5,BEGIN_RENEW_HEALTH_PLANID:END_RENEW_HEALTH,$A38,FALSE),"")</f>
        <v/>
      </c>
      <c r="AE38" s="324" t="str">
        <f ca="1">IFERROR(VLOOKUP(AE$5,BEGIN_RENEW_HEALTH_PLANID:END_RENEW_HEALTH,$A38,FALSE),"")</f>
        <v/>
      </c>
      <c r="AF38" s="324" t="str">
        <f ca="1">IFERROR(VLOOKUP(AF$5,BEGIN_RENEW_HEALTH_PLANID:END_RENEW_HEALTH,$A38,FALSE),"")</f>
        <v/>
      </c>
      <c r="AG38" s="324" t="str">
        <f ca="1">IFERROR(VLOOKUP(AG$5,BEGIN_RENEW_HEALTH_PLANID:END_RENEW_HEALTH,$A38,FALSE),"")</f>
        <v/>
      </c>
      <c r="AH38" s="324" t="str">
        <f ca="1">IFERROR(VLOOKUP(AH$5,BEGIN_RENEW_HEALTH_PLANID:END_RENEW_HEALTH,$A38,FALSE),"")</f>
        <v/>
      </c>
      <c r="AI38" s="324" t="str">
        <f ca="1">IFERROR(VLOOKUP(AI$5,BEGIN_RENEW_HEALTH_PLANID:END_RENEW_HEALTH,$A38,FALSE),"")</f>
        <v/>
      </c>
      <c r="AJ38" s="324" t="str">
        <f ca="1">IFERROR(VLOOKUP(AJ$5,BEGIN_RENEW_HEALTH_PLANID:END_RENEW_HEALTH,$A38,FALSE),"")</f>
        <v/>
      </c>
      <c r="AK38" s="326" t="str">
        <f ca="1">IFERROR(VLOOKUP(AK$5,BEGIN_RENEW_HEALTH_PLANID:END_RENEW_HEALTH,$A38,FALSE),"")</f>
        <v/>
      </c>
      <c r="AL38" s="262" t="str">
        <f>IFERROR(VLOOKUP(AL$5,BEGIN_RENEW_HEALTH_PLANID:END_RENEW_HEALTH,$A38,FALSE),"")</f>
        <v/>
      </c>
      <c r="AM38" s="262" t="str">
        <f>IFERROR(VLOOKUP(AM$5,BEGIN_RENEW_HEALTH_PLANID:END_RENEW_HEALTH,$A38,FALSE),"")</f>
        <v/>
      </c>
      <c r="AN38" s="262" t="str">
        <f>IFERROR(VLOOKUP(AN$5,BEGIN_RENEW_HEALTH_PLANID:END_RENEW_HEALTH,$A38,FALSE),"")</f>
        <v/>
      </c>
      <c r="AO38" s="262" t="str">
        <f>IFERROR(VLOOKUP(AO$5,BEGIN_RENEW_HEALTH_PLANID:END_RENEW_HEALTH,$A38,FALSE),"")</f>
        <v/>
      </c>
      <c r="AP38" s="262" t="str">
        <f>IFERROR(VLOOKUP(AP$5,BEGIN_RENEW_HEALTH_PLANID:END_RENEW_HEALTH,$A38,FALSE),"")</f>
        <v/>
      </c>
      <c r="AQ38" s="262" t="str">
        <f>IFERROR(VLOOKUP(AQ$5,BEGIN_RENEW_HEALTH_PLANID:END_RENEW_HEALTH,$A38,FALSE),"")</f>
        <v/>
      </c>
      <c r="AR38" s="262" t="str">
        <f>IFERROR(VLOOKUP(AR$5,BEGIN_RENEW_HEALTH_PLANID:END_RENEW_HEALTH,$A38,FALSE),"")</f>
        <v/>
      </c>
      <c r="AS38" s="262" t="str">
        <f>IFERROR(VLOOKUP(AS$5,BEGIN_RENEW_HEALTH_PLANID:END_RENEW_HEALTH,$A38,FALSE),"")</f>
        <v/>
      </c>
      <c r="AT38" s="262" t="str">
        <f>IFERROR(VLOOKUP(AT$5,BEGIN_RENEW_HEALTH_PLANID:END_RENEW_HEALTH,$A38,FALSE),"")</f>
        <v/>
      </c>
      <c r="AU38" s="262" t="str">
        <f>IFERROR(VLOOKUP(AU$5,BEGIN_RENEW_HEALTH_PLANID:END_RENEW_HEALTH,$A38,FALSE),"")</f>
        <v/>
      </c>
      <c r="AV38" s="262" t="str">
        <f>IFERROR(VLOOKUP(AV$5,BEGIN_RENEW_HEALTH_PLANID:END_RENEW_HEALTH,$A38,FALSE),"")</f>
        <v/>
      </c>
      <c r="AW38" s="262" t="str">
        <f>IFERROR(VLOOKUP(AW$5,BEGIN_RENEW_HEALTH_PLANID:END_RENEW_HEALTH,$A38,FALSE),"")</f>
        <v/>
      </c>
      <c r="AX38" s="262" t="str">
        <f>IFERROR(VLOOKUP(AX$5,BEGIN_RENEW_HEALTH_PLANID:END_RENEW_HEALTH,$A38,FALSE),"")</f>
        <v/>
      </c>
      <c r="AY38" s="262" t="str">
        <f>IFERROR(VLOOKUP(AY$5,BEGIN_RENEW_HEALTH_PLANID:END_RENEW_HEALTH,$A38,FALSE),"")</f>
        <v/>
      </c>
      <c r="AZ38" s="262" t="str">
        <f>IFERROR(VLOOKUP(AZ$5,BEGIN_RENEW_HEALTH_PLANID:END_RENEW_HEALTH,$A38,FALSE),"")</f>
        <v/>
      </c>
      <c r="BA38" s="262" t="str">
        <f>IFERROR(VLOOKUP(BA$5,BEGIN_RENEW_HEALTH_PLANID:END_RENEW_HEALTH,$A38,FALSE),"")</f>
        <v/>
      </c>
      <c r="BB38" s="262" t="str">
        <f>IFERROR(VLOOKUP(BB$5,BEGIN_RENEW_HEALTH_PLANID:END_RENEW_HEALTH,$A38,FALSE),"")</f>
        <v/>
      </c>
      <c r="BC38" s="262" t="str">
        <f>IFERROR(VLOOKUP(BC$5,BEGIN_RENEW_HEALTH_PLANID:END_RENEW_HEALTH,$A38,FALSE),"")</f>
        <v/>
      </c>
      <c r="BD38" s="262" t="str">
        <f>IFERROR(VLOOKUP(BD$5,BEGIN_RENEW_HEALTH_PLANID:END_RENEW_HEALTH,$A38,FALSE),"")</f>
        <v/>
      </c>
      <c r="BE38" s="262" t="str">
        <f>IFERROR(VLOOKUP(BE$5,BEGIN_RENEW_HEALTH_PLANID:END_RENEW_HEALTH,$A38,FALSE),"")</f>
        <v/>
      </c>
      <c r="BF38" s="262" t="str">
        <f>IFERROR(VLOOKUP(BF$5,BEGIN_RENEW_HEALTH_PLANID:END_RENEW_HEALTH,$A38,FALSE),"")</f>
        <v/>
      </c>
      <c r="BG38" s="262" t="str">
        <f>IFERROR(VLOOKUP(BG$5,BEGIN_RENEW_HEALTH_PLANID:END_RENEW_HEALTH,$A38,FALSE),"")</f>
        <v/>
      </c>
      <c r="BH38" s="262" t="str">
        <f>IFERROR(VLOOKUP(BH$5,BEGIN_RENEW_HEALTH_PLANID:END_RENEW_HEALTH,$A38,FALSE),"")</f>
        <v/>
      </c>
      <c r="BI38" s="262" t="str">
        <f>IFERROR(VLOOKUP(BI$5,BEGIN_RENEW_HEALTH_PLANID:END_RENEW_HEALTH,$A38,FALSE),"")</f>
        <v/>
      </c>
    </row>
  </sheetData>
  <sheetProtection formatCells="0" formatColumns="0" formatRows="0" deleteColumns="0" selectLockedCells="1"/>
  <printOptions horizontalCentered="1" verticalCentered="1"/>
  <pageMargins left="0.7" right="0.7" top="0.75" bottom="0.75" header="0.3" footer="0.3"/>
  <pageSetup orientation="landscape" paperSize="1" scale="9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9D39C3A9-0168-41EB-9D23-4382B8D742EE}">
  <sheetPr codeName="Sheet10"/>
  <dimension ref="A1:AK39"/>
  <sheetViews>
    <sheetView showZeros="0" workbookViewId="0" topLeftCell="A1">
      <pane xSplit="2" ySplit="5" topLeftCell="C6" activePane="bottomRight" state="frozen"/>
      <selection pane="topLeft" activeCell="A1" sqref="A1"/>
      <selection pane="bottomLeft" activeCell="B5" sqref="B5"/>
      <selection pane="topRight" activeCell="B5" sqref="B5"/>
      <selection pane="bottomRight" activeCell="C12" sqref="C12"/>
    </sheetView>
  </sheetViews>
  <sheetFormatPr defaultColWidth="8.79333333333333" defaultRowHeight="13"/>
  <cols>
    <col min="1" max="1" width="3.83333333333333" style="3" customWidth="1"/>
    <col min="2" max="2" width="27.8333333333333" style="3" customWidth="1"/>
    <col min="3" max="12" width="25.8333333333333" style="3" customWidth="1"/>
    <col min="38" max="16384" width="8.83333333333333" style="3"/>
  </cols>
  <sheetData>
    <row r="1" spans="2:12" ht="13">
      <c r="B1" s="3" t="s">
        <v>331</v>
      </c>
      <c r="C1" s="3">
        <v>1</v>
      </c>
      <c r="D1" s="3">
        <v>2</v>
      </c>
      <c r="E1" s="3">
        <v>3</v>
      </c>
      <c r="F1" s="3">
        <v>4</v>
      </c>
      <c r="G1" s="3">
        <v>5</v>
      </c>
      <c r="H1" s="3">
        <v>6</v>
      </c>
      <c r="I1" s="3">
        <v>7</v>
      </c>
      <c r="J1" s="3">
        <v>8</v>
      </c>
      <c r="K1" s="3">
        <v>9</v>
      </c>
      <c r="L1" s="3">
        <v>10</v>
      </c>
    </row>
    <row r="2" spans="2:12" ht="13">
      <c r="B2" s="334">
        <f>COUNTA(BEGIN_UniqueDentalPlans:Row_Unique_Dental_PlanCode)-1</f>
        <v>0</v>
      </c>
      <c r="C2" s="3" t="str">
        <f>IF(C1&gt;$B$2,"DELETE",C1)</f>
        <v>DELETE</v>
      </c>
      <c r="D2" s="3" t="str">
        <f t="shared" si="0" ref="D2:L2">IF(D1&gt;$B$2,"DELETE",D1)</f>
        <v>DELETE</v>
      </c>
      <c r="E2" s="3" t="str">
        <f t="shared" si="0"/>
        <v>DELETE</v>
      </c>
      <c r="F2" s="3" t="str">
        <f t="shared" si="0"/>
        <v>DELETE</v>
      </c>
      <c r="G2" s="3" t="str">
        <f t="shared" si="0"/>
        <v>DELETE</v>
      </c>
      <c r="H2" s="3" t="str">
        <f t="shared" si="0"/>
        <v>DELETE</v>
      </c>
      <c r="I2" s="3" t="str">
        <f t="shared" si="0"/>
        <v>DELETE</v>
      </c>
      <c r="J2" s="3" t="str">
        <f t="shared" si="0"/>
        <v>DELETE</v>
      </c>
      <c r="K2" s="3" t="str">
        <f t="shared" si="0"/>
        <v>DELETE</v>
      </c>
      <c r="L2" s="3" t="str">
        <f t="shared" si="0"/>
        <v>DELETE</v>
      </c>
    </row>
    <row r="3" spans="2:12" ht="13">
      <c r="B3" s="334"/>
      <c r="C3" s="3" t="str">
        <f ca="1">IF(RIGHT(C5,4)="-VOL","DELETE",C2)</f>
        <v>DELETE</v>
      </c>
      <c r="D3" s="3" t="str">
        <f ca="1" t="shared" si="1" ref="D3:L3">IF(RIGHT(D5,4)="-VOL","DELETE",D2)</f>
        <v>DELETE</v>
      </c>
      <c r="E3" s="3" t="str">
        <f t="shared" ca="1" si="1"/>
        <v>DELETE</v>
      </c>
      <c r="F3" s="3" t="str">
        <f t="shared" ca="1" si="1"/>
        <v>DELETE</v>
      </c>
      <c r="G3" s="3" t="str">
        <f t="shared" ca="1" si="1"/>
        <v>DELETE</v>
      </c>
      <c r="H3" s="3" t="str">
        <f t="shared" ca="1" si="1"/>
        <v>DELETE</v>
      </c>
      <c r="I3" s="3" t="str">
        <f t="shared" ca="1" si="1"/>
        <v>DELETE</v>
      </c>
      <c r="J3" s="3" t="str">
        <f t="shared" ca="1" si="1"/>
        <v>DELETE</v>
      </c>
      <c r="K3" s="3" t="str">
        <f t="shared" ca="1" si="1"/>
        <v>DELETE</v>
      </c>
      <c r="L3" s="3" t="str">
        <f t="shared" ca="1" si="1"/>
        <v>DELETE</v>
      </c>
    </row>
    <row r="4" spans="2:2" ht="13">
      <c r="B4" s="334"/>
    </row>
    <row r="5" spans="1:37" s="260" customFormat="1" ht="36" customHeight="1">
      <c r="A5" s="335" t="s">
        <v>332</v>
      </c>
      <c r="B5" s="342" t="s">
        <v>38</v>
      </c>
      <c r="C5" s="336" t="str" cm="1">
        <f t="array" ca="1" aca="1" ref="C5">IFERROR(INDIRECT("ClassesPlans!A"&amp;ROW(BEGIN_UniqueDentalPlans)+C2,TRUE),"")</f>
        <v/>
      </c>
      <c r="D5" s="336" t="str" cm="1">
        <f t="array" ca="1" aca="1" ref="D5">IFERROR(INDIRECT("ClassesPlans!A"&amp;ROW(BEGIN_UniqueDentalPlans)+D2,TRUE),"")</f>
        <v/>
      </c>
      <c r="E5" s="336" t="str" cm="1">
        <f t="array" ca="1" aca="1" ref="E5">IFERROR(INDIRECT("ClassesPlans!A"&amp;ROW(BEGIN_UniqueDentalPlans)+E2,TRUE),"")</f>
        <v/>
      </c>
      <c r="F5" s="336" t="str" cm="1">
        <f t="array" ca="1" aca="1" ref="F5">IFERROR(INDIRECT("ClassesPlans!A"&amp;ROW(BEGIN_UniqueDentalPlans)+F2,TRUE),"")</f>
        <v/>
      </c>
      <c r="G5" s="336" t="str" cm="1">
        <f t="array" ca="1" aca="1" ref="G5">IFERROR(INDIRECT("ClassesPlans!A"&amp;ROW(BEGIN_UniqueDentalPlans)+G2,TRUE),"")</f>
        <v/>
      </c>
      <c r="H5" s="336" t="str" cm="1">
        <f t="array" ca="1" aca="1" ref="H5">IFERROR(INDIRECT("ClassesPlans!A"&amp;ROW(BEGIN_UniqueDentalPlans)+H2,TRUE),"")</f>
        <v/>
      </c>
      <c r="I5" s="336" t="str" cm="1">
        <f t="array" ca="1" aca="1" ref="I5">IFERROR(INDIRECT("ClassesPlans!A"&amp;ROW(BEGIN_UniqueDentalPlans)+I2,TRUE),"")</f>
        <v/>
      </c>
      <c r="J5" s="336" t="str" cm="1">
        <f t="array" ca="1" aca="1" ref="J5">IFERROR(INDIRECT("ClassesPlans!A"&amp;ROW(BEGIN_UniqueDentalPlans)+J2,TRUE),"")</f>
        <v/>
      </c>
      <c r="K5" s="336" t="str" cm="1">
        <f t="array" ca="1" aca="1" ref="K5">IFERROR(INDIRECT("ClassesPlans!A"&amp;ROW(BEGIN_UniqueDentalPlans)+K2,TRUE),"")</f>
        <v/>
      </c>
      <c r="L5" s="336" t="str" cm="1">
        <f t="array" ca="1" aca="1" ref="L5">IFERROR(INDIRECT("ClassesPlans!A"&amp;ROW(BEGIN_UniqueDentalPlans)+L2,TRUE),"")</f>
        <v/>
      </c>
      <c r="M5"/>
      <c r="N5"/>
      <c r="O5"/>
      <c r="P5"/>
      <c r="Q5"/>
      <c r="R5"/>
      <c r="S5"/>
      <c r="T5"/>
      <c r="U5"/>
      <c r="V5"/>
      <c r="W5"/>
      <c r="X5"/>
      <c r="Y5"/>
      <c r="Z5"/>
      <c r="AA5"/>
      <c r="AB5"/>
      <c r="AC5"/>
      <c r="AD5"/>
      <c r="AE5"/>
      <c r="AF5"/>
      <c r="AG5"/>
      <c r="AH5"/>
      <c r="AI5"/>
      <c r="AJ5"/>
      <c r="AK5"/>
    </row>
    <row r="6" spans="2:12" ht="13">
      <c r="B6" s="344" t="s">
        <v>333</v>
      </c>
      <c r="C6" s="337"/>
      <c r="D6" s="337"/>
      <c r="E6" s="337"/>
      <c r="F6" s="337"/>
      <c r="G6" s="337"/>
      <c r="H6" s="337"/>
      <c r="I6" s="337"/>
      <c r="J6" s="337"/>
      <c r="K6" s="337"/>
      <c r="L6" s="337"/>
    </row>
    <row r="7" spans="1:12" ht="13">
      <c r="A7" s="3">
        <v>9</v>
      </c>
      <c r="B7" s="343" t="s">
        <v>238</v>
      </c>
      <c r="C7" s="322" t="str">
        <f ca="1">IFERROR(VLOOKUP(C$5,BEGIN_Renew_Dental_PLANID:END_RENEW_DENTAL,$A7,FALSE),"")</f>
        <v/>
      </c>
      <c r="D7" s="322" t="str">
        <f ca="1">IFERROR(VLOOKUP(D$5,BEGIN_Renew_Dental_PLANID:END_RENEW_DENTAL,$A7,FALSE),"")</f>
        <v/>
      </c>
      <c r="E7" s="322" t="str">
        <f ca="1">IFERROR(VLOOKUP(E$5,BEGIN_Renew_Dental_PLANID:END_RENEW_DENTAL,$A7,FALSE),"")</f>
        <v/>
      </c>
      <c r="F7" s="322" t="str">
        <f ca="1">IFERROR(VLOOKUP(F$5,BEGIN_Renew_Dental_PLANID:END_RENEW_DENTAL,$A7,FALSE),"")</f>
        <v/>
      </c>
      <c r="G7" s="322" t="str">
        <f ca="1">IFERROR(VLOOKUP(G$5,BEGIN_Renew_Dental_PLANID:END_RENEW_DENTAL,$A7,FALSE),"")</f>
        <v/>
      </c>
      <c r="H7" s="322" t="str">
        <f ca="1">IFERROR(VLOOKUP(H$5,BEGIN_Renew_Dental_PLANID:END_RENEW_DENTAL,$A7,FALSE),"")</f>
        <v/>
      </c>
      <c r="I7" s="322" t="str">
        <f ca="1">IFERROR(VLOOKUP(I$5,BEGIN_Renew_Dental_PLANID:END_RENEW_DENTAL,$A7,FALSE),"")</f>
        <v/>
      </c>
      <c r="J7" s="322" t="str">
        <f ca="1">IFERROR(VLOOKUP(J$5,BEGIN_Renew_Dental_PLANID:END_RENEW_DENTAL,$A7,FALSE),"")</f>
        <v/>
      </c>
      <c r="K7" s="322" t="str">
        <f ca="1">IFERROR(VLOOKUP(K$5,BEGIN_Renew_Dental_PLANID:END_RENEW_DENTAL,$A7,FALSE),"")</f>
        <v/>
      </c>
      <c r="L7" s="322" t="str">
        <f ca="1">IFERROR(VLOOKUP(L$5,BEGIN_Renew_Dental_PLANID:END_RENEW_DENTAL,$A7,FALSE),"")</f>
        <v/>
      </c>
    </row>
    <row r="8" spans="1:12" ht="13">
      <c r="A8" s="3">
        <v>10</v>
      </c>
      <c r="B8" s="343" t="s">
        <v>239</v>
      </c>
      <c r="C8" s="322" t="str">
        <f ca="1">IFERROR(VLOOKUP(C$5,BEGIN_Renew_Dental_PLANID:END_RENEW_DENTAL,$A8,FALSE),"")</f>
        <v/>
      </c>
      <c r="D8" s="322" t="str">
        <f ca="1">IFERROR(VLOOKUP(D$5,BEGIN_Renew_Dental_PLANID:END_RENEW_DENTAL,$A8,FALSE),"")</f>
        <v/>
      </c>
      <c r="E8" s="322" t="str">
        <f ca="1">IFERROR(VLOOKUP(E$5,BEGIN_Renew_Dental_PLANID:END_RENEW_DENTAL,$A8,FALSE),"")</f>
        <v/>
      </c>
      <c r="F8" s="322" t="str">
        <f ca="1">IFERROR(VLOOKUP(F$5,BEGIN_Renew_Dental_PLANID:END_RENEW_DENTAL,$A8,FALSE),"")</f>
        <v/>
      </c>
      <c r="G8" s="322" t="str">
        <f ca="1">IFERROR(VLOOKUP(G$5,BEGIN_Renew_Dental_PLANID:END_RENEW_DENTAL,$A8,FALSE),"")</f>
        <v/>
      </c>
      <c r="H8" s="322" t="str">
        <f ca="1">IFERROR(VLOOKUP(H$5,BEGIN_Renew_Dental_PLANID:END_RENEW_DENTAL,$A8,FALSE),"")</f>
        <v/>
      </c>
      <c r="I8" s="322" t="str">
        <f ca="1">IFERROR(VLOOKUP(I$5,BEGIN_Renew_Dental_PLANID:END_RENEW_DENTAL,$A8,FALSE),"")</f>
        <v/>
      </c>
      <c r="J8" s="322" t="str">
        <f ca="1">IFERROR(VLOOKUP(J$5,BEGIN_Renew_Dental_PLANID:END_RENEW_DENTAL,$A8,FALSE),"")</f>
        <v/>
      </c>
      <c r="K8" s="322" t="str">
        <f ca="1">IFERROR(VLOOKUP(K$5,BEGIN_Renew_Dental_PLANID:END_RENEW_DENTAL,$A8,FALSE),"")</f>
        <v/>
      </c>
      <c r="L8" s="322" t="str">
        <f ca="1">IFERROR(VLOOKUP(L$5,BEGIN_Renew_Dental_PLANID:END_RENEW_DENTAL,$A8,FALSE),"")</f>
        <v/>
      </c>
    </row>
    <row r="9" spans="1:12" ht="13">
      <c r="A9" s="3">
        <v>11</v>
      </c>
      <c r="B9" s="343" t="s">
        <v>334</v>
      </c>
      <c r="C9" s="322" t="str">
        <f ca="1">IFERROR(VLOOKUP(C$5,BEGIN_Renew_Dental_PLANID:END_RENEW_DENTAL,$A9,FALSE),"")</f>
        <v/>
      </c>
      <c r="D9" s="322" t="str">
        <f ca="1">IFERROR(VLOOKUP(D$5,BEGIN_Renew_Dental_PLANID:END_RENEW_DENTAL,$A9,FALSE),"")</f>
        <v/>
      </c>
      <c r="E9" s="322" t="str">
        <f ca="1">IFERROR(VLOOKUP(E$5,BEGIN_Renew_Dental_PLANID:END_RENEW_DENTAL,$A9,FALSE),"")</f>
        <v/>
      </c>
      <c r="F9" s="322" t="str">
        <f ca="1">IFERROR(VLOOKUP(F$5,BEGIN_Renew_Dental_PLANID:END_RENEW_DENTAL,$A9,FALSE),"")</f>
        <v/>
      </c>
      <c r="G9" s="322" t="str">
        <f ca="1">IFERROR(VLOOKUP(G$5,BEGIN_Renew_Dental_PLANID:END_RENEW_DENTAL,$A9,FALSE),"")</f>
        <v/>
      </c>
      <c r="H9" s="322" t="str">
        <f ca="1">IFERROR(VLOOKUP(H$5,BEGIN_Renew_Dental_PLANID:END_RENEW_DENTAL,$A9,FALSE),"")</f>
        <v/>
      </c>
      <c r="I9" s="322" t="str">
        <f ca="1">IFERROR(VLOOKUP(I$5,BEGIN_Renew_Dental_PLANID:END_RENEW_DENTAL,$A9,FALSE),"")</f>
        <v/>
      </c>
      <c r="J9" s="322" t="str">
        <f ca="1">IFERROR(VLOOKUP(J$5,BEGIN_Renew_Dental_PLANID:END_RENEW_DENTAL,$A9,FALSE),"")</f>
        <v/>
      </c>
      <c r="K9" s="322" t="str">
        <f ca="1">IFERROR(VLOOKUP(K$5,BEGIN_Renew_Dental_PLANID:END_RENEW_DENTAL,$A9,FALSE),"")</f>
        <v/>
      </c>
      <c r="L9" s="322" t="str">
        <f ca="1">IFERROR(VLOOKUP(L$5,BEGIN_Renew_Dental_PLANID:END_RENEW_DENTAL,$A9,FALSE),"")</f>
        <v/>
      </c>
    </row>
    <row r="10" spans="1:12" ht="13">
      <c r="A10" s="3">
        <v>13</v>
      </c>
      <c r="B10" s="343" t="s">
        <v>335</v>
      </c>
      <c r="C10" s="322" t="str">
        <f ca="1">IFERROR(VLOOKUP(C$5,BEGIN_Renew_Dental_PLANID:END_RENEW_DENTAL,$A10,FALSE),"")</f>
        <v/>
      </c>
      <c r="D10" s="322" t="str">
        <f ca="1">IFERROR(VLOOKUP(D$5,BEGIN_Renew_Dental_PLANID:END_RENEW_DENTAL,$A10,FALSE),"")</f>
        <v/>
      </c>
      <c r="E10" s="322" t="str">
        <f ca="1">IFERROR(VLOOKUP(E$5,BEGIN_Renew_Dental_PLANID:END_RENEW_DENTAL,$A10,FALSE),"")</f>
        <v/>
      </c>
      <c r="F10" s="322" t="str">
        <f ca="1">IFERROR(VLOOKUP(F$5,BEGIN_Renew_Dental_PLANID:END_RENEW_DENTAL,$A10,FALSE),"")</f>
        <v/>
      </c>
      <c r="G10" s="322" t="str">
        <f ca="1">IFERROR(VLOOKUP(G$5,BEGIN_Renew_Dental_PLANID:END_RENEW_DENTAL,$A10,FALSE),"")</f>
        <v/>
      </c>
      <c r="H10" s="322" t="str">
        <f ca="1">IFERROR(VLOOKUP(H$5,BEGIN_Renew_Dental_PLANID:END_RENEW_DENTAL,$A10,FALSE),"")</f>
        <v/>
      </c>
      <c r="I10" s="322" t="str">
        <f ca="1">IFERROR(VLOOKUP(I$5,BEGIN_Renew_Dental_PLANID:END_RENEW_DENTAL,$A10,FALSE),"")</f>
        <v/>
      </c>
      <c r="J10" s="322" t="str">
        <f ca="1">IFERROR(VLOOKUP(J$5,BEGIN_Renew_Dental_PLANID:END_RENEW_DENTAL,$A10,FALSE),"")</f>
        <v/>
      </c>
      <c r="K10" s="322" t="str">
        <f ca="1">IFERROR(VLOOKUP(K$5,BEGIN_Renew_Dental_PLANID:END_RENEW_DENTAL,$A10,FALSE),"")</f>
        <v/>
      </c>
      <c r="L10" s="322" t="str">
        <f ca="1">IFERROR(VLOOKUP(L$5,BEGIN_Renew_Dental_PLANID:END_RENEW_DENTAL,$A10,FALSE),"")</f>
        <v/>
      </c>
    </row>
    <row r="11" spans="2:12" ht="13">
      <c r="B11" s="344" t="s">
        <v>336</v>
      </c>
      <c r="C11" s="337"/>
      <c r="D11" s="337"/>
      <c r="E11" s="337"/>
      <c r="F11" s="337"/>
      <c r="G11" s="337"/>
      <c r="H11" s="337"/>
      <c r="I11" s="337"/>
      <c r="J11" s="337"/>
      <c r="K11" s="337"/>
      <c r="L11" s="337"/>
    </row>
    <row r="12" spans="1:12" ht="13">
      <c r="A12" s="3">
        <v>36</v>
      </c>
      <c r="B12" s="343" t="s">
        <v>155</v>
      </c>
      <c r="C12" s="322" t="str">
        <f ca="1">IFERROR(VLOOKUP(C$5,BEGIN_Renew_Dental_PLANID:END_RENEW_DENTAL,$A12,FALSE),"")</f>
        <v/>
      </c>
      <c r="D12" s="322" t="str">
        <f ca="1">IFERROR(VLOOKUP(D$5,BEGIN_Renew_Dental_PLANID:END_RENEW_DENTAL,$A12,FALSE),"")</f>
        <v/>
      </c>
      <c r="E12" s="322" t="str">
        <f ca="1">IFERROR(VLOOKUP(E$5,BEGIN_Renew_Dental_PLANID:END_RENEW_DENTAL,$A12,FALSE),"")</f>
        <v/>
      </c>
      <c r="F12" s="322" t="str">
        <f ca="1">IFERROR(VLOOKUP(F$5,BEGIN_Renew_Dental_PLANID:END_RENEW_DENTAL,$A12,FALSE),"")</f>
        <v/>
      </c>
      <c r="G12" s="322" t="str">
        <f ca="1">IFERROR(VLOOKUP(G$5,BEGIN_Renew_Dental_PLANID:END_RENEW_DENTAL,$A12,FALSE),"")</f>
        <v/>
      </c>
      <c r="H12" s="322" t="str">
        <f ca="1">IFERROR(VLOOKUP(H$5,BEGIN_Renew_Dental_PLANID:END_RENEW_DENTAL,$A12,FALSE),"")</f>
        <v/>
      </c>
      <c r="I12" s="322" t="str">
        <f ca="1">IFERROR(VLOOKUP(I$5,BEGIN_Renew_Dental_PLANID:END_RENEW_DENTAL,$A12,FALSE),"")</f>
        <v/>
      </c>
      <c r="J12" s="322" t="str">
        <f ca="1">IFERROR(VLOOKUP(J$5,BEGIN_Renew_Dental_PLANID:END_RENEW_DENTAL,$A12,FALSE),"")</f>
        <v/>
      </c>
      <c r="K12" s="322" t="str">
        <f ca="1">IFERROR(VLOOKUP(K$5,BEGIN_Renew_Dental_PLANID:END_RENEW_DENTAL,$A12,FALSE),"")</f>
        <v/>
      </c>
      <c r="L12" s="322" t="str">
        <f ca="1">IFERROR(VLOOKUP(L$5,BEGIN_Renew_Dental_PLANID:END_RENEW_DENTAL,$A12,FALSE),"")</f>
        <v/>
      </c>
    </row>
    <row r="13" spans="1:12" ht="13">
      <c r="A13" s="3">
        <v>29</v>
      </c>
      <c r="B13" s="346" t="s">
        <v>348</v>
      </c>
      <c r="C13" s="323" t="str">
        <f ca="1">IFERROR(VLOOKUP(C$5,BEGIN_Renew_Dental_PLANID:END_RENEW_DENTAL,$A13,FALSE),"")</f>
        <v/>
      </c>
      <c r="D13" s="323" t="str">
        <f ca="1">IFERROR(VLOOKUP(D$5,BEGIN_Renew_Dental_PLANID:END_RENEW_DENTAL,$A13,FALSE),"")</f>
        <v/>
      </c>
      <c r="E13" s="323" t="str">
        <f ca="1">IFERROR(VLOOKUP(E$5,BEGIN_Renew_Dental_PLANID:END_RENEW_DENTAL,$A13,FALSE),"")</f>
        <v/>
      </c>
      <c r="F13" s="323" t="str">
        <f ca="1">IFERROR(VLOOKUP(F$5,BEGIN_Renew_Dental_PLANID:END_RENEW_DENTAL,$A13,FALSE),"")</f>
        <v/>
      </c>
      <c r="G13" s="323" t="str">
        <f ca="1">IFERROR(VLOOKUP(G$5,BEGIN_Renew_Dental_PLANID:END_RENEW_DENTAL,$A13,FALSE),"")</f>
        <v/>
      </c>
      <c r="H13" s="323" t="str">
        <f ca="1">IFERROR(VLOOKUP(H$5,BEGIN_Renew_Dental_PLANID:END_RENEW_DENTAL,$A13,FALSE),"")</f>
        <v/>
      </c>
      <c r="I13" s="323" t="str">
        <f ca="1">IFERROR(VLOOKUP(I$5,BEGIN_Renew_Dental_PLANID:END_RENEW_DENTAL,$A13,FALSE),"")</f>
        <v/>
      </c>
      <c r="J13" s="323" t="str">
        <f ca="1">IFERROR(VLOOKUP(J$5,BEGIN_Renew_Dental_PLANID:END_RENEW_DENTAL,$A13,FALSE),"")</f>
        <v/>
      </c>
      <c r="K13" s="323" t="str">
        <f ca="1">IFERROR(VLOOKUP(K$5,BEGIN_Renew_Dental_PLANID:END_RENEW_DENTAL,$A13,FALSE),"")</f>
        <v/>
      </c>
      <c r="L13" s="323" t="str">
        <f ca="1">IFERROR(VLOOKUP(L$5,BEGIN_Renew_Dental_PLANID:END_RENEW_DENTAL,$A13,FALSE),"")</f>
        <v/>
      </c>
    </row>
    <row r="14" spans="1:12" ht="13">
      <c r="A14" s="3">
        <v>30</v>
      </c>
      <c r="B14" s="346" t="s">
        <v>349</v>
      </c>
      <c r="C14" s="323" t="str">
        <f ca="1">IFERROR(VLOOKUP(C$5,BEGIN_Renew_Dental_PLANID:END_RENEW_DENTAL,$A14,FALSE),"")</f>
        <v/>
      </c>
      <c r="D14" s="323" t="str">
        <f ca="1">IFERROR(VLOOKUP(D$5,BEGIN_Renew_Dental_PLANID:END_RENEW_DENTAL,$A14,FALSE),"")</f>
        <v/>
      </c>
      <c r="E14" s="323" t="str">
        <f ca="1">IFERROR(VLOOKUP(E$5,BEGIN_Renew_Dental_PLANID:END_RENEW_DENTAL,$A14,FALSE),"")</f>
        <v/>
      </c>
      <c r="F14" s="323" t="str">
        <f ca="1">IFERROR(VLOOKUP(F$5,BEGIN_Renew_Dental_PLANID:END_RENEW_DENTAL,$A14,FALSE),"")</f>
        <v/>
      </c>
      <c r="G14" s="323" t="str">
        <f ca="1">IFERROR(VLOOKUP(G$5,BEGIN_Renew_Dental_PLANID:END_RENEW_DENTAL,$A14,FALSE),"")</f>
        <v/>
      </c>
      <c r="H14" s="323" t="str">
        <f ca="1">IFERROR(VLOOKUP(H$5,BEGIN_Renew_Dental_PLANID:END_RENEW_DENTAL,$A14,FALSE),"")</f>
        <v/>
      </c>
      <c r="I14" s="323" t="str">
        <f ca="1">IFERROR(VLOOKUP(I$5,BEGIN_Renew_Dental_PLANID:END_RENEW_DENTAL,$A14,FALSE),"")</f>
        <v/>
      </c>
      <c r="J14" s="323" t="str">
        <f ca="1">IFERROR(VLOOKUP(J$5,BEGIN_Renew_Dental_PLANID:END_RENEW_DENTAL,$A14,FALSE),"")</f>
        <v/>
      </c>
      <c r="K14" s="323" t="str">
        <f ca="1">IFERROR(VLOOKUP(K$5,BEGIN_Renew_Dental_PLANID:END_RENEW_DENTAL,$A14,FALSE),"")</f>
        <v/>
      </c>
      <c r="L14" s="323" t="str">
        <f ca="1">IFERROR(VLOOKUP(L$5,BEGIN_Renew_Dental_PLANID:END_RENEW_DENTAL,$A14,FALSE),"")</f>
        <v/>
      </c>
    </row>
    <row r="15" spans="1:12" ht="13">
      <c r="A15" s="3">
        <v>24</v>
      </c>
      <c r="B15" s="346" t="s">
        <v>337</v>
      </c>
      <c r="C15" s="323" t="str">
        <f ca="1">IFERROR(VLOOKUP(C$5,BEGIN_Renew_Dental_PLANID:END_RENEW_DENTAL,$A15,FALSE),"")</f>
        <v/>
      </c>
      <c r="D15" s="323" t="str">
        <f ca="1">IFERROR(VLOOKUP(D$5,BEGIN_Renew_Dental_PLANID:END_RENEW_DENTAL,$A15,FALSE),"")</f>
        <v/>
      </c>
      <c r="E15" s="323" t="str">
        <f ca="1">IFERROR(VLOOKUP(E$5,BEGIN_Renew_Dental_PLANID:END_RENEW_DENTAL,$A15,FALSE),"")</f>
        <v/>
      </c>
      <c r="F15" s="323" t="str">
        <f ca="1">IFERROR(VLOOKUP(F$5,BEGIN_Renew_Dental_PLANID:END_RENEW_DENTAL,$A15,FALSE),"")</f>
        <v/>
      </c>
      <c r="G15" s="323" t="str">
        <f ca="1">IFERROR(VLOOKUP(G$5,BEGIN_Renew_Dental_PLANID:END_RENEW_DENTAL,$A15,FALSE),"")</f>
        <v/>
      </c>
      <c r="H15" s="323" t="str">
        <f ca="1">IFERROR(VLOOKUP(H$5,BEGIN_Renew_Dental_PLANID:END_RENEW_DENTAL,$A15,FALSE),"")</f>
        <v/>
      </c>
      <c r="I15" s="323" t="str">
        <f ca="1">IFERROR(VLOOKUP(I$5,BEGIN_Renew_Dental_PLANID:END_RENEW_DENTAL,$A15,FALSE),"")</f>
        <v/>
      </c>
      <c r="J15" s="323" t="str">
        <f ca="1">IFERROR(VLOOKUP(J$5,BEGIN_Renew_Dental_PLANID:END_RENEW_DENTAL,$A15,FALSE),"")</f>
        <v/>
      </c>
      <c r="K15" s="323" t="str">
        <f ca="1">IFERROR(VLOOKUP(K$5,BEGIN_Renew_Dental_PLANID:END_RENEW_DENTAL,$A15,FALSE),"")</f>
        <v/>
      </c>
      <c r="L15" s="323" t="str">
        <f ca="1">IFERROR(VLOOKUP(L$5,BEGIN_Renew_Dental_PLANID:END_RENEW_DENTAL,$A15,FALSE),"")</f>
        <v/>
      </c>
    </row>
    <row r="16" spans="1:12" ht="13">
      <c r="A16" s="3">
        <v>25</v>
      </c>
      <c r="B16" s="346" t="s">
        <v>338</v>
      </c>
      <c r="C16" s="323" t="str">
        <f ca="1">IFERROR(VLOOKUP(C$5,BEGIN_Renew_Dental_PLANID:END_RENEW_DENTAL,$A16,FALSE),"")</f>
        <v/>
      </c>
      <c r="D16" s="323" t="str">
        <f ca="1">IFERROR(VLOOKUP(D$5,BEGIN_Renew_Dental_PLANID:END_RENEW_DENTAL,$A16,FALSE),"")</f>
        <v/>
      </c>
      <c r="E16" s="323" t="str">
        <f ca="1">IFERROR(VLOOKUP(E$5,BEGIN_Renew_Dental_PLANID:END_RENEW_DENTAL,$A16,FALSE),"")</f>
        <v/>
      </c>
      <c r="F16" s="323" t="str">
        <f ca="1">IFERROR(VLOOKUP(F$5,BEGIN_Renew_Dental_PLANID:END_RENEW_DENTAL,$A16,FALSE),"")</f>
        <v/>
      </c>
      <c r="G16" s="323" t="str">
        <f ca="1">IFERROR(VLOOKUP(G$5,BEGIN_Renew_Dental_PLANID:END_RENEW_DENTAL,$A16,FALSE),"")</f>
        <v/>
      </c>
      <c r="H16" s="323" t="str">
        <f ca="1">IFERROR(VLOOKUP(H$5,BEGIN_Renew_Dental_PLANID:END_RENEW_DENTAL,$A16,FALSE),"")</f>
        <v/>
      </c>
      <c r="I16" s="323" t="str">
        <f ca="1">IFERROR(VLOOKUP(I$5,BEGIN_Renew_Dental_PLANID:END_RENEW_DENTAL,$A16,FALSE),"")</f>
        <v/>
      </c>
      <c r="J16" s="323" t="str">
        <f ca="1">IFERROR(VLOOKUP(J$5,BEGIN_Renew_Dental_PLANID:END_RENEW_DENTAL,$A16,FALSE),"")</f>
        <v/>
      </c>
      <c r="K16" s="323" t="str">
        <f ca="1">IFERROR(VLOOKUP(K$5,BEGIN_Renew_Dental_PLANID:END_RENEW_DENTAL,$A16,FALSE),"")</f>
        <v/>
      </c>
      <c r="L16" s="323" t="str">
        <f ca="1">IFERROR(VLOOKUP(L$5,BEGIN_Renew_Dental_PLANID:END_RENEW_DENTAL,$A16,FALSE),"")</f>
        <v/>
      </c>
    </row>
    <row r="17" spans="1:12" ht="13">
      <c r="A17" s="3">
        <v>26</v>
      </c>
      <c r="B17" s="346" t="s">
        <v>350</v>
      </c>
      <c r="C17" s="323" t="str">
        <f ca="1">IFERROR(VLOOKUP(C$5,BEGIN_Renew_Dental_PLANID:END_RENEW_DENTAL,$A17,FALSE),"")</f>
        <v/>
      </c>
      <c r="D17" s="323" t="str">
        <f ca="1">IFERROR(VLOOKUP(D$5,BEGIN_Renew_Dental_PLANID:END_RENEW_DENTAL,$A17,FALSE),"")</f>
        <v/>
      </c>
      <c r="E17" s="323" t="str">
        <f ca="1">IFERROR(VLOOKUP(E$5,BEGIN_Renew_Dental_PLANID:END_RENEW_DENTAL,$A17,FALSE),"")</f>
        <v/>
      </c>
      <c r="F17" s="323" t="str">
        <f ca="1">IFERROR(VLOOKUP(F$5,BEGIN_Renew_Dental_PLANID:END_RENEW_DENTAL,$A17,FALSE),"")</f>
        <v/>
      </c>
      <c r="G17" s="323" t="str">
        <f ca="1">IFERROR(VLOOKUP(G$5,BEGIN_Renew_Dental_PLANID:END_RENEW_DENTAL,$A17,FALSE),"")</f>
        <v/>
      </c>
      <c r="H17" s="323" t="str">
        <f ca="1">IFERROR(VLOOKUP(H$5,BEGIN_Renew_Dental_PLANID:END_RENEW_DENTAL,$A17,FALSE),"")</f>
        <v/>
      </c>
      <c r="I17" s="323" t="str">
        <f ca="1">IFERROR(VLOOKUP(I$5,BEGIN_Renew_Dental_PLANID:END_RENEW_DENTAL,$A17,FALSE),"")</f>
        <v/>
      </c>
      <c r="J17" s="323" t="str">
        <f ca="1">IFERROR(VLOOKUP(J$5,BEGIN_Renew_Dental_PLANID:END_RENEW_DENTAL,$A17,FALSE),"")</f>
        <v/>
      </c>
      <c r="K17" s="323" t="str">
        <f ca="1">IFERROR(VLOOKUP(K$5,BEGIN_Renew_Dental_PLANID:END_RENEW_DENTAL,$A17,FALSE),"")</f>
        <v/>
      </c>
      <c r="L17" s="323" t="str">
        <f ca="1">IFERROR(VLOOKUP(L$5,BEGIN_Renew_Dental_PLANID:END_RENEW_DENTAL,$A17,FALSE),"")</f>
        <v/>
      </c>
    </row>
    <row r="18" spans="1:12" ht="13">
      <c r="A18" s="3">
        <v>27</v>
      </c>
      <c r="B18" s="346" t="s">
        <v>351</v>
      </c>
      <c r="C18" s="323" t="str">
        <f ca="1">IFERROR(VLOOKUP(C$5,BEGIN_Renew_Dental_PLANID:END_RENEW_DENTAL,$A18,FALSE),"")</f>
        <v/>
      </c>
      <c r="D18" s="323" t="str">
        <f ca="1">IFERROR(VLOOKUP(D$5,BEGIN_Renew_Dental_PLANID:END_RENEW_DENTAL,$A18,FALSE),"")</f>
        <v/>
      </c>
      <c r="E18" s="323" t="str">
        <f ca="1">IFERROR(VLOOKUP(E$5,BEGIN_Renew_Dental_PLANID:END_RENEW_DENTAL,$A18,FALSE),"")</f>
        <v/>
      </c>
      <c r="F18" s="323" t="str">
        <f ca="1">IFERROR(VLOOKUP(F$5,BEGIN_Renew_Dental_PLANID:END_RENEW_DENTAL,$A18,FALSE),"")</f>
        <v/>
      </c>
      <c r="G18" s="323" t="str">
        <f ca="1">IFERROR(VLOOKUP(G$5,BEGIN_Renew_Dental_PLANID:END_RENEW_DENTAL,$A18,FALSE),"")</f>
        <v/>
      </c>
      <c r="H18" s="323" t="str">
        <f ca="1">IFERROR(VLOOKUP(H$5,BEGIN_Renew_Dental_PLANID:END_RENEW_DENTAL,$A18,FALSE),"")</f>
        <v/>
      </c>
      <c r="I18" s="323" t="str">
        <f ca="1">IFERROR(VLOOKUP(I$5,BEGIN_Renew_Dental_PLANID:END_RENEW_DENTAL,$A18,FALSE),"")</f>
        <v/>
      </c>
      <c r="J18" s="323" t="str">
        <f ca="1">IFERROR(VLOOKUP(J$5,BEGIN_Renew_Dental_PLANID:END_RENEW_DENTAL,$A18,FALSE),"")</f>
        <v/>
      </c>
      <c r="K18" s="323" t="str">
        <f ca="1">IFERROR(VLOOKUP(K$5,BEGIN_Renew_Dental_PLANID:END_RENEW_DENTAL,$A18,FALSE),"")</f>
        <v/>
      </c>
      <c r="L18" s="323" t="str">
        <f ca="1">IFERROR(VLOOKUP(L$5,BEGIN_Renew_Dental_PLANID:END_RENEW_DENTAL,$A18,FALSE),"")</f>
        <v/>
      </c>
    </row>
    <row r="19" spans="1:12" ht="13">
      <c r="A19" s="3">
        <v>28</v>
      </c>
      <c r="B19" s="346" t="s">
        <v>352</v>
      </c>
      <c r="C19" s="323" t="str">
        <f ca="1">IFERROR(VLOOKUP(C$5,BEGIN_Renew_Dental_PLANID:END_RENEW_DENTAL,$A19,FALSE),"")</f>
        <v/>
      </c>
      <c r="D19" s="323" t="str">
        <f ca="1">IFERROR(VLOOKUP(D$5,BEGIN_Renew_Dental_PLANID:END_RENEW_DENTAL,$A19,FALSE),"")</f>
        <v/>
      </c>
      <c r="E19" s="323" t="str">
        <f ca="1">IFERROR(VLOOKUP(E$5,BEGIN_Renew_Dental_PLANID:END_RENEW_DENTAL,$A19,FALSE),"")</f>
        <v/>
      </c>
      <c r="F19" s="323" t="str">
        <f ca="1">IFERROR(VLOOKUP(F$5,BEGIN_Renew_Dental_PLANID:END_RENEW_DENTAL,$A19,FALSE),"")</f>
        <v/>
      </c>
      <c r="G19" s="323" t="str">
        <f ca="1">IFERROR(VLOOKUP(G$5,BEGIN_Renew_Dental_PLANID:END_RENEW_DENTAL,$A19,FALSE),"")</f>
        <v/>
      </c>
      <c r="H19" s="323" t="str">
        <f ca="1">IFERROR(VLOOKUP(H$5,BEGIN_Renew_Dental_PLANID:END_RENEW_DENTAL,$A19,FALSE),"")</f>
        <v/>
      </c>
      <c r="I19" s="323" t="str">
        <f ca="1">IFERROR(VLOOKUP(I$5,BEGIN_Renew_Dental_PLANID:END_RENEW_DENTAL,$A19,FALSE),"")</f>
        <v/>
      </c>
      <c r="J19" s="323" t="str">
        <f ca="1">IFERROR(VLOOKUP(J$5,BEGIN_Renew_Dental_PLANID:END_RENEW_DENTAL,$A19,FALSE),"")</f>
        <v/>
      </c>
      <c r="K19" s="323" t="str">
        <f ca="1">IFERROR(VLOOKUP(K$5,BEGIN_Renew_Dental_PLANID:END_RENEW_DENTAL,$A19,FALSE),"")</f>
        <v/>
      </c>
      <c r="L19" s="323" t="str">
        <f ca="1">IFERROR(VLOOKUP(L$5,BEGIN_Renew_Dental_PLANID:END_RENEW_DENTAL,$A19,FALSE),"")</f>
        <v/>
      </c>
    </row>
    <row r="20" spans="2:12" ht="13">
      <c r="B20" s="344" t="s">
        <v>353</v>
      </c>
      <c r="C20" s="337"/>
      <c r="D20" s="337"/>
      <c r="E20" s="337"/>
      <c r="F20" s="337"/>
      <c r="G20" s="337"/>
      <c r="H20" s="337"/>
      <c r="I20" s="337"/>
      <c r="J20" s="337"/>
      <c r="K20" s="337"/>
      <c r="L20" s="337"/>
    </row>
    <row r="21" spans="1:12" ht="13">
      <c r="A21" s="3">
        <v>31</v>
      </c>
      <c r="B21" s="346" t="s">
        <v>337</v>
      </c>
      <c r="C21" s="323" t="str">
        <f ca="1">IFERROR(VLOOKUP(C$5,BEGIN_Renew_Dental_PLANID:END_RENEW_DENTAL,$A21,FALSE),"")</f>
        <v/>
      </c>
      <c r="D21" s="323" t="str">
        <f ca="1">IFERROR(VLOOKUP(D$5,BEGIN_Renew_Dental_PLANID:END_RENEW_DENTAL,$A21,FALSE),"")</f>
        <v/>
      </c>
      <c r="E21" s="323" t="str">
        <f ca="1">IFERROR(VLOOKUP(E$5,BEGIN_Renew_Dental_PLANID:END_RENEW_DENTAL,$A21,FALSE),"")</f>
        <v/>
      </c>
      <c r="F21" s="323" t="str">
        <f ca="1">IFERROR(VLOOKUP(F$5,BEGIN_Renew_Dental_PLANID:END_RENEW_DENTAL,$A21,FALSE),"")</f>
        <v/>
      </c>
      <c r="G21" s="323" t="str">
        <f ca="1">IFERROR(VLOOKUP(G$5,BEGIN_Renew_Dental_PLANID:END_RENEW_DENTAL,$A21,FALSE),"")</f>
        <v/>
      </c>
      <c r="H21" s="323" t="str">
        <f ca="1">IFERROR(VLOOKUP(H$5,BEGIN_Renew_Dental_PLANID:END_RENEW_DENTAL,$A21,FALSE),"")</f>
        <v/>
      </c>
      <c r="I21" s="323" t="str">
        <f ca="1">IFERROR(VLOOKUP(I$5,BEGIN_Renew_Dental_PLANID:END_RENEW_DENTAL,$A21,FALSE),"")</f>
        <v/>
      </c>
      <c r="J21" s="323" t="str">
        <f ca="1">IFERROR(VLOOKUP(J$5,BEGIN_Renew_Dental_PLANID:END_RENEW_DENTAL,$A21,FALSE),"")</f>
        <v/>
      </c>
      <c r="K21" s="323" t="str">
        <f ca="1">IFERROR(VLOOKUP(K$5,BEGIN_Renew_Dental_PLANID:END_RENEW_DENTAL,$A21,FALSE),"")</f>
        <v/>
      </c>
      <c r="L21" s="323" t="str">
        <f ca="1">IFERROR(VLOOKUP(L$5,BEGIN_Renew_Dental_PLANID:END_RENEW_DENTAL,$A21,FALSE),"")</f>
        <v/>
      </c>
    </row>
    <row r="22" spans="1:12" ht="13">
      <c r="A22" s="3">
        <v>32</v>
      </c>
      <c r="B22" s="346" t="s">
        <v>338</v>
      </c>
      <c r="C22" s="323" t="str">
        <f ca="1">IFERROR(VLOOKUP(C$5,BEGIN_Renew_Dental_PLANID:END_RENEW_DENTAL,$A22,FALSE),"")</f>
        <v/>
      </c>
      <c r="D22" s="323" t="str">
        <f ca="1">IFERROR(VLOOKUP(D$5,BEGIN_Renew_Dental_PLANID:END_RENEW_DENTAL,$A22,FALSE),"")</f>
        <v/>
      </c>
      <c r="E22" s="323" t="str">
        <f ca="1">IFERROR(VLOOKUP(E$5,BEGIN_Renew_Dental_PLANID:END_RENEW_DENTAL,$A22,FALSE),"")</f>
        <v/>
      </c>
      <c r="F22" s="323" t="str">
        <f ca="1">IFERROR(VLOOKUP(F$5,BEGIN_Renew_Dental_PLANID:END_RENEW_DENTAL,$A22,FALSE),"")</f>
        <v/>
      </c>
      <c r="G22" s="323" t="str">
        <f ca="1">IFERROR(VLOOKUP(G$5,BEGIN_Renew_Dental_PLANID:END_RENEW_DENTAL,$A22,FALSE),"")</f>
        <v/>
      </c>
      <c r="H22" s="323" t="str">
        <f ca="1">IFERROR(VLOOKUP(H$5,BEGIN_Renew_Dental_PLANID:END_RENEW_DENTAL,$A22,FALSE),"")</f>
        <v/>
      </c>
      <c r="I22" s="323" t="str">
        <f ca="1">IFERROR(VLOOKUP(I$5,BEGIN_Renew_Dental_PLANID:END_RENEW_DENTAL,$A22,FALSE),"")</f>
        <v/>
      </c>
      <c r="J22" s="323" t="str">
        <f ca="1">IFERROR(VLOOKUP(J$5,BEGIN_Renew_Dental_PLANID:END_RENEW_DENTAL,$A22,FALSE),"")</f>
        <v/>
      </c>
      <c r="K22" s="323" t="str">
        <f ca="1">IFERROR(VLOOKUP(K$5,BEGIN_Renew_Dental_PLANID:END_RENEW_DENTAL,$A22,FALSE),"")</f>
        <v/>
      </c>
      <c r="L22" s="323" t="str">
        <f ca="1">IFERROR(VLOOKUP(L$5,BEGIN_Renew_Dental_PLANID:END_RENEW_DENTAL,$A22,FALSE),"")</f>
        <v/>
      </c>
    </row>
    <row r="23" spans="1:12" ht="13">
      <c r="A23" s="3">
        <v>33</v>
      </c>
      <c r="B23" s="346" t="s">
        <v>350</v>
      </c>
      <c r="C23" s="323" t="str">
        <f ca="1">IFERROR(VLOOKUP(C$5,BEGIN_Renew_Dental_PLANID:END_RENEW_DENTAL,$A23,FALSE),"")</f>
        <v/>
      </c>
      <c r="D23" s="323" t="str">
        <f ca="1">IFERROR(VLOOKUP(D$5,BEGIN_Renew_Dental_PLANID:END_RENEW_DENTAL,$A23,FALSE),"")</f>
        <v/>
      </c>
      <c r="E23" s="323" t="str">
        <f ca="1">IFERROR(VLOOKUP(E$5,BEGIN_Renew_Dental_PLANID:END_RENEW_DENTAL,$A23,FALSE),"")</f>
        <v/>
      </c>
      <c r="F23" s="323" t="str">
        <f ca="1">IFERROR(VLOOKUP(F$5,BEGIN_Renew_Dental_PLANID:END_RENEW_DENTAL,$A23,FALSE),"")</f>
        <v/>
      </c>
      <c r="G23" s="323" t="str">
        <f ca="1">IFERROR(VLOOKUP(G$5,BEGIN_Renew_Dental_PLANID:END_RENEW_DENTAL,$A23,FALSE),"")</f>
        <v/>
      </c>
      <c r="H23" s="323" t="str">
        <f ca="1">IFERROR(VLOOKUP(H$5,BEGIN_Renew_Dental_PLANID:END_RENEW_DENTAL,$A23,FALSE),"")</f>
        <v/>
      </c>
      <c r="I23" s="323" t="str">
        <f ca="1">IFERROR(VLOOKUP(I$5,BEGIN_Renew_Dental_PLANID:END_RENEW_DENTAL,$A23,FALSE),"")</f>
        <v/>
      </c>
      <c r="J23" s="323" t="str">
        <f ca="1">IFERROR(VLOOKUP(J$5,BEGIN_Renew_Dental_PLANID:END_RENEW_DENTAL,$A23,FALSE),"")</f>
        <v/>
      </c>
      <c r="K23" s="323" t="str">
        <f ca="1">IFERROR(VLOOKUP(K$5,BEGIN_Renew_Dental_PLANID:END_RENEW_DENTAL,$A23,FALSE),"")</f>
        <v/>
      </c>
      <c r="L23" s="323" t="str">
        <f ca="1">IFERROR(VLOOKUP(L$5,BEGIN_Renew_Dental_PLANID:END_RENEW_DENTAL,$A23,FALSE),"")</f>
        <v/>
      </c>
    </row>
    <row r="24" spans="1:12" ht="13">
      <c r="A24" s="3">
        <v>34</v>
      </c>
      <c r="B24" s="346" t="s">
        <v>351</v>
      </c>
      <c r="C24" s="323" t="str">
        <f ca="1">IFERROR(VLOOKUP(C$5,BEGIN_Renew_Dental_PLANID:END_RENEW_DENTAL,$A24,FALSE),"")</f>
        <v/>
      </c>
      <c r="D24" s="323" t="str">
        <f ca="1">IFERROR(VLOOKUP(D$5,BEGIN_Renew_Dental_PLANID:END_RENEW_DENTAL,$A24,FALSE),"")</f>
        <v/>
      </c>
      <c r="E24" s="323" t="str">
        <f ca="1">IFERROR(VLOOKUP(E$5,BEGIN_Renew_Dental_PLANID:END_RENEW_DENTAL,$A24,FALSE),"")</f>
        <v/>
      </c>
      <c r="F24" s="323" t="str">
        <f ca="1">IFERROR(VLOOKUP(F$5,BEGIN_Renew_Dental_PLANID:END_RENEW_DENTAL,$A24,FALSE),"")</f>
        <v/>
      </c>
      <c r="G24" s="323" t="str">
        <f ca="1">IFERROR(VLOOKUP(G$5,BEGIN_Renew_Dental_PLANID:END_RENEW_DENTAL,$A24,FALSE),"")</f>
        <v/>
      </c>
      <c r="H24" s="323" t="str">
        <f ca="1">IFERROR(VLOOKUP(H$5,BEGIN_Renew_Dental_PLANID:END_RENEW_DENTAL,$A24,FALSE),"")</f>
        <v/>
      </c>
      <c r="I24" s="323" t="str">
        <f ca="1">IFERROR(VLOOKUP(I$5,BEGIN_Renew_Dental_PLANID:END_RENEW_DENTAL,$A24,FALSE),"")</f>
        <v/>
      </c>
      <c r="J24" s="323" t="str">
        <f ca="1">IFERROR(VLOOKUP(J$5,BEGIN_Renew_Dental_PLANID:END_RENEW_DENTAL,$A24,FALSE),"")</f>
        <v/>
      </c>
      <c r="K24" s="323" t="str">
        <f ca="1">IFERROR(VLOOKUP(K$5,BEGIN_Renew_Dental_PLANID:END_RENEW_DENTAL,$A24,FALSE),"")</f>
        <v/>
      </c>
      <c r="L24" s="323" t="str">
        <f ca="1">IFERROR(VLOOKUP(L$5,BEGIN_Renew_Dental_PLANID:END_RENEW_DENTAL,$A24,FALSE),"")</f>
        <v/>
      </c>
    </row>
    <row r="25" spans="1:12" ht="13">
      <c r="A25" s="3">
        <v>35</v>
      </c>
      <c r="B25" s="346" t="s">
        <v>352</v>
      </c>
      <c r="C25" s="323" t="str">
        <f ca="1">IFERROR(VLOOKUP(C$5,BEGIN_Renew_Dental_PLANID:END_RENEW_DENTAL,$A25,FALSE),"")</f>
        <v/>
      </c>
      <c r="D25" s="323" t="str">
        <f ca="1">IFERROR(VLOOKUP(D$5,BEGIN_Renew_Dental_PLANID:END_RENEW_DENTAL,$A25,FALSE),"")</f>
        <v/>
      </c>
      <c r="E25" s="323" t="str">
        <f ca="1">IFERROR(VLOOKUP(E$5,BEGIN_Renew_Dental_PLANID:END_RENEW_DENTAL,$A25,FALSE),"")</f>
        <v/>
      </c>
      <c r="F25" s="323" t="str">
        <f ca="1">IFERROR(VLOOKUP(F$5,BEGIN_Renew_Dental_PLANID:END_RENEW_DENTAL,$A25,FALSE),"")</f>
        <v/>
      </c>
      <c r="G25" s="323" t="str">
        <f ca="1">IFERROR(VLOOKUP(G$5,BEGIN_Renew_Dental_PLANID:END_RENEW_DENTAL,$A25,FALSE),"")</f>
        <v/>
      </c>
      <c r="H25" s="323" t="str">
        <f ca="1">IFERROR(VLOOKUP(H$5,BEGIN_Renew_Dental_PLANID:END_RENEW_DENTAL,$A25,FALSE),"")</f>
        <v/>
      </c>
      <c r="I25" s="323" t="str">
        <f ca="1">IFERROR(VLOOKUP(I$5,BEGIN_Renew_Dental_PLANID:END_RENEW_DENTAL,$A25,FALSE),"")</f>
        <v/>
      </c>
      <c r="J25" s="323" t="str">
        <f ca="1">IFERROR(VLOOKUP(J$5,BEGIN_Renew_Dental_PLANID:END_RENEW_DENTAL,$A25,FALSE),"")</f>
        <v/>
      </c>
      <c r="K25" s="323" t="str">
        <f ca="1">IFERROR(VLOOKUP(K$5,BEGIN_Renew_Dental_PLANID:END_RENEW_DENTAL,$A25,FALSE),"")</f>
        <v/>
      </c>
      <c r="L25" s="323" t="str">
        <f ca="1">IFERROR(VLOOKUP(L$5,BEGIN_Renew_Dental_PLANID:END_RENEW_DENTAL,$A25,FALSE),"")</f>
        <v/>
      </c>
    </row>
    <row r="26" spans="2:12" ht="13">
      <c r="B26"/>
      <c r="C26"/>
      <c r="D26"/>
      <c r="E26"/>
      <c r="F26"/>
      <c r="G26"/>
      <c r="H26"/>
      <c r="I26"/>
      <c r="J26"/>
      <c r="K26"/>
      <c r="L26"/>
    </row>
    <row r="27" spans="2:12" ht="13">
      <c r="B27"/>
      <c r="C27"/>
      <c r="D27"/>
      <c r="E27"/>
      <c r="F27"/>
      <c r="G27"/>
      <c r="H27"/>
      <c r="I27"/>
      <c r="J27"/>
      <c r="K27"/>
      <c r="L27"/>
    </row>
    <row r="28" spans="2:12" ht="13">
      <c r="B28"/>
      <c r="C28"/>
      <c r="D28"/>
      <c r="E28"/>
      <c r="F28"/>
      <c r="G28"/>
      <c r="H28"/>
      <c r="I28"/>
      <c r="J28"/>
      <c r="K28"/>
      <c r="L28"/>
    </row>
    <row r="29" spans="2:12" ht="13">
      <c r="B29"/>
      <c r="C29"/>
      <c r="D29"/>
      <c r="E29"/>
      <c r="F29"/>
      <c r="G29"/>
      <c r="H29"/>
      <c r="I29"/>
      <c r="J29"/>
      <c r="K29"/>
      <c r="L29"/>
    </row>
    <row r="30" spans="2:12" ht="13">
      <c r="B30"/>
      <c r="C30"/>
      <c r="D30"/>
      <c r="E30"/>
      <c r="F30"/>
      <c r="G30"/>
      <c r="H30"/>
      <c r="I30"/>
      <c r="J30"/>
      <c r="K30"/>
      <c r="L30"/>
    </row>
    <row r="31" spans="2:12" ht="13">
      <c r="B31"/>
      <c r="C31"/>
      <c r="D31"/>
      <c r="E31"/>
      <c r="F31"/>
      <c r="G31"/>
      <c r="H31"/>
      <c r="I31"/>
      <c r="J31"/>
      <c r="K31"/>
      <c r="L31"/>
    </row>
    <row r="32" spans="2:12" ht="13">
      <c r="B32"/>
      <c r="C32"/>
      <c r="D32"/>
      <c r="E32"/>
      <c r="F32"/>
      <c r="G32"/>
      <c r="H32"/>
      <c r="I32"/>
      <c r="J32"/>
      <c r="K32"/>
      <c r="L32"/>
    </row>
    <row r="33" spans="2:12" ht="13">
      <c r="B33"/>
      <c r="C33"/>
      <c r="D33"/>
      <c r="E33"/>
      <c r="F33"/>
      <c r="G33"/>
      <c r="H33"/>
      <c r="I33"/>
      <c r="J33"/>
      <c r="K33"/>
      <c r="L33"/>
    </row>
    <row r="34" spans="2:12" ht="13">
      <c r="B34"/>
      <c r="C34"/>
      <c r="D34"/>
      <c r="E34"/>
      <c r="F34"/>
      <c r="G34"/>
      <c r="H34"/>
      <c r="I34"/>
      <c r="J34"/>
      <c r="K34"/>
      <c r="L34"/>
    </row>
    <row r="35" spans="2:12" ht="13">
      <c r="B35"/>
      <c r="C35"/>
      <c r="D35"/>
      <c r="E35"/>
      <c r="F35"/>
      <c r="G35"/>
      <c r="H35"/>
      <c r="I35"/>
      <c r="J35"/>
      <c r="K35"/>
      <c r="L35"/>
    </row>
    <row r="36" spans="2:12" ht="13">
      <c r="B36"/>
      <c r="C36"/>
      <c r="D36"/>
      <c r="E36"/>
      <c r="F36"/>
      <c r="G36"/>
      <c r="H36"/>
      <c r="I36"/>
      <c r="J36"/>
      <c r="K36"/>
      <c r="L36"/>
    </row>
    <row r="37" spans="2:12" ht="13">
      <c r="B37"/>
      <c r="C37"/>
      <c r="D37"/>
      <c r="E37"/>
      <c r="F37"/>
      <c r="G37"/>
      <c r="H37"/>
      <c r="I37"/>
      <c r="J37"/>
      <c r="K37"/>
      <c r="L37"/>
    </row>
    <row r="38" spans="2:12" ht="13">
      <c r="B38"/>
      <c r="C38"/>
      <c r="D38"/>
      <c r="E38"/>
      <c r="F38"/>
      <c r="G38"/>
      <c r="H38"/>
      <c r="I38"/>
      <c r="J38"/>
      <c r="K38"/>
      <c r="L38"/>
    </row>
    <row r="39" spans="2:12" ht="13">
      <c r="B39"/>
      <c r="C39"/>
      <c r="D39"/>
      <c r="E39"/>
      <c r="F39"/>
      <c r="G39"/>
      <c r="H39"/>
      <c r="I39"/>
      <c r="J39"/>
      <c r="K39"/>
      <c r="L39"/>
    </row>
  </sheetData>
  <sheetProtection formatCells="0" formatColumns="0" deleteColumns="0" selectLockedCells="1"/>
  <conditionalFormatting sqref="C5:L5">
    <cfRule type="containsText" priority="1" dxfId="19" operator="containsText" text="METLIFE">
      <formula>NOT(ISERROR(SEARCH("METLIFE",C5)))</formula>
    </cfRule>
  </conditionalFormatting>
  <printOptions horizontalCentered="1"/>
  <pageMargins left="0.7" right="0.7" top="0.75" bottom="0.75" header="0.3" footer="0.3"/>
  <pageSetup orientation="landscape" paperSize="1" scale="9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98AAA3E0-CF1C-45C9-87E3-4AE0E0FD07BA}">
  <sheetPr codeName="Sheet11"/>
  <dimension ref="A1:L34"/>
  <sheetViews>
    <sheetView showZeros="0" workbookViewId="0" topLeftCell="A1">
      <pane xSplit="2" ySplit="5" topLeftCell="D6" activePane="bottomRight" state="frozen"/>
      <selection pane="topLeft" activeCell="A1" sqref="A1"/>
      <selection pane="bottomLeft" activeCell="B5" sqref="B5"/>
      <selection pane="topRight" activeCell="B5" sqref="B5"/>
      <selection pane="bottomRight" activeCell="L25" sqref="L25"/>
    </sheetView>
  </sheetViews>
  <sheetFormatPr defaultColWidth="8.79333333333333" defaultRowHeight="12.5"/>
  <cols>
    <col min="1" max="1" width="3.83333333333333" style="3" customWidth="1"/>
    <col min="2" max="2" width="36.3333333333333" style="3" customWidth="1"/>
    <col min="3" max="12" width="25.8333333333333" style="3" customWidth="1"/>
    <col min="13" max="16384" width="8.83333333333333" style="3"/>
  </cols>
  <sheetData>
    <row r="1" spans="2:12" ht="12.5">
      <c r="B1" s="3" t="s">
        <v>331</v>
      </c>
      <c r="C1" s="3">
        <v>1</v>
      </c>
      <c r="D1" s="3">
        <v>2</v>
      </c>
      <c r="E1" s="3">
        <v>3</v>
      </c>
      <c r="F1" s="3">
        <v>4</v>
      </c>
      <c r="G1" s="3">
        <v>5</v>
      </c>
      <c r="H1" s="3">
        <v>6</v>
      </c>
      <c r="I1" s="3">
        <v>7</v>
      </c>
      <c r="J1" s="3">
        <v>8</v>
      </c>
      <c r="K1" s="3">
        <v>9</v>
      </c>
      <c r="L1" s="3">
        <v>10</v>
      </c>
    </row>
    <row r="2" spans="2:12" ht="12.5">
      <c r="B2" s="334">
        <f>COUNTA(BEGIN_UniqueVisionPlans:Row_Unique_Vision_PlanCode)-1</f>
        <v>0</v>
      </c>
      <c r="C2" s="3" t="str">
        <f>IF(C1&gt;$B$2,"DELETE",C1)</f>
        <v>DELETE</v>
      </c>
      <c r="D2" s="3" t="str">
        <f t="shared" si="0" ref="D2:L2">IF(D1&gt;$B$2,"DELETE",D1)</f>
        <v>DELETE</v>
      </c>
      <c r="E2" s="3" t="str">
        <f t="shared" si="0"/>
        <v>DELETE</v>
      </c>
      <c r="F2" s="3" t="str">
        <f t="shared" si="0"/>
        <v>DELETE</v>
      </c>
      <c r="G2" s="3" t="str">
        <f t="shared" si="0"/>
        <v>DELETE</v>
      </c>
      <c r="H2" s="3" t="str">
        <f t="shared" si="0"/>
        <v>DELETE</v>
      </c>
      <c r="I2" s="3" t="str">
        <f t="shared" si="0"/>
        <v>DELETE</v>
      </c>
      <c r="J2" s="3" t="str">
        <f t="shared" si="0"/>
        <v>DELETE</v>
      </c>
      <c r="K2" s="3" t="str">
        <f t="shared" si="0"/>
        <v>DELETE</v>
      </c>
      <c r="L2" s="3" t="str">
        <f t="shared" si="0"/>
        <v>DELETE</v>
      </c>
    </row>
    <row r="3" spans="2:12" ht="12.5">
      <c r="B3" s="334"/>
      <c r="C3" s="3" t="str">
        <f ca="1">IF(RIGHT(C5,4)="-VOL","DELETE",C2)</f>
        <v>DELETE</v>
      </c>
      <c r="D3" s="3" t="str">
        <f ca="1" t="shared" si="1" ref="D3:L3">IF(RIGHT(D5,4)="-VOL","DELETE",D2)</f>
        <v>DELETE</v>
      </c>
      <c r="E3" s="3" t="str">
        <f t="shared" ca="1" si="1"/>
        <v>DELETE</v>
      </c>
      <c r="F3" s="3" t="str">
        <f t="shared" ca="1" si="1"/>
        <v>DELETE</v>
      </c>
      <c r="G3" s="3" t="str">
        <f t="shared" ca="1" si="1"/>
        <v>DELETE</v>
      </c>
      <c r="H3" s="3" t="str">
        <f t="shared" ca="1" si="1"/>
        <v>DELETE</v>
      </c>
      <c r="I3" s="3" t="str">
        <f t="shared" ca="1" si="1"/>
        <v>DELETE</v>
      </c>
      <c r="J3" s="3" t="str">
        <f t="shared" ca="1" si="1"/>
        <v>DELETE</v>
      </c>
      <c r="K3" s="3" t="str">
        <f t="shared" ca="1" si="1"/>
        <v>DELETE</v>
      </c>
      <c r="L3" s="3" t="str">
        <f t="shared" ca="1" si="1"/>
        <v>DELETE</v>
      </c>
    </row>
    <row r="4" spans="2:2" ht="12.5">
      <c r="B4" s="334"/>
    </row>
    <row r="5" spans="1:12" s="260" customFormat="1" ht="36" customHeight="1">
      <c r="A5" s="335" t="s">
        <v>332</v>
      </c>
      <c r="B5" s="342" t="s">
        <v>38</v>
      </c>
      <c r="C5" s="336" t="str" cm="1">
        <f t="array" ca="1" aca="1" ref="C5">IFERROR(INDIRECT("ClassesPlans!A"&amp;ROW(BEGIN_UniqueVisionPlans)+C2,TRUE),"")</f>
        <v/>
      </c>
      <c r="D5" s="336" t="str" cm="1">
        <f t="array" ca="1" aca="1" ref="D5">IFERROR(INDIRECT("ClassesPlans!A"&amp;ROW(BEGIN_UniqueVisionPlans)+D2,TRUE),"")</f>
        <v/>
      </c>
      <c r="E5" s="336" t="str" cm="1">
        <f t="array" ca="1" aca="1" ref="E5">IFERROR(INDIRECT("ClassesPlans!A"&amp;ROW(BEGIN_UniqueVisionPlans)+E2,TRUE),"")</f>
        <v/>
      </c>
      <c r="F5" s="336" t="str" cm="1">
        <f t="array" ca="1" aca="1" ref="F5">IFERROR(INDIRECT("ClassesPlans!A"&amp;ROW(BEGIN_UniqueVisionPlans)+F2,TRUE),"")</f>
        <v/>
      </c>
      <c r="G5" s="336" t="str" cm="1">
        <f t="array" ca="1" aca="1" ref="G5">IFERROR(INDIRECT("ClassesPlans!A"&amp;ROW(BEGIN_UniqueVisionPlans)+G2,TRUE),"")</f>
        <v/>
      </c>
      <c r="H5" s="336" t="str" cm="1">
        <f t="array" ca="1" aca="1" ref="H5">IFERROR(INDIRECT("ClassesPlans!A"&amp;ROW(BEGIN_UniqueVisionPlans)+H2,TRUE),"")</f>
        <v/>
      </c>
      <c r="I5" s="336" t="str" cm="1">
        <f t="array" ca="1" aca="1" ref="I5">IFERROR(INDIRECT("ClassesPlans!A"&amp;ROW(BEGIN_UniqueVisionPlans)+I2,TRUE),"")</f>
        <v/>
      </c>
      <c r="J5" s="336" t="str" cm="1">
        <f t="array" ca="1" aca="1" ref="J5">IFERROR(INDIRECT("ClassesPlans!A"&amp;ROW(BEGIN_UniqueVisionPlans)+J2,TRUE),"")</f>
        <v/>
      </c>
      <c r="K5" s="336" t="str" cm="1">
        <f t="array" ca="1" aca="1" ref="K5">IFERROR(INDIRECT("ClassesPlans!A"&amp;ROW(BEGIN_UniqueVisionPlans)+K2,TRUE),"")</f>
        <v/>
      </c>
      <c r="L5" s="336" t="str" cm="1">
        <f t="array" ca="1" aca="1" ref="L5">IFERROR(INDIRECT("ClassesPlans!A"&amp;ROW(BEGIN_UniqueVisionPlans)+L2,TRUE),"")</f>
        <v/>
      </c>
    </row>
    <row r="6" spans="2:12" ht="12.5">
      <c r="B6" s="344" t="s">
        <v>333</v>
      </c>
      <c r="C6" s="337"/>
      <c r="D6" s="337"/>
      <c r="E6" s="337"/>
      <c r="F6" s="337"/>
      <c r="G6" s="337"/>
      <c r="H6" s="337"/>
      <c r="I6" s="337"/>
      <c r="J6" s="337"/>
      <c r="K6" s="337"/>
      <c r="L6" s="337"/>
    </row>
    <row r="7" spans="1:12" ht="12.5">
      <c r="A7" s="3">
        <v>9</v>
      </c>
      <c r="B7" s="343" t="s">
        <v>238</v>
      </c>
      <c r="C7" s="322" t="str">
        <f ca="1">IFERROR(VLOOKUP(C$5,BEGIN_Renew_Vision_PlanID:END_RENEW_VISION,$A7,FALSE),"")</f>
        <v/>
      </c>
      <c r="D7" s="322" t="str">
        <f ca="1">IFERROR(VLOOKUP(D$5,BEGIN_Renew_Vision_PlanID:END_RENEW_VISION,$A7,FALSE),"")</f>
        <v/>
      </c>
      <c r="E7" s="322" t="str">
        <f ca="1">IFERROR(VLOOKUP(E$5,BEGIN_Renew_Vision_PlanID:END_RENEW_VISION,$A7,FALSE),"")</f>
        <v/>
      </c>
      <c r="F7" s="322" t="str">
        <f ca="1">IFERROR(VLOOKUP(F$5,BEGIN_Renew_Vision_PlanID:END_RENEW_VISION,$A7,FALSE),"")</f>
        <v/>
      </c>
      <c r="G7" s="322" t="str">
        <f ca="1">IFERROR(VLOOKUP(G$5,BEGIN_Renew_Vision_PlanID:END_RENEW_VISION,$A7,FALSE),"")</f>
        <v/>
      </c>
      <c r="H7" s="322" t="str">
        <f ca="1">IFERROR(VLOOKUP(H$5,BEGIN_Renew_Vision_PlanID:END_RENEW_VISION,$A7,FALSE),"")</f>
        <v/>
      </c>
      <c r="I7" s="322" t="str">
        <f ca="1">IFERROR(VLOOKUP(I$5,BEGIN_Renew_Vision_PlanID:END_RENEW_VISION,$A7,FALSE),"")</f>
        <v/>
      </c>
      <c r="J7" s="322" t="str">
        <f ca="1">IFERROR(VLOOKUP(J$5,BEGIN_Renew_Vision_PlanID:END_RENEW_VISION,$A7,FALSE),"")</f>
        <v/>
      </c>
      <c r="K7" s="322" t="str">
        <f ca="1">IFERROR(VLOOKUP(K$5,BEGIN_Renew_Vision_PlanID:END_RENEW_VISION,$A7,FALSE),"")</f>
        <v/>
      </c>
      <c r="L7" s="322" t="str">
        <f ca="1">IFERROR(VLOOKUP(L$5,BEGIN_Renew_Vision_PlanID:END_RENEW_VISION,$A7,FALSE),"")</f>
        <v/>
      </c>
    </row>
    <row r="8" spans="1:12" ht="12.5">
      <c r="A8" s="3">
        <v>10</v>
      </c>
      <c r="B8" s="343" t="s">
        <v>239</v>
      </c>
      <c r="C8" s="322" t="str">
        <f ca="1">IFERROR(VLOOKUP(C$5,BEGIN_Renew_Vision_PlanID:END_RENEW_VISION,$A8,FALSE),"")</f>
        <v/>
      </c>
      <c r="D8" s="322" t="str">
        <f ca="1">IFERROR(VLOOKUP(D$5,BEGIN_Renew_Vision_PlanID:END_RENEW_VISION,$A8,FALSE),"")</f>
        <v/>
      </c>
      <c r="E8" s="322" t="str">
        <f ca="1">IFERROR(VLOOKUP(E$5,BEGIN_Renew_Vision_PlanID:END_RENEW_VISION,$A8,FALSE),"")</f>
        <v/>
      </c>
      <c r="F8" s="322" t="str">
        <f ca="1">IFERROR(VLOOKUP(F$5,BEGIN_Renew_Vision_PlanID:END_RENEW_VISION,$A8,FALSE),"")</f>
        <v/>
      </c>
      <c r="G8" s="322" t="str">
        <f ca="1">IFERROR(VLOOKUP(G$5,BEGIN_Renew_Vision_PlanID:END_RENEW_VISION,$A8,FALSE),"")</f>
        <v/>
      </c>
      <c r="H8" s="322" t="str">
        <f ca="1">IFERROR(VLOOKUP(H$5,BEGIN_Renew_Vision_PlanID:END_RENEW_VISION,$A8,FALSE),"")</f>
        <v/>
      </c>
      <c r="I8" s="322" t="str">
        <f ca="1">IFERROR(VLOOKUP(I$5,BEGIN_Renew_Vision_PlanID:END_RENEW_VISION,$A8,FALSE),"")</f>
        <v/>
      </c>
      <c r="J8" s="322" t="str">
        <f ca="1">IFERROR(VLOOKUP(J$5,BEGIN_Renew_Vision_PlanID:END_RENEW_VISION,$A8,FALSE),"")</f>
        <v/>
      </c>
      <c r="K8" s="322" t="str">
        <f ca="1">IFERROR(VLOOKUP(K$5,BEGIN_Renew_Vision_PlanID:END_RENEW_VISION,$A8,FALSE),"")</f>
        <v/>
      </c>
      <c r="L8" s="322" t="str">
        <f ca="1">IFERROR(VLOOKUP(L$5,BEGIN_Renew_Vision_PlanID:END_RENEW_VISION,$A8,FALSE),"")</f>
        <v/>
      </c>
    </row>
    <row r="9" spans="1:12" ht="12.5">
      <c r="A9" s="3">
        <v>11</v>
      </c>
      <c r="B9" s="343" t="s">
        <v>334</v>
      </c>
      <c r="C9" s="322" t="str">
        <f ca="1">IFERROR(VLOOKUP(C$5,BEGIN_Renew_Vision_PlanID:END_RENEW_VISION,$A9,FALSE),"")</f>
        <v/>
      </c>
      <c r="D9" s="322" t="str">
        <f ca="1">IFERROR(VLOOKUP(D$5,BEGIN_Renew_Vision_PlanID:END_RENEW_VISION,$A9,FALSE),"")</f>
        <v/>
      </c>
      <c r="E9" s="322" t="str">
        <f ca="1">IFERROR(VLOOKUP(E$5,BEGIN_Renew_Vision_PlanID:END_RENEW_VISION,$A9,FALSE),"")</f>
        <v/>
      </c>
      <c r="F9" s="322" t="str">
        <f ca="1">IFERROR(VLOOKUP(F$5,BEGIN_Renew_Vision_PlanID:END_RENEW_VISION,$A9,FALSE),"")</f>
        <v/>
      </c>
      <c r="G9" s="322" t="str">
        <f ca="1">IFERROR(VLOOKUP(G$5,BEGIN_Renew_Vision_PlanID:END_RENEW_VISION,$A9,FALSE),"")</f>
        <v/>
      </c>
      <c r="H9" s="322" t="str">
        <f ca="1">IFERROR(VLOOKUP(H$5,BEGIN_Renew_Vision_PlanID:END_RENEW_VISION,$A9,FALSE),"")</f>
        <v/>
      </c>
      <c r="I9" s="322" t="str">
        <f ca="1">IFERROR(VLOOKUP(I$5,BEGIN_Renew_Vision_PlanID:END_RENEW_VISION,$A9,FALSE),"")</f>
        <v/>
      </c>
      <c r="J9" s="322" t="str">
        <f ca="1">IFERROR(VLOOKUP(J$5,BEGIN_Renew_Vision_PlanID:END_RENEW_VISION,$A9,FALSE),"")</f>
        <v/>
      </c>
      <c r="K9" s="322" t="str">
        <f ca="1">IFERROR(VLOOKUP(K$5,BEGIN_Renew_Vision_PlanID:END_RENEW_VISION,$A9,FALSE),"")</f>
        <v/>
      </c>
      <c r="L9" s="322" t="str">
        <f ca="1">IFERROR(VLOOKUP(L$5,BEGIN_Renew_Vision_PlanID:END_RENEW_VISION,$A9,FALSE),"")</f>
        <v/>
      </c>
    </row>
    <row r="10" spans="1:12" ht="12.5">
      <c r="A10" s="3">
        <v>13</v>
      </c>
      <c r="B10" s="343" t="s">
        <v>335</v>
      </c>
      <c r="C10" s="322" t="str">
        <f ca="1">IFERROR(VLOOKUP(C$5,BEGIN_Renew_Vision_PlanID:END_RENEW_VISION,$A10,FALSE),"")</f>
        <v/>
      </c>
      <c r="D10" s="322" t="str">
        <f ca="1">IFERROR(VLOOKUP(D$5,BEGIN_Renew_Vision_PlanID:END_RENEW_VISION,$A10,FALSE),"")</f>
        <v/>
      </c>
      <c r="E10" s="322" t="str">
        <f ca="1">IFERROR(VLOOKUP(E$5,BEGIN_Renew_Vision_PlanID:END_RENEW_VISION,$A10,FALSE),"")</f>
        <v/>
      </c>
      <c r="F10" s="322" t="str">
        <f ca="1">IFERROR(VLOOKUP(F$5,BEGIN_Renew_Vision_PlanID:END_RENEW_VISION,$A10,FALSE),"")</f>
        <v/>
      </c>
      <c r="G10" s="322" t="str">
        <f ca="1">IFERROR(VLOOKUP(G$5,BEGIN_Renew_Vision_PlanID:END_RENEW_VISION,$A10,FALSE),"")</f>
        <v/>
      </c>
      <c r="H10" s="322" t="str">
        <f ca="1">IFERROR(VLOOKUP(H$5,BEGIN_Renew_Vision_PlanID:END_RENEW_VISION,$A10,FALSE),"")</f>
        <v/>
      </c>
      <c r="I10" s="322" t="str">
        <f ca="1">IFERROR(VLOOKUP(I$5,BEGIN_Renew_Vision_PlanID:END_RENEW_VISION,$A10,FALSE),"")</f>
        <v/>
      </c>
      <c r="J10" s="322" t="str">
        <f ca="1">IFERROR(VLOOKUP(J$5,BEGIN_Renew_Vision_PlanID:END_RENEW_VISION,$A10,FALSE),"")</f>
        <v/>
      </c>
      <c r="K10" s="322" t="str">
        <f ca="1">IFERROR(VLOOKUP(K$5,BEGIN_Renew_Vision_PlanID:END_RENEW_VISION,$A10,FALSE),"")</f>
        <v/>
      </c>
      <c r="L10" s="322" t="str">
        <f ca="1">IFERROR(VLOOKUP(L$5,BEGIN_Renew_Vision_PlanID:END_RENEW_VISION,$A10,FALSE),"")</f>
        <v/>
      </c>
    </row>
    <row r="11" spans="2:12" ht="12.5">
      <c r="B11" s="344" t="s">
        <v>354</v>
      </c>
      <c r="C11" s="337"/>
      <c r="D11" s="337"/>
      <c r="E11" s="337"/>
      <c r="F11" s="337"/>
      <c r="G11" s="337"/>
      <c r="H11" s="337"/>
      <c r="I11" s="337"/>
      <c r="J11" s="337"/>
      <c r="K11" s="337"/>
      <c r="L11" s="337"/>
    </row>
    <row r="12" spans="1:12" ht="12.5">
      <c r="A12" s="3">
        <v>24</v>
      </c>
      <c r="B12" s="346" t="s">
        <v>355</v>
      </c>
      <c r="C12" s="323" t="str">
        <f ca="1">IFERROR(VLOOKUP(C$5,BEGIN_Renew_Vision_PlanID:END_RENEW_VISION,$A12,FALSE),"")</f>
        <v/>
      </c>
      <c r="D12" s="323" t="str">
        <f ca="1">IFERROR(VLOOKUP(D$5,BEGIN_Renew_Vision_PlanID:END_RENEW_VISION,$A12,FALSE),"")</f>
        <v/>
      </c>
      <c r="E12" s="323" t="str">
        <f ca="1">IFERROR(VLOOKUP(E$5,BEGIN_Renew_Vision_PlanID:END_RENEW_VISION,$A12,FALSE),"")</f>
        <v/>
      </c>
      <c r="F12" s="323" t="str">
        <f ca="1">IFERROR(VLOOKUP(F$5,BEGIN_Renew_Vision_PlanID:END_RENEW_VISION,$A12,FALSE),"")</f>
        <v/>
      </c>
      <c r="G12" s="323" t="str">
        <f ca="1">IFERROR(VLOOKUP(G$5,BEGIN_Renew_Vision_PlanID:END_RENEW_VISION,$A12,FALSE),"")</f>
        <v/>
      </c>
      <c r="H12" s="323" t="str">
        <f ca="1">IFERROR(VLOOKUP(H$5,BEGIN_Renew_Vision_PlanID:END_RENEW_VISION,$A12,FALSE),"")</f>
        <v/>
      </c>
      <c r="I12" s="323" t="str">
        <f ca="1">IFERROR(VLOOKUP(I$5,BEGIN_Renew_Vision_PlanID:END_RENEW_VISION,$A12,FALSE),"")</f>
        <v/>
      </c>
      <c r="J12" s="323" t="str">
        <f ca="1">IFERROR(VLOOKUP(J$5,BEGIN_Renew_Vision_PlanID:END_RENEW_VISION,$A12,FALSE),"")</f>
        <v/>
      </c>
      <c r="K12" s="323" t="str">
        <f ca="1">IFERROR(VLOOKUP(K$5,BEGIN_Renew_Vision_PlanID:END_RENEW_VISION,$A12,FALSE),"")</f>
        <v/>
      </c>
      <c r="L12" s="323" t="str">
        <f ca="1">IFERROR(VLOOKUP(L$5,BEGIN_Renew_Vision_PlanID:END_RENEW_VISION,$A12,FALSE),"")</f>
        <v/>
      </c>
    </row>
    <row r="13" spans="1:12" ht="12.5">
      <c r="A13" s="3">
        <v>25</v>
      </c>
      <c r="B13" s="346" t="s">
        <v>356</v>
      </c>
      <c r="C13" s="323" t="str">
        <f ca="1">IFERROR(VLOOKUP(C$5,BEGIN_Renew_Vision_PlanID:END_RENEW_VISION,$A13,FALSE),"")</f>
        <v/>
      </c>
      <c r="D13" s="323" t="str">
        <f ca="1">IFERROR(VLOOKUP(D$5,BEGIN_Renew_Vision_PlanID:END_RENEW_VISION,$A13,FALSE),"")</f>
        <v/>
      </c>
      <c r="E13" s="323" t="str">
        <f ca="1">IFERROR(VLOOKUP(E$5,BEGIN_Renew_Vision_PlanID:END_RENEW_VISION,$A13,FALSE),"")</f>
        <v/>
      </c>
      <c r="F13" s="323" t="str">
        <f ca="1">IFERROR(VLOOKUP(F$5,BEGIN_Renew_Vision_PlanID:END_RENEW_VISION,$A13,FALSE),"")</f>
        <v/>
      </c>
      <c r="G13" s="323" t="str">
        <f ca="1">IFERROR(VLOOKUP(G$5,BEGIN_Renew_Vision_PlanID:END_RENEW_VISION,$A13,FALSE),"")</f>
        <v/>
      </c>
      <c r="H13" s="323" t="str">
        <f ca="1">IFERROR(VLOOKUP(H$5,BEGIN_Renew_Vision_PlanID:END_RENEW_VISION,$A13,FALSE),"")</f>
        <v/>
      </c>
      <c r="I13" s="323" t="str">
        <f ca="1">IFERROR(VLOOKUP(I$5,BEGIN_Renew_Vision_PlanID:END_RENEW_VISION,$A13,FALSE),"")</f>
        <v/>
      </c>
      <c r="J13" s="323" t="str">
        <f ca="1">IFERROR(VLOOKUP(J$5,BEGIN_Renew_Vision_PlanID:END_RENEW_VISION,$A13,FALSE),"")</f>
        <v/>
      </c>
      <c r="K13" s="323" t="str">
        <f ca="1">IFERROR(VLOOKUP(K$5,BEGIN_Renew_Vision_PlanID:END_RENEW_VISION,$A13,FALSE),"")</f>
        <v/>
      </c>
      <c r="L13" s="323" t="str">
        <f ca="1">IFERROR(VLOOKUP(L$5,BEGIN_Renew_Vision_PlanID:END_RENEW_VISION,$A13,FALSE),"")</f>
        <v/>
      </c>
    </row>
    <row r="14" spans="1:12" ht="12.5">
      <c r="A14" s="3">
        <v>26</v>
      </c>
      <c r="B14" s="346" t="s">
        <v>357</v>
      </c>
      <c r="C14" s="323" t="str">
        <f ca="1">IFERROR(VLOOKUP(C$5,BEGIN_Renew_Vision_PlanID:END_RENEW_VISION,$A14,FALSE),"")</f>
        <v/>
      </c>
      <c r="D14" s="323" t="str">
        <f ca="1">IFERROR(VLOOKUP(D$5,BEGIN_Renew_Vision_PlanID:END_RENEW_VISION,$A14,FALSE),"")</f>
        <v/>
      </c>
      <c r="E14" s="323" t="str">
        <f ca="1">IFERROR(VLOOKUP(E$5,BEGIN_Renew_Vision_PlanID:END_RENEW_VISION,$A14,FALSE),"")</f>
        <v/>
      </c>
      <c r="F14" s="323" t="str">
        <f ca="1">IFERROR(VLOOKUP(F$5,BEGIN_Renew_Vision_PlanID:END_RENEW_VISION,$A14,FALSE),"")</f>
        <v/>
      </c>
      <c r="G14" s="323" t="str">
        <f ca="1">IFERROR(VLOOKUP(G$5,BEGIN_Renew_Vision_PlanID:END_RENEW_VISION,$A14,FALSE),"")</f>
        <v/>
      </c>
      <c r="H14" s="323" t="str">
        <f ca="1">IFERROR(VLOOKUP(H$5,BEGIN_Renew_Vision_PlanID:END_RENEW_VISION,$A14,FALSE),"")</f>
        <v/>
      </c>
      <c r="I14" s="323" t="str">
        <f ca="1">IFERROR(VLOOKUP(I$5,BEGIN_Renew_Vision_PlanID:END_RENEW_VISION,$A14,FALSE),"")</f>
        <v/>
      </c>
      <c r="J14" s="323" t="str">
        <f ca="1">IFERROR(VLOOKUP(J$5,BEGIN_Renew_Vision_PlanID:END_RENEW_VISION,$A14,FALSE),"")</f>
        <v/>
      </c>
      <c r="K14" s="323" t="str">
        <f ca="1">IFERROR(VLOOKUP(K$5,BEGIN_Renew_Vision_PlanID:END_RENEW_VISION,$A14,FALSE),"")</f>
        <v/>
      </c>
      <c r="L14" s="323" t="str">
        <f ca="1">IFERROR(VLOOKUP(L$5,BEGIN_Renew_Vision_PlanID:END_RENEW_VISION,$A14,FALSE),"")</f>
        <v/>
      </c>
    </row>
    <row r="15" spans="2:12" s="110" customFormat="1" ht="12.5">
      <c r="B15" s="339" t="s">
        <v>358</v>
      </c>
      <c r="C15" s="333"/>
      <c r="D15" s="333"/>
      <c r="E15" s="333"/>
      <c r="F15" s="333"/>
      <c r="G15" s="333"/>
      <c r="H15" s="333"/>
      <c r="I15" s="333"/>
      <c r="J15" s="333"/>
      <c r="K15" s="333"/>
      <c r="L15" s="333"/>
    </row>
    <row r="16" spans="1:12" ht="12.5">
      <c r="A16" s="3">
        <v>30</v>
      </c>
      <c r="B16" s="346" t="s">
        <v>359</v>
      </c>
      <c r="C16" s="323" t="str">
        <f ca="1">IFERROR(VLOOKUP(C$5,BEGIN_Renew_Vision_PlanID:END_RENEW_VISION,$A16,FALSE),"")</f>
        <v/>
      </c>
      <c r="D16" s="323" t="str">
        <f ca="1">IFERROR(VLOOKUP(D$5,BEGIN_Renew_Vision_PlanID:END_RENEW_VISION,$A16,FALSE),"")</f>
        <v/>
      </c>
      <c r="E16" s="323" t="str">
        <f ca="1">IFERROR(VLOOKUP(E$5,BEGIN_Renew_Vision_PlanID:END_RENEW_VISION,$A16,FALSE),"")</f>
        <v/>
      </c>
      <c r="F16" s="323" t="str">
        <f ca="1">IFERROR(VLOOKUP(F$5,BEGIN_Renew_Vision_PlanID:END_RENEW_VISION,$A16,FALSE),"")</f>
        <v/>
      </c>
      <c r="G16" s="323" t="str">
        <f ca="1">IFERROR(VLOOKUP(G$5,BEGIN_Renew_Vision_PlanID:END_RENEW_VISION,$A16,FALSE),"")</f>
        <v/>
      </c>
      <c r="H16" s="323" t="str">
        <f ca="1">IFERROR(VLOOKUP(H$5,BEGIN_Renew_Vision_PlanID:END_RENEW_VISION,$A16,FALSE),"")</f>
        <v/>
      </c>
      <c r="I16" s="323" t="str">
        <f ca="1">IFERROR(VLOOKUP(I$5,BEGIN_Renew_Vision_PlanID:END_RENEW_VISION,$A16,FALSE),"")</f>
        <v/>
      </c>
      <c r="J16" s="323" t="str">
        <f ca="1">IFERROR(VLOOKUP(J$5,BEGIN_Renew_Vision_PlanID:END_RENEW_VISION,$A16,FALSE),"")</f>
        <v/>
      </c>
      <c r="K16" s="323" t="str">
        <f ca="1">IFERROR(VLOOKUP(K$5,BEGIN_Renew_Vision_PlanID:END_RENEW_VISION,$A16,FALSE),"")</f>
        <v/>
      </c>
      <c r="L16" s="323" t="str">
        <f ca="1">IFERROR(VLOOKUP(L$5,BEGIN_Renew_Vision_PlanID:END_RENEW_VISION,$A16,FALSE),"")</f>
        <v/>
      </c>
    </row>
    <row r="17" spans="1:12" ht="12.5">
      <c r="A17" s="3">
        <v>31</v>
      </c>
      <c r="B17" s="346" t="s">
        <v>360</v>
      </c>
      <c r="C17" s="323" t="str">
        <f ca="1">IFERROR(VLOOKUP(C$5,BEGIN_Renew_Vision_PlanID:END_RENEW_VISION,$A17,FALSE),"")</f>
        <v/>
      </c>
      <c r="D17" s="323" t="str">
        <f ca="1">IFERROR(VLOOKUP(D$5,BEGIN_Renew_Vision_PlanID:END_RENEW_VISION,$A17,FALSE),"")</f>
        <v/>
      </c>
      <c r="E17" s="323" t="str">
        <f ca="1">IFERROR(VLOOKUP(E$5,BEGIN_Renew_Vision_PlanID:END_RENEW_VISION,$A17,FALSE),"")</f>
        <v/>
      </c>
      <c r="F17" s="323" t="str">
        <f ca="1">IFERROR(VLOOKUP(F$5,BEGIN_Renew_Vision_PlanID:END_RENEW_VISION,$A17,FALSE),"")</f>
        <v/>
      </c>
      <c r="G17" s="323" t="str">
        <f ca="1">IFERROR(VLOOKUP(G$5,BEGIN_Renew_Vision_PlanID:END_RENEW_VISION,$A17,FALSE),"")</f>
        <v/>
      </c>
      <c r="H17" s="323" t="str">
        <f ca="1">IFERROR(VLOOKUP(H$5,BEGIN_Renew_Vision_PlanID:END_RENEW_VISION,$A17,FALSE),"")</f>
        <v/>
      </c>
      <c r="I17" s="323" t="str">
        <f ca="1">IFERROR(VLOOKUP(I$5,BEGIN_Renew_Vision_PlanID:END_RENEW_VISION,$A17,FALSE),"")</f>
        <v/>
      </c>
      <c r="J17" s="323" t="str">
        <f ca="1">IFERROR(VLOOKUP(J$5,BEGIN_Renew_Vision_PlanID:END_RENEW_VISION,$A17,FALSE),"")</f>
        <v/>
      </c>
      <c r="K17" s="323" t="str">
        <f ca="1">IFERROR(VLOOKUP(K$5,BEGIN_Renew_Vision_PlanID:END_RENEW_VISION,$A17,FALSE),"")</f>
        <v/>
      </c>
      <c r="L17" s="323" t="str">
        <f ca="1">IFERROR(VLOOKUP(L$5,BEGIN_Renew_Vision_PlanID:END_RENEW_VISION,$A17,FALSE),"")</f>
        <v/>
      </c>
    </row>
    <row r="18" spans="1:12" ht="12.5">
      <c r="A18" s="3">
        <v>32</v>
      </c>
      <c r="B18" s="346" t="s">
        <v>361</v>
      </c>
      <c r="C18" s="323" t="str">
        <f ca="1">IFERROR(VLOOKUP(C$5,BEGIN_Renew_Vision_PlanID:END_RENEW_VISION,$A18,FALSE),"")</f>
        <v/>
      </c>
      <c r="D18" s="323" t="str">
        <f ca="1">IFERROR(VLOOKUP(D$5,BEGIN_Renew_Vision_PlanID:END_RENEW_VISION,$A18,FALSE),"")</f>
        <v/>
      </c>
      <c r="E18" s="323" t="str">
        <f ca="1">IFERROR(VLOOKUP(E$5,BEGIN_Renew_Vision_PlanID:END_RENEW_VISION,$A18,FALSE),"")</f>
        <v/>
      </c>
      <c r="F18" s="323" t="str">
        <f ca="1">IFERROR(VLOOKUP(F$5,BEGIN_Renew_Vision_PlanID:END_RENEW_VISION,$A18,FALSE),"")</f>
        <v/>
      </c>
      <c r="G18" s="323" t="str">
        <f ca="1">IFERROR(VLOOKUP(G$5,BEGIN_Renew_Vision_PlanID:END_RENEW_VISION,$A18,FALSE),"")</f>
        <v/>
      </c>
      <c r="H18" s="323" t="str">
        <f ca="1">IFERROR(VLOOKUP(H$5,BEGIN_Renew_Vision_PlanID:END_RENEW_VISION,$A18,FALSE),"")</f>
        <v/>
      </c>
      <c r="I18" s="323" t="str">
        <f ca="1">IFERROR(VLOOKUP(I$5,BEGIN_Renew_Vision_PlanID:END_RENEW_VISION,$A18,FALSE),"")</f>
        <v/>
      </c>
      <c r="J18" s="323" t="str">
        <f ca="1">IFERROR(VLOOKUP(J$5,BEGIN_Renew_Vision_PlanID:END_RENEW_VISION,$A18,FALSE),"")</f>
        <v/>
      </c>
      <c r="K18" s="323" t="str">
        <f ca="1">IFERROR(VLOOKUP(K$5,BEGIN_Renew_Vision_PlanID:END_RENEW_VISION,$A18,FALSE),"")</f>
        <v/>
      </c>
      <c r="L18" s="323" t="str">
        <f ca="1">IFERROR(VLOOKUP(L$5,BEGIN_Renew_Vision_PlanID:END_RENEW_VISION,$A18,FALSE),"")</f>
        <v/>
      </c>
    </row>
    <row r="19" spans="1:12" ht="12.5">
      <c r="A19" s="3">
        <v>33</v>
      </c>
      <c r="B19" s="346" t="s">
        <v>362</v>
      </c>
      <c r="C19" s="323" t="str">
        <f ca="1">IFERROR(VLOOKUP(C$5,BEGIN_Renew_Vision_PlanID:END_RENEW_VISION,$A19,FALSE),"")</f>
        <v/>
      </c>
      <c r="D19" s="323" t="str">
        <f ca="1">IFERROR(VLOOKUP(D$5,BEGIN_Renew_Vision_PlanID:END_RENEW_VISION,$A19,FALSE),"")</f>
        <v/>
      </c>
      <c r="E19" s="323" t="str">
        <f ca="1">IFERROR(VLOOKUP(E$5,BEGIN_Renew_Vision_PlanID:END_RENEW_VISION,$A19,FALSE),"")</f>
        <v/>
      </c>
      <c r="F19" s="323" t="str">
        <f ca="1">IFERROR(VLOOKUP(F$5,BEGIN_Renew_Vision_PlanID:END_RENEW_VISION,$A19,FALSE),"")</f>
        <v/>
      </c>
      <c r="G19" s="323" t="str">
        <f ca="1">IFERROR(VLOOKUP(G$5,BEGIN_Renew_Vision_PlanID:END_RENEW_VISION,$A19,FALSE),"")</f>
        <v/>
      </c>
      <c r="H19" s="323" t="str">
        <f ca="1">IFERROR(VLOOKUP(H$5,BEGIN_Renew_Vision_PlanID:END_RENEW_VISION,$A19,FALSE),"")</f>
        <v/>
      </c>
      <c r="I19" s="323" t="str">
        <f ca="1">IFERROR(VLOOKUP(I$5,BEGIN_Renew_Vision_PlanID:END_RENEW_VISION,$A19,FALSE),"")</f>
        <v/>
      </c>
      <c r="J19" s="323" t="str">
        <f ca="1">IFERROR(VLOOKUP(J$5,BEGIN_Renew_Vision_PlanID:END_RENEW_VISION,$A19,FALSE),"")</f>
        <v/>
      </c>
      <c r="K19" s="323" t="str">
        <f ca="1">IFERROR(VLOOKUP(K$5,BEGIN_Renew_Vision_PlanID:END_RENEW_VISION,$A19,FALSE),"")</f>
        <v/>
      </c>
      <c r="L19" s="323" t="str">
        <f ca="1">IFERROR(VLOOKUP(L$5,BEGIN_Renew_Vision_PlanID:END_RENEW_VISION,$A19,FALSE),"")</f>
        <v/>
      </c>
    </row>
    <row r="20" spans="1:12" ht="12.5">
      <c r="A20" s="3">
        <v>34</v>
      </c>
      <c r="B20" s="346" t="s">
        <v>363</v>
      </c>
      <c r="C20" s="323" t="str">
        <f ca="1">IFERROR(VLOOKUP(C$5,BEGIN_Renew_Vision_PlanID:END_RENEW_VISION,$A20,FALSE),"")</f>
        <v/>
      </c>
      <c r="D20" s="323" t="str">
        <f ca="1">IFERROR(VLOOKUP(D$5,BEGIN_Renew_Vision_PlanID:END_RENEW_VISION,$A20,FALSE),"")</f>
        <v/>
      </c>
      <c r="E20" s="323" t="str">
        <f ca="1">IFERROR(VLOOKUP(E$5,BEGIN_Renew_Vision_PlanID:END_RENEW_VISION,$A20,FALSE),"")</f>
        <v/>
      </c>
      <c r="F20" s="323" t="str">
        <f ca="1">IFERROR(VLOOKUP(F$5,BEGIN_Renew_Vision_PlanID:END_RENEW_VISION,$A20,FALSE),"")</f>
        <v/>
      </c>
      <c r="G20" s="323" t="str">
        <f ca="1">IFERROR(VLOOKUP(G$5,BEGIN_Renew_Vision_PlanID:END_RENEW_VISION,$A20,FALSE),"")</f>
        <v/>
      </c>
      <c r="H20" s="323" t="str">
        <f ca="1">IFERROR(VLOOKUP(H$5,BEGIN_Renew_Vision_PlanID:END_RENEW_VISION,$A20,FALSE),"")</f>
        <v/>
      </c>
      <c r="I20" s="323" t="str">
        <f ca="1">IFERROR(VLOOKUP(I$5,BEGIN_Renew_Vision_PlanID:END_RENEW_VISION,$A20,FALSE),"")</f>
        <v/>
      </c>
      <c r="J20" s="323" t="str">
        <f ca="1">IFERROR(VLOOKUP(J$5,BEGIN_Renew_Vision_PlanID:END_RENEW_VISION,$A20,FALSE),"")</f>
        <v/>
      </c>
      <c r="K20" s="323" t="str">
        <f ca="1">IFERROR(VLOOKUP(K$5,BEGIN_Renew_Vision_PlanID:END_RENEW_VISION,$A20,FALSE),"")</f>
        <v/>
      </c>
      <c r="L20" s="323" t="str">
        <f ca="1">IFERROR(VLOOKUP(L$5,BEGIN_Renew_Vision_PlanID:END_RENEW_VISION,$A20,FALSE),"")</f>
        <v/>
      </c>
    </row>
    <row r="21" spans="2:12" ht="12.5">
      <c r="B21" s="344" t="s">
        <v>364</v>
      </c>
      <c r="C21" s="337"/>
      <c r="D21" s="337"/>
      <c r="E21" s="337"/>
      <c r="F21" s="337"/>
      <c r="G21" s="337"/>
      <c r="H21" s="337"/>
      <c r="I21" s="337"/>
      <c r="J21" s="337"/>
      <c r="K21" s="337"/>
      <c r="L21" s="337"/>
    </row>
    <row r="22" spans="1:12" ht="12.5">
      <c r="A22" s="3">
        <v>35</v>
      </c>
      <c r="B22" s="346" t="s">
        <v>355</v>
      </c>
      <c r="C22" s="323" t="str">
        <f ca="1">IFERROR(VLOOKUP(C$5,BEGIN_Renew_Vision_PlanID:END_RENEW_VISION,$A22,FALSE),"")</f>
        <v/>
      </c>
      <c r="D22" s="323" t="str">
        <f ca="1">IFERROR(VLOOKUP(D$5,BEGIN_Renew_Vision_PlanID:END_RENEW_VISION,$A22,FALSE),"")</f>
        <v/>
      </c>
      <c r="E22" s="323" t="str">
        <f ca="1">IFERROR(VLOOKUP(E$5,BEGIN_Renew_Vision_PlanID:END_RENEW_VISION,$A22,FALSE),"")</f>
        <v/>
      </c>
      <c r="F22" s="323" t="str">
        <f ca="1">IFERROR(VLOOKUP(F$5,BEGIN_Renew_Vision_PlanID:END_RENEW_VISION,$A22,FALSE),"")</f>
        <v/>
      </c>
      <c r="G22" s="323" t="str">
        <f ca="1">IFERROR(VLOOKUP(G$5,BEGIN_Renew_Vision_PlanID:END_RENEW_VISION,$A22,FALSE),"")</f>
        <v/>
      </c>
      <c r="H22" s="323" t="str">
        <f ca="1">IFERROR(VLOOKUP(H$5,BEGIN_Renew_Vision_PlanID:END_RENEW_VISION,$A22,FALSE),"")</f>
        <v/>
      </c>
      <c r="I22" s="323" t="str">
        <f ca="1">IFERROR(VLOOKUP(I$5,BEGIN_Renew_Vision_PlanID:END_RENEW_VISION,$A22,FALSE),"")</f>
        <v/>
      </c>
      <c r="J22" s="323" t="str">
        <f ca="1">IFERROR(VLOOKUP(J$5,BEGIN_Renew_Vision_PlanID:END_RENEW_VISION,$A22,FALSE),"")</f>
        <v/>
      </c>
      <c r="K22" s="323" t="str">
        <f ca="1">IFERROR(VLOOKUP(K$5,BEGIN_Renew_Vision_PlanID:END_RENEW_VISION,$A22,FALSE),"")</f>
        <v/>
      </c>
      <c r="L22" s="323" t="str">
        <f ca="1">IFERROR(VLOOKUP(L$5,BEGIN_Renew_Vision_PlanID:END_RENEW_VISION,$A22,FALSE),"")</f>
        <v/>
      </c>
    </row>
    <row r="23" spans="1:12" ht="12.5">
      <c r="A23" s="3">
        <v>36</v>
      </c>
      <c r="B23" s="346" t="s">
        <v>356</v>
      </c>
      <c r="C23" s="323" t="str">
        <f ca="1">IFERROR(VLOOKUP(C$5,BEGIN_Renew_Vision_PlanID:END_RENEW_VISION,$A23,FALSE),"")</f>
        <v/>
      </c>
      <c r="D23" s="323" t="str">
        <f ca="1">IFERROR(VLOOKUP(D$5,BEGIN_Renew_Vision_PlanID:END_RENEW_VISION,$A23,FALSE),"")</f>
        <v/>
      </c>
      <c r="E23" s="323" t="str">
        <f ca="1">IFERROR(VLOOKUP(E$5,BEGIN_Renew_Vision_PlanID:END_RENEW_VISION,$A23,FALSE),"")</f>
        <v/>
      </c>
      <c r="F23" s="323" t="str">
        <f ca="1">IFERROR(VLOOKUP(F$5,BEGIN_Renew_Vision_PlanID:END_RENEW_VISION,$A23,FALSE),"")</f>
        <v/>
      </c>
      <c r="G23" s="323" t="str">
        <f ca="1">IFERROR(VLOOKUP(G$5,BEGIN_Renew_Vision_PlanID:END_RENEW_VISION,$A23,FALSE),"")</f>
        <v/>
      </c>
      <c r="H23" s="323" t="str">
        <f ca="1">IFERROR(VLOOKUP(H$5,BEGIN_Renew_Vision_PlanID:END_RENEW_VISION,$A23,FALSE),"")</f>
        <v/>
      </c>
      <c r="I23" s="323" t="str">
        <f ca="1">IFERROR(VLOOKUP(I$5,BEGIN_Renew_Vision_PlanID:END_RENEW_VISION,$A23,FALSE),"")</f>
        <v/>
      </c>
      <c r="J23" s="323" t="str">
        <f ca="1">IFERROR(VLOOKUP(J$5,BEGIN_Renew_Vision_PlanID:END_RENEW_VISION,$A23,FALSE),"")</f>
        <v/>
      </c>
      <c r="K23" s="323" t="str">
        <f ca="1">IFERROR(VLOOKUP(K$5,BEGIN_Renew_Vision_PlanID:END_RENEW_VISION,$A23,FALSE),"")</f>
        <v/>
      </c>
      <c r="L23" s="323" t="str">
        <f ca="1">IFERROR(VLOOKUP(L$5,BEGIN_Renew_Vision_PlanID:END_RENEW_VISION,$A23,FALSE),"")</f>
        <v/>
      </c>
    </row>
    <row r="24" spans="1:12" ht="12.5">
      <c r="A24" s="3">
        <v>37</v>
      </c>
      <c r="B24" s="346" t="s">
        <v>357</v>
      </c>
      <c r="C24" s="323" t="str">
        <f ca="1">IFERROR(VLOOKUP(C$5,BEGIN_Renew_Vision_PlanID:END_RENEW_VISION,$A24,FALSE),"")</f>
        <v/>
      </c>
      <c r="D24" s="323" t="str">
        <f ca="1">IFERROR(VLOOKUP(D$5,BEGIN_Renew_Vision_PlanID:END_RENEW_VISION,$A24,FALSE),"")</f>
        <v/>
      </c>
      <c r="E24" s="323" t="str">
        <f ca="1">IFERROR(VLOOKUP(E$5,BEGIN_Renew_Vision_PlanID:END_RENEW_VISION,$A24,FALSE),"")</f>
        <v/>
      </c>
      <c r="F24" s="323" t="str">
        <f ca="1">IFERROR(VLOOKUP(F$5,BEGIN_Renew_Vision_PlanID:END_RENEW_VISION,$A24,FALSE),"")</f>
        <v/>
      </c>
      <c r="G24" s="323" t="str">
        <f ca="1">IFERROR(VLOOKUP(G$5,BEGIN_Renew_Vision_PlanID:END_RENEW_VISION,$A24,FALSE),"")</f>
        <v/>
      </c>
      <c r="H24" s="323" t="str">
        <f ca="1">IFERROR(VLOOKUP(H$5,BEGIN_Renew_Vision_PlanID:END_RENEW_VISION,$A24,FALSE),"")</f>
        <v/>
      </c>
      <c r="I24" s="323" t="str">
        <f ca="1">IFERROR(VLOOKUP(I$5,BEGIN_Renew_Vision_PlanID:END_RENEW_VISION,$A24,FALSE),"")</f>
        <v/>
      </c>
      <c r="J24" s="323" t="str">
        <f ca="1">IFERROR(VLOOKUP(J$5,BEGIN_Renew_Vision_PlanID:END_RENEW_VISION,$A24,FALSE),"")</f>
        <v/>
      </c>
      <c r="K24" s="323" t="str">
        <f ca="1">IFERROR(VLOOKUP(K$5,BEGIN_Renew_Vision_PlanID:END_RENEW_VISION,$A24,FALSE),"")</f>
        <v/>
      </c>
      <c r="L24" s="323" t="str">
        <f ca="1">IFERROR(VLOOKUP(L$5,BEGIN_Renew_Vision_PlanID:END_RENEW_VISION,$A24,FALSE),"")</f>
        <v/>
      </c>
    </row>
    <row r="25" spans="2:12" s="110" customFormat="1" ht="12.5">
      <c r="B25" s="339" t="s">
        <v>365</v>
      </c>
      <c r="C25" s="333"/>
      <c r="D25" s="333"/>
      <c r="E25" s="333"/>
      <c r="F25" s="333"/>
      <c r="G25" s="333"/>
      <c r="H25" s="333"/>
      <c r="I25" s="333"/>
      <c r="J25" s="333"/>
      <c r="K25" s="333"/>
      <c r="L25" s="333"/>
    </row>
    <row r="26" spans="1:12" ht="12.5">
      <c r="A26" s="3">
        <v>38</v>
      </c>
      <c r="B26" s="347" t="s">
        <v>359</v>
      </c>
      <c r="C26" s="327" t="str">
        <f ca="1">IFERROR(VLOOKUP(C$5,BEGIN_Renew_Vision_PlanID:END_RENEW_VISION,$A26,FALSE),"")</f>
        <v/>
      </c>
      <c r="D26" s="327" t="str">
        <f ca="1">IFERROR(VLOOKUP(D$5,BEGIN_Renew_Vision_PlanID:END_RENEW_VISION,$A26,FALSE),"")</f>
        <v/>
      </c>
      <c r="E26" s="327" t="str">
        <f ca="1">IFERROR(VLOOKUP(E$5,BEGIN_Renew_Vision_PlanID:END_RENEW_VISION,$A26,FALSE),"")</f>
        <v/>
      </c>
      <c r="F26" s="327" t="str">
        <f ca="1">IFERROR(VLOOKUP(F$5,BEGIN_Renew_Vision_PlanID:END_RENEW_VISION,$A26,FALSE),"")</f>
        <v/>
      </c>
      <c r="G26" s="327" t="str">
        <f ca="1">IFERROR(VLOOKUP(G$5,BEGIN_Renew_Vision_PlanID:END_RENEW_VISION,$A26,FALSE),"")</f>
        <v/>
      </c>
      <c r="H26" s="327" t="str">
        <f ca="1">IFERROR(VLOOKUP(H$5,BEGIN_Renew_Vision_PlanID:END_RENEW_VISION,$A26,FALSE),"")</f>
        <v/>
      </c>
      <c r="I26" s="327" t="str">
        <f ca="1">IFERROR(VLOOKUP(I$5,BEGIN_Renew_Vision_PlanID:END_RENEW_VISION,$A26,FALSE),"")</f>
        <v/>
      </c>
      <c r="J26" s="327" t="str">
        <f ca="1">IFERROR(VLOOKUP(J$5,BEGIN_Renew_Vision_PlanID:END_RENEW_VISION,$A26,FALSE),"")</f>
        <v/>
      </c>
      <c r="K26" s="327" t="str">
        <f ca="1">IFERROR(VLOOKUP(K$5,BEGIN_Renew_Vision_PlanID:END_RENEW_VISION,$A26,FALSE),"")</f>
        <v/>
      </c>
      <c r="L26" s="327" t="str">
        <f ca="1">IFERROR(VLOOKUP(L$5,BEGIN_Renew_Vision_PlanID:END_RENEW_VISION,$A26,FALSE),"")</f>
        <v/>
      </c>
    </row>
    <row r="27" spans="1:12" ht="12.5">
      <c r="A27" s="3">
        <v>39</v>
      </c>
      <c r="B27" s="347" t="s">
        <v>360</v>
      </c>
      <c r="C27" s="327" t="str">
        <f ca="1">IFERROR(VLOOKUP(C$5,BEGIN_Renew_Vision_PlanID:END_RENEW_VISION,$A27,FALSE),"")</f>
        <v/>
      </c>
      <c r="D27" s="327" t="str">
        <f ca="1">IFERROR(VLOOKUP(D$5,BEGIN_Renew_Vision_PlanID:END_RENEW_VISION,$A27,FALSE),"")</f>
        <v/>
      </c>
      <c r="E27" s="327" t="str">
        <f ca="1">IFERROR(VLOOKUP(E$5,BEGIN_Renew_Vision_PlanID:END_RENEW_VISION,$A27,FALSE),"")</f>
        <v/>
      </c>
      <c r="F27" s="327" t="str">
        <f ca="1">IFERROR(VLOOKUP(F$5,BEGIN_Renew_Vision_PlanID:END_RENEW_VISION,$A27,FALSE),"")</f>
        <v/>
      </c>
      <c r="G27" s="327" t="str">
        <f ca="1">IFERROR(VLOOKUP(G$5,BEGIN_Renew_Vision_PlanID:END_RENEW_VISION,$A27,FALSE),"")</f>
        <v/>
      </c>
      <c r="H27" s="327" t="str">
        <f ca="1">IFERROR(VLOOKUP(H$5,BEGIN_Renew_Vision_PlanID:END_RENEW_VISION,$A27,FALSE),"")</f>
        <v/>
      </c>
      <c r="I27" s="327" t="str">
        <f ca="1">IFERROR(VLOOKUP(I$5,BEGIN_Renew_Vision_PlanID:END_RENEW_VISION,$A27,FALSE),"")</f>
        <v/>
      </c>
      <c r="J27" s="327" t="str">
        <f ca="1">IFERROR(VLOOKUP(J$5,BEGIN_Renew_Vision_PlanID:END_RENEW_VISION,$A27,FALSE),"")</f>
        <v/>
      </c>
      <c r="K27" s="327" t="str">
        <f ca="1">IFERROR(VLOOKUP(K$5,BEGIN_Renew_Vision_PlanID:END_RENEW_VISION,$A27,FALSE),"")</f>
        <v/>
      </c>
      <c r="L27" s="327" t="str">
        <f ca="1">IFERROR(VLOOKUP(L$5,BEGIN_Renew_Vision_PlanID:END_RENEW_VISION,$A27,FALSE),"")</f>
        <v/>
      </c>
    </row>
    <row r="28" spans="1:12" ht="12.5">
      <c r="A28" s="3">
        <v>40</v>
      </c>
      <c r="B28" s="347" t="s">
        <v>361</v>
      </c>
      <c r="C28" s="327" t="str">
        <f ca="1">IFERROR(VLOOKUP(C$5,BEGIN_Renew_Vision_PlanID:END_RENEW_VISION,$A28,FALSE),"")</f>
        <v/>
      </c>
      <c r="D28" s="327" t="str">
        <f ca="1">IFERROR(VLOOKUP(D$5,BEGIN_Renew_Vision_PlanID:END_RENEW_VISION,$A28,FALSE),"")</f>
        <v/>
      </c>
      <c r="E28" s="327" t="str">
        <f ca="1">IFERROR(VLOOKUP(E$5,BEGIN_Renew_Vision_PlanID:END_RENEW_VISION,$A28,FALSE),"")</f>
        <v/>
      </c>
      <c r="F28" s="327" t="str">
        <f ca="1">IFERROR(VLOOKUP(F$5,BEGIN_Renew_Vision_PlanID:END_RENEW_VISION,$A28,FALSE),"")</f>
        <v/>
      </c>
      <c r="G28" s="327" t="str">
        <f ca="1">IFERROR(VLOOKUP(G$5,BEGIN_Renew_Vision_PlanID:END_RENEW_VISION,$A28,FALSE),"")</f>
        <v/>
      </c>
      <c r="H28" s="327" t="str">
        <f ca="1">IFERROR(VLOOKUP(H$5,BEGIN_Renew_Vision_PlanID:END_RENEW_VISION,$A28,FALSE),"")</f>
        <v/>
      </c>
      <c r="I28" s="327" t="str">
        <f ca="1">IFERROR(VLOOKUP(I$5,BEGIN_Renew_Vision_PlanID:END_RENEW_VISION,$A28,FALSE),"")</f>
        <v/>
      </c>
      <c r="J28" s="327" t="str">
        <f ca="1">IFERROR(VLOOKUP(J$5,BEGIN_Renew_Vision_PlanID:END_RENEW_VISION,$A28,FALSE),"")</f>
        <v/>
      </c>
      <c r="K28" s="327" t="str">
        <f ca="1">IFERROR(VLOOKUP(K$5,BEGIN_Renew_Vision_PlanID:END_RENEW_VISION,$A28,FALSE),"")</f>
        <v/>
      </c>
      <c r="L28" s="327" t="str">
        <f ca="1">IFERROR(VLOOKUP(L$5,BEGIN_Renew_Vision_PlanID:END_RENEW_VISION,$A28,FALSE),"")</f>
        <v/>
      </c>
    </row>
    <row r="29" spans="1:12" ht="12.5">
      <c r="A29" s="3">
        <v>41</v>
      </c>
      <c r="B29" s="347" t="s">
        <v>362</v>
      </c>
      <c r="C29" s="327" t="str">
        <f ca="1">IFERROR(VLOOKUP(C$5,BEGIN_Renew_Vision_PlanID:END_RENEW_VISION,$A29,FALSE),"")</f>
        <v/>
      </c>
      <c r="D29" s="327" t="str">
        <f ca="1">IFERROR(VLOOKUP(D$5,BEGIN_Renew_Vision_PlanID:END_RENEW_VISION,$A29,FALSE),"")</f>
        <v/>
      </c>
      <c r="E29" s="327" t="str">
        <f ca="1">IFERROR(VLOOKUP(E$5,BEGIN_Renew_Vision_PlanID:END_RENEW_VISION,$A29,FALSE),"")</f>
        <v/>
      </c>
      <c r="F29" s="327" t="str">
        <f ca="1">IFERROR(VLOOKUP(F$5,BEGIN_Renew_Vision_PlanID:END_RENEW_VISION,$A29,FALSE),"")</f>
        <v/>
      </c>
      <c r="G29" s="327" t="str">
        <f ca="1">IFERROR(VLOOKUP(G$5,BEGIN_Renew_Vision_PlanID:END_RENEW_VISION,$A29,FALSE),"")</f>
        <v/>
      </c>
      <c r="H29" s="327" t="str">
        <f ca="1">IFERROR(VLOOKUP(H$5,BEGIN_Renew_Vision_PlanID:END_RENEW_VISION,$A29,FALSE),"")</f>
        <v/>
      </c>
      <c r="I29" s="327" t="str">
        <f ca="1">IFERROR(VLOOKUP(I$5,BEGIN_Renew_Vision_PlanID:END_RENEW_VISION,$A29,FALSE),"")</f>
        <v/>
      </c>
      <c r="J29" s="327" t="str">
        <f ca="1">IFERROR(VLOOKUP(J$5,BEGIN_Renew_Vision_PlanID:END_RENEW_VISION,$A29,FALSE),"")</f>
        <v/>
      </c>
      <c r="K29" s="327" t="str">
        <f ca="1">IFERROR(VLOOKUP(K$5,BEGIN_Renew_Vision_PlanID:END_RENEW_VISION,$A29,FALSE),"")</f>
        <v/>
      </c>
      <c r="L29" s="327" t="str">
        <f ca="1">IFERROR(VLOOKUP(L$5,BEGIN_Renew_Vision_PlanID:END_RENEW_VISION,$A29,FALSE),"")</f>
        <v/>
      </c>
    </row>
    <row r="30" spans="1:12" ht="12.5">
      <c r="A30" s="3">
        <v>42</v>
      </c>
      <c r="B30" s="346" t="s">
        <v>363</v>
      </c>
      <c r="C30" s="327" t="str">
        <f ca="1">IFERROR(VLOOKUP(C$5,BEGIN_Renew_Vision_PlanID:END_RENEW_VISION,$A30,FALSE),"")</f>
        <v/>
      </c>
      <c r="D30" s="327" t="str">
        <f ca="1">IFERROR(VLOOKUP(D$5,BEGIN_Renew_Vision_PlanID:END_RENEW_VISION,$A30,FALSE),"")</f>
        <v/>
      </c>
      <c r="E30" s="327" t="str">
        <f ca="1">IFERROR(VLOOKUP(E$5,BEGIN_Renew_Vision_PlanID:END_RENEW_VISION,$A30,FALSE),"")</f>
        <v/>
      </c>
      <c r="F30" s="327" t="str">
        <f ca="1">IFERROR(VLOOKUP(F$5,BEGIN_Renew_Vision_PlanID:END_RENEW_VISION,$A30,FALSE),"")</f>
        <v/>
      </c>
      <c r="G30" s="327" t="str">
        <f ca="1">IFERROR(VLOOKUP(G$5,BEGIN_Renew_Vision_PlanID:END_RENEW_VISION,$A30,FALSE),"")</f>
        <v/>
      </c>
      <c r="H30" s="327" t="str">
        <f ca="1">IFERROR(VLOOKUP(H$5,BEGIN_Renew_Vision_PlanID:END_RENEW_VISION,$A30,FALSE),"")</f>
        <v/>
      </c>
      <c r="I30" s="327" t="str">
        <f ca="1">IFERROR(VLOOKUP(I$5,BEGIN_Renew_Vision_PlanID:END_RENEW_VISION,$A30,FALSE),"")</f>
        <v/>
      </c>
      <c r="J30" s="327" t="str">
        <f ca="1">IFERROR(VLOOKUP(J$5,BEGIN_Renew_Vision_PlanID:END_RENEW_VISION,$A30,FALSE),"")</f>
        <v/>
      </c>
      <c r="K30" s="327" t="str">
        <f ca="1">IFERROR(VLOOKUP(K$5,BEGIN_Renew_Vision_PlanID:END_RENEW_VISION,$A30,FALSE),"")</f>
        <v/>
      </c>
      <c r="L30" s="327" t="str">
        <f ca="1">IFERROR(VLOOKUP(L$5,BEGIN_Renew_Vision_PlanID:END_RENEW_VISION,$A30,FALSE),"")</f>
        <v/>
      </c>
    </row>
    <row r="31" spans="2:12" ht="12.5">
      <c r="B31" s="339" t="s">
        <v>366</v>
      </c>
      <c r="C31" s="328"/>
      <c r="D31" s="328"/>
      <c r="E31" s="328"/>
      <c r="F31" s="328"/>
      <c r="G31" s="328"/>
      <c r="H31" s="328"/>
      <c r="I31" s="328"/>
      <c r="J31" s="328"/>
      <c r="K31" s="328"/>
      <c r="L31" s="328"/>
    </row>
    <row r="32" spans="1:12" ht="12.5">
      <c r="A32" s="3">
        <v>27</v>
      </c>
      <c r="B32" s="346" t="s">
        <v>159</v>
      </c>
      <c r="C32" s="327" t="str">
        <f ca="1">IFERROR(VLOOKUP(C$5,BEGIN_Renew_Vision_PlanID:END_RENEW_VISION,$A32,FALSE),"")</f>
        <v/>
      </c>
      <c r="D32" s="327" t="str">
        <f ca="1">IFERROR(VLOOKUP(D$5,BEGIN_Renew_Vision_PlanID:END_RENEW_VISION,$A32,FALSE),"")</f>
        <v/>
      </c>
      <c r="E32" s="327" t="str">
        <f ca="1">IFERROR(VLOOKUP(E$5,BEGIN_Renew_Vision_PlanID:END_RENEW_VISION,$A32,FALSE),"")</f>
        <v/>
      </c>
      <c r="F32" s="327" t="str">
        <f ca="1">IFERROR(VLOOKUP(F$5,BEGIN_Renew_Vision_PlanID:END_RENEW_VISION,$A32,FALSE),"")</f>
        <v/>
      </c>
      <c r="G32" s="327" t="str">
        <f ca="1">IFERROR(VLOOKUP(G$5,BEGIN_Renew_Vision_PlanID:END_RENEW_VISION,$A32,FALSE),"")</f>
        <v/>
      </c>
      <c r="H32" s="327" t="str">
        <f ca="1">IFERROR(VLOOKUP(H$5,BEGIN_Renew_Vision_PlanID:END_RENEW_VISION,$A32,FALSE),"")</f>
        <v/>
      </c>
      <c r="I32" s="327" t="str">
        <f ca="1">IFERROR(VLOOKUP(I$5,BEGIN_Renew_Vision_PlanID:END_RENEW_VISION,$A32,FALSE),"")</f>
        <v/>
      </c>
      <c r="J32" s="327" t="str">
        <f ca="1">IFERROR(VLOOKUP(J$5,BEGIN_Renew_Vision_PlanID:END_RENEW_VISION,$A32,FALSE),"")</f>
        <v/>
      </c>
      <c r="K32" s="327" t="str">
        <f ca="1">IFERROR(VLOOKUP(K$5,BEGIN_Renew_Vision_PlanID:END_RENEW_VISION,$A32,FALSE),"")</f>
        <v/>
      </c>
      <c r="L32" s="327" t="str">
        <f ca="1">IFERROR(VLOOKUP(L$5,BEGIN_Renew_Vision_PlanID:END_RENEW_VISION,$A32,FALSE),"")</f>
        <v/>
      </c>
    </row>
    <row r="33" spans="1:12" ht="12.5">
      <c r="A33" s="3">
        <v>28</v>
      </c>
      <c r="B33" s="346" t="s">
        <v>160</v>
      </c>
      <c r="C33" s="327" t="str">
        <f ca="1">IFERROR(VLOOKUP(C$5,BEGIN_Renew_Vision_PlanID:END_RENEW_VISION,$A33,FALSE),"")</f>
        <v/>
      </c>
      <c r="D33" s="327" t="str">
        <f ca="1">IFERROR(VLOOKUP(D$5,BEGIN_Renew_Vision_PlanID:END_RENEW_VISION,$A33,FALSE),"")</f>
        <v/>
      </c>
      <c r="E33" s="327" t="str">
        <f ca="1">IFERROR(VLOOKUP(E$5,BEGIN_Renew_Vision_PlanID:END_RENEW_VISION,$A33,FALSE),"")</f>
        <v/>
      </c>
      <c r="F33" s="327" t="str">
        <f ca="1">IFERROR(VLOOKUP(F$5,BEGIN_Renew_Vision_PlanID:END_RENEW_VISION,$A33,FALSE),"")</f>
        <v/>
      </c>
      <c r="G33" s="327" t="str">
        <f ca="1">IFERROR(VLOOKUP(G$5,BEGIN_Renew_Vision_PlanID:END_RENEW_VISION,$A33,FALSE),"")</f>
        <v/>
      </c>
      <c r="H33" s="327" t="str">
        <f ca="1">IFERROR(VLOOKUP(H$5,BEGIN_Renew_Vision_PlanID:END_RENEW_VISION,$A33,FALSE),"")</f>
        <v/>
      </c>
      <c r="I33" s="327" t="str">
        <f ca="1">IFERROR(VLOOKUP(I$5,BEGIN_Renew_Vision_PlanID:END_RENEW_VISION,$A33,FALSE),"")</f>
        <v/>
      </c>
      <c r="J33" s="327" t="str">
        <f ca="1">IFERROR(VLOOKUP(J$5,BEGIN_Renew_Vision_PlanID:END_RENEW_VISION,$A33,FALSE),"")</f>
        <v/>
      </c>
      <c r="K33" s="327" t="str">
        <f ca="1">IFERROR(VLOOKUP(K$5,BEGIN_Renew_Vision_PlanID:END_RENEW_VISION,$A33,FALSE),"")</f>
        <v/>
      </c>
      <c r="L33" s="327" t="str">
        <f ca="1">IFERROR(VLOOKUP(L$5,BEGIN_Renew_Vision_PlanID:END_RENEW_VISION,$A33,FALSE),"")</f>
        <v/>
      </c>
    </row>
    <row r="34" spans="1:12" ht="12.5">
      <c r="A34" s="3">
        <v>29</v>
      </c>
      <c r="B34" s="347" t="s">
        <v>161</v>
      </c>
      <c r="C34" s="327" t="str">
        <f ca="1">IFERROR(VLOOKUP(C$5,BEGIN_Renew_Vision_PlanID:END_RENEW_VISION,$A34,FALSE),"")</f>
        <v/>
      </c>
      <c r="D34" s="327" t="str">
        <f ca="1">IFERROR(VLOOKUP(D$5,BEGIN_Renew_Vision_PlanID:END_RENEW_VISION,$A34,FALSE),"")</f>
        <v/>
      </c>
      <c r="E34" s="327" t="str">
        <f ca="1">IFERROR(VLOOKUP(E$5,BEGIN_Renew_Vision_PlanID:END_RENEW_VISION,$A34,FALSE),"")</f>
        <v/>
      </c>
      <c r="F34" s="327" t="str">
        <f ca="1">IFERROR(VLOOKUP(F$5,BEGIN_Renew_Vision_PlanID:END_RENEW_VISION,$A34,FALSE),"")</f>
        <v/>
      </c>
      <c r="G34" s="327" t="str">
        <f ca="1">IFERROR(VLOOKUP(G$5,BEGIN_Renew_Vision_PlanID:END_RENEW_VISION,$A34,FALSE),"")</f>
        <v/>
      </c>
      <c r="H34" s="327" t="str">
        <f ca="1">IFERROR(VLOOKUP(H$5,BEGIN_Renew_Vision_PlanID:END_RENEW_VISION,$A34,FALSE),"")</f>
        <v/>
      </c>
      <c r="I34" s="327" t="str">
        <f ca="1">IFERROR(VLOOKUP(I$5,BEGIN_Renew_Vision_PlanID:END_RENEW_VISION,$A34,FALSE),"")</f>
        <v/>
      </c>
      <c r="J34" s="327" t="str">
        <f ca="1">IFERROR(VLOOKUP(J$5,BEGIN_Renew_Vision_PlanID:END_RENEW_VISION,$A34,FALSE),"")</f>
        <v/>
      </c>
      <c r="K34" s="327" t="str">
        <f ca="1">IFERROR(VLOOKUP(K$5,BEGIN_Renew_Vision_PlanID:END_RENEW_VISION,$A34,FALSE),"")</f>
        <v/>
      </c>
      <c r="L34" s="327" t="str">
        <f ca="1">IFERROR(VLOOKUP(L$5,BEGIN_Renew_Vision_PlanID:END_RENEW_VISION,$A34,FALSE),"")</f>
        <v/>
      </c>
    </row>
  </sheetData>
  <sheetProtection formatCells="0" formatColumns="0" deleteColumns="0" selectLockedCells="1"/>
  <conditionalFormatting sqref="C5:L5">
    <cfRule type="containsText" priority="1" dxfId="19" operator="containsText" text="METLIFE">
      <formula>NOT(ISERROR(SEARCH("METLIFE",C5)))</formula>
    </cfRule>
  </conditionalFormatting>
  <printOptions horizontalCentered="1"/>
  <pageMargins left="0.7" right="0.7" top="0.75" bottom="0.75" header="0.3" footer="0.3"/>
  <pageSetup orientation="landscape" paperSize="1" scale="9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EE000162-7B83-4097-8810-2B157C6CD64F}">
  <sheetPr codeName="Sheet12"/>
  <dimension ref="A1:W40"/>
  <sheetViews>
    <sheetView workbookViewId="0" topLeftCell="A1">
      <pane xSplit="2" ySplit="5" topLeftCell="M6" activePane="bottomRight" state="frozen"/>
      <selection pane="topLeft" activeCell="A1" sqref="A1"/>
      <selection pane="bottomLeft" activeCell="B5" sqref="B5"/>
      <selection pane="topRight" activeCell="B5" sqref="B5"/>
      <selection pane="bottomRight" activeCell="M13" sqref="M13"/>
    </sheetView>
  </sheetViews>
  <sheetFormatPr defaultColWidth="8.79333333333333" defaultRowHeight="12.5"/>
  <cols>
    <col min="1" max="1" width="3.83333333333333" style="3" customWidth="1"/>
    <col min="2" max="2" width="36.5" style="3" customWidth="1"/>
    <col min="3" max="22" width="25.8333333333333" style="3" customWidth="1"/>
    <col min="23" max="16384" width="8.83333333333333" style="3"/>
  </cols>
  <sheetData>
    <row r="1" spans="2:22" ht="12.5">
      <c r="B1" s="3" t="s">
        <v>331</v>
      </c>
      <c r="C1" s="3">
        <v>1</v>
      </c>
      <c r="D1" s="3">
        <v>2</v>
      </c>
      <c r="E1" s="3">
        <v>3</v>
      </c>
      <c r="F1" s="3">
        <v>4</v>
      </c>
      <c r="G1" s="3">
        <v>5</v>
      </c>
      <c r="H1" s="3">
        <v>6</v>
      </c>
      <c r="I1" s="3">
        <v>7</v>
      </c>
      <c r="J1" s="3">
        <v>8</v>
      </c>
      <c r="K1" s="3">
        <v>9</v>
      </c>
      <c r="L1" s="3">
        <v>10</v>
      </c>
      <c r="M1" s="3">
        <v>11</v>
      </c>
      <c r="N1" s="3">
        <v>12</v>
      </c>
      <c r="O1" s="3">
        <v>13</v>
      </c>
      <c r="P1" s="3">
        <v>14</v>
      </c>
      <c r="Q1" s="3">
        <v>15</v>
      </c>
      <c r="R1" s="3">
        <v>16</v>
      </c>
      <c r="S1" s="3">
        <v>17</v>
      </c>
      <c r="T1" s="3">
        <v>18</v>
      </c>
      <c r="U1" s="3">
        <v>19</v>
      </c>
      <c r="V1" s="3">
        <v>20</v>
      </c>
    </row>
    <row r="2" spans="2:22" ht="12.5">
      <c r="B2" s="334">
        <f>COUNTA(BEGIN_UniqueSTDPlans:Row_Unique_STD_PlanCode)-1</f>
        <v>0</v>
      </c>
      <c r="C2" s="3" t="str">
        <f>IF(C1&gt;$B$2,"DELETE",C1)</f>
        <v>DELETE</v>
      </c>
      <c r="D2" s="3" t="str">
        <f t="shared" si="0" ref="D2:L2">IF(D1&gt;$B$2,"DELETE",D1)</f>
        <v>DELETE</v>
      </c>
      <c r="E2" s="3" t="str">
        <f t="shared" si="0"/>
        <v>DELETE</v>
      </c>
      <c r="F2" s="3" t="str">
        <f t="shared" si="0"/>
        <v>DELETE</v>
      </c>
      <c r="G2" s="3" t="str">
        <f t="shared" si="0"/>
        <v>DELETE</v>
      </c>
      <c r="H2" s="3" t="str">
        <f t="shared" si="0"/>
        <v>DELETE</v>
      </c>
      <c r="I2" s="3" t="str">
        <f t="shared" si="0"/>
        <v>DELETE</v>
      </c>
      <c r="J2" s="3" t="str">
        <f t="shared" si="0"/>
        <v>DELETE</v>
      </c>
      <c r="K2" s="3" t="str">
        <f t="shared" si="0"/>
        <v>DELETE</v>
      </c>
      <c r="L2" s="3" t="str">
        <f t="shared" si="0"/>
        <v>DELETE</v>
      </c>
      <c r="M2" s="3" t="str">
        <f>IF(M1&gt;$B$2,"DELETE",M1)</f>
        <v>DELETE</v>
      </c>
      <c r="N2" s="3" t="str">
        <f t="shared" si="1" ref="N2:V2">IF(N1&gt;$B$2,"DELETE",N1)</f>
        <v>DELETE</v>
      </c>
      <c r="O2" s="3" t="str">
        <f t="shared" si="1"/>
        <v>DELETE</v>
      </c>
      <c r="P2" s="3" t="str">
        <f t="shared" si="1"/>
        <v>DELETE</v>
      </c>
      <c r="Q2" s="3" t="str">
        <f t="shared" si="1"/>
        <v>DELETE</v>
      </c>
      <c r="R2" s="3" t="str">
        <f t="shared" si="1"/>
        <v>DELETE</v>
      </c>
      <c r="S2" s="3" t="str">
        <f t="shared" si="1"/>
        <v>DELETE</v>
      </c>
      <c r="T2" s="3" t="str">
        <f t="shared" si="1"/>
        <v>DELETE</v>
      </c>
      <c r="U2" s="3" t="str">
        <f t="shared" si="1"/>
        <v>DELETE</v>
      </c>
      <c r="V2" s="3" t="str">
        <f t="shared" si="1"/>
        <v>DELETE</v>
      </c>
    </row>
    <row r="3" spans="2:22" ht="12.5">
      <c r="B3" s="334"/>
      <c r="C3" s="3" t="str">
        <f ca="1">IF(RIGHT(C5,4)="-VOL","DELETE",C2)</f>
        <v>DELETE</v>
      </c>
      <c r="D3" s="3" t="str">
        <f ca="1" t="shared" si="2" ref="D3:L3">IF(RIGHT(D5,4)="-VOL","DELETE",D2)</f>
        <v>DELETE</v>
      </c>
      <c r="E3" s="3" t="str">
        <f t="shared" ca="1" si="2"/>
        <v>DELETE</v>
      </c>
      <c r="F3" s="3" t="str">
        <f t="shared" ca="1" si="2"/>
        <v>DELETE</v>
      </c>
      <c r="G3" s="3" t="str">
        <f t="shared" ca="1" si="2"/>
        <v>DELETE</v>
      </c>
      <c r="H3" s="3" t="str">
        <f t="shared" ca="1" si="2"/>
        <v>DELETE</v>
      </c>
      <c r="I3" s="3" t="str">
        <f t="shared" ca="1" si="2"/>
        <v>DELETE</v>
      </c>
      <c r="J3" s="3" t="str">
        <f t="shared" ca="1" si="2"/>
        <v>DELETE</v>
      </c>
      <c r="K3" s="3" t="str">
        <f t="shared" ca="1" si="2"/>
        <v>DELETE</v>
      </c>
      <c r="L3" s="3" t="str">
        <f t="shared" ca="1" si="2"/>
        <v>DELETE</v>
      </c>
      <c r="M3" s="3" t="str">
        <f ca="1">IF(RIGHT(M5,4)="-VOL","DELETE",M2)</f>
        <v>DELETE</v>
      </c>
      <c r="N3" s="3" t="str">
        <f ca="1" t="shared" si="3" ref="N3:V3">IF(RIGHT(N5,4)="-VOL","DELETE",N2)</f>
        <v>DELETE</v>
      </c>
      <c r="O3" s="3" t="str">
        <f t="shared" ca="1" si="3"/>
        <v>DELETE</v>
      </c>
      <c r="P3" s="3" t="str">
        <f t="shared" ca="1" si="3"/>
        <v>DELETE</v>
      </c>
      <c r="Q3" s="3" t="str">
        <f t="shared" ca="1" si="3"/>
        <v>DELETE</v>
      </c>
      <c r="R3" s="3" t="str">
        <f t="shared" ca="1" si="3"/>
        <v>DELETE</v>
      </c>
      <c r="S3" s="3" t="str">
        <f t="shared" ca="1" si="3"/>
        <v>DELETE</v>
      </c>
      <c r="T3" s="3" t="str">
        <f t="shared" ca="1" si="3"/>
        <v>DELETE</v>
      </c>
      <c r="U3" s="3" t="str">
        <f t="shared" ca="1" si="3"/>
        <v>DELETE</v>
      </c>
      <c r="V3" s="3" t="str">
        <f t="shared" ca="1" si="3"/>
        <v>DELETE</v>
      </c>
    </row>
    <row r="4" spans="2:2" ht="12.5">
      <c r="B4" s="334"/>
    </row>
    <row r="5" spans="1:23" s="260" customFormat="1" ht="36" customHeight="1">
      <c r="A5" s="335" t="s">
        <v>367</v>
      </c>
      <c r="B5" s="342" t="s">
        <v>38</v>
      </c>
      <c r="C5" s="336" t="str" cm="1">
        <f t="array" ca="1" aca="1" ref="C5">IFERROR(INDIRECT("ClassesPlans!A"&amp;ROW(BEGIN_UniqueSTDPlans)+C2,TRUE),"")</f>
        <v/>
      </c>
      <c r="D5" s="336" t="str" cm="1">
        <f t="array" ca="1" aca="1" ref="D5">IFERROR(INDIRECT("ClassesPlans!A"&amp;ROW(BEGIN_UniqueSTDPlans)+D2,TRUE),"")</f>
        <v/>
      </c>
      <c r="E5" s="336" t="str" cm="1">
        <f t="array" ca="1" aca="1" ref="E5">IFERROR(INDIRECT("ClassesPlans!A"&amp;ROW(BEGIN_UniqueSTDPlans)+E2,TRUE),"")</f>
        <v/>
      </c>
      <c r="F5" s="336" t="str" cm="1">
        <f t="array" ca="1" aca="1" ref="F5">IFERROR(INDIRECT("ClassesPlans!A"&amp;ROW(BEGIN_UniqueSTDPlans)+F2,TRUE),"")</f>
        <v/>
      </c>
      <c r="G5" s="336" t="str" cm="1">
        <f t="array" ca="1" aca="1" ref="G5">IFERROR(INDIRECT("ClassesPlans!A"&amp;ROW(BEGIN_UniqueSTDPlans)+G2,TRUE),"")</f>
        <v/>
      </c>
      <c r="H5" s="336" t="str" cm="1">
        <f t="array" ca="1" aca="1" ref="H5">IFERROR(INDIRECT("ClassesPlans!A"&amp;ROW(BEGIN_UniqueSTDPlans)+H2,TRUE),"")</f>
        <v/>
      </c>
      <c r="I5" s="336" t="str" cm="1">
        <f t="array" ca="1" aca="1" ref="I5">IFERROR(INDIRECT("ClassesPlans!A"&amp;ROW(BEGIN_UniqueSTDPlans)+I2,TRUE),"")</f>
        <v/>
      </c>
      <c r="J5" s="336" t="str" cm="1">
        <f t="array" ca="1" aca="1" ref="J5">IFERROR(INDIRECT("ClassesPlans!A"&amp;ROW(BEGIN_UniqueSTDPlans)+J2,TRUE),"")</f>
        <v/>
      </c>
      <c r="K5" s="336" t="str" cm="1">
        <f t="array" ca="1" aca="1" ref="K5">IFERROR(INDIRECT("ClassesPlans!A"&amp;ROW(BEGIN_UniqueSTDPlans)+K2,TRUE),"")</f>
        <v/>
      </c>
      <c r="L5" s="336" t="str" cm="1">
        <f t="array" ca="1" aca="1" ref="L5">IFERROR(INDIRECT("ClassesPlans!A"&amp;ROW(BEGIN_UniqueSTDPlans)+L2,TRUE),"")</f>
        <v/>
      </c>
      <c r="M5" s="336" t="str" cm="1">
        <f t="array" ca="1" aca="1" ref="M5">IFERROR(INDIRECT("ClassesPlans!A"&amp;ROW(BEGIN_UniqueSTDPlans)+M2,TRUE),"")</f>
        <v/>
      </c>
      <c r="N5" s="336" t="str" cm="1">
        <f t="array" ca="1" aca="1" ref="N5">IFERROR(INDIRECT("ClassesPlans!A"&amp;ROW(BEGIN_UniqueSTDPlans)+N2,TRUE),"")</f>
        <v/>
      </c>
      <c r="O5" s="336" t="str" cm="1">
        <f t="array" ca="1" aca="1" ref="O5">IFERROR(INDIRECT("ClassesPlans!A"&amp;ROW(BEGIN_UniqueSTDPlans)+O2,TRUE),"")</f>
        <v/>
      </c>
      <c r="P5" s="336" t="str" cm="1">
        <f t="array" ca="1" aca="1" ref="P5">IFERROR(INDIRECT("ClassesPlans!A"&amp;ROW(BEGIN_UniqueSTDPlans)+P2,TRUE),"")</f>
        <v/>
      </c>
      <c r="Q5" s="336" t="str" cm="1">
        <f t="array" ca="1" aca="1" ref="Q5">IFERROR(INDIRECT("ClassesPlans!A"&amp;ROW(BEGIN_UniqueSTDPlans)+Q2,TRUE),"")</f>
        <v/>
      </c>
      <c r="R5" s="336" t="str" cm="1">
        <f t="array" ca="1" aca="1" ref="R5">IFERROR(INDIRECT("ClassesPlans!A"&amp;ROW(BEGIN_UniqueSTDPlans)+R2,TRUE),"")</f>
        <v/>
      </c>
      <c r="S5" s="336" t="str" cm="1">
        <f t="array" ca="1" aca="1" ref="S5">IFERROR(INDIRECT("ClassesPlans!A"&amp;ROW(BEGIN_UniqueSTDPlans)+S2,TRUE),"")</f>
        <v/>
      </c>
      <c r="T5" s="336" t="str" cm="1">
        <f t="array" ca="1" aca="1" ref="T5">IFERROR(INDIRECT("ClassesPlans!A"&amp;ROW(BEGIN_UniqueSTDPlans)+T2,TRUE),"")</f>
        <v/>
      </c>
      <c r="U5" s="336" t="str" cm="1">
        <f t="array" ca="1" aca="1" ref="U5">IFERROR(INDIRECT("ClassesPlans!A"&amp;ROW(BEGIN_UniqueSTDPlans)+U2,TRUE),"")</f>
        <v/>
      </c>
      <c r="V5" s="336" t="str" cm="1">
        <f t="array" ca="1" aca="1" ref="V5">IFERROR(INDIRECT("ClassesPlans!A"&amp;ROW(BEGIN_UniqueSTDPlans)+V2,TRUE),"")</f>
        <v/>
      </c>
      <c r="W5" s="259" t="s">
        <v>368</v>
      </c>
    </row>
    <row r="6" spans="2:22" ht="12.5">
      <c r="B6" s="344" t="s">
        <v>333</v>
      </c>
      <c r="C6" s="337"/>
      <c r="D6" s="337"/>
      <c r="E6" s="337"/>
      <c r="F6" s="337"/>
      <c r="G6" s="337"/>
      <c r="H6" s="337"/>
      <c r="I6" s="337"/>
      <c r="J6" s="337"/>
      <c r="K6" s="337"/>
      <c r="L6" s="337"/>
      <c r="M6" s="337"/>
      <c r="N6" s="337"/>
      <c r="O6" s="337"/>
      <c r="P6" s="337"/>
      <c r="Q6" s="337"/>
      <c r="R6" s="337"/>
      <c r="S6" s="337"/>
      <c r="T6" s="337"/>
      <c r="U6" s="337"/>
      <c r="V6" s="337"/>
    </row>
    <row r="7" spans="1:22" ht="12.5">
      <c r="A7" s="3">
        <v>9</v>
      </c>
      <c r="B7" s="343" t="s">
        <v>445</v>
      </c>
      <c r="C7" s="329" t="str">
        <f ca="1">IFERROR(VLOOKUP(C$5,BEGIN_Renew_STD_PlanID:END_RENEW_STD,$A7,FALSE),"")</f>
        <v/>
      </c>
      <c r="D7" s="329" t="str">
        <f ca="1">IFERROR(VLOOKUP(D$5,BEGIN_Renew_STD_PlanID:END_RENEW_STD,$A7,FALSE),"")</f>
        <v/>
      </c>
      <c r="E7" s="329" t="str">
        <f ca="1">IFERROR(VLOOKUP(E$5,BEGIN_Renew_STD_PlanID:END_RENEW_STD,$A7,FALSE),"")</f>
        <v/>
      </c>
      <c r="F7" s="329" t="str">
        <f ca="1">IFERROR(VLOOKUP(F$5,BEGIN_Renew_STD_PlanID:END_RENEW_STD,$A7,FALSE),"")</f>
        <v/>
      </c>
      <c r="G7" s="329" t="str">
        <f ca="1">IFERROR(VLOOKUP(G$5,BEGIN_Renew_STD_PlanID:END_RENEW_STD,$A7,FALSE),"")</f>
        <v/>
      </c>
      <c r="H7" s="329" t="str">
        <f ca="1">IFERROR(VLOOKUP(H$5,BEGIN_Renew_STD_PlanID:END_RENEW_STD,$A7,FALSE),"")</f>
        <v/>
      </c>
      <c r="I7" s="329" t="str">
        <f ca="1">IFERROR(VLOOKUP(I$5,BEGIN_Renew_STD_PlanID:END_RENEW_STD,$A7,FALSE),"")</f>
        <v/>
      </c>
      <c r="J7" s="329" t="str">
        <f ca="1">IFERROR(VLOOKUP(J$5,BEGIN_Renew_STD_PlanID:END_RENEW_STD,$A7,FALSE),"")</f>
        <v/>
      </c>
      <c r="K7" s="329" t="str">
        <f ca="1">IFERROR(VLOOKUP(K$5,BEGIN_Renew_STD_PlanID:END_RENEW_STD,$A7,FALSE),"")</f>
        <v/>
      </c>
      <c r="L7" s="329" t="str">
        <f ca="1">IFERROR(VLOOKUP(L$5,BEGIN_Renew_STD_PlanID:END_RENEW_STD,$A7,FALSE),"")</f>
        <v/>
      </c>
      <c r="M7" s="329" t="str">
        <f ca="1">IFERROR(VLOOKUP(M$5,BEGIN_Renew_STD_PlanID:END_RENEW_STD,$A7,FALSE),"")</f>
        <v/>
      </c>
      <c r="N7" s="329" t="str">
        <f ca="1">IFERROR(VLOOKUP(N$5,BEGIN_Renew_STD_PlanID:END_RENEW_STD,$A7,FALSE),"")</f>
        <v/>
      </c>
      <c r="O7" s="329" t="str">
        <f ca="1">IFERROR(VLOOKUP(O$5,BEGIN_Renew_STD_PlanID:END_RENEW_STD,$A7,FALSE),"")</f>
        <v/>
      </c>
      <c r="P7" s="329" t="str">
        <f ca="1">IFERROR(VLOOKUP(P$5,BEGIN_Renew_STD_PlanID:END_RENEW_STD,$A7,FALSE),"")</f>
        <v/>
      </c>
      <c r="Q7" s="329" t="str">
        <f ca="1">IFERROR(VLOOKUP(Q$5,BEGIN_Renew_STD_PlanID:END_RENEW_STD,$A7,FALSE),"")</f>
        <v/>
      </c>
      <c r="R7" s="329" t="str">
        <f ca="1">IFERROR(VLOOKUP(R$5,BEGIN_Renew_STD_PlanID:END_RENEW_STD,$A7,FALSE),"")</f>
        <v/>
      </c>
      <c r="S7" s="329" t="str">
        <f ca="1">IFERROR(VLOOKUP(S$5,BEGIN_Renew_STD_PlanID:END_RENEW_STD,$A7,FALSE),"")</f>
        <v/>
      </c>
      <c r="T7" s="329" t="str">
        <f ca="1">IFERROR(VLOOKUP(T$5,BEGIN_Renew_STD_PlanID:END_RENEW_STD,$A7,FALSE),"")</f>
        <v/>
      </c>
      <c r="U7" s="329" t="str">
        <f ca="1">IFERROR(VLOOKUP(U$5,BEGIN_Renew_STD_PlanID:END_RENEW_STD,$A7,FALSE),"")</f>
        <v/>
      </c>
      <c r="V7" s="329" t="str">
        <f ca="1">IFERROR(VLOOKUP(V$5,BEGIN_Renew_STD_PlanID:END_RENEW_STD,$A7,FALSE),"")</f>
        <v/>
      </c>
    </row>
    <row r="8" spans="2:22" ht="12.5">
      <c r="B8" s="344" t="s">
        <v>369</v>
      </c>
      <c r="C8" s="337"/>
      <c r="D8" s="337"/>
      <c r="E8" s="337"/>
      <c r="F8" s="337"/>
      <c r="G8" s="337"/>
      <c r="H8" s="337"/>
      <c r="I8" s="337"/>
      <c r="J8" s="337"/>
      <c r="K8" s="337"/>
      <c r="L8" s="337"/>
      <c r="M8" s="337"/>
      <c r="N8" s="337"/>
      <c r="O8" s="337"/>
      <c r="P8" s="337"/>
      <c r="Q8" s="337"/>
      <c r="R8" s="337"/>
      <c r="S8" s="337"/>
      <c r="T8" s="337"/>
      <c r="U8" s="337"/>
      <c r="V8" s="337"/>
    </row>
    <row r="9" spans="1:22" ht="12.5">
      <c r="A9" s="3">
        <v>24</v>
      </c>
      <c r="B9" s="343" t="s">
        <v>175</v>
      </c>
      <c r="C9" s="330" t="str">
        <f ca="1">IFERROR(VLOOKUP(C$5,BEGIN_Renew_STD_PlanID:END_RENEW_STD,$A9,FALSE),"")</f>
        <v/>
      </c>
      <c r="D9" s="330" t="str">
        <f ca="1">IFERROR(VLOOKUP(D$5,BEGIN_Renew_STD_PlanID:END_RENEW_STD,$A9,FALSE),"")</f>
        <v/>
      </c>
      <c r="E9" s="330" t="str">
        <f ca="1">IFERROR(VLOOKUP(E$5,BEGIN_Renew_STD_PlanID:END_RENEW_STD,$A9,FALSE),"")</f>
        <v/>
      </c>
      <c r="F9" s="330" t="str">
        <f ca="1">IFERROR(VLOOKUP(F$5,BEGIN_Renew_STD_PlanID:END_RENEW_STD,$A9,FALSE),"")</f>
        <v/>
      </c>
      <c r="G9" s="330" t="str">
        <f ca="1">IFERROR(VLOOKUP(G$5,BEGIN_Renew_STD_PlanID:END_RENEW_STD,$A9,FALSE),"")</f>
        <v/>
      </c>
      <c r="H9" s="330" t="str">
        <f ca="1">IFERROR(VLOOKUP(H$5,BEGIN_Renew_STD_PlanID:END_RENEW_STD,$A9,FALSE),"")</f>
        <v/>
      </c>
      <c r="I9" s="330" t="str">
        <f ca="1">IFERROR(VLOOKUP(I$5,BEGIN_Renew_STD_PlanID:END_RENEW_STD,$A9,FALSE),"")</f>
        <v/>
      </c>
      <c r="J9" s="330" t="str">
        <f ca="1">IFERROR(VLOOKUP(J$5,BEGIN_Renew_STD_PlanID:END_RENEW_STD,$A9,FALSE),"")</f>
        <v/>
      </c>
      <c r="K9" s="330" t="str">
        <f ca="1">IFERROR(VLOOKUP(K$5,BEGIN_Renew_STD_PlanID:END_RENEW_STD,$A9,FALSE),"")</f>
        <v/>
      </c>
      <c r="L9" s="330" t="str">
        <f ca="1">IFERROR(VLOOKUP(L$5,BEGIN_Renew_STD_PlanID:END_RENEW_STD,$A9,FALSE),"")</f>
        <v/>
      </c>
      <c r="M9" s="330" t="str">
        <f ca="1">IFERROR(VLOOKUP(M$5,BEGIN_Renew_STD_PlanID:END_RENEW_STD,$A9,FALSE),"")</f>
        <v/>
      </c>
      <c r="N9" s="330" t="str">
        <f ca="1">IFERROR(VLOOKUP(N$5,BEGIN_Renew_STD_PlanID:END_RENEW_STD,$A9,FALSE),"")</f>
        <v/>
      </c>
      <c r="O9" s="330" t="str">
        <f ca="1">IFERROR(VLOOKUP(O$5,BEGIN_Renew_STD_PlanID:END_RENEW_STD,$A9,FALSE),"")</f>
        <v/>
      </c>
      <c r="P9" s="330" t="str">
        <f ca="1">IFERROR(VLOOKUP(P$5,BEGIN_Renew_STD_PlanID:END_RENEW_STD,$A9,FALSE),"")</f>
        <v/>
      </c>
      <c r="Q9" s="330" t="str">
        <f ca="1">IFERROR(VLOOKUP(Q$5,BEGIN_Renew_STD_PlanID:END_RENEW_STD,$A9,FALSE),"")</f>
        <v/>
      </c>
      <c r="R9" s="330" t="str">
        <f ca="1">IFERROR(VLOOKUP(R$5,BEGIN_Renew_STD_PlanID:END_RENEW_STD,$A9,FALSE),"")</f>
        <v/>
      </c>
      <c r="S9" s="330" t="str">
        <f ca="1">IFERROR(VLOOKUP(S$5,BEGIN_Renew_STD_PlanID:END_RENEW_STD,$A9,FALSE),"")</f>
        <v/>
      </c>
      <c r="T9" s="330" t="str">
        <f ca="1">IFERROR(VLOOKUP(T$5,BEGIN_Renew_STD_PlanID:END_RENEW_STD,$A9,FALSE),"")</f>
        <v/>
      </c>
      <c r="U9" s="330" t="str">
        <f ca="1">IFERROR(VLOOKUP(U$5,BEGIN_Renew_STD_PlanID:END_RENEW_STD,$A9,FALSE),"")</f>
        <v/>
      </c>
      <c r="V9" s="330" t="str">
        <f ca="1">IFERROR(VLOOKUP(V$5,BEGIN_Renew_STD_PlanID:END_RENEW_STD,$A9,FALSE),"")</f>
        <v/>
      </c>
    </row>
    <row r="10" spans="1:22" ht="12.5">
      <c r="A10" s="3">
        <v>25</v>
      </c>
      <c r="B10" s="343" t="s">
        <v>176</v>
      </c>
      <c r="C10" s="330" t="str">
        <f ca="1">IFERROR(VLOOKUP(C$5,BEGIN_Renew_STD_PlanID:END_RENEW_STD,$A10,FALSE),"")</f>
        <v/>
      </c>
      <c r="D10" s="330" t="str">
        <f ca="1">IFERROR(VLOOKUP(D$5,BEGIN_Renew_STD_PlanID:END_RENEW_STD,$A10,FALSE),"")</f>
        <v/>
      </c>
      <c r="E10" s="330" t="str">
        <f ca="1">IFERROR(VLOOKUP(E$5,BEGIN_Renew_STD_PlanID:END_RENEW_STD,$A10,FALSE),"")</f>
        <v/>
      </c>
      <c r="F10" s="330" t="str">
        <f ca="1">IFERROR(VLOOKUP(F$5,BEGIN_Renew_STD_PlanID:END_RENEW_STD,$A10,FALSE),"")</f>
        <v/>
      </c>
      <c r="G10" s="330" t="str">
        <f ca="1">IFERROR(VLOOKUP(G$5,BEGIN_Renew_STD_PlanID:END_RENEW_STD,$A10,FALSE),"")</f>
        <v/>
      </c>
      <c r="H10" s="330" t="str">
        <f ca="1">IFERROR(VLOOKUP(H$5,BEGIN_Renew_STD_PlanID:END_RENEW_STD,$A10,FALSE),"")</f>
        <v/>
      </c>
      <c r="I10" s="330" t="str">
        <f ca="1">IFERROR(VLOOKUP(I$5,BEGIN_Renew_STD_PlanID:END_RENEW_STD,$A10,FALSE),"")</f>
        <v/>
      </c>
      <c r="J10" s="330" t="str">
        <f ca="1">IFERROR(VLOOKUP(J$5,BEGIN_Renew_STD_PlanID:END_RENEW_STD,$A10,FALSE),"")</f>
        <v/>
      </c>
      <c r="K10" s="330" t="str">
        <f ca="1">IFERROR(VLOOKUP(K$5,BEGIN_Renew_STD_PlanID:END_RENEW_STD,$A10,FALSE),"")</f>
        <v/>
      </c>
      <c r="L10" s="330" t="str">
        <f ca="1">IFERROR(VLOOKUP(L$5,BEGIN_Renew_STD_PlanID:END_RENEW_STD,$A10,FALSE),"")</f>
        <v/>
      </c>
      <c r="M10" s="330" t="str">
        <f ca="1">IFERROR(VLOOKUP(M$5,BEGIN_Renew_STD_PlanID:END_RENEW_STD,$A10,FALSE),"")</f>
        <v/>
      </c>
      <c r="N10" s="330" t="str">
        <f ca="1">IFERROR(VLOOKUP(N$5,BEGIN_Renew_STD_PlanID:END_RENEW_STD,$A10,FALSE),"")</f>
        <v/>
      </c>
      <c r="O10" s="330" t="str">
        <f ca="1">IFERROR(VLOOKUP(O$5,BEGIN_Renew_STD_PlanID:END_RENEW_STD,$A10,FALSE),"")</f>
        <v/>
      </c>
      <c r="P10" s="330" t="str">
        <f ca="1">IFERROR(VLOOKUP(P$5,BEGIN_Renew_STD_PlanID:END_RENEW_STD,$A10,FALSE),"")</f>
        <v/>
      </c>
      <c r="Q10" s="330" t="str">
        <f ca="1">IFERROR(VLOOKUP(Q$5,BEGIN_Renew_STD_PlanID:END_RENEW_STD,$A10,FALSE),"")</f>
        <v/>
      </c>
      <c r="R10" s="330" t="str">
        <f ca="1">IFERROR(VLOOKUP(R$5,BEGIN_Renew_STD_PlanID:END_RENEW_STD,$A10,FALSE),"")</f>
        <v/>
      </c>
      <c r="S10" s="330" t="str">
        <f ca="1">IFERROR(VLOOKUP(S$5,BEGIN_Renew_STD_PlanID:END_RENEW_STD,$A10,FALSE),"")</f>
        <v/>
      </c>
      <c r="T10" s="330" t="str">
        <f ca="1">IFERROR(VLOOKUP(T$5,BEGIN_Renew_STD_PlanID:END_RENEW_STD,$A10,FALSE),"")</f>
        <v/>
      </c>
      <c r="U10" s="330" t="str">
        <f ca="1">IFERROR(VLOOKUP(U$5,BEGIN_Renew_STD_PlanID:END_RENEW_STD,$A10,FALSE),"")</f>
        <v/>
      </c>
      <c r="V10" s="330" t="str">
        <f ca="1">IFERROR(VLOOKUP(V$5,BEGIN_Renew_STD_PlanID:END_RENEW_STD,$A10,FALSE),"")</f>
        <v/>
      </c>
    </row>
    <row r="11" spans="1:22" ht="12.5">
      <c r="A11" s="3">
        <v>26</v>
      </c>
      <c r="B11" s="343" t="s">
        <v>177</v>
      </c>
      <c r="C11" s="330" t="str">
        <f ca="1">IFERROR(VLOOKUP(C$5,BEGIN_Renew_STD_PlanID:END_RENEW_STD,$A11,FALSE),"")</f>
        <v/>
      </c>
      <c r="D11" s="330" t="str">
        <f ca="1">IFERROR(VLOOKUP(D$5,BEGIN_Renew_STD_PlanID:END_RENEW_STD,$A11,FALSE),"")</f>
        <v/>
      </c>
      <c r="E11" s="330" t="str">
        <f ca="1">IFERROR(VLOOKUP(E$5,BEGIN_Renew_STD_PlanID:END_RENEW_STD,$A11,FALSE),"")</f>
        <v/>
      </c>
      <c r="F11" s="330" t="str">
        <f ca="1">IFERROR(VLOOKUP(F$5,BEGIN_Renew_STD_PlanID:END_RENEW_STD,$A11,FALSE),"")</f>
        <v/>
      </c>
      <c r="G11" s="330" t="str">
        <f ca="1">IFERROR(VLOOKUP(G$5,BEGIN_Renew_STD_PlanID:END_RENEW_STD,$A11,FALSE),"")</f>
        <v/>
      </c>
      <c r="H11" s="330" t="str">
        <f ca="1">IFERROR(VLOOKUP(H$5,BEGIN_Renew_STD_PlanID:END_RENEW_STD,$A11,FALSE),"")</f>
        <v/>
      </c>
      <c r="I11" s="330" t="str">
        <f ca="1">IFERROR(VLOOKUP(I$5,BEGIN_Renew_STD_PlanID:END_RENEW_STD,$A11,FALSE),"")</f>
        <v/>
      </c>
      <c r="J11" s="330" t="str">
        <f ca="1">IFERROR(VLOOKUP(J$5,BEGIN_Renew_STD_PlanID:END_RENEW_STD,$A11,FALSE),"")</f>
        <v/>
      </c>
      <c r="K11" s="330" t="str">
        <f ca="1">IFERROR(VLOOKUP(K$5,BEGIN_Renew_STD_PlanID:END_RENEW_STD,$A11,FALSE),"")</f>
        <v/>
      </c>
      <c r="L11" s="330" t="str">
        <f ca="1">IFERROR(VLOOKUP(L$5,BEGIN_Renew_STD_PlanID:END_RENEW_STD,$A11,FALSE),"")</f>
        <v/>
      </c>
      <c r="M11" s="330" t="str">
        <f ca="1">IFERROR(VLOOKUP(M$5,BEGIN_Renew_STD_PlanID:END_RENEW_STD,$A11,FALSE),"")</f>
        <v/>
      </c>
      <c r="N11" s="330" t="str">
        <f ca="1">IFERROR(VLOOKUP(N$5,BEGIN_Renew_STD_PlanID:END_RENEW_STD,$A11,FALSE),"")</f>
        <v/>
      </c>
      <c r="O11" s="330" t="str">
        <f ca="1">IFERROR(VLOOKUP(O$5,BEGIN_Renew_STD_PlanID:END_RENEW_STD,$A11,FALSE),"")</f>
        <v/>
      </c>
      <c r="P11" s="330" t="str">
        <f ca="1">IFERROR(VLOOKUP(P$5,BEGIN_Renew_STD_PlanID:END_RENEW_STD,$A11,FALSE),"")</f>
        <v/>
      </c>
      <c r="Q11" s="330" t="str">
        <f ca="1">IFERROR(VLOOKUP(Q$5,BEGIN_Renew_STD_PlanID:END_RENEW_STD,$A11,FALSE),"")</f>
        <v/>
      </c>
      <c r="R11" s="330" t="str">
        <f ca="1">IFERROR(VLOOKUP(R$5,BEGIN_Renew_STD_PlanID:END_RENEW_STD,$A11,FALSE),"")</f>
        <v/>
      </c>
      <c r="S11" s="330" t="str">
        <f ca="1">IFERROR(VLOOKUP(S$5,BEGIN_Renew_STD_PlanID:END_RENEW_STD,$A11,FALSE),"")</f>
        <v/>
      </c>
      <c r="T11" s="330" t="str">
        <f ca="1">IFERROR(VLOOKUP(T$5,BEGIN_Renew_STD_PlanID:END_RENEW_STD,$A11,FALSE),"")</f>
        <v/>
      </c>
      <c r="U11" s="330" t="str">
        <f ca="1">IFERROR(VLOOKUP(U$5,BEGIN_Renew_STD_PlanID:END_RENEW_STD,$A11,FALSE),"")</f>
        <v/>
      </c>
      <c r="V11" s="330" t="str">
        <f ca="1">IFERROR(VLOOKUP(V$5,BEGIN_Renew_STD_PlanID:END_RENEW_STD,$A11,FALSE),"")</f>
        <v/>
      </c>
    </row>
    <row r="12" spans="1:22" ht="12.5">
      <c r="A12" s="3">
        <v>31</v>
      </c>
      <c r="B12" s="343" t="s">
        <v>182</v>
      </c>
      <c r="C12" s="330" t="str">
        <f ca="1">IFERROR(VLOOKUP(C$5,BEGIN_Renew_STD_PlanID:END_RENEW_STD,$A12,FALSE),"")</f>
        <v/>
      </c>
      <c r="D12" s="330" t="str">
        <f ca="1">IFERROR(VLOOKUP(D$5,BEGIN_Renew_STD_PlanID:END_RENEW_STD,$A12,FALSE),"")</f>
        <v/>
      </c>
      <c r="E12" s="330" t="str">
        <f ca="1">IFERROR(VLOOKUP(E$5,BEGIN_Renew_STD_PlanID:END_RENEW_STD,$A12,FALSE),"")</f>
        <v/>
      </c>
      <c r="F12" s="330" t="str">
        <f ca="1">IFERROR(VLOOKUP(F$5,BEGIN_Renew_STD_PlanID:END_RENEW_STD,$A12,FALSE),"")</f>
        <v/>
      </c>
      <c r="G12" s="330" t="str">
        <f ca="1">IFERROR(VLOOKUP(G$5,BEGIN_Renew_STD_PlanID:END_RENEW_STD,$A12,FALSE),"")</f>
        <v/>
      </c>
      <c r="H12" s="330" t="str">
        <f ca="1">IFERROR(VLOOKUP(H$5,BEGIN_Renew_STD_PlanID:END_RENEW_STD,$A12,FALSE),"")</f>
        <v/>
      </c>
      <c r="I12" s="330" t="str">
        <f ca="1">IFERROR(VLOOKUP(I$5,BEGIN_Renew_STD_PlanID:END_RENEW_STD,$A12,FALSE),"")</f>
        <v/>
      </c>
      <c r="J12" s="330" t="str">
        <f ca="1">IFERROR(VLOOKUP(J$5,BEGIN_Renew_STD_PlanID:END_RENEW_STD,$A12,FALSE),"")</f>
        <v/>
      </c>
      <c r="K12" s="330" t="str">
        <f ca="1">IFERROR(VLOOKUP(K$5,BEGIN_Renew_STD_PlanID:END_RENEW_STD,$A12,FALSE),"")</f>
        <v/>
      </c>
      <c r="L12" s="330" t="str">
        <f ca="1">IFERROR(VLOOKUP(L$5,BEGIN_Renew_STD_PlanID:END_RENEW_STD,$A12,FALSE),"")</f>
        <v/>
      </c>
      <c r="M12" s="330" t="str">
        <f ca="1">IFERROR(VLOOKUP(M$5,BEGIN_Renew_STD_PlanID:END_RENEW_STD,$A12,FALSE),"")</f>
        <v/>
      </c>
      <c r="N12" s="330" t="str">
        <f ca="1">IFERROR(VLOOKUP(N$5,BEGIN_Renew_STD_PlanID:END_RENEW_STD,$A12,FALSE),"")</f>
        <v/>
      </c>
      <c r="O12" s="330" t="str">
        <f ca="1">IFERROR(VLOOKUP(O$5,BEGIN_Renew_STD_PlanID:END_RENEW_STD,$A12,FALSE),"")</f>
        <v/>
      </c>
      <c r="P12" s="330" t="str">
        <f ca="1">IFERROR(VLOOKUP(P$5,BEGIN_Renew_STD_PlanID:END_RENEW_STD,$A12,FALSE),"")</f>
        <v/>
      </c>
      <c r="Q12" s="330" t="str">
        <f ca="1">IFERROR(VLOOKUP(Q$5,BEGIN_Renew_STD_PlanID:END_RENEW_STD,$A12,FALSE),"")</f>
        <v/>
      </c>
      <c r="R12" s="330" t="str">
        <f ca="1">IFERROR(VLOOKUP(R$5,BEGIN_Renew_STD_PlanID:END_RENEW_STD,$A12,FALSE),"")</f>
        <v/>
      </c>
      <c r="S12" s="330" t="str">
        <f ca="1">IFERROR(VLOOKUP(S$5,BEGIN_Renew_STD_PlanID:END_RENEW_STD,$A12,FALSE),"")</f>
        <v/>
      </c>
      <c r="T12" s="330" t="str">
        <f ca="1">IFERROR(VLOOKUP(T$5,BEGIN_Renew_STD_PlanID:END_RENEW_STD,$A12,FALSE),"")</f>
        <v/>
      </c>
      <c r="U12" s="330" t="str">
        <f ca="1">IFERROR(VLOOKUP(U$5,BEGIN_Renew_STD_PlanID:END_RENEW_STD,$A12,FALSE),"")</f>
        <v/>
      </c>
      <c r="V12" s="330" t="str">
        <f ca="1">IFERROR(VLOOKUP(V$5,BEGIN_Renew_STD_PlanID:END_RENEW_STD,$A12,FALSE),"")</f>
        <v/>
      </c>
    </row>
    <row r="13" spans="2:22" ht="12.5">
      <c r="B13" s="344" t="s">
        <v>188</v>
      </c>
      <c r="C13" s="337"/>
      <c r="D13" s="337"/>
      <c r="E13" s="337"/>
      <c r="F13" s="337"/>
      <c r="G13" s="337"/>
      <c r="H13" s="337"/>
      <c r="I13" s="337"/>
      <c r="J13" s="337"/>
      <c r="K13" s="337"/>
      <c r="L13" s="337"/>
      <c r="M13" s="337"/>
      <c r="N13" s="337"/>
      <c r="O13" s="337"/>
      <c r="P13" s="337"/>
      <c r="Q13" s="337"/>
      <c r="R13" s="337"/>
      <c r="S13" s="337"/>
      <c r="T13" s="337"/>
      <c r="U13" s="337"/>
      <c r="V13" s="337"/>
    </row>
    <row r="14" spans="1:22" ht="12.5">
      <c r="A14" s="3">
        <v>27</v>
      </c>
      <c r="B14" s="343" t="s">
        <v>178</v>
      </c>
      <c r="C14" s="330" t="str">
        <f ca="1">IFERROR(VLOOKUP(C$5,BEGIN_Renew_STD_PlanID:END_RENEW_STD,$A14,FALSE),"")</f>
        <v/>
      </c>
      <c r="D14" s="330" t="str">
        <f ca="1">IFERROR(VLOOKUP(D$5,BEGIN_Renew_STD_PlanID:END_RENEW_STD,$A14,FALSE),"")</f>
        <v/>
      </c>
      <c r="E14" s="330" t="str">
        <f ca="1">IFERROR(VLOOKUP(E$5,BEGIN_Renew_STD_PlanID:END_RENEW_STD,$A14,FALSE),"")</f>
        <v/>
      </c>
      <c r="F14" s="330" t="str">
        <f ca="1">IFERROR(VLOOKUP(F$5,BEGIN_Renew_STD_PlanID:END_RENEW_STD,$A14,FALSE),"")</f>
        <v/>
      </c>
      <c r="G14" s="330" t="str">
        <f ca="1">IFERROR(VLOOKUP(G$5,BEGIN_Renew_STD_PlanID:END_RENEW_STD,$A14,FALSE),"")</f>
        <v/>
      </c>
      <c r="H14" s="330" t="str">
        <f ca="1">IFERROR(VLOOKUP(H$5,BEGIN_Renew_STD_PlanID:END_RENEW_STD,$A14,FALSE),"")</f>
        <v/>
      </c>
      <c r="I14" s="330" t="str">
        <f ca="1">IFERROR(VLOOKUP(I$5,BEGIN_Renew_STD_PlanID:END_RENEW_STD,$A14,FALSE),"")</f>
        <v/>
      </c>
      <c r="J14" s="330" t="str">
        <f ca="1">IFERROR(VLOOKUP(J$5,BEGIN_Renew_STD_PlanID:END_RENEW_STD,$A14,FALSE),"")</f>
        <v/>
      </c>
      <c r="K14" s="330" t="str">
        <f ca="1">IFERROR(VLOOKUP(K$5,BEGIN_Renew_STD_PlanID:END_RENEW_STD,$A14,FALSE),"")</f>
        <v/>
      </c>
      <c r="L14" s="330" t="str">
        <f ca="1">IFERROR(VLOOKUP(L$5,BEGIN_Renew_STD_PlanID:END_RENEW_STD,$A14,FALSE),"")</f>
        <v/>
      </c>
      <c r="M14" s="330" t="str">
        <f ca="1">IFERROR(VLOOKUP(M$5,BEGIN_Renew_STD_PlanID:END_RENEW_STD,$A14,FALSE),"")</f>
        <v/>
      </c>
      <c r="N14" s="330" t="str">
        <f ca="1">IFERROR(VLOOKUP(N$5,BEGIN_Renew_STD_PlanID:END_RENEW_STD,$A14,FALSE),"")</f>
        <v/>
      </c>
      <c r="O14" s="330" t="str">
        <f ca="1">IFERROR(VLOOKUP(O$5,BEGIN_Renew_STD_PlanID:END_RENEW_STD,$A14,FALSE),"")</f>
        <v/>
      </c>
      <c r="P14" s="330" t="str">
        <f ca="1">IFERROR(VLOOKUP(P$5,BEGIN_Renew_STD_PlanID:END_RENEW_STD,$A14,FALSE),"")</f>
        <v/>
      </c>
      <c r="Q14" s="330" t="str">
        <f ca="1">IFERROR(VLOOKUP(Q$5,BEGIN_Renew_STD_PlanID:END_RENEW_STD,$A14,FALSE),"")</f>
        <v/>
      </c>
      <c r="R14" s="330" t="str">
        <f ca="1">IFERROR(VLOOKUP(R$5,BEGIN_Renew_STD_PlanID:END_RENEW_STD,$A14,FALSE),"")</f>
        <v/>
      </c>
      <c r="S14" s="330" t="str">
        <f ca="1">IFERROR(VLOOKUP(S$5,BEGIN_Renew_STD_PlanID:END_RENEW_STD,$A14,FALSE),"")</f>
        <v/>
      </c>
      <c r="T14" s="330" t="str">
        <f ca="1">IFERROR(VLOOKUP(T$5,BEGIN_Renew_STD_PlanID:END_RENEW_STD,$A14,FALSE),"")</f>
        <v/>
      </c>
      <c r="U14" s="330" t="str">
        <f ca="1">IFERROR(VLOOKUP(U$5,BEGIN_Renew_STD_PlanID:END_RENEW_STD,$A14,FALSE),"")</f>
        <v/>
      </c>
      <c r="V14" s="330" t="str">
        <f ca="1">IFERROR(VLOOKUP(V$5,BEGIN_Renew_STD_PlanID:END_RENEW_STD,$A14,FALSE),"")</f>
        <v/>
      </c>
    </row>
    <row r="15" spans="1:22" ht="12.5">
      <c r="A15" s="3">
        <v>28</v>
      </c>
      <c r="B15" s="343" t="s">
        <v>179</v>
      </c>
      <c r="C15" s="330" t="str">
        <f ca="1">IFERROR(VLOOKUP(C$5,BEGIN_Renew_STD_PlanID:END_RENEW_STD,$A15,FALSE),"")</f>
        <v/>
      </c>
      <c r="D15" s="330" t="str">
        <f ca="1">IFERROR(VLOOKUP(D$5,BEGIN_Renew_STD_PlanID:END_RENEW_STD,$A15,FALSE),"")</f>
        <v/>
      </c>
      <c r="E15" s="330" t="str">
        <f ca="1">IFERROR(VLOOKUP(E$5,BEGIN_Renew_STD_PlanID:END_RENEW_STD,$A15,FALSE),"")</f>
        <v/>
      </c>
      <c r="F15" s="330" t="str">
        <f ca="1">IFERROR(VLOOKUP(F$5,BEGIN_Renew_STD_PlanID:END_RENEW_STD,$A15,FALSE),"")</f>
        <v/>
      </c>
      <c r="G15" s="330" t="str">
        <f ca="1">IFERROR(VLOOKUP(G$5,BEGIN_Renew_STD_PlanID:END_RENEW_STD,$A15,FALSE),"")</f>
        <v/>
      </c>
      <c r="H15" s="330" t="str">
        <f ca="1">IFERROR(VLOOKUP(H$5,BEGIN_Renew_STD_PlanID:END_RENEW_STD,$A15,FALSE),"")</f>
        <v/>
      </c>
      <c r="I15" s="330" t="str">
        <f ca="1">IFERROR(VLOOKUP(I$5,BEGIN_Renew_STD_PlanID:END_RENEW_STD,$A15,FALSE),"")</f>
        <v/>
      </c>
      <c r="J15" s="330" t="str">
        <f ca="1">IFERROR(VLOOKUP(J$5,BEGIN_Renew_STD_PlanID:END_RENEW_STD,$A15,FALSE),"")</f>
        <v/>
      </c>
      <c r="K15" s="330" t="str">
        <f ca="1">IFERROR(VLOOKUP(K$5,BEGIN_Renew_STD_PlanID:END_RENEW_STD,$A15,FALSE),"")</f>
        <v/>
      </c>
      <c r="L15" s="330" t="str">
        <f ca="1">IFERROR(VLOOKUP(L$5,BEGIN_Renew_STD_PlanID:END_RENEW_STD,$A15,FALSE),"")</f>
        <v/>
      </c>
      <c r="M15" s="330" t="str">
        <f ca="1">IFERROR(VLOOKUP(M$5,BEGIN_Renew_STD_PlanID:END_RENEW_STD,$A15,FALSE),"")</f>
        <v/>
      </c>
      <c r="N15" s="330" t="str">
        <f ca="1">IFERROR(VLOOKUP(N$5,BEGIN_Renew_STD_PlanID:END_RENEW_STD,$A15,FALSE),"")</f>
        <v/>
      </c>
      <c r="O15" s="330" t="str">
        <f ca="1">IFERROR(VLOOKUP(O$5,BEGIN_Renew_STD_PlanID:END_RENEW_STD,$A15,FALSE),"")</f>
        <v/>
      </c>
      <c r="P15" s="330" t="str">
        <f ca="1">IFERROR(VLOOKUP(P$5,BEGIN_Renew_STD_PlanID:END_RENEW_STD,$A15,FALSE),"")</f>
        <v/>
      </c>
      <c r="Q15" s="330" t="str">
        <f ca="1">IFERROR(VLOOKUP(Q$5,BEGIN_Renew_STD_PlanID:END_RENEW_STD,$A15,FALSE),"")</f>
        <v/>
      </c>
      <c r="R15" s="330" t="str">
        <f ca="1">IFERROR(VLOOKUP(R$5,BEGIN_Renew_STD_PlanID:END_RENEW_STD,$A15,FALSE),"")</f>
        <v/>
      </c>
      <c r="S15" s="330" t="str">
        <f ca="1">IFERROR(VLOOKUP(S$5,BEGIN_Renew_STD_PlanID:END_RENEW_STD,$A15,FALSE),"")</f>
        <v/>
      </c>
      <c r="T15" s="330" t="str">
        <f ca="1">IFERROR(VLOOKUP(T$5,BEGIN_Renew_STD_PlanID:END_RENEW_STD,$A15,FALSE),"")</f>
        <v/>
      </c>
      <c r="U15" s="330" t="str">
        <f ca="1">IFERROR(VLOOKUP(U$5,BEGIN_Renew_STD_PlanID:END_RENEW_STD,$A15,FALSE),"")</f>
        <v/>
      </c>
      <c r="V15" s="330" t="str">
        <f ca="1">IFERROR(VLOOKUP(V$5,BEGIN_Renew_STD_PlanID:END_RENEW_STD,$A15,FALSE),"")</f>
        <v/>
      </c>
    </row>
    <row r="16" spans="1:22" ht="12.5">
      <c r="A16" s="3">
        <v>29</v>
      </c>
      <c r="B16" s="343" t="s">
        <v>180</v>
      </c>
      <c r="C16" s="330" t="str">
        <f ca="1">IFERROR(VLOOKUP(C$5,BEGIN_Renew_STD_PlanID:END_RENEW_STD,$A16,FALSE),"")</f>
        <v/>
      </c>
      <c r="D16" s="330" t="str">
        <f ca="1">IFERROR(VLOOKUP(D$5,BEGIN_Renew_STD_PlanID:END_RENEW_STD,$A16,FALSE),"")</f>
        <v/>
      </c>
      <c r="E16" s="330" t="str">
        <f ca="1">IFERROR(VLOOKUP(E$5,BEGIN_Renew_STD_PlanID:END_RENEW_STD,$A16,FALSE),"")</f>
        <v/>
      </c>
      <c r="F16" s="330" t="str">
        <f ca="1">IFERROR(VLOOKUP(F$5,BEGIN_Renew_STD_PlanID:END_RENEW_STD,$A16,FALSE),"")</f>
        <v/>
      </c>
      <c r="G16" s="330" t="str">
        <f ca="1">IFERROR(VLOOKUP(G$5,BEGIN_Renew_STD_PlanID:END_RENEW_STD,$A16,FALSE),"")</f>
        <v/>
      </c>
      <c r="H16" s="330" t="str">
        <f ca="1">IFERROR(VLOOKUP(H$5,BEGIN_Renew_STD_PlanID:END_RENEW_STD,$A16,FALSE),"")</f>
        <v/>
      </c>
      <c r="I16" s="330" t="str">
        <f ca="1">IFERROR(VLOOKUP(I$5,BEGIN_Renew_STD_PlanID:END_RENEW_STD,$A16,FALSE),"")</f>
        <v/>
      </c>
      <c r="J16" s="330" t="str">
        <f ca="1">IFERROR(VLOOKUP(J$5,BEGIN_Renew_STD_PlanID:END_RENEW_STD,$A16,FALSE),"")</f>
        <v/>
      </c>
      <c r="K16" s="330" t="str">
        <f ca="1">IFERROR(VLOOKUP(K$5,BEGIN_Renew_STD_PlanID:END_RENEW_STD,$A16,FALSE),"")</f>
        <v/>
      </c>
      <c r="L16" s="330" t="str">
        <f ca="1">IFERROR(VLOOKUP(L$5,BEGIN_Renew_STD_PlanID:END_RENEW_STD,$A16,FALSE),"")</f>
        <v/>
      </c>
      <c r="M16" s="330" t="str">
        <f ca="1">IFERROR(VLOOKUP(M$5,BEGIN_Renew_STD_PlanID:END_RENEW_STD,$A16,FALSE),"")</f>
        <v/>
      </c>
      <c r="N16" s="330" t="str">
        <f ca="1">IFERROR(VLOOKUP(N$5,BEGIN_Renew_STD_PlanID:END_RENEW_STD,$A16,FALSE),"")</f>
        <v/>
      </c>
      <c r="O16" s="330" t="str">
        <f ca="1">IFERROR(VLOOKUP(O$5,BEGIN_Renew_STD_PlanID:END_RENEW_STD,$A16,FALSE),"")</f>
        <v/>
      </c>
      <c r="P16" s="330" t="str">
        <f ca="1">IFERROR(VLOOKUP(P$5,BEGIN_Renew_STD_PlanID:END_RENEW_STD,$A16,FALSE),"")</f>
        <v/>
      </c>
      <c r="Q16" s="330" t="str">
        <f ca="1">IFERROR(VLOOKUP(Q$5,BEGIN_Renew_STD_PlanID:END_RENEW_STD,$A16,FALSE),"")</f>
        <v/>
      </c>
      <c r="R16" s="330" t="str">
        <f ca="1">IFERROR(VLOOKUP(R$5,BEGIN_Renew_STD_PlanID:END_RENEW_STD,$A16,FALSE),"")</f>
        <v/>
      </c>
      <c r="S16" s="330" t="str">
        <f ca="1">IFERROR(VLOOKUP(S$5,BEGIN_Renew_STD_PlanID:END_RENEW_STD,$A16,FALSE),"")</f>
        <v/>
      </c>
      <c r="T16" s="330" t="str">
        <f ca="1">IFERROR(VLOOKUP(T$5,BEGIN_Renew_STD_PlanID:END_RENEW_STD,$A16,FALSE),"")</f>
        <v/>
      </c>
      <c r="U16" s="330" t="str">
        <f ca="1">IFERROR(VLOOKUP(U$5,BEGIN_Renew_STD_PlanID:END_RENEW_STD,$A16,FALSE),"")</f>
        <v/>
      </c>
      <c r="V16" s="330" t="str">
        <f ca="1">IFERROR(VLOOKUP(V$5,BEGIN_Renew_STD_PlanID:END_RENEW_STD,$A16,FALSE),"")</f>
        <v/>
      </c>
    </row>
    <row r="17" spans="1:22" ht="12.5">
      <c r="A17" s="3">
        <v>30</v>
      </c>
      <c r="B17" s="343" t="s">
        <v>181</v>
      </c>
      <c r="C17" s="330" t="str">
        <f ca="1">IFERROR(VLOOKUP(C$5,BEGIN_Renew_STD_PlanID:END_RENEW_STD,$A17,FALSE),"")</f>
        <v/>
      </c>
      <c r="D17" s="330" t="str">
        <f ca="1">IFERROR(VLOOKUP(D$5,BEGIN_Renew_STD_PlanID:END_RENEW_STD,$A17,FALSE),"")</f>
        <v/>
      </c>
      <c r="E17" s="330" t="str">
        <f ca="1">IFERROR(VLOOKUP(E$5,BEGIN_Renew_STD_PlanID:END_RENEW_STD,$A17,FALSE),"")</f>
        <v/>
      </c>
      <c r="F17" s="330" t="str">
        <f ca="1">IFERROR(VLOOKUP(F$5,BEGIN_Renew_STD_PlanID:END_RENEW_STD,$A17,FALSE),"")</f>
        <v/>
      </c>
      <c r="G17" s="330" t="str">
        <f ca="1">IFERROR(VLOOKUP(G$5,BEGIN_Renew_STD_PlanID:END_RENEW_STD,$A17,FALSE),"")</f>
        <v/>
      </c>
      <c r="H17" s="330" t="str">
        <f ca="1">IFERROR(VLOOKUP(H$5,BEGIN_Renew_STD_PlanID:END_RENEW_STD,$A17,FALSE),"")</f>
        <v/>
      </c>
      <c r="I17" s="330" t="str">
        <f ca="1">IFERROR(VLOOKUP(I$5,BEGIN_Renew_STD_PlanID:END_RENEW_STD,$A17,FALSE),"")</f>
        <v/>
      </c>
      <c r="J17" s="330" t="str">
        <f ca="1">IFERROR(VLOOKUP(J$5,BEGIN_Renew_STD_PlanID:END_RENEW_STD,$A17,FALSE),"")</f>
        <v/>
      </c>
      <c r="K17" s="330" t="str">
        <f ca="1">IFERROR(VLOOKUP(K$5,BEGIN_Renew_STD_PlanID:END_RENEW_STD,$A17,FALSE),"")</f>
        <v/>
      </c>
      <c r="L17" s="330" t="str">
        <f ca="1">IFERROR(VLOOKUP(L$5,BEGIN_Renew_STD_PlanID:END_RENEW_STD,$A17,FALSE),"")</f>
        <v/>
      </c>
      <c r="M17" s="330" t="str">
        <f ca="1">IFERROR(VLOOKUP(M$5,BEGIN_Renew_STD_PlanID:END_RENEW_STD,$A17,FALSE),"")</f>
        <v/>
      </c>
      <c r="N17" s="330" t="str">
        <f ca="1">IFERROR(VLOOKUP(N$5,BEGIN_Renew_STD_PlanID:END_RENEW_STD,$A17,FALSE),"")</f>
        <v/>
      </c>
      <c r="O17" s="330" t="str">
        <f ca="1">IFERROR(VLOOKUP(O$5,BEGIN_Renew_STD_PlanID:END_RENEW_STD,$A17,FALSE),"")</f>
        <v/>
      </c>
      <c r="P17" s="330" t="str">
        <f ca="1">IFERROR(VLOOKUP(P$5,BEGIN_Renew_STD_PlanID:END_RENEW_STD,$A17,FALSE),"")</f>
        <v/>
      </c>
      <c r="Q17" s="330" t="str">
        <f ca="1">IFERROR(VLOOKUP(Q$5,BEGIN_Renew_STD_PlanID:END_RENEW_STD,$A17,FALSE),"")</f>
        <v/>
      </c>
      <c r="R17" s="330" t="str">
        <f ca="1">IFERROR(VLOOKUP(R$5,BEGIN_Renew_STD_PlanID:END_RENEW_STD,$A17,FALSE),"")</f>
        <v/>
      </c>
      <c r="S17" s="330" t="str">
        <f ca="1">IFERROR(VLOOKUP(S$5,BEGIN_Renew_STD_PlanID:END_RENEW_STD,$A17,FALSE),"")</f>
        <v/>
      </c>
      <c r="T17" s="330" t="str">
        <f ca="1">IFERROR(VLOOKUP(T$5,BEGIN_Renew_STD_PlanID:END_RENEW_STD,$A17,FALSE),"")</f>
        <v/>
      </c>
      <c r="U17" s="330" t="str">
        <f ca="1">IFERROR(VLOOKUP(U$5,BEGIN_Renew_STD_PlanID:END_RENEW_STD,$A17,FALSE),"")</f>
        <v/>
      </c>
      <c r="V17" s="330" t="str">
        <f ca="1">IFERROR(VLOOKUP(V$5,BEGIN_Renew_STD_PlanID:END_RENEW_STD,$A17,FALSE),"")</f>
        <v/>
      </c>
    </row>
    <row r="18" spans="2:22" ht="12.5">
      <c r="B18" s="344" t="s">
        <v>370</v>
      </c>
      <c r="C18" s="337"/>
      <c r="D18" s="337"/>
      <c r="E18" s="337"/>
      <c r="F18" s="337"/>
      <c r="G18" s="337"/>
      <c r="H18" s="337"/>
      <c r="I18" s="337"/>
      <c r="J18" s="337"/>
      <c r="K18" s="337"/>
      <c r="L18" s="337"/>
      <c r="M18" s="337"/>
      <c r="N18" s="337"/>
      <c r="O18" s="337"/>
      <c r="P18" s="337"/>
      <c r="Q18" s="337"/>
      <c r="R18" s="337"/>
      <c r="S18" s="337"/>
      <c r="T18" s="337"/>
      <c r="U18" s="337"/>
      <c r="V18" s="337"/>
    </row>
    <row r="19" spans="1:22" ht="12.5">
      <c r="A19" s="3">
        <v>32</v>
      </c>
      <c r="B19" s="343" t="s">
        <v>183</v>
      </c>
      <c r="C19" s="330" t="str">
        <f ca="1">IFERROR(VLOOKUP(C$5,BEGIN_Renew_STD_PlanID:END_RENEW_STD,$A19,FALSE),"")</f>
        <v/>
      </c>
      <c r="D19" s="330" t="str">
        <f ca="1">IFERROR(VLOOKUP(D$5,BEGIN_Renew_STD_PlanID:END_RENEW_STD,$A19,FALSE),"")</f>
        <v/>
      </c>
      <c r="E19" s="330" t="str">
        <f ca="1">IFERROR(VLOOKUP(E$5,BEGIN_Renew_STD_PlanID:END_RENEW_STD,$A19,FALSE),"")</f>
        <v/>
      </c>
      <c r="F19" s="330" t="str">
        <f ca="1">IFERROR(VLOOKUP(F$5,BEGIN_Renew_STD_PlanID:END_RENEW_STD,$A19,FALSE),"")</f>
        <v/>
      </c>
      <c r="G19" s="330" t="str">
        <f ca="1">IFERROR(VLOOKUP(G$5,BEGIN_Renew_STD_PlanID:END_RENEW_STD,$A19,FALSE),"")</f>
        <v/>
      </c>
      <c r="H19" s="330" t="str">
        <f ca="1">IFERROR(VLOOKUP(H$5,BEGIN_Renew_STD_PlanID:END_RENEW_STD,$A19,FALSE),"")</f>
        <v/>
      </c>
      <c r="I19" s="330" t="str">
        <f ca="1">IFERROR(VLOOKUP(I$5,BEGIN_Renew_STD_PlanID:END_RENEW_STD,$A19,FALSE),"")</f>
        <v/>
      </c>
      <c r="J19" s="330" t="str">
        <f ca="1">IFERROR(VLOOKUP(J$5,BEGIN_Renew_STD_PlanID:END_RENEW_STD,$A19,FALSE),"")</f>
        <v/>
      </c>
      <c r="K19" s="330" t="str">
        <f ca="1">IFERROR(VLOOKUP(K$5,BEGIN_Renew_STD_PlanID:END_RENEW_STD,$A19,FALSE),"")</f>
        <v/>
      </c>
      <c r="L19" s="330" t="str">
        <f ca="1">IFERROR(VLOOKUP(L$5,BEGIN_Renew_STD_PlanID:END_RENEW_STD,$A19,FALSE),"")</f>
        <v/>
      </c>
      <c r="M19" s="330" t="str">
        <f ca="1">IFERROR(VLOOKUP(M$5,BEGIN_Renew_STD_PlanID:END_RENEW_STD,$A19,FALSE),"")</f>
        <v/>
      </c>
      <c r="N19" s="330" t="str">
        <f ca="1">IFERROR(VLOOKUP(N$5,BEGIN_Renew_STD_PlanID:END_RENEW_STD,$A19,FALSE),"")</f>
        <v/>
      </c>
      <c r="O19" s="330" t="str">
        <f ca="1">IFERROR(VLOOKUP(O$5,BEGIN_Renew_STD_PlanID:END_RENEW_STD,$A19,FALSE),"")</f>
        <v/>
      </c>
      <c r="P19" s="330" t="str">
        <f ca="1">IFERROR(VLOOKUP(P$5,BEGIN_Renew_STD_PlanID:END_RENEW_STD,$A19,FALSE),"")</f>
        <v/>
      </c>
      <c r="Q19" s="330" t="str">
        <f ca="1">IFERROR(VLOOKUP(Q$5,BEGIN_Renew_STD_PlanID:END_RENEW_STD,$A19,FALSE),"")</f>
        <v/>
      </c>
      <c r="R19" s="330" t="str">
        <f ca="1">IFERROR(VLOOKUP(R$5,BEGIN_Renew_STD_PlanID:END_RENEW_STD,$A19,FALSE),"")</f>
        <v/>
      </c>
      <c r="S19" s="330" t="str">
        <f ca="1">IFERROR(VLOOKUP(S$5,BEGIN_Renew_STD_PlanID:END_RENEW_STD,$A19,FALSE),"")</f>
        <v/>
      </c>
      <c r="T19" s="330" t="str">
        <f ca="1">IFERROR(VLOOKUP(T$5,BEGIN_Renew_STD_PlanID:END_RENEW_STD,$A19,FALSE),"")</f>
        <v/>
      </c>
      <c r="U19" s="330" t="str">
        <f ca="1">IFERROR(VLOOKUP(U$5,BEGIN_Renew_STD_PlanID:END_RENEW_STD,$A19,FALSE),"")</f>
        <v/>
      </c>
      <c r="V19" s="330" t="str">
        <f ca="1">IFERROR(VLOOKUP(V$5,BEGIN_Renew_STD_PlanID:END_RENEW_STD,$A19,FALSE),"")</f>
        <v/>
      </c>
    </row>
    <row r="20" spans="1:22" ht="12.5">
      <c r="A20" s="3">
        <v>33</v>
      </c>
      <c r="B20" s="343" t="s">
        <v>184</v>
      </c>
      <c r="C20" s="330" t="str">
        <f ca="1">IFERROR(VLOOKUP(C$5,BEGIN_Renew_STD_PlanID:END_RENEW_STD,$A20,FALSE),"")</f>
        <v/>
      </c>
      <c r="D20" s="330" t="str">
        <f ca="1">IFERROR(VLOOKUP(D$5,BEGIN_Renew_STD_PlanID:END_RENEW_STD,$A20,FALSE),"")</f>
        <v/>
      </c>
      <c r="E20" s="330" t="str">
        <f ca="1">IFERROR(VLOOKUP(E$5,BEGIN_Renew_STD_PlanID:END_RENEW_STD,$A20,FALSE),"")</f>
        <v/>
      </c>
      <c r="F20" s="330" t="str">
        <f ca="1">IFERROR(VLOOKUP(F$5,BEGIN_Renew_STD_PlanID:END_RENEW_STD,$A20,FALSE),"")</f>
        <v/>
      </c>
      <c r="G20" s="330" t="str">
        <f ca="1">IFERROR(VLOOKUP(G$5,BEGIN_Renew_STD_PlanID:END_RENEW_STD,$A20,FALSE),"")</f>
        <v/>
      </c>
      <c r="H20" s="330" t="str">
        <f ca="1">IFERROR(VLOOKUP(H$5,BEGIN_Renew_STD_PlanID:END_RENEW_STD,$A20,FALSE),"")</f>
        <v/>
      </c>
      <c r="I20" s="330" t="str">
        <f ca="1">IFERROR(VLOOKUP(I$5,BEGIN_Renew_STD_PlanID:END_RENEW_STD,$A20,FALSE),"")</f>
        <v/>
      </c>
      <c r="J20" s="330" t="str">
        <f ca="1">IFERROR(VLOOKUP(J$5,BEGIN_Renew_STD_PlanID:END_RENEW_STD,$A20,FALSE),"")</f>
        <v/>
      </c>
      <c r="K20" s="330" t="str">
        <f ca="1">IFERROR(VLOOKUP(K$5,BEGIN_Renew_STD_PlanID:END_RENEW_STD,$A20,FALSE),"")</f>
        <v/>
      </c>
      <c r="L20" s="330" t="str">
        <f ca="1">IFERROR(VLOOKUP(L$5,BEGIN_Renew_STD_PlanID:END_RENEW_STD,$A20,FALSE),"")</f>
        <v/>
      </c>
      <c r="M20" s="330" t="str">
        <f ca="1">IFERROR(VLOOKUP(M$5,BEGIN_Renew_STD_PlanID:END_RENEW_STD,$A20,FALSE),"")</f>
        <v/>
      </c>
      <c r="N20" s="330" t="str">
        <f ca="1">IFERROR(VLOOKUP(N$5,BEGIN_Renew_STD_PlanID:END_RENEW_STD,$A20,FALSE),"")</f>
        <v/>
      </c>
      <c r="O20" s="330" t="str">
        <f ca="1">IFERROR(VLOOKUP(O$5,BEGIN_Renew_STD_PlanID:END_RENEW_STD,$A20,FALSE),"")</f>
        <v/>
      </c>
      <c r="P20" s="330" t="str">
        <f ca="1">IFERROR(VLOOKUP(P$5,BEGIN_Renew_STD_PlanID:END_RENEW_STD,$A20,FALSE),"")</f>
        <v/>
      </c>
      <c r="Q20" s="330" t="str">
        <f ca="1">IFERROR(VLOOKUP(Q$5,BEGIN_Renew_STD_PlanID:END_RENEW_STD,$A20,FALSE),"")</f>
        <v/>
      </c>
      <c r="R20" s="330" t="str">
        <f ca="1">IFERROR(VLOOKUP(R$5,BEGIN_Renew_STD_PlanID:END_RENEW_STD,$A20,FALSE),"")</f>
        <v/>
      </c>
      <c r="S20" s="330" t="str">
        <f ca="1">IFERROR(VLOOKUP(S$5,BEGIN_Renew_STD_PlanID:END_RENEW_STD,$A20,FALSE),"")</f>
        <v/>
      </c>
      <c r="T20" s="330" t="str">
        <f ca="1">IFERROR(VLOOKUP(T$5,BEGIN_Renew_STD_PlanID:END_RENEW_STD,$A20,FALSE),"")</f>
        <v/>
      </c>
      <c r="U20" s="330" t="str">
        <f ca="1">IFERROR(VLOOKUP(U$5,BEGIN_Renew_STD_PlanID:END_RENEW_STD,$A20,FALSE),"")</f>
        <v/>
      </c>
      <c r="V20" s="330" t="str">
        <f ca="1">IFERROR(VLOOKUP(V$5,BEGIN_Renew_STD_PlanID:END_RENEW_STD,$A20,FALSE),"")</f>
        <v/>
      </c>
    </row>
    <row r="21" spans="1:22" ht="12.5">
      <c r="A21" s="3">
        <v>34</v>
      </c>
      <c r="B21" s="345" t="s">
        <v>185</v>
      </c>
      <c r="C21" s="331" t="str">
        <f ca="1">IFERROR(VLOOKUP(C$5,BEGIN_Renew_STD_PlanID:END_RENEW_STD,$A21,FALSE),"")</f>
        <v/>
      </c>
      <c r="D21" s="331" t="str">
        <f ca="1">IFERROR(VLOOKUP(D$5,BEGIN_Renew_STD_PlanID:END_RENEW_STD,$A21,FALSE),"")</f>
        <v/>
      </c>
      <c r="E21" s="331" t="str">
        <f ca="1">IFERROR(VLOOKUP(E$5,BEGIN_Renew_STD_PlanID:END_RENEW_STD,$A21,FALSE),"")</f>
        <v/>
      </c>
      <c r="F21" s="331" t="str">
        <f ca="1">IFERROR(VLOOKUP(F$5,BEGIN_Renew_STD_PlanID:END_RENEW_STD,$A21,FALSE),"")</f>
        <v/>
      </c>
      <c r="G21" s="331" t="str">
        <f ca="1">IFERROR(VLOOKUP(G$5,BEGIN_Renew_STD_PlanID:END_RENEW_STD,$A21,FALSE),"")</f>
        <v/>
      </c>
      <c r="H21" s="331" t="str">
        <f ca="1">IFERROR(VLOOKUP(H$5,BEGIN_Renew_STD_PlanID:END_RENEW_STD,$A21,FALSE),"")</f>
        <v/>
      </c>
      <c r="I21" s="331" t="str">
        <f ca="1">IFERROR(VLOOKUP(I$5,BEGIN_Renew_STD_PlanID:END_RENEW_STD,$A21,FALSE),"")</f>
        <v/>
      </c>
      <c r="J21" s="331" t="str">
        <f ca="1">IFERROR(VLOOKUP(J$5,BEGIN_Renew_STD_PlanID:END_RENEW_STD,$A21,FALSE),"")</f>
        <v/>
      </c>
      <c r="K21" s="331" t="str">
        <f ca="1">IFERROR(VLOOKUP(K$5,BEGIN_Renew_STD_PlanID:END_RENEW_STD,$A21,FALSE),"")</f>
        <v/>
      </c>
      <c r="L21" s="331" t="str">
        <f ca="1">IFERROR(VLOOKUP(L$5,BEGIN_Renew_STD_PlanID:END_RENEW_STD,$A21,FALSE),"")</f>
        <v/>
      </c>
      <c r="M21" s="331" t="str">
        <f ca="1">IFERROR(VLOOKUP(M$5,BEGIN_Renew_STD_PlanID:END_RENEW_STD,$A21,FALSE),"")</f>
        <v/>
      </c>
      <c r="N21" s="331" t="str">
        <f ca="1">IFERROR(VLOOKUP(N$5,BEGIN_Renew_STD_PlanID:END_RENEW_STD,$A21,FALSE),"")</f>
        <v/>
      </c>
      <c r="O21" s="331" t="str">
        <f ca="1">IFERROR(VLOOKUP(O$5,BEGIN_Renew_STD_PlanID:END_RENEW_STD,$A21,FALSE),"")</f>
        <v/>
      </c>
      <c r="P21" s="331" t="str">
        <f ca="1">IFERROR(VLOOKUP(P$5,BEGIN_Renew_STD_PlanID:END_RENEW_STD,$A21,FALSE),"")</f>
        <v/>
      </c>
      <c r="Q21" s="331" t="str">
        <f ca="1">IFERROR(VLOOKUP(Q$5,BEGIN_Renew_STD_PlanID:END_RENEW_STD,$A21,FALSE),"")</f>
        <v/>
      </c>
      <c r="R21" s="331" t="str">
        <f ca="1">IFERROR(VLOOKUP(R$5,BEGIN_Renew_STD_PlanID:END_RENEW_STD,$A21,FALSE),"")</f>
        <v/>
      </c>
      <c r="S21" s="331" t="str">
        <f ca="1">IFERROR(VLOOKUP(S$5,BEGIN_Renew_STD_PlanID:END_RENEW_STD,$A21,FALSE),"")</f>
        <v/>
      </c>
      <c r="T21" s="331" t="str">
        <f ca="1">IFERROR(VLOOKUP(T$5,BEGIN_Renew_STD_PlanID:END_RENEW_STD,$A21,FALSE),"")</f>
        <v/>
      </c>
      <c r="U21" s="331" t="str">
        <f ca="1">IFERROR(VLOOKUP(U$5,BEGIN_Renew_STD_PlanID:END_RENEW_STD,$A21,FALSE),"")</f>
        <v/>
      </c>
      <c r="V21" s="331" t="str">
        <f ca="1">IFERROR(VLOOKUP(V$5,BEGIN_Renew_STD_PlanID:END_RENEW_STD,$A21,FALSE),"")</f>
        <v/>
      </c>
    </row>
    <row r="22" spans="2:22" ht="12.5">
      <c r="B22" s="267"/>
      <c r="C22" s="268"/>
      <c r="D22" s="268"/>
      <c r="E22" s="268"/>
      <c r="F22" s="268" t="str">
        <f ca="1">IFERROR(VLOOKUP(F$5,BEGIN_RENEW_HEALTH_PLANID:END_RENEW_HEALTH,$A22,FALSE),"")</f>
        <v/>
      </c>
      <c r="G22" s="268" t="str">
        <f ca="1">IFERROR(VLOOKUP(G$5,BEGIN_RENEW_HEALTH_PLANID:END_RENEW_HEALTH,$A22,FALSE),"")</f>
        <v/>
      </c>
      <c r="H22" s="268" t="str">
        <f ca="1">IFERROR(VLOOKUP(H$5,BEGIN_RENEW_HEALTH_PLANID:END_RENEW_HEALTH,$A22,FALSE),"")</f>
        <v/>
      </c>
      <c r="I22" s="268" t="str">
        <f ca="1">IFERROR(VLOOKUP(I$5,BEGIN_RENEW_HEALTH_PLANID:END_RENEW_HEALTH,$A22,FALSE),"")</f>
        <v/>
      </c>
      <c r="J22" s="268" t="str">
        <f ca="1">IFERROR(VLOOKUP(J$5,BEGIN_RENEW_HEALTH_PLANID:END_RENEW_HEALTH,$A22,FALSE),"")</f>
        <v/>
      </c>
      <c r="K22" s="268" t="str">
        <f ca="1">IFERROR(VLOOKUP(K$5,BEGIN_RENEW_HEALTH_PLANID:END_RENEW_HEALTH,$A22,FALSE),"")</f>
        <v/>
      </c>
      <c r="L22" s="268" t="str">
        <f ca="1">IFERROR(VLOOKUP(L$5,BEGIN_RENEW_HEALTH_PLANID:END_RENEW_HEALTH,$A22,FALSE),"")</f>
        <v/>
      </c>
      <c r="M22" s="268"/>
      <c r="N22" s="268"/>
      <c r="O22" s="268"/>
      <c r="P22" s="268" t="str">
        <f ca="1">IFERROR(VLOOKUP(P$5,BEGIN_RENEW_HEALTH_PLANID:END_RENEW_HEALTH,$A22,FALSE),"")</f>
        <v/>
      </c>
      <c r="Q22" s="268" t="str">
        <f ca="1">IFERROR(VLOOKUP(Q$5,BEGIN_RENEW_HEALTH_PLANID:END_RENEW_HEALTH,$A22,FALSE),"")</f>
        <v/>
      </c>
      <c r="R22" s="268" t="str">
        <f ca="1">IFERROR(VLOOKUP(R$5,BEGIN_RENEW_HEALTH_PLANID:END_RENEW_HEALTH,$A22,FALSE),"")</f>
        <v/>
      </c>
      <c r="S22" s="268" t="str">
        <f ca="1">IFERROR(VLOOKUP(S$5,BEGIN_RENEW_HEALTH_PLANID:END_RENEW_HEALTH,$A22,FALSE),"")</f>
        <v/>
      </c>
      <c r="T22" s="268" t="str">
        <f ca="1">IFERROR(VLOOKUP(T$5,BEGIN_RENEW_HEALTH_PLANID:END_RENEW_HEALTH,$A22,FALSE),"")</f>
        <v/>
      </c>
      <c r="U22" s="268" t="str">
        <f ca="1">IFERROR(VLOOKUP(U$5,BEGIN_RENEW_HEALTH_PLANID:END_RENEW_HEALTH,$A22,FALSE),"")</f>
        <v/>
      </c>
      <c r="V22" s="268" t="str">
        <f ca="1">IFERROR(VLOOKUP(V$5,BEGIN_RENEW_HEALTH_PLANID:END_RENEW_HEALTH,$A22,FALSE),"")</f>
        <v/>
      </c>
    </row>
    <row r="23" spans="2:22" ht="12.5">
      <c r="B23" s="261"/>
      <c r="C23" s="262"/>
      <c r="D23" s="262"/>
      <c r="E23" s="262"/>
      <c r="F23" s="262" t="str">
        <f ca="1">IFERROR(VLOOKUP(F$5,BEGIN_RENEW_HEALTH_PLANID:END_RENEW_HEALTH,$A23,FALSE),"")</f>
        <v/>
      </c>
      <c r="G23" s="262" t="str">
        <f ca="1">IFERROR(VLOOKUP(G$5,BEGIN_RENEW_HEALTH_PLANID:END_RENEW_HEALTH,$A23,FALSE),"")</f>
        <v/>
      </c>
      <c r="H23" s="262" t="str">
        <f ca="1">IFERROR(VLOOKUP(H$5,BEGIN_RENEW_HEALTH_PLANID:END_RENEW_HEALTH,$A23,FALSE),"")</f>
        <v/>
      </c>
      <c r="I23" s="262" t="str">
        <f ca="1">IFERROR(VLOOKUP(I$5,BEGIN_RENEW_HEALTH_PLANID:END_RENEW_HEALTH,$A23,FALSE),"")</f>
        <v/>
      </c>
      <c r="J23" s="262" t="str">
        <f ca="1">IFERROR(VLOOKUP(J$5,BEGIN_RENEW_HEALTH_PLANID:END_RENEW_HEALTH,$A23,FALSE),"")</f>
        <v/>
      </c>
      <c r="K23" s="262" t="str">
        <f ca="1">IFERROR(VLOOKUP(K$5,BEGIN_RENEW_HEALTH_PLANID:END_RENEW_HEALTH,$A23,FALSE),"")</f>
        <v/>
      </c>
      <c r="L23" s="262" t="str">
        <f ca="1">IFERROR(VLOOKUP(L$5,BEGIN_RENEW_HEALTH_PLANID:END_RENEW_HEALTH,$A23,FALSE),"")</f>
        <v/>
      </c>
      <c r="M23" s="262"/>
      <c r="N23" s="262"/>
      <c r="O23" s="262"/>
      <c r="P23" s="262" t="str">
        <f ca="1">IFERROR(VLOOKUP(P$5,BEGIN_RENEW_HEALTH_PLANID:END_RENEW_HEALTH,$A23,FALSE),"")</f>
        <v/>
      </c>
      <c r="Q23" s="262" t="str">
        <f ca="1">IFERROR(VLOOKUP(Q$5,BEGIN_RENEW_HEALTH_PLANID:END_RENEW_HEALTH,$A23,FALSE),"")</f>
        <v/>
      </c>
      <c r="R23" s="262" t="str">
        <f ca="1">IFERROR(VLOOKUP(R$5,BEGIN_RENEW_HEALTH_PLANID:END_RENEW_HEALTH,$A23,FALSE),"")</f>
        <v/>
      </c>
      <c r="S23" s="262" t="str">
        <f ca="1">IFERROR(VLOOKUP(S$5,BEGIN_RENEW_HEALTH_PLANID:END_RENEW_HEALTH,$A23,FALSE),"")</f>
        <v/>
      </c>
      <c r="T23" s="262" t="str">
        <f ca="1">IFERROR(VLOOKUP(T$5,BEGIN_RENEW_HEALTH_PLANID:END_RENEW_HEALTH,$A23,FALSE),"")</f>
        <v/>
      </c>
      <c r="U23" s="262" t="str">
        <f ca="1">IFERROR(VLOOKUP(U$5,BEGIN_RENEW_HEALTH_PLANID:END_RENEW_HEALTH,$A23,FALSE),"")</f>
        <v/>
      </c>
      <c r="V23" s="262" t="str">
        <f ca="1">IFERROR(VLOOKUP(V$5,BEGIN_RENEW_HEALTH_PLANID:END_RENEW_HEALTH,$A23,FALSE),"")</f>
        <v/>
      </c>
    </row>
    <row r="24" spans="2:22" ht="12.5">
      <c r="B24" s="261"/>
      <c r="C24" s="262"/>
      <c r="D24" s="262"/>
      <c r="E24" s="262"/>
      <c r="F24" s="262" t="str">
        <f ca="1">IFERROR(VLOOKUP(F$5,BEGIN_RENEW_HEALTH_PLANID:END_RENEW_HEALTH,$A24,FALSE),"")</f>
        <v/>
      </c>
      <c r="G24" s="262" t="str">
        <f ca="1">IFERROR(VLOOKUP(G$5,BEGIN_RENEW_HEALTH_PLANID:END_RENEW_HEALTH,$A24,FALSE),"")</f>
        <v/>
      </c>
      <c r="H24" s="262" t="str">
        <f ca="1">IFERROR(VLOOKUP(H$5,BEGIN_RENEW_HEALTH_PLANID:END_RENEW_HEALTH,$A24,FALSE),"")</f>
        <v/>
      </c>
      <c r="I24" s="262" t="str">
        <f ca="1">IFERROR(VLOOKUP(I$5,BEGIN_RENEW_HEALTH_PLANID:END_RENEW_HEALTH,$A24,FALSE),"")</f>
        <v/>
      </c>
      <c r="J24" s="262" t="str">
        <f ca="1">IFERROR(VLOOKUP(J$5,BEGIN_RENEW_HEALTH_PLANID:END_RENEW_HEALTH,$A24,FALSE),"")</f>
        <v/>
      </c>
      <c r="K24" s="262" t="str">
        <f ca="1">IFERROR(VLOOKUP(K$5,BEGIN_RENEW_HEALTH_PLANID:END_RENEW_HEALTH,$A24,FALSE),"")</f>
        <v/>
      </c>
      <c r="L24" s="262" t="str">
        <f ca="1">IFERROR(VLOOKUP(L$5,BEGIN_RENEW_HEALTH_PLANID:END_RENEW_HEALTH,$A24,FALSE),"")</f>
        <v/>
      </c>
      <c r="M24" s="262"/>
      <c r="N24" s="262"/>
      <c r="O24" s="262"/>
      <c r="P24" s="262" t="str">
        <f ca="1">IFERROR(VLOOKUP(P$5,BEGIN_RENEW_HEALTH_PLANID:END_RENEW_HEALTH,$A24,FALSE),"")</f>
        <v/>
      </c>
      <c r="Q24" s="262" t="str">
        <f ca="1">IFERROR(VLOOKUP(Q$5,BEGIN_RENEW_HEALTH_PLANID:END_RENEW_HEALTH,$A24,FALSE),"")</f>
        <v/>
      </c>
      <c r="R24" s="262" t="str">
        <f ca="1">IFERROR(VLOOKUP(R$5,BEGIN_RENEW_HEALTH_PLANID:END_RENEW_HEALTH,$A24,FALSE),"")</f>
        <v/>
      </c>
      <c r="S24" s="262" t="str">
        <f ca="1">IFERROR(VLOOKUP(S$5,BEGIN_RENEW_HEALTH_PLANID:END_RENEW_HEALTH,$A24,FALSE),"")</f>
        <v/>
      </c>
      <c r="T24" s="262" t="str">
        <f ca="1">IFERROR(VLOOKUP(T$5,BEGIN_RENEW_HEALTH_PLANID:END_RENEW_HEALTH,$A24,FALSE),"")</f>
        <v/>
      </c>
      <c r="U24" s="262" t="str">
        <f ca="1">IFERROR(VLOOKUP(U$5,BEGIN_RENEW_HEALTH_PLANID:END_RENEW_HEALTH,$A24,FALSE),"")</f>
        <v/>
      </c>
      <c r="V24" s="262" t="str">
        <f ca="1">IFERROR(VLOOKUP(V$5,BEGIN_RENEW_HEALTH_PLANID:END_RENEW_HEALTH,$A24,FALSE),"")</f>
        <v/>
      </c>
    </row>
    <row r="25" spans="2:22" ht="12.5">
      <c r="B25" s="261"/>
      <c r="C25" s="262"/>
      <c r="D25" s="262"/>
      <c r="E25" s="262"/>
      <c r="F25" s="262" t="str">
        <f ca="1">IFERROR(VLOOKUP(F$5,BEGIN_RENEW_HEALTH_PLANID:END_RENEW_HEALTH,$A25,FALSE),"")</f>
        <v/>
      </c>
      <c r="G25" s="262" t="str">
        <f ca="1">IFERROR(VLOOKUP(G$5,BEGIN_RENEW_HEALTH_PLANID:END_RENEW_HEALTH,$A25,FALSE),"")</f>
        <v/>
      </c>
      <c r="H25" s="262" t="str">
        <f ca="1">IFERROR(VLOOKUP(H$5,BEGIN_RENEW_HEALTH_PLANID:END_RENEW_HEALTH,$A25,FALSE),"")</f>
        <v/>
      </c>
      <c r="I25" s="262" t="str">
        <f ca="1">IFERROR(VLOOKUP(I$5,BEGIN_RENEW_HEALTH_PLANID:END_RENEW_HEALTH,$A25,FALSE),"")</f>
        <v/>
      </c>
      <c r="J25" s="262" t="str">
        <f ca="1">IFERROR(VLOOKUP(J$5,BEGIN_RENEW_HEALTH_PLANID:END_RENEW_HEALTH,$A25,FALSE),"")</f>
        <v/>
      </c>
      <c r="K25" s="262" t="str">
        <f ca="1">IFERROR(VLOOKUP(K$5,BEGIN_RENEW_HEALTH_PLANID:END_RENEW_HEALTH,$A25,FALSE),"")</f>
        <v/>
      </c>
      <c r="L25" s="262" t="str">
        <f ca="1">IFERROR(VLOOKUP(L$5,BEGIN_RENEW_HEALTH_PLANID:END_RENEW_HEALTH,$A25,FALSE),"")</f>
        <v/>
      </c>
      <c r="M25" s="262"/>
      <c r="N25" s="262"/>
      <c r="O25" s="262"/>
      <c r="P25" s="262" t="str">
        <f ca="1">IFERROR(VLOOKUP(P$5,BEGIN_RENEW_HEALTH_PLANID:END_RENEW_HEALTH,$A25,FALSE),"")</f>
        <v/>
      </c>
      <c r="Q25" s="262" t="str">
        <f ca="1">IFERROR(VLOOKUP(Q$5,BEGIN_RENEW_HEALTH_PLANID:END_RENEW_HEALTH,$A25,FALSE),"")</f>
        <v/>
      </c>
      <c r="R25" s="262" t="str">
        <f ca="1">IFERROR(VLOOKUP(R$5,BEGIN_RENEW_HEALTH_PLANID:END_RENEW_HEALTH,$A25,FALSE),"")</f>
        <v/>
      </c>
      <c r="S25" s="262" t="str">
        <f ca="1">IFERROR(VLOOKUP(S$5,BEGIN_RENEW_HEALTH_PLANID:END_RENEW_HEALTH,$A25,FALSE),"")</f>
        <v/>
      </c>
      <c r="T25" s="262" t="str">
        <f ca="1">IFERROR(VLOOKUP(T$5,BEGIN_RENEW_HEALTH_PLANID:END_RENEW_HEALTH,$A25,FALSE),"")</f>
        <v/>
      </c>
      <c r="U25" s="262" t="str">
        <f ca="1">IFERROR(VLOOKUP(U$5,BEGIN_RENEW_HEALTH_PLANID:END_RENEW_HEALTH,$A25,FALSE),"")</f>
        <v/>
      </c>
      <c r="V25" s="262" t="str">
        <f ca="1">IFERROR(VLOOKUP(V$5,BEGIN_RENEW_HEALTH_PLANID:END_RENEW_HEALTH,$A25,FALSE),"")</f>
        <v/>
      </c>
    </row>
    <row r="26" spans="2:22" ht="12.5">
      <c r="B26" s="261"/>
      <c r="C26" s="262"/>
      <c r="D26" s="262"/>
      <c r="E26" s="262"/>
      <c r="F26" s="262" t="str">
        <f ca="1">IFERROR(VLOOKUP(F$5,BEGIN_RENEW_HEALTH_PLANID:END_RENEW_HEALTH,$A26,FALSE),"")</f>
        <v/>
      </c>
      <c r="G26" s="262" t="str">
        <f ca="1">IFERROR(VLOOKUP(G$5,BEGIN_RENEW_HEALTH_PLANID:END_RENEW_HEALTH,$A26,FALSE),"")</f>
        <v/>
      </c>
      <c r="H26" s="262" t="str">
        <f ca="1">IFERROR(VLOOKUP(H$5,BEGIN_RENEW_HEALTH_PLANID:END_RENEW_HEALTH,$A26,FALSE),"")</f>
        <v/>
      </c>
      <c r="I26" s="262" t="str">
        <f ca="1">IFERROR(VLOOKUP(I$5,BEGIN_RENEW_HEALTH_PLANID:END_RENEW_HEALTH,$A26,FALSE),"")</f>
        <v/>
      </c>
      <c r="J26" s="262" t="str">
        <f ca="1">IFERROR(VLOOKUP(J$5,BEGIN_RENEW_HEALTH_PLANID:END_RENEW_HEALTH,$A26,FALSE),"")</f>
        <v/>
      </c>
      <c r="K26" s="262" t="str">
        <f ca="1">IFERROR(VLOOKUP(K$5,BEGIN_RENEW_HEALTH_PLANID:END_RENEW_HEALTH,$A26,FALSE),"")</f>
        <v/>
      </c>
      <c r="L26" s="262" t="str">
        <f ca="1">IFERROR(VLOOKUP(L$5,BEGIN_RENEW_HEALTH_PLANID:END_RENEW_HEALTH,$A26,FALSE),"")</f>
        <v/>
      </c>
      <c r="M26" s="262"/>
      <c r="N26" s="262"/>
      <c r="O26" s="262"/>
      <c r="P26" s="262" t="str">
        <f ca="1">IFERROR(VLOOKUP(P$5,BEGIN_RENEW_HEALTH_PLANID:END_RENEW_HEALTH,$A26,FALSE),"")</f>
        <v/>
      </c>
      <c r="Q26" s="262" t="str">
        <f ca="1">IFERROR(VLOOKUP(Q$5,BEGIN_RENEW_HEALTH_PLANID:END_RENEW_HEALTH,$A26,FALSE),"")</f>
        <v/>
      </c>
      <c r="R26" s="262" t="str">
        <f ca="1">IFERROR(VLOOKUP(R$5,BEGIN_RENEW_HEALTH_PLANID:END_RENEW_HEALTH,$A26,FALSE),"")</f>
        <v/>
      </c>
      <c r="S26" s="262" t="str">
        <f ca="1">IFERROR(VLOOKUP(S$5,BEGIN_RENEW_HEALTH_PLANID:END_RENEW_HEALTH,$A26,FALSE),"")</f>
        <v/>
      </c>
      <c r="T26" s="262" t="str">
        <f ca="1">IFERROR(VLOOKUP(T$5,BEGIN_RENEW_HEALTH_PLANID:END_RENEW_HEALTH,$A26,FALSE),"")</f>
        <v/>
      </c>
      <c r="U26" s="262" t="str">
        <f ca="1">IFERROR(VLOOKUP(U$5,BEGIN_RENEW_HEALTH_PLANID:END_RENEW_HEALTH,$A26,FALSE),"")</f>
        <v/>
      </c>
      <c r="V26" s="262" t="str">
        <f ca="1">IFERROR(VLOOKUP(V$5,BEGIN_RENEW_HEALTH_PLANID:END_RENEW_HEALTH,$A26,FALSE),"")</f>
        <v/>
      </c>
    </row>
    <row r="27" spans="2:22" ht="12.5">
      <c r="B27" s="261"/>
      <c r="C27" s="262"/>
      <c r="D27" s="262"/>
      <c r="E27" s="262"/>
      <c r="F27" s="262" t="str">
        <f ca="1">IFERROR(VLOOKUP(F$5,BEGIN_RENEW_HEALTH_PLANID:END_RENEW_HEALTH,$A27,FALSE),"")</f>
        <v/>
      </c>
      <c r="G27" s="262" t="str">
        <f ca="1">IFERROR(VLOOKUP(G$5,BEGIN_RENEW_HEALTH_PLANID:END_RENEW_HEALTH,$A27,FALSE),"")</f>
        <v/>
      </c>
      <c r="H27" s="262" t="str">
        <f ca="1">IFERROR(VLOOKUP(H$5,BEGIN_RENEW_HEALTH_PLANID:END_RENEW_HEALTH,$A27,FALSE),"")</f>
        <v/>
      </c>
      <c r="I27" s="262" t="str">
        <f ca="1">IFERROR(VLOOKUP(I$5,BEGIN_RENEW_HEALTH_PLANID:END_RENEW_HEALTH,$A27,FALSE),"")</f>
        <v/>
      </c>
      <c r="J27" s="262" t="str">
        <f ca="1">IFERROR(VLOOKUP(J$5,BEGIN_RENEW_HEALTH_PLANID:END_RENEW_HEALTH,$A27,FALSE),"")</f>
        <v/>
      </c>
      <c r="K27" s="262" t="str">
        <f ca="1">IFERROR(VLOOKUP(K$5,BEGIN_RENEW_HEALTH_PLANID:END_RENEW_HEALTH,$A27,FALSE),"")</f>
        <v/>
      </c>
      <c r="L27" s="262" t="str">
        <f ca="1">IFERROR(VLOOKUP(L$5,BEGIN_RENEW_HEALTH_PLANID:END_RENEW_HEALTH,$A27,FALSE),"")</f>
        <v/>
      </c>
      <c r="M27" s="262"/>
      <c r="N27" s="262"/>
      <c r="O27" s="262"/>
      <c r="P27" s="262" t="str">
        <f ca="1">IFERROR(VLOOKUP(P$5,BEGIN_RENEW_HEALTH_PLANID:END_RENEW_HEALTH,$A27,FALSE),"")</f>
        <v/>
      </c>
      <c r="Q27" s="262" t="str">
        <f ca="1">IFERROR(VLOOKUP(Q$5,BEGIN_RENEW_HEALTH_PLANID:END_RENEW_HEALTH,$A27,FALSE),"")</f>
        <v/>
      </c>
      <c r="R27" s="262" t="str">
        <f ca="1">IFERROR(VLOOKUP(R$5,BEGIN_RENEW_HEALTH_PLANID:END_RENEW_HEALTH,$A27,FALSE),"")</f>
        <v/>
      </c>
      <c r="S27" s="262" t="str">
        <f ca="1">IFERROR(VLOOKUP(S$5,BEGIN_RENEW_HEALTH_PLANID:END_RENEW_HEALTH,$A27,FALSE),"")</f>
        <v/>
      </c>
      <c r="T27" s="262" t="str">
        <f ca="1">IFERROR(VLOOKUP(T$5,BEGIN_RENEW_HEALTH_PLANID:END_RENEW_HEALTH,$A27,FALSE),"")</f>
        <v/>
      </c>
      <c r="U27" s="262" t="str">
        <f ca="1">IFERROR(VLOOKUP(U$5,BEGIN_RENEW_HEALTH_PLANID:END_RENEW_HEALTH,$A27,FALSE),"")</f>
        <v/>
      </c>
      <c r="V27" s="262" t="str">
        <f ca="1">IFERROR(VLOOKUP(V$5,BEGIN_RENEW_HEALTH_PLANID:END_RENEW_HEALTH,$A27,FALSE),"")</f>
        <v/>
      </c>
    </row>
    <row r="28" spans="2:22" ht="12.5">
      <c r="B28" s="261"/>
      <c r="C28" s="262"/>
      <c r="D28" s="262"/>
      <c r="E28" s="262"/>
      <c r="F28" s="262" t="str">
        <f ca="1">IFERROR(VLOOKUP(F$5,BEGIN_RENEW_HEALTH_PLANID:END_RENEW_HEALTH,$A28,FALSE),"")</f>
        <v/>
      </c>
      <c r="G28" s="262" t="str">
        <f ca="1">IFERROR(VLOOKUP(G$5,BEGIN_RENEW_HEALTH_PLANID:END_RENEW_HEALTH,$A28,FALSE),"")</f>
        <v/>
      </c>
      <c r="H28" s="262" t="str">
        <f ca="1">IFERROR(VLOOKUP(H$5,BEGIN_RENEW_HEALTH_PLANID:END_RENEW_HEALTH,$A28,FALSE),"")</f>
        <v/>
      </c>
      <c r="I28" s="262" t="str">
        <f ca="1">IFERROR(VLOOKUP(I$5,BEGIN_RENEW_HEALTH_PLANID:END_RENEW_HEALTH,$A28,FALSE),"")</f>
        <v/>
      </c>
      <c r="J28" s="262" t="str">
        <f ca="1">IFERROR(VLOOKUP(J$5,BEGIN_RENEW_HEALTH_PLANID:END_RENEW_HEALTH,$A28,FALSE),"")</f>
        <v/>
      </c>
      <c r="K28" s="262" t="str">
        <f ca="1">IFERROR(VLOOKUP(K$5,BEGIN_RENEW_HEALTH_PLANID:END_RENEW_HEALTH,$A28,FALSE),"")</f>
        <v/>
      </c>
      <c r="L28" s="262" t="str">
        <f ca="1">IFERROR(VLOOKUP(L$5,BEGIN_RENEW_HEALTH_PLANID:END_RENEW_HEALTH,$A28,FALSE),"")</f>
        <v/>
      </c>
      <c r="M28" s="262"/>
      <c r="N28" s="262"/>
      <c r="O28" s="262"/>
      <c r="P28" s="262" t="str">
        <f ca="1">IFERROR(VLOOKUP(P$5,BEGIN_RENEW_HEALTH_PLANID:END_RENEW_HEALTH,$A28,FALSE),"")</f>
        <v/>
      </c>
      <c r="Q28" s="262" t="str">
        <f ca="1">IFERROR(VLOOKUP(Q$5,BEGIN_RENEW_HEALTH_PLANID:END_RENEW_HEALTH,$A28,FALSE),"")</f>
        <v/>
      </c>
      <c r="R28" s="262" t="str">
        <f ca="1">IFERROR(VLOOKUP(R$5,BEGIN_RENEW_HEALTH_PLANID:END_RENEW_HEALTH,$A28,FALSE),"")</f>
        <v/>
      </c>
      <c r="S28" s="262" t="str">
        <f ca="1">IFERROR(VLOOKUP(S$5,BEGIN_RENEW_HEALTH_PLANID:END_RENEW_HEALTH,$A28,FALSE),"")</f>
        <v/>
      </c>
      <c r="T28" s="262" t="str">
        <f ca="1">IFERROR(VLOOKUP(T$5,BEGIN_RENEW_HEALTH_PLANID:END_RENEW_HEALTH,$A28,FALSE),"")</f>
        <v/>
      </c>
      <c r="U28" s="262" t="str">
        <f ca="1">IFERROR(VLOOKUP(U$5,BEGIN_RENEW_HEALTH_PLANID:END_RENEW_HEALTH,$A28,FALSE),"")</f>
        <v/>
      </c>
      <c r="V28" s="262" t="str">
        <f ca="1">IFERROR(VLOOKUP(V$5,BEGIN_RENEW_HEALTH_PLANID:END_RENEW_HEALTH,$A28,FALSE),"")</f>
        <v/>
      </c>
    </row>
    <row r="29" spans="2:22" ht="12.5">
      <c r="B29" s="261"/>
      <c r="C29" s="262"/>
      <c r="D29" s="262"/>
      <c r="E29" s="262"/>
      <c r="F29" s="262" t="str">
        <f ca="1">IFERROR(VLOOKUP(F$5,BEGIN_RENEW_HEALTH_PLANID:END_RENEW_HEALTH,$A29,FALSE),"")</f>
        <v/>
      </c>
      <c r="G29" s="262" t="str">
        <f ca="1">IFERROR(VLOOKUP(G$5,BEGIN_RENEW_HEALTH_PLANID:END_RENEW_HEALTH,$A29,FALSE),"")</f>
        <v/>
      </c>
      <c r="H29" s="262" t="str">
        <f ca="1">IFERROR(VLOOKUP(H$5,BEGIN_RENEW_HEALTH_PLANID:END_RENEW_HEALTH,$A29,FALSE),"")</f>
        <v/>
      </c>
      <c r="I29" s="262" t="str">
        <f ca="1">IFERROR(VLOOKUP(I$5,BEGIN_RENEW_HEALTH_PLANID:END_RENEW_HEALTH,$A29,FALSE),"")</f>
        <v/>
      </c>
      <c r="J29" s="262" t="str">
        <f ca="1">IFERROR(VLOOKUP(J$5,BEGIN_RENEW_HEALTH_PLANID:END_RENEW_HEALTH,$A29,FALSE),"")</f>
        <v/>
      </c>
      <c r="K29" s="262" t="str">
        <f ca="1">IFERROR(VLOOKUP(K$5,BEGIN_RENEW_HEALTH_PLANID:END_RENEW_HEALTH,$A29,FALSE),"")</f>
        <v/>
      </c>
      <c r="L29" s="262" t="str">
        <f ca="1">IFERROR(VLOOKUP(L$5,BEGIN_RENEW_HEALTH_PLANID:END_RENEW_HEALTH,$A29,FALSE),"")</f>
        <v/>
      </c>
      <c r="M29" s="262"/>
      <c r="N29" s="262"/>
      <c r="O29" s="262"/>
      <c r="P29" s="262" t="str">
        <f ca="1">IFERROR(VLOOKUP(P$5,BEGIN_RENEW_HEALTH_PLANID:END_RENEW_HEALTH,$A29,FALSE),"")</f>
        <v/>
      </c>
      <c r="Q29" s="262" t="str">
        <f ca="1">IFERROR(VLOOKUP(Q$5,BEGIN_RENEW_HEALTH_PLANID:END_RENEW_HEALTH,$A29,FALSE),"")</f>
        <v/>
      </c>
      <c r="R29" s="262" t="str">
        <f ca="1">IFERROR(VLOOKUP(R$5,BEGIN_RENEW_HEALTH_PLANID:END_RENEW_HEALTH,$A29,FALSE),"")</f>
        <v/>
      </c>
      <c r="S29" s="262" t="str">
        <f ca="1">IFERROR(VLOOKUP(S$5,BEGIN_RENEW_HEALTH_PLANID:END_RENEW_HEALTH,$A29,FALSE),"")</f>
        <v/>
      </c>
      <c r="T29" s="262" t="str">
        <f ca="1">IFERROR(VLOOKUP(T$5,BEGIN_RENEW_HEALTH_PLANID:END_RENEW_HEALTH,$A29,FALSE),"")</f>
        <v/>
      </c>
      <c r="U29" s="262" t="str">
        <f ca="1">IFERROR(VLOOKUP(U$5,BEGIN_RENEW_HEALTH_PLANID:END_RENEW_HEALTH,$A29,FALSE),"")</f>
        <v/>
      </c>
      <c r="V29" s="262" t="str">
        <f ca="1">IFERROR(VLOOKUP(V$5,BEGIN_RENEW_HEALTH_PLANID:END_RENEW_HEALTH,$A29,FALSE),"")</f>
        <v/>
      </c>
    </row>
    <row r="30" spans="2:22" ht="12.5">
      <c r="B30" s="261"/>
      <c r="C30" s="262"/>
      <c r="D30" s="262"/>
      <c r="E30" s="262"/>
      <c r="F30" s="262" t="str">
        <f ca="1">IFERROR(VLOOKUP(F$5,BEGIN_RENEW_HEALTH_PLANID:END_RENEW_HEALTH,$A30,FALSE),"")</f>
        <v/>
      </c>
      <c r="G30" s="262" t="str">
        <f ca="1">IFERROR(VLOOKUP(G$5,BEGIN_RENEW_HEALTH_PLANID:END_RENEW_HEALTH,$A30,FALSE),"")</f>
        <v/>
      </c>
      <c r="H30" s="262" t="str">
        <f ca="1">IFERROR(VLOOKUP(H$5,BEGIN_RENEW_HEALTH_PLANID:END_RENEW_HEALTH,$A30,FALSE),"")</f>
        <v/>
      </c>
      <c r="I30" s="262" t="str">
        <f ca="1">IFERROR(VLOOKUP(I$5,BEGIN_RENEW_HEALTH_PLANID:END_RENEW_HEALTH,$A30,FALSE),"")</f>
        <v/>
      </c>
      <c r="J30" s="262" t="str">
        <f ca="1">IFERROR(VLOOKUP(J$5,BEGIN_RENEW_HEALTH_PLANID:END_RENEW_HEALTH,$A30,FALSE),"")</f>
        <v/>
      </c>
      <c r="K30" s="262" t="str">
        <f ca="1">IFERROR(VLOOKUP(K$5,BEGIN_RENEW_HEALTH_PLANID:END_RENEW_HEALTH,$A30,FALSE),"")</f>
        <v/>
      </c>
      <c r="L30" s="262" t="str">
        <f ca="1">IFERROR(VLOOKUP(L$5,BEGIN_RENEW_HEALTH_PLANID:END_RENEW_HEALTH,$A30,FALSE),"")</f>
        <v/>
      </c>
      <c r="M30" s="262"/>
      <c r="N30" s="262"/>
      <c r="O30" s="262"/>
      <c r="P30" s="262" t="str">
        <f ca="1">IFERROR(VLOOKUP(P$5,BEGIN_RENEW_HEALTH_PLANID:END_RENEW_HEALTH,$A30,FALSE),"")</f>
        <v/>
      </c>
      <c r="Q30" s="262" t="str">
        <f ca="1">IFERROR(VLOOKUP(Q$5,BEGIN_RENEW_HEALTH_PLANID:END_RENEW_HEALTH,$A30,FALSE),"")</f>
        <v/>
      </c>
      <c r="R30" s="262" t="str">
        <f ca="1">IFERROR(VLOOKUP(R$5,BEGIN_RENEW_HEALTH_PLANID:END_RENEW_HEALTH,$A30,FALSE),"")</f>
        <v/>
      </c>
      <c r="S30" s="262" t="str">
        <f ca="1">IFERROR(VLOOKUP(S$5,BEGIN_RENEW_HEALTH_PLANID:END_RENEW_HEALTH,$A30,FALSE),"")</f>
        <v/>
      </c>
      <c r="T30" s="262" t="str">
        <f ca="1">IFERROR(VLOOKUP(T$5,BEGIN_RENEW_HEALTH_PLANID:END_RENEW_HEALTH,$A30,FALSE),"")</f>
        <v/>
      </c>
      <c r="U30" s="262" t="str">
        <f ca="1">IFERROR(VLOOKUP(U$5,BEGIN_RENEW_HEALTH_PLANID:END_RENEW_HEALTH,$A30,FALSE),"")</f>
        <v/>
      </c>
      <c r="V30" s="262" t="str">
        <f ca="1">IFERROR(VLOOKUP(V$5,BEGIN_RENEW_HEALTH_PLANID:END_RENEW_HEALTH,$A30,FALSE),"")</f>
        <v/>
      </c>
    </row>
    <row r="31" spans="2:22" ht="12.5">
      <c r="B31" s="261"/>
      <c r="C31" s="262"/>
      <c r="D31" s="262"/>
      <c r="E31" s="262"/>
      <c r="F31" s="262" t="str">
        <f ca="1">IFERROR(VLOOKUP(F$5,BEGIN_RENEW_HEALTH_PLANID:END_RENEW_HEALTH,$A31,FALSE),"")</f>
        <v/>
      </c>
      <c r="G31" s="262" t="str">
        <f ca="1">IFERROR(VLOOKUP(G$5,BEGIN_RENEW_HEALTH_PLANID:END_RENEW_HEALTH,$A31,FALSE),"")</f>
        <v/>
      </c>
      <c r="H31" s="262" t="str">
        <f ca="1">IFERROR(VLOOKUP(H$5,BEGIN_RENEW_HEALTH_PLANID:END_RENEW_HEALTH,$A31,FALSE),"")</f>
        <v/>
      </c>
      <c r="I31" s="262" t="str">
        <f ca="1">IFERROR(VLOOKUP(I$5,BEGIN_RENEW_HEALTH_PLANID:END_RENEW_HEALTH,$A31,FALSE),"")</f>
        <v/>
      </c>
      <c r="J31" s="262" t="str">
        <f ca="1">IFERROR(VLOOKUP(J$5,BEGIN_RENEW_HEALTH_PLANID:END_RENEW_HEALTH,$A31,FALSE),"")</f>
        <v/>
      </c>
      <c r="K31" s="262" t="str">
        <f ca="1">IFERROR(VLOOKUP(K$5,BEGIN_RENEW_HEALTH_PLANID:END_RENEW_HEALTH,$A31,FALSE),"")</f>
        <v/>
      </c>
      <c r="L31" s="262" t="str">
        <f ca="1">IFERROR(VLOOKUP(L$5,BEGIN_RENEW_HEALTH_PLANID:END_RENEW_HEALTH,$A31,FALSE),"")</f>
        <v/>
      </c>
      <c r="M31" s="262"/>
      <c r="N31" s="262"/>
      <c r="O31" s="262"/>
      <c r="P31" s="262" t="str">
        <f ca="1">IFERROR(VLOOKUP(P$5,BEGIN_RENEW_HEALTH_PLANID:END_RENEW_HEALTH,$A31,FALSE),"")</f>
        <v/>
      </c>
      <c r="Q31" s="262" t="str">
        <f ca="1">IFERROR(VLOOKUP(Q$5,BEGIN_RENEW_HEALTH_PLANID:END_RENEW_HEALTH,$A31,FALSE),"")</f>
        <v/>
      </c>
      <c r="R31" s="262" t="str">
        <f ca="1">IFERROR(VLOOKUP(R$5,BEGIN_RENEW_HEALTH_PLANID:END_RENEW_HEALTH,$A31,FALSE),"")</f>
        <v/>
      </c>
      <c r="S31" s="262" t="str">
        <f ca="1">IFERROR(VLOOKUP(S$5,BEGIN_RENEW_HEALTH_PLANID:END_RENEW_HEALTH,$A31,FALSE),"")</f>
        <v/>
      </c>
      <c r="T31" s="262" t="str">
        <f ca="1">IFERROR(VLOOKUP(T$5,BEGIN_RENEW_HEALTH_PLANID:END_RENEW_HEALTH,$A31,FALSE),"")</f>
        <v/>
      </c>
      <c r="U31" s="262" t="str">
        <f ca="1">IFERROR(VLOOKUP(U$5,BEGIN_RENEW_HEALTH_PLANID:END_RENEW_HEALTH,$A31,FALSE),"")</f>
        <v/>
      </c>
      <c r="V31" s="262" t="str">
        <f ca="1">IFERROR(VLOOKUP(V$5,BEGIN_RENEW_HEALTH_PLANID:END_RENEW_HEALTH,$A31,FALSE),"")</f>
        <v/>
      </c>
    </row>
    <row r="32" spans="2:22" ht="12.5">
      <c r="B32" s="261"/>
      <c r="C32" s="262"/>
      <c r="D32" s="262"/>
      <c r="E32" s="262"/>
      <c r="F32" s="262" t="str">
        <f ca="1">IFERROR(VLOOKUP(F$5,BEGIN_RENEW_HEALTH_PLANID:END_RENEW_HEALTH,$A32,FALSE),"")</f>
        <v/>
      </c>
      <c r="G32" s="262" t="str">
        <f ca="1">IFERROR(VLOOKUP(G$5,BEGIN_RENEW_HEALTH_PLANID:END_RENEW_HEALTH,$A32,FALSE),"")</f>
        <v/>
      </c>
      <c r="H32" s="262" t="str">
        <f ca="1">IFERROR(VLOOKUP(H$5,BEGIN_RENEW_HEALTH_PLANID:END_RENEW_HEALTH,$A32,FALSE),"")</f>
        <v/>
      </c>
      <c r="I32" s="262" t="str">
        <f ca="1">IFERROR(VLOOKUP(I$5,BEGIN_RENEW_HEALTH_PLANID:END_RENEW_HEALTH,$A32,FALSE),"")</f>
        <v/>
      </c>
      <c r="J32" s="262" t="str">
        <f ca="1">IFERROR(VLOOKUP(J$5,BEGIN_RENEW_HEALTH_PLANID:END_RENEW_HEALTH,$A32,FALSE),"")</f>
        <v/>
      </c>
      <c r="K32" s="262" t="str">
        <f ca="1">IFERROR(VLOOKUP(K$5,BEGIN_RENEW_HEALTH_PLANID:END_RENEW_HEALTH,$A32,FALSE),"")</f>
        <v/>
      </c>
      <c r="L32" s="262" t="str">
        <f ca="1">IFERROR(VLOOKUP(L$5,BEGIN_RENEW_HEALTH_PLANID:END_RENEW_HEALTH,$A32,FALSE),"")</f>
        <v/>
      </c>
      <c r="M32" s="262"/>
      <c r="N32" s="262"/>
      <c r="O32" s="262"/>
      <c r="P32" s="262" t="str">
        <f ca="1">IFERROR(VLOOKUP(P$5,BEGIN_RENEW_HEALTH_PLANID:END_RENEW_HEALTH,$A32,FALSE),"")</f>
        <v/>
      </c>
      <c r="Q32" s="262" t="str">
        <f ca="1">IFERROR(VLOOKUP(Q$5,BEGIN_RENEW_HEALTH_PLANID:END_RENEW_HEALTH,$A32,FALSE),"")</f>
        <v/>
      </c>
      <c r="R32" s="262" t="str">
        <f ca="1">IFERROR(VLOOKUP(R$5,BEGIN_RENEW_HEALTH_PLANID:END_RENEW_HEALTH,$A32,FALSE),"")</f>
        <v/>
      </c>
      <c r="S32" s="262" t="str">
        <f ca="1">IFERROR(VLOOKUP(S$5,BEGIN_RENEW_HEALTH_PLANID:END_RENEW_HEALTH,$A32,FALSE),"")</f>
        <v/>
      </c>
      <c r="T32" s="262" t="str">
        <f ca="1">IFERROR(VLOOKUP(T$5,BEGIN_RENEW_HEALTH_PLANID:END_RENEW_HEALTH,$A32,FALSE),"")</f>
        <v/>
      </c>
      <c r="U32" s="262" t="str">
        <f ca="1">IFERROR(VLOOKUP(U$5,BEGIN_RENEW_HEALTH_PLANID:END_RENEW_HEALTH,$A32,FALSE),"")</f>
        <v/>
      </c>
      <c r="V32" s="262" t="str">
        <f ca="1">IFERROR(VLOOKUP(V$5,BEGIN_RENEW_HEALTH_PLANID:END_RENEW_HEALTH,$A32,FALSE),"")</f>
        <v/>
      </c>
    </row>
    <row r="33" spans="2:22" ht="12.5">
      <c r="B33" s="261"/>
      <c r="C33" s="262"/>
      <c r="D33" s="262"/>
      <c r="E33" s="262"/>
      <c r="F33" s="262" t="str">
        <f ca="1">IFERROR(VLOOKUP(F$5,BEGIN_RENEW_HEALTH_PLANID:END_RENEW_HEALTH,$A33,FALSE),"")</f>
        <v/>
      </c>
      <c r="G33" s="262" t="str">
        <f ca="1">IFERROR(VLOOKUP(G$5,BEGIN_RENEW_HEALTH_PLANID:END_RENEW_HEALTH,$A33,FALSE),"")</f>
        <v/>
      </c>
      <c r="H33" s="262" t="str">
        <f ca="1">IFERROR(VLOOKUP(H$5,BEGIN_RENEW_HEALTH_PLANID:END_RENEW_HEALTH,$A33,FALSE),"")</f>
        <v/>
      </c>
      <c r="I33" s="262" t="str">
        <f ca="1">IFERROR(VLOOKUP(I$5,BEGIN_RENEW_HEALTH_PLANID:END_RENEW_HEALTH,$A33,FALSE),"")</f>
        <v/>
      </c>
      <c r="J33" s="262" t="str">
        <f ca="1">IFERROR(VLOOKUP(J$5,BEGIN_RENEW_HEALTH_PLANID:END_RENEW_HEALTH,$A33,FALSE),"")</f>
        <v/>
      </c>
      <c r="K33" s="262" t="str">
        <f ca="1">IFERROR(VLOOKUP(K$5,BEGIN_RENEW_HEALTH_PLANID:END_RENEW_HEALTH,$A33,FALSE),"")</f>
        <v/>
      </c>
      <c r="L33" s="262" t="str">
        <f ca="1">IFERROR(VLOOKUP(L$5,BEGIN_RENEW_HEALTH_PLANID:END_RENEW_HEALTH,$A33,FALSE),"")</f>
        <v/>
      </c>
      <c r="M33" s="262"/>
      <c r="N33" s="262"/>
      <c r="O33" s="262"/>
      <c r="P33" s="262" t="str">
        <f ca="1">IFERROR(VLOOKUP(P$5,BEGIN_RENEW_HEALTH_PLANID:END_RENEW_HEALTH,$A33,FALSE),"")</f>
        <v/>
      </c>
      <c r="Q33" s="262" t="str">
        <f ca="1">IFERROR(VLOOKUP(Q$5,BEGIN_RENEW_HEALTH_PLANID:END_RENEW_HEALTH,$A33,FALSE),"")</f>
        <v/>
      </c>
      <c r="R33" s="262" t="str">
        <f ca="1">IFERROR(VLOOKUP(R$5,BEGIN_RENEW_HEALTH_PLANID:END_RENEW_HEALTH,$A33,FALSE),"")</f>
        <v/>
      </c>
      <c r="S33" s="262" t="str">
        <f ca="1">IFERROR(VLOOKUP(S$5,BEGIN_RENEW_HEALTH_PLANID:END_RENEW_HEALTH,$A33,FALSE),"")</f>
        <v/>
      </c>
      <c r="T33" s="262" t="str">
        <f ca="1">IFERROR(VLOOKUP(T$5,BEGIN_RENEW_HEALTH_PLANID:END_RENEW_HEALTH,$A33,FALSE),"")</f>
        <v/>
      </c>
      <c r="U33" s="262" t="str">
        <f ca="1">IFERROR(VLOOKUP(U$5,BEGIN_RENEW_HEALTH_PLANID:END_RENEW_HEALTH,$A33,FALSE),"")</f>
        <v/>
      </c>
      <c r="V33" s="262" t="str">
        <f ca="1">IFERROR(VLOOKUP(V$5,BEGIN_RENEW_HEALTH_PLANID:END_RENEW_HEALTH,$A33,FALSE),"")</f>
        <v/>
      </c>
    </row>
    <row r="34" spans="2:22" ht="13">
      <c r="B34" s="263"/>
      <c r="C34" s="262"/>
      <c r="D34" s="262"/>
      <c r="E34" s="262"/>
      <c r="F34" s="262" t="str">
        <f ca="1">IFERROR(VLOOKUP(F$5,BEGIN_RENEW_HEALTH_PLANID:END_RENEW_HEALTH,$A34,FALSE),"")</f>
        <v/>
      </c>
      <c r="G34" s="262" t="str">
        <f ca="1">IFERROR(VLOOKUP(G$5,BEGIN_RENEW_HEALTH_PLANID:END_RENEW_HEALTH,$A34,FALSE),"")</f>
        <v/>
      </c>
      <c r="H34" s="262" t="str">
        <f ca="1">IFERROR(VLOOKUP(H$5,BEGIN_RENEW_HEALTH_PLANID:END_RENEW_HEALTH,$A34,FALSE),"")</f>
        <v/>
      </c>
      <c r="I34" s="262" t="str">
        <f ca="1">IFERROR(VLOOKUP(I$5,BEGIN_RENEW_HEALTH_PLANID:END_RENEW_HEALTH,$A34,FALSE),"")</f>
        <v/>
      </c>
      <c r="J34" s="262" t="str">
        <f ca="1">IFERROR(VLOOKUP(J$5,BEGIN_RENEW_HEALTH_PLANID:END_RENEW_HEALTH,$A34,FALSE),"")</f>
        <v/>
      </c>
      <c r="K34" s="262" t="str">
        <f ca="1">IFERROR(VLOOKUP(K$5,BEGIN_RENEW_HEALTH_PLANID:END_RENEW_HEALTH,$A34,FALSE),"")</f>
        <v/>
      </c>
      <c r="L34" s="262" t="str">
        <f ca="1">IFERROR(VLOOKUP(L$5,BEGIN_RENEW_HEALTH_PLANID:END_RENEW_HEALTH,$A34,FALSE),"")</f>
        <v/>
      </c>
      <c r="M34" s="262"/>
      <c r="N34" s="262"/>
      <c r="O34" s="262"/>
      <c r="P34" s="262" t="str">
        <f ca="1">IFERROR(VLOOKUP(P$5,BEGIN_RENEW_HEALTH_PLANID:END_RENEW_HEALTH,$A34,FALSE),"")</f>
        <v/>
      </c>
      <c r="Q34" s="262" t="str">
        <f ca="1">IFERROR(VLOOKUP(Q$5,BEGIN_RENEW_HEALTH_PLANID:END_RENEW_HEALTH,$A34,FALSE),"")</f>
        <v/>
      </c>
      <c r="R34" s="262" t="str">
        <f ca="1">IFERROR(VLOOKUP(R$5,BEGIN_RENEW_HEALTH_PLANID:END_RENEW_HEALTH,$A34,FALSE),"")</f>
        <v/>
      </c>
      <c r="S34" s="262" t="str">
        <f ca="1">IFERROR(VLOOKUP(S$5,BEGIN_RENEW_HEALTH_PLANID:END_RENEW_HEALTH,$A34,FALSE),"")</f>
        <v/>
      </c>
      <c r="T34" s="262" t="str">
        <f ca="1">IFERROR(VLOOKUP(T$5,BEGIN_RENEW_HEALTH_PLANID:END_RENEW_HEALTH,$A34,FALSE),"")</f>
        <v/>
      </c>
      <c r="U34" s="262" t="str">
        <f ca="1">IFERROR(VLOOKUP(U$5,BEGIN_RENEW_HEALTH_PLANID:END_RENEW_HEALTH,$A34,FALSE),"")</f>
        <v/>
      </c>
      <c r="V34" s="262" t="str">
        <f ca="1">IFERROR(VLOOKUP(V$5,BEGIN_RENEW_HEALTH_PLANID:END_RENEW_HEALTH,$A34,FALSE),"")</f>
        <v/>
      </c>
    </row>
    <row r="35" spans="2:22" ht="12.5">
      <c r="B35" s="261"/>
      <c r="C35" s="262"/>
      <c r="D35" s="262"/>
      <c r="E35" s="262"/>
      <c r="F35" s="262" t="str">
        <f ca="1">IFERROR(VLOOKUP(F$5,BEGIN_RENEW_HEALTH_PLANID:END_RENEW_HEALTH,$A35,FALSE),"")</f>
        <v/>
      </c>
      <c r="G35" s="262" t="str">
        <f ca="1">IFERROR(VLOOKUP(G$5,BEGIN_RENEW_HEALTH_PLANID:END_RENEW_HEALTH,$A35,FALSE),"")</f>
        <v/>
      </c>
      <c r="H35" s="262" t="str">
        <f ca="1">IFERROR(VLOOKUP(H$5,BEGIN_RENEW_HEALTH_PLANID:END_RENEW_HEALTH,$A35,FALSE),"")</f>
        <v/>
      </c>
      <c r="I35" s="262" t="str">
        <f ca="1">IFERROR(VLOOKUP(I$5,BEGIN_RENEW_HEALTH_PLANID:END_RENEW_HEALTH,$A35,FALSE),"")</f>
        <v/>
      </c>
      <c r="J35" s="262" t="str">
        <f ca="1">IFERROR(VLOOKUP(J$5,BEGIN_RENEW_HEALTH_PLANID:END_RENEW_HEALTH,$A35,FALSE),"")</f>
        <v/>
      </c>
      <c r="K35" s="262" t="str">
        <f ca="1">IFERROR(VLOOKUP(K$5,BEGIN_RENEW_HEALTH_PLANID:END_RENEW_HEALTH,$A35,FALSE),"")</f>
        <v/>
      </c>
      <c r="L35" s="262" t="str">
        <f ca="1">IFERROR(VLOOKUP(L$5,BEGIN_RENEW_HEALTH_PLANID:END_RENEW_HEALTH,$A35,FALSE),"")</f>
        <v/>
      </c>
      <c r="M35" s="262"/>
      <c r="N35" s="262"/>
      <c r="O35" s="262"/>
      <c r="P35" s="262" t="str">
        <f ca="1">IFERROR(VLOOKUP(P$5,BEGIN_RENEW_HEALTH_PLANID:END_RENEW_HEALTH,$A35,FALSE),"")</f>
        <v/>
      </c>
      <c r="Q35" s="262" t="str">
        <f ca="1">IFERROR(VLOOKUP(Q$5,BEGIN_RENEW_HEALTH_PLANID:END_RENEW_HEALTH,$A35,FALSE),"")</f>
        <v/>
      </c>
      <c r="R35" s="262" t="str">
        <f ca="1">IFERROR(VLOOKUP(R$5,BEGIN_RENEW_HEALTH_PLANID:END_RENEW_HEALTH,$A35,FALSE),"")</f>
        <v/>
      </c>
      <c r="S35" s="262" t="str">
        <f ca="1">IFERROR(VLOOKUP(S$5,BEGIN_RENEW_HEALTH_PLANID:END_RENEW_HEALTH,$A35,FALSE),"")</f>
        <v/>
      </c>
      <c r="T35" s="262" t="str">
        <f ca="1">IFERROR(VLOOKUP(T$5,BEGIN_RENEW_HEALTH_PLANID:END_RENEW_HEALTH,$A35,FALSE),"")</f>
        <v/>
      </c>
      <c r="U35" s="262" t="str">
        <f ca="1">IFERROR(VLOOKUP(U$5,BEGIN_RENEW_HEALTH_PLANID:END_RENEW_HEALTH,$A35,FALSE),"")</f>
        <v/>
      </c>
      <c r="V35" s="262" t="str">
        <f ca="1">IFERROR(VLOOKUP(V$5,BEGIN_RENEW_HEALTH_PLANID:END_RENEW_HEALTH,$A35,FALSE),"")</f>
        <v/>
      </c>
    </row>
    <row r="36" spans="2:22" ht="12.5">
      <c r="B36" s="261"/>
      <c r="C36" s="262"/>
      <c r="D36" s="262"/>
      <c r="E36" s="262"/>
      <c r="F36" s="262" t="str">
        <f ca="1">IFERROR(VLOOKUP(F$5,BEGIN_RENEW_HEALTH_PLANID:END_RENEW_HEALTH,$A36,FALSE),"")</f>
        <v/>
      </c>
      <c r="G36" s="262" t="str">
        <f ca="1">IFERROR(VLOOKUP(G$5,BEGIN_RENEW_HEALTH_PLANID:END_RENEW_HEALTH,$A36,FALSE),"")</f>
        <v/>
      </c>
      <c r="H36" s="262" t="str">
        <f ca="1">IFERROR(VLOOKUP(H$5,BEGIN_RENEW_HEALTH_PLANID:END_RENEW_HEALTH,$A36,FALSE),"")</f>
        <v/>
      </c>
      <c r="I36" s="262" t="str">
        <f ca="1">IFERROR(VLOOKUP(I$5,BEGIN_RENEW_HEALTH_PLANID:END_RENEW_HEALTH,$A36,FALSE),"")</f>
        <v/>
      </c>
      <c r="J36" s="262" t="str">
        <f ca="1">IFERROR(VLOOKUP(J$5,BEGIN_RENEW_HEALTH_PLANID:END_RENEW_HEALTH,$A36,FALSE),"")</f>
        <v/>
      </c>
      <c r="K36" s="262" t="str">
        <f ca="1">IFERROR(VLOOKUP(K$5,BEGIN_RENEW_HEALTH_PLANID:END_RENEW_HEALTH,$A36,FALSE),"")</f>
        <v/>
      </c>
      <c r="L36" s="262" t="str">
        <f ca="1">IFERROR(VLOOKUP(L$5,BEGIN_RENEW_HEALTH_PLANID:END_RENEW_HEALTH,$A36,FALSE),"")</f>
        <v/>
      </c>
      <c r="M36" s="262"/>
      <c r="N36" s="262"/>
      <c r="O36" s="262"/>
      <c r="P36" s="262" t="str">
        <f ca="1">IFERROR(VLOOKUP(P$5,BEGIN_RENEW_HEALTH_PLANID:END_RENEW_HEALTH,$A36,FALSE),"")</f>
        <v/>
      </c>
      <c r="Q36" s="262" t="str">
        <f ca="1">IFERROR(VLOOKUP(Q$5,BEGIN_RENEW_HEALTH_PLANID:END_RENEW_HEALTH,$A36,FALSE),"")</f>
        <v/>
      </c>
      <c r="R36" s="262" t="str">
        <f ca="1">IFERROR(VLOOKUP(R$5,BEGIN_RENEW_HEALTH_PLANID:END_RENEW_HEALTH,$A36,FALSE),"")</f>
        <v/>
      </c>
      <c r="S36" s="262" t="str">
        <f ca="1">IFERROR(VLOOKUP(S$5,BEGIN_RENEW_HEALTH_PLANID:END_RENEW_HEALTH,$A36,FALSE),"")</f>
        <v/>
      </c>
      <c r="T36" s="262" t="str">
        <f ca="1">IFERROR(VLOOKUP(T$5,BEGIN_RENEW_HEALTH_PLANID:END_RENEW_HEALTH,$A36,FALSE),"")</f>
        <v/>
      </c>
      <c r="U36" s="262" t="str">
        <f ca="1">IFERROR(VLOOKUP(U$5,BEGIN_RENEW_HEALTH_PLANID:END_RENEW_HEALTH,$A36,FALSE),"")</f>
        <v/>
      </c>
      <c r="V36" s="262" t="str">
        <f ca="1">IFERROR(VLOOKUP(V$5,BEGIN_RENEW_HEALTH_PLANID:END_RENEW_HEALTH,$A36,FALSE),"")</f>
        <v/>
      </c>
    </row>
    <row r="37" spans="2:22" ht="12.5">
      <c r="B37" s="261"/>
      <c r="C37" s="262"/>
      <c r="D37" s="262"/>
      <c r="E37" s="262"/>
      <c r="F37" s="262" t="str">
        <f ca="1">IFERROR(VLOOKUP(F$5,BEGIN_RENEW_HEALTH_PLANID:END_RENEW_HEALTH,$A37,FALSE),"")</f>
        <v/>
      </c>
      <c r="G37" s="262" t="str">
        <f ca="1">IFERROR(VLOOKUP(G$5,BEGIN_RENEW_HEALTH_PLANID:END_RENEW_HEALTH,$A37,FALSE),"")</f>
        <v/>
      </c>
      <c r="H37" s="262" t="str">
        <f ca="1">IFERROR(VLOOKUP(H$5,BEGIN_RENEW_HEALTH_PLANID:END_RENEW_HEALTH,$A37,FALSE),"")</f>
        <v/>
      </c>
      <c r="I37" s="262" t="str">
        <f ca="1">IFERROR(VLOOKUP(I$5,BEGIN_RENEW_HEALTH_PLANID:END_RENEW_HEALTH,$A37,FALSE),"")</f>
        <v/>
      </c>
      <c r="J37" s="262" t="str">
        <f ca="1">IFERROR(VLOOKUP(J$5,BEGIN_RENEW_HEALTH_PLANID:END_RENEW_HEALTH,$A37,FALSE),"")</f>
        <v/>
      </c>
      <c r="K37" s="262" t="str">
        <f ca="1">IFERROR(VLOOKUP(K$5,BEGIN_RENEW_HEALTH_PLANID:END_RENEW_HEALTH,$A37,FALSE),"")</f>
        <v/>
      </c>
      <c r="L37" s="262" t="str">
        <f ca="1">IFERROR(VLOOKUP(L$5,BEGIN_RENEW_HEALTH_PLANID:END_RENEW_HEALTH,$A37,FALSE),"")</f>
        <v/>
      </c>
      <c r="M37" s="262"/>
      <c r="N37" s="262"/>
      <c r="O37" s="262"/>
      <c r="P37" s="262" t="str">
        <f ca="1">IFERROR(VLOOKUP(P$5,BEGIN_RENEW_HEALTH_PLANID:END_RENEW_HEALTH,$A37,FALSE),"")</f>
        <v/>
      </c>
      <c r="Q37" s="262" t="str">
        <f ca="1">IFERROR(VLOOKUP(Q$5,BEGIN_RENEW_HEALTH_PLANID:END_RENEW_HEALTH,$A37,FALSE),"")</f>
        <v/>
      </c>
      <c r="R37" s="262" t="str">
        <f ca="1">IFERROR(VLOOKUP(R$5,BEGIN_RENEW_HEALTH_PLANID:END_RENEW_HEALTH,$A37,FALSE),"")</f>
        <v/>
      </c>
      <c r="S37" s="262" t="str">
        <f ca="1">IFERROR(VLOOKUP(S$5,BEGIN_RENEW_HEALTH_PLANID:END_RENEW_HEALTH,$A37,FALSE),"")</f>
        <v/>
      </c>
      <c r="T37" s="262" t="str">
        <f ca="1">IFERROR(VLOOKUP(T$5,BEGIN_RENEW_HEALTH_PLANID:END_RENEW_HEALTH,$A37,FALSE),"")</f>
        <v/>
      </c>
      <c r="U37" s="262" t="str">
        <f ca="1">IFERROR(VLOOKUP(U$5,BEGIN_RENEW_HEALTH_PLANID:END_RENEW_HEALTH,$A37,FALSE),"")</f>
        <v/>
      </c>
      <c r="V37" s="262" t="str">
        <f ca="1">IFERROR(VLOOKUP(V$5,BEGIN_RENEW_HEALTH_PLANID:END_RENEW_HEALTH,$A37,FALSE),"")</f>
        <v/>
      </c>
    </row>
    <row r="38" spans="2:22" ht="12.5">
      <c r="B38" s="261"/>
      <c r="C38" s="262"/>
      <c r="D38" s="262"/>
      <c r="E38" s="262"/>
      <c r="F38" s="262" t="str">
        <f ca="1">IFERROR(VLOOKUP(F$5,BEGIN_RENEW_HEALTH_PLANID:END_RENEW_HEALTH,$A38,FALSE),"")</f>
        <v/>
      </c>
      <c r="G38" s="262" t="str">
        <f ca="1">IFERROR(VLOOKUP(G$5,BEGIN_RENEW_HEALTH_PLANID:END_RENEW_HEALTH,$A38,FALSE),"")</f>
        <v/>
      </c>
      <c r="H38" s="262" t="str">
        <f ca="1">IFERROR(VLOOKUP(H$5,BEGIN_RENEW_HEALTH_PLANID:END_RENEW_HEALTH,$A38,FALSE),"")</f>
        <v/>
      </c>
      <c r="I38" s="262" t="str">
        <f ca="1">IFERROR(VLOOKUP(I$5,BEGIN_RENEW_HEALTH_PLANID:END_RENEW_HEALTH,$A38,FALSE),"")</f>
        <v/>
      </c>
      <c r="J38" s="262" t="str">
        <f ca="1">IFERROR(VLOOKUP(J$5,BEGIN_RENEW_HEALTH_PLANID:END_RENEW_HEALTH,$A38,FALSE),"")</f>
        <v/>
      </c>
      <c r="K38" s="262" t="str">
        <f ca="1">IFERROR(VLOOKUP(K$5,BEGIN_RENEW_HEALTH_PLANID:END_RENEW_HEALTH,$A38,FALSE),"")</f>
        <v/>
      </c>
      <c r="L38" s="262" t="str">
        <f ca="1">IFERROR(VLOOKUP(L$5,BEGIN_RENEW_HEALTH_PLANID:END_RENEW_HEALTH,$A38,FALSE),"")</f>
        <v/>
      </c>
      <c r="M38" s="262"/>
      <c r="N38" s="262"/>
      <c r="O38" s="262"/>
      <c r="P38" s="262" t="str">
        <f ca="1">IFERROR(VLOOKUP(P$5,BEGIN_RENEW_HEALTH_PLANID:END_RENEW_HEALTH,$A38,FALSE),"")</f>
        <v/>
      </c>
      <c r="Q38" s="262" t="str">
        <f ca="1">IFERROR(VLOOKUP(Q$5,BEGIN_RENEW_HEALTH_PLANID:END_RENEW_HEALTH,$A38,FALSE),"")</f>
        <v/>
      </c>
      <c r="R38" s="262" t="str">
        <f ca="1">IFERROR(VLOOKUP(R$5,BEGIN_RENEW_HEALTH_PLANID:END_RENEW_HEALTH,$A38,FALSE),"")</f>
        <v/>
      </c>
      <c r="S38" s="262" t="str">
        <f ca="1">IFERROR(VLOOKUP(S$5,BEGIN_RENEW_HEALTH_PLANID:END_RENEW_HEALTH,$A38,FALSE),"")</f>
        <v/>
      </c>
      <c r="T38" s="262" t="str">
        <f ca="1">IFERROR(VLOOKUP(T$5,BEGIN_RENEW_HEALTH_PLANID:END_RENEW_HEALTH,$A38,FALSE),"")</f>
        <v/>
      </c>
      <c r="U38" s="262" t="str">
        <f ca="1">IFERROR(VLOOKUP(U$5,BEGIN_RENEW_HEALTH_PLANID:END_RENEW_HEALTH,$A38,FALSE),"")</f>
        <v/>
      </c>
      <c r="V38" s="262" t="str">
        <f ca="1">IFERROR(VLOOKUP(V$5,BEGIN_RENEW_HEALTH_PLANID:END_RENEW_HEALTH,$A38,FALSE),"")</f>
        <v/>
      </c>
    </row>
    <row r="39" spans="2:22" ht="12.5">
      <c r="B39" s="261"/>
      <c r="C39" s="262"/>
      <c r="D39" s="262"/>
      <c r="E39" s="262"/>
      <c r="F39" s="262" t="str">
        <f ca="1">IFERROR(VLOOKUP(F$5,BEGIN_RENEW_HEALTH_PLANID:END_RENEW_HEALTH,$A39,FALSE),"")</f>
        <v/>
      </c>
      <c r="G39" s="262" t="str">
        <f ca="1">IFERROR(VLOOKUP(G$5,BEGIN_RENEW_HEALTH_PLANID:END_RENEW_HEALTH,$A39,FALSE),"")</f>
        <v/>
      </c>
      <c r="H39" s="262" t="str">
        <f ca="1">IFERROR(VLOOKUP(H$5,BEGIN_RENEW_HEALTH_PLANID:END_RENEW_HEALTH,$A39,FALSE),"")</f>
        <v/>
      </c>
      <c r="I39" s="262" t="str">
        <f ca="1">IFERROR(VLOOKUP(I$5,BEGIN_RENEW_HEALTH_PLANID:END_RENEW_HEALTH,$A39,FALSE),"")</f>
        <v/>
      </c>
      <c r="J39" s="262" t="str">
        <f ca="1">IFERROR(VLOOKUP(J$5,BEGIN_RENEW_HEALTH_PLANID:END_RENEW_HEALTH,$A39,FALSE),"")</f>
        <v/>
      </c>
      <c r="K39" s="262" t="str">
        <f ca="1">IFERROR(VLOOKUP(K$5,BEGIN_RENEW_HEALTH_PLANID:END_RENEW_HEALTH,$A39,FALSE),"")</f>
        <v/>
      </c>
      <c r="L39" s="262" t="str">
        <f ca="1">IFERROR(VLOOKUP(L$5,BEGIN_RENEW_HEALTH_PLANID:END_RENEW_HEALTH,$A39,FALSE),"")</f>
        <v/>
      </c>
      <c r="M39" s="262"/>
      <c r="N39" s="262"/>
      <c r="O39" s="262"/>
      <c r="P39" s="262" t="str">
        <f ca="1">IFERROR(VLOOKUP(P$5,BEGIN_RENEW_HEALTH_PLANID:END_RENEW_HEALTH,$A39,FALSE),"")</f>
        <v/>
      </c>
      <c r="Q39" s="262" t="str">
        <f ca="1">IFERROR(VLOOKUP(Q$5,BEGIN_RENEW_HEALTH_PLANID:END_RENEW_HEALTH,$A39,FALSE),"")</f>
        <v/>
      </c>
      <c r="R39" s="262" t="str">
        <f ca="1">IFERROR(VLOOKUP(R$5,BEGIN_RENEW_HEALTH_PLANID:END_RENEW_HEALTH,$A39,FALSE),"")</f>
        <v/>
      </c>
      <c r="S39" s="262" t="str">
        <f ca="1">IFERROR(VLOOKUP(S$5,BEGIN_RENEW_HEALTH_PLANID:END_RENEW_HEALTH,$A39,FALSE),"")</f>
        <v/>
      </c>
      <c r="T39" s="262" t="str">
        <f ca="1">IFERROR(VLOOKUP(T$5,BEGIN_RENEW_HEALTH_PLANID:END_RENEW_HEALTH,$A39,FALSE),"")</f>
        <v/>
      </c>
      <c r="U39" s="262" t="str">
        <f ca="1">IFERROR(VLOOKUP(U$5,BEGIN_RENEW_HEALTH_PLANID:END_RENEW_HEALTH,$A39,FALSE),"")</f>
        <v/>
      </c>
      <c r="V39" s="262" t="str">
        <f ca="1">IFERROR(VLOOKUP(V$5,BEGIN_RENEW_HEALTH_PLANID:END_RENEW_HEALTH,$A39,FALSE),"")</f>
        <v/>
      </c>
    </row>
    <row r="40" spans="2:22" ht="12.5">
      <c r="B40" s="261"/>
      <c r="C40" s="262"/>
      <c r="D40" s="262"/>
      <c r="E40" s="262"/>
      <c r="F40" s="262" t="str">
        <f ca="1">IFERROR(VLOOKUP(F$5,BEGIN_RENEW_HEALTH_PLANID:END_RENEW_HEALTH,$A40,FALSE),"")</f>
        <v/>
      </c>
      <c r="G40" s="262" t="str">
        <f ca="1">IFERROR(VLOOKUP(G$5,BEGIN_RENEW_HEALTH_PLANID:END_RENEW_HEALTH,$A40,FALSE),"")</f>
        <v/>
      </c>
      <c r="H40" s="262" t="str">
        <f ca="1">IFERROR(VLOOKUP(H$5,BEGIN_RENEW_HEALTH_PLANID:END_RENEW_HEALTH,$A40,FALSE),"")</f>
        <v/>
      </c>
      <c r="I40" s="262" t="str">
        <f ca="1">IFERROR(VLOOKUP(I$5,BEGIN_RENEW_HEALTH_PLANID:END_RENEW_HEALTH,$A40,FALSE),"")</f>
        <v/>
      </c>
      <c r="J40" s="262" t="str">
        <f ca="1">IFERROR(VLOOKUP(J$5,BEGIN_RENEW_HEALTH_PLANID:END_RENEW_HEALTH,$A40,FALSE),"")</f>
        <v/>
      </c>
      <c r="K40" s="262" t="str">
        <f ca="1">IFERROR(VLOOKUP(K$5,BEGIN_RENEW_HEALTH_PLANID:END_RENEW_HEALTH,$A40,FALSE),"")</f>
        <v/>
      </c>
      <c r="L40" s="262" t="str">
        <f ca="1">IFERROR(VLOOKUP(L$5,BEGIN_RENEW_HEALTH_PLANID:END_RENEW_HEALTH,$A40,FALSE),"")</f>
        <v/>
      </c>
      <c r="M40" s="262"/>
      <c r="N40" s="262"/>
      <c r="O40" s="262"/>
      <c r="P40" s="262" t="str">
        <f ca="1">IFERROR(VLOOKUP(P$5,BEGIN_RENEW_HEALTH_PLANID:END_RENEW_HEALTH,$A40,FALSE),"")</f>
        <v/>
      </c>
      <c r="Q40" s="262" t="str">
        <f ca="1">IFERROR(VLOOKUP(Q$5,BEGIN_RENEW_HEALTH_PLANID:END_RENEW_HEALTH,$A40,FALSE),"")</f>
        <v/>
      </c>
      <c r="R40" s="262" t="str">
        <f ca="1">IFERROR(VLOOKUP(R$5,BEGIN_RENEW_HEALTH_PLANID:END_RENEW_HEALTH,$A40,FALSE),"")</f>
        <v/>
      </c>
      <c r="S40" s="262" t="str">
        <f ca="1">IFERROR(VLOOKUP(S$5,BEGIN_RENEW_HEALTH_PLANID:END_RENEW_HEALTH,$A40,FALSE),"")</f>
        <v/>
      </c>
      <c r="T40" s="262" t="str">
        <f ca="1">IFERROR(VLOOKUP(T$5,BEGIN_RENEW_HEALTH_PLANID:END_RENEW_HEALTH,$A40,FALSE),"")</f>
        <v/>
      </c>
      <c r="U40" s="262" t="str">
        <f ca="1">IFERROR(VLOOKUP(U$5,BEGIN_RENEW_HEALTH_PLANID:END_RENEW_HEALTH,$A40,FALSE),"")</f>
        <v/>
      </c>
      <c r="V40" s="262" t="str">
        <f ca="1">IFERROR(VLOOKUP(V$5,BEGIN_RENEW_HEALTH_PLANID:END_RENEW_HEALTH,$A40,FALSE),"")</f>
        <v/>
      </c>
    </row>
  </sheetData>
  <sheetProtection formatCells="0" formatColumns="0" deleteColumns="0" selectLockedCells="1"/>
  <printOptions horizontalCentered="1"/>
  <pageMargins left="0.7" right="0.7" top="0.75" bottom="0.75" header="0.3" footer="0.3"/>
  <pageSetup orientation="landscape" paperSize="1" scale="9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6F18838D-C2FE-4D97-B9C1-E8CCAAC800F3}">
  <sheetPr codeName="Sheet13"/>
  <dimension ref="A1:W39"/>
  <sheetViews>
    <sheetView workbookViewId="0" topLeftCell="A1">
      <pane xSplit="2" ySplit="5" topLeftCell="M6" activePane="bottomRight" state="frozen"/>
      <selection pane="topLeft" activeCell="A1" sqref="A1"/>
      <selection pane="bottomLeft" activeCell="P19" sqref="P19"/>
      <selection pane="topRight" activeCell="P19" sqref="P19"/>
      <selection pane="bottomRight" activeCell="W5" sqref="W5"/>
    </sheetView>
  </sheetViews>
  <sheetFormatPr defaultRowHeight="13"/>
  <cols>
    <col min="1" max="1" width="3.83333333333333" customWidth="1"/>
    <col min="2" max="2" width="34.1666666666667" customWidth="1"/>
    <col min="3" max="22" width="25.8333333333333" customWidth="1"/>
  </cols>
  <sheetData>
    <row r="1" spans="1:22" ht="13">
      <c r="A1" s="3"/>
      <c r="B1" s="3" t="s">
        <v>331</v>
      </c>
      <c r="C1" s="3">
        <v>1</v>
      </c>
      <c r="D1" s="3">
        <v>2</v>
      </c>
      <c r="E1" s="3">
        <v>3</v>
      </c>
      <c r="F1" s="3">
        <v>4</v>
      </c>
      <c r="G1" s="3">
        <v>5</v>
      </c>
      <c r="H1" s="3">
        <v>6</v>
      </c>
      <c r="I1" s="3">
        <v>7</v>
      </c>
      <c r="J1" s="3">
        <v>8</v>
      </c>
      <c r="K1" s="3">
        <v>9</v>
      </c>
      <c r="L1" s="3">
        <v>10</v>
      </c>
      <c r="M1" s="3">
        <v>11</v>
      </c>
      <c r="N1" s="3">
        <v>12</v>
      </c>
      <c r="O1" s="3">
        <v>13</v>
      </c>
      <c r="P1" s="3">
        <v>14</v>
      </c>
      <c r="Q1" s="3">
        <v>15</v>
      </c>
      <c r="R1" s="3">
        <v>16</v>
      </c>
      <c r="S1" s="3">
        <v>17</v>
      </c>
      <c r="T1" s="3">
        <v>18</v>
      </c>
      <c r="U1" s="3">
        <v>19</v>
      </c>
      <c r="V1" s="3">
        <v>20</v>
      </c>
    </row>
    <row r="2" spans="1:22" ht="13">
      <c r="A2" s="3"/>
      <c r="B2" s="334">
        <f>COUNTA(BEGIN_UniqueLTDPlans:Row_Unique_LTD_PlanCode)-1</f>
        <v>0</v>
      </c>
      <c r="C2" s="3" t="str">
        <f>IF(C1&gt;$B$2,"DELETE",C1)</f>
        <v>DELETE</v>
      </c>
      <c r="D2" s="3" t="str">
        <f t="shared" si="0" ref="D2:L2">IF(D1&gt;$B$2,"DELETE",D1)</f>
        <v>DELETE</v>
      </c>
      <c r="E2" s="3" t="str">
        <f t="shared" si="0"/>
        <v>DELETE</v>
      </c>
      <c r="F2" s="3" t="str">
        <f t="shared" si="0"/>
        <v>DELETE</v>
      </c>
      <c r="G2" s="3" t="str">
        <f t="shared" si="0"/>
        <v>DELETE</v>
      </c>
      <c r="H2" s="3" t="str">
        <f t="shared" si="0"/>
        <v>DELETE</v>
      </c>
      <c r="I2" s="3" t="str">
        <f t="shared" si="0"/>
        <v>DELETE</v>
      </c>
      <c r="J2" s="3" t="str">
        <f t="shared" si="0"/>
        <v>DELETE</v>
      </c>
      <c r="K2" s="3" t="str">
        <f t="shared" si="0"/>
        <v>DELETE</v>
      </c>
      <c r="L2" s="3" t="str">
        <f t="shared" si="0"/>
        <v>DELETE</v>
      </c>
      <c r="M2" s="3" t="str">
        <f t="shared" si="1" ref="M2">IF(M1&gt;$B$2,"DELETE",M1)</f>
        <v>DELETE</v>
      </c>
      <c r="N2" s="3" t="str">
        <f t="shared" si="2" ref="N2:T2">IF(N1&gt;$B$2,"DELETE",N1)</f>
        <v>DELETE</v>
      </c>
      <c r="O2" s="3" t="str">
        <f t="shared" si="2"/>
        <v>DELETE</v>
      </c>
      <c r="P2" s="3" t="str">
        <f t="shared" si="2"/>
        <v>DELETE</v>
      </c>
      <c r="Q2" s="3" t="str">
        <f t="shared" si="2"/>
        <v>DELETE</v>
      </c>
      <c r="R2" s="3" t="str">
        <f t="shared" si="2"/>
        <v>DELETE</v>
      </c>
      <c r="S2" s="3" t="str">
        <f t="shared" si="2"/>
        <v>DELETE</v>
      </c>
      <c r="T2" s="3" t="str">
        <f t="shared" si="2"/>
        <v>DELETE</v>
      </c>
      <c r="U2" s="3" t="str">
        <f t="shared" si="3" ref="U2:V2">IF(U1&gt;$B$2,"DELETE",U1)</f>
        <v>DELETE</v>
      </c>
      <c r="V2" s="3" t="str">
        <f t="shared" si="3"/>
        <v>DELETE</v>
      </c>
    </row>
    <row r="3" spans="1:22" ht="13">
      <c r="A3" s="3"/>
      <c r="B3" s="334"/>
      <c r="C3" s="3" t="str">
        <f ca="1">IF(RIGHT(C5,4)="-VOL","DELETE",C2)</f>
        <v>DELETE</v>
      </c>
      <c r="D3" s="3" t="str">
        <f ca="1" t="shared" si="4" ref="D3:L3">IF(RIGHT(D5,4)="-VOL","DELETE",D2)</f>
        <v>DELETE</v>
      </c>
      <c r="E3" s="3" t="str">
        <f t="shared" ca="1" si="4"/>
        <v>DELETE</v>
      </c>
      <c r="F3" s="3" t="str">
        <f t="shared" ca="1" si="4"/>
        <v>DELETE</v>
      </c>
      <c r="G3" s="3" t="str">
        <f t="shared" ca="1" si="4"/>
        <v>DELETE</v>
      </c>
      <c r="H3" s="3" t="str">
        <f t="shared" ca="1" si="4"/>
        <v>DELETE</v>
      </c>
      <c r="I3" s="3" t="str">
        <f t="shared" ca="1" si="4"/>
        <v>DELETE</v>
      </c>
      <c r="J3" s="3" t="str">
        <f t="shared" ca="1" si="4"/>
        <v>DELETE</v>
      </c>
      <c r="K3" s="3" t="str">
        <f t="shared" ca="1" si="4"/>
        <v>DELETE</v>
      </c>
      <c r="L3" s="3" t="str">
        <f t="shared" ca="1" si="4"/>
        <v>DELETE</v>
      </c>
      <c r="M3" s="3" t="str">
        <f ca="1" t="shared" si="5" ref="M3">IF(RIGHT(M5,4)="-VOL","DELETE",M2)</f>
        <v>DELETE</v>
      </c>
      <c r="N3" s="3" t="str">
        <f ca="1" t="shared" si="6" ref="N3:T3">IF(RIGHT(N5,4)="-VOL","DELETE",N2)</f>
        <v>DELETE</v>
      </c>
      <c r="O3" s="3" t="str">
        <f t="shared" ca="1" si="6"/>
        <v>DELETE</v>
      </c>
      <c r="P3" s="3" t="str">
        <f t="shared" ca="1" si="6"/>
        <v>DELETE</v>
      </c>
      <c r="Q3" s="3" t="str">
        <f t="shared" ca="1" si="6"/>
        <v>DELETE</v>
      </c>
      <c r="R3" s="3" t="str">
        <f t="shared" ca="1" si="6"/>
        <v>DELETE</v>
      </c>
      <c r="S3" s="3" t="str">
        <f t="shared" ca="1" si="6"/>
        <v>DELETE</v>
      </c>
      <c r="T3" s="3" t="str">
        <f t="shared" ca="1" si="6"/>
        <v>DELETE</v>
      </c>
      <c r="U3" s="3" t="str">
        <f ca="1" t="shared" si="7" ref="U3:V3">IF(RIGHT(U5,4)="-VOL","DELETE",U2)</f>
        <v>DELETE</v>
      </c>
      <c r="V3" s="3" t="str">
        <f t="shared" ca="1" si="7"/>
        <v>DELETE</v>
      </c>
    </row>
    <row r="4" spans="1:22" ht="13">
      <c r="A4" s="3"/>
      <c r="B4" s="334"/>
      <c r="C4" s="3"/>
      <c r="D4" s="3"/>
      <c r="E4" s="3"/>
      <c r="F4" s="3"/>
      <c r="G4" s="3"/>
      <c r="H4" s="3"/>
      <c r="I4" s="3"/>
      <c r="J4" s="3"/>
      <c r="K4" s="3"/>
      <c r="L4" s="3"/>
      <c r="M4" s="3"/>
      <c r="N4" s="3"/>
      <c r="O4" s="3"/>
      <c r="P4" s="3"/>
      <c r="Q4" s="3"/>
      <c r="R4" s="3"/>
      <c r="S4" s="3"/>
      <c r="T4" s="3"/>
      <c r="U4" s="3"/>
      <c r="V4" s="3"/>
    </row>
    <row r="5" spans="1:23" s="264" customFormat="1" ht="36" customHeight="1">
      <c r="A5" s="335" t="s">
        <v>367</v>
      </c>
      <c r="B5" s="342" t="s">
        <v>38</v>
      </c>
      <c r="C5" s="336" t="str" cm="1">
        <f t="array" ca="1" aca="1" ref="C5">IFERROR(INDIRECT("ClassesPlans!A"&amp;ROW(BEGIN_UniqueLTDPlans)+C2,TRUE),"")</f>
        <v/>
      </c>
      <c r="D5" s="336" t="str" cm="1">
        <f t="array" ca="1" aca="1" ref="D5">IFERROR(INDIRECT("ClassesPlans!A"&amp;ROW(BEGIN_UniqueLTDPlans)+D2,TRUE),"")</f>
        <v/>
      </c>
      <c r="E5" s="336" t="str" cm="1">
        <f t="array" ca="1" aca="1" ref="E5">IFERROR(INDIRECT("ClassesPlans!A"&amp;ROW(BEGIN_UniqueLTDPlans)+E2,TRUE),"")</f>
        <v/>
      </c>
      <c r="F5" s="336" t="str" cm="1">
        <f t="array" ca="1" aca="1" ref="F5">IFERROR(INDIRECT("ClassesPlans!A"&amp;ROW(BEGIN_UniqueLTDPlans)+F2,TRUE),"")</f>
        <v/>
      </c>
      <c r="G5" s="336" t="str" cm="1">
        <f t="array" ca="1" aca="1" ref="G5">IFERROR(INDIRECT("ClassesPlans!A"&amp;ROW(BEGIN_UniqueLTDPlans)+G2,TRUE),"")</f>
        <v/>
      </c>
      <c r="H5" s="336" t="str" cm="1">
        <f t="array" ca="1" aca="1" ref="H5">IFERROR(INDIRECT("ClassesPlans!A"&amp;ROW(BEGIN_UniqueLTDPlans)+H2,TRUE),"")</f>
        <v/>
      </c>
      <c r="I5" s="336" t="str" cm="1">
        <f t="array" ca="1" aca="1" ref="I5">IFERROR(INDIRECT("ClassesPlans!A"&amp;ROW(BEGIN_UniqueLTDPlans)+I2,TRUE),"")</f>
        <v/>
      </c>
      <c r="J5" s="336" t="str" cm="1">
        <f t="array" ca="1" aca="1" ref="J5">IFERROR(INDIRECT("ClassesPlans!A"&amp;ROW(BEGIN_UniqueLTDPlans)+J2,TRUE),"")</f>
        <v/>
      </c>
      <c r="K5" s="336" t="str" cm="1">
        <f t="array" ca="1" aca="1" ref="K5">IFERROR(INDIRECT("ClassesPlans!A"&amp;ROW(BEGIN_UniqueLTDPlans)+K2,TRUE),"")</f>
        <v/>
      </c>
      <c r="L5" s="336" t="str" cm="1">
        <f t="array" ca="1" aca="1" ref="L5">IFERROR(INDIRECT("ClassesPlans!A"&amp;ROW(BEGIN_UniqueLTDPlans)+L2,TRUE),"")</f>
        <v/>
      </c>
      <c r="M5" s="336" t="str" cm="1">
        <f t="array" ca="1" aca="1" ref="M5">IFERROR(INDIRECT("ClassesPlans!A"&amp;ROW(BEGIN_UniqueLTDPlans)+M2,TRUE),"")</f>
        <v/>
      </c>
      <c r="N5" s="336" t="str" cm="1">
        <f t="array" ca="1" aca="1" ref="N5">IFERROR(INDIRECT("ClassesPlans!A"&amp;ROW(BEGIN_UniqueLTDPlans)+N2,TRUE),"")</f>
        <v/>
      </c>
      <c r="O5" s="336" t="str" cm="1">
        <f t="array" ca="1" aca="1" ref="O5">IFERROR(INDIRECT("ClassesPlans!A"&amp;ROW(BEGIN_UniqueLTDPlans)+O2,TRUE),"")</f>
        <v/>
      </c>
      <c r="P5" s="336" t="str" cm="1">
        <f t="array" ca="1" aca="1" ref="P5">IFERROR(INDIRECT("ClassesPlans!A"&amp;ROW(BEGIN_UniqueLTDPlans)+P2,TRUE),"")</f>
        <v/>
      </c>
      <c r="Q5" s="336" t="str" cm="1">
        <f t="array" ca="1" aca="1" ref="Q5">IFERROR(INDIRECT("ClassesPlans!A"&amp;ROW(BEGIN_UniqueLTDPlans)+Q2,TRUE),"")</f>
        <v/>
      </c>
      <c r="R5" s="336" t="str" cm="1">
        <f t="array" ca="1" aca="1" ref="R5">IFERROR(INDIRECT("ClassesPlans!A"&amp;ROW(BEGIN_UniqueLTDPlans)+R2,TRUE),"")</f>
        <v/>
      </c>
      <c r="S5" s="336" t="str" cm="1">
        <f t="array" ca="1" aca="1" ref="S5">IFERROR(INDIRECT("ClassesPlans!A"&amp;ROW(BEGIN_UniqueLTDPlans)+S2,TRUE),"")</f>
        <v/>
      </c>
      <c r="T5" s="336" t="str" cm="1">
        <f t="array" ca="1" aca="1" ref="T5">IFERROR(INDIRECT("ClassesPlans!A"&amp;ROW(BEGIN_UniqueLTDPlans)+T2,TRUE),"")</f>
        <v/>
      </c>
      <c r="U5" s="336" t="str" cm="1">
        <f t="array" ca="1" aca="1" ref="U5">IFERROR(INDIRECT("ClassesPlans!A"&amp;ROW(BEGIN_UniqueLTDPlans)+U2,TRUE),"")</f>
        <v/>
      </c>
      <c r="V5" s="336" t="str" cm="1">
        <f t="array" ca="1" aca="1" ref="V5">IFERROR(INDIRECT("ClassesPlans!A"&amp;ROW(BEGIN_UniqueLTDPlans)+V2,TRUE),"")</f>
        <v/>
      </c>
      <c r="W5" s="259" t="s">
        <v>368</v>
      </c>
    </row>
    <row r="6" spans="1:22" ht="13">
      <c r="A6" s="3"/>
      <c r="B6" s="344" t="s">
        <v>333</v>
      </c>
      <c r="C6" s="337"/>
      <c r="D6" s="337"/>
      <c r="E6" s="337"/>
      <c r="F6" s="337"/>
      <c r="G6" s="337"/>
      <c r="H6" s="337"/>
      <c r="I6" s="337"/>
      <c r="J6" s="337"/>
      <c r="K6" s="337"/>
      <c r="L6" s="337"/>
      <c r="M6" s="337"/>
      <c r="N6" s="337"/>
      <c r="O6" s="337"/>
      <c r="P6" s="337"/>
      <c r="Q6" s="337"/>
      <c r="R6" s="337"/>
      <c r="S6" s="337"/>
      <c r="T6" s="337"/>
      <c r="U6" s="337"/>
      <c r="V6" s="337"/>
    </row>
    <row r="7" spans="1:22" ht="13">
      <c r="A7" s="3">
        <v>9</v>
      </c>
      <c r="B7" s="343" t="s">
        <v>447</v>
      </c>
      <c r="C7" s="329" t="str">
        <f ca="1">IFERROR(VLOOKUP(C$5,BEGIN_Renew_LTD_PlanID:END_RENEW_LTD,$A7,FALSE),"")</f>
        <v/>
      </c>
      <c r="D7" s="329" t="str">
        <f ca="1">IFERROR(VLOOKUP(D$5,BEGIN_Renew_LTD_PlanID:END_RENEW_LTD,$A7,FALSE),"")</f>
        <v/>
      </c>
      <c r="E7" s="329" t="str">
        <f ca="1">IFERROR(VLOOKUP(E$5,BEGIN_Renew_LTD_PlanID:END_RENEW_LTD,$A7,FALSE),"")</f>
        <v/>
      </c>
      <c r="F7" s="329" t="str">
        <f ca="1">IFERROR(VLOOKUP(F$5,BEGIN_Renew_LTD_PlanID:END_RENEW_LTD,$A7,FALSE),"")</f>
        <v/>
      </c>
      <c r="G7" s="329" t="str">
        <f ca="1">IFERROR(VLOOKUP(G$5,BEGIN_Renew_LTD_PlanID:END_RENEW_LTD,$A7,FALSE),"")</f>
        <v/>
      </c>
      <c r="H7" s="329" t="str">
        <f ca="1">IFERROR(VLOOKUP(H$5,BEGIN_Renew_LTD_PlanID:END_RENEW_LTD,$A7,FALSE),"")</f>
        <v/>
      </c>
      <c r="I7" s="329" t="str">
        <f ca="1">IFERROR(VLOOKUP(I$5,BEGIN_Renew_LTD_PlanID:END_RENEW_LTD,$A7,FALSE),"")</f>
        <v/>
      </c>
      <c r="J7" s="329" t="str">
        <f ca="1">IFERROR(VLOOKUP(J$5,BEGIN_Renew_LTD_PlanID:END_RENEW_LTD,$A7,FALSE),"")</f>
        <v/>
      </c>
      <c r="K7" s="329" t="str">
        <f ca="1">IFERROR(VLOOKUP(K$5,BEGIN_Renew_LTD_PlanID:END_RENEW_LTD,$A7,FALSE),"")</f>
        <v/>
      </c>
      <c r="L7" s="329" t="str">
        <f ca="1">IFERROR(VLOOKUP(L$5,BEGIN_Renew_LTD_PlanID:END_RENEW_LTD,$A7,FALSE),"")</f>
        <v/>
      </c>
      <c r="M7" s="329" t="str">
        <f ca="1">IFERROR(VLOOKUP(M$5,BEGIN_Renew_LTD_PlanID:END_RENEW_LTD,$A7,FALSE),"")</f>
        <v/>
      </c>
      <c r="N7" s="329" t="str">
        <f ca="1">IFERROR(VLOOKUP(N$5,BEGIN_Renew_LTD_PlanID:END_RENEW_LTD,$A7,FALSE),"")</f>
        <v/>
      </c>
      <c r="O7" s="329" t="str">
        <f ca="1">IFERROR(VLOOKUP(O$5,BEGIN_Renew_LTD_PlanID:END_RENEW_LTD,$A7,FALSE),"")</f>
        <v/>
      </c>
      <c r="P7" s="329" t="str">
        <f ca="1">IFERROR(VLOOKUP(P$5,BEGIN_Renew_LTD_PlanID:END_RENEW_LTD,$A7,FALSE),"")</f>
        <v/>
      </c>
      <c r="Q7" s="329" t="str">
        <f ca="1">IFERROR(VLOOKUP(Q$5,BEGIN_Renew_LTD_PlanID:END_RENEW_LTD,$A7,FALSE),"")</f>
        <v/>
      </c>
      <c r="R7" s="329" t="str">
        <f ca="1">IFERROR(VLOOKUP(R$5,BEGIN_Renew_LTD_PlanID:END_RENEW_LTD,$A7,FALSE),"")</f>
        <v/>
      </c>
      <c r="S7" s="329" t="str">
        <f ca="1">IFERROR(VLOOKUP(S$5,BEGIN_Renew_LTD_PlanID:END_RENEW_LTD,$A7,FALSE),"")</f>
        <v/>
      </c>
      <c r="T7" s="329" t="str">
        <f ca="1">IFERROR(VLOOKUP(T$5,BEGIN_Renew_LTD_PlanID:END_RENEW_LTD,$A7,FALSE),"")</f>
        <v/>
      </c>
      <c r="U7" s="329" t="str">
        <f ca="1">IFERROR(VLOOKUP(U$5,BEGIN_Renew_LTD_PlanID:END_RENEW_LTD,$A7,FALSE),"")</f>
        <v/>
      </c>
      <c r="V7" s="329" t="str">
        <f ca="1">IFERROR(VLOOKUP(V$5,BEGIN_Renew_LTD_PlanID:END_RENEW_LTD,$A7,FALSE),"")</f>
        <v/>
      </c>
    </row>
    <row r="8" spans="1:22" ht="13">
      <c r="A8" s="3"/>
      <c r="B8" s="344" t="s">
        <v>369</v>
      </c>
      <c r="C8" s="337"/>
      <c r="D8" s="337"/>
      <c r="E8" s="337"/>
      <c r="F8" s="337"/>
      <c r="G8" s="337"/>
      <c r="H8" s="337"/>
      <c r="I8" s="337"/>
      <c r="J8" s="337"/>
      <c r="K8" s="337"/>
      <c r="L8" s="337"/>
      <c r="M8" s="337"/>
      <c r="N8" s="337"/>
      <c r="O8" s="337"/>
      <c r="P8" s="337"/>
      <c r="Q8" s="337"/>
      <c r="R8" s="337"/>
      <c r="S8" s="337"/>
      <c r="T8" s="337"/>
      <c r="U8" s="337"/>
      <c r="V8" s="337"/>
    </row>
    <row r="9" spans="1:22" ht="13">
      <c r="A9" s="3">
        <v>24</v>
      </c>
      <c r="B9" s="343" t="s">
        <v>175</v>
      </c>
      <c r="C9" s="330" t="str">
        <f ca="1">IFERROR(VLOOKUP(C$5,BEGIN_Renew_LTD_PlanID:END_RENEW_LTD,$A9,FALSE),"")</f>
        <v/>
      </c>
      <c r="D9" s="330" t="str">
        <f ca="1">IFERROR(VLOOKUP(D$5,BEGIN_Renew_LTD_PlanID:END_RENEW_LTD,$A9,FALSE),"")</f>
        <v/>
      </c>
      <c r="E9" s="330" t="str">
        <f ca="1">IFERROR(VLOOKUP(E$5,BEGIN_Renew_LTD_PlanID:END_RENEW_LTD,$A9,FALSE),"")</f>
        <v/>
      </c>
      <c r="F9" s="330" t="str">
        <f ca="1">IFERROR(VLOOKUP(F$5,BEGIN_Renew_LTD_PlanID:END_RENEW_LTD,$A9,FALSE),"")</f>
        <v/>
      </c>
      <c r="G9" s="330" t="str">
        <f ca="1">IFERROR(VLOOKUP(G$5,BEGIN_Renew_LTD_PlanID:END_RENEW_LTD,$A9,FALSE),"")</f>
        <v/>
      </c>
      <c r="H9" s="330" t="str">
        <f ca="1">IFERROR(VLOOKUP(H$5,BEGIN_Renew_LTD_PlanID:END_RENEW_LTD,$A9,FALSE),"")</f>
        <v/>
      </c>
      <c r="I9" s="330" t="str">
        <f ca="1">IFERROR(VLOOKUP(I$5,BEGIN_Renew_LTD_PlanID:END_RENEW_LTD,$A9,FALSE),"")</f>
        <v/>
      </c>
      <c r="J9" s="330" t="str">
        <f ca="1">IFERROR(VLOOKUP(J$5,BEGIN_Renew_LTD_PlanID:END_RENEW_LTD,$A9,FALSE),"")</f>
        <v/>
      </c>
      <c r="K9" s="330" t="str">
        <f ca="1">IFERROR(VLOOKUP(K$5,BEGIN_Renew_LTD_PlanID:END_RENEW_LTD,$A9,FALSE),"")</f>
        <v/>
      </c>
      <c r="L9" s="330" t="str">
        <f ca="1">IFERROR(VLOOKUP(L$5,BEGIN_Renew_LTD_PlanID:END_RENEW_LTD,$A9,FALSE),"")</f>
        <v/>
      </c>
      <c r="M9" s="330" t="str">
        <f ca="1">IFERROR(VLOOKUP(M$5,BEGIN_Renew_LTD_PlanID:END_RENEW_LTD,$A9,FALSE),"")</f>
        <v/>
      </c>
      <c r="N9" s="330" t="str">
        <f ca="1">IFERROR(VLOOKUP(N$5,BEGIN_Renew_LTD_PlanID:END_RENEW_LTD,$A9,FALSE),"")</f>
        <v/>
      </c>
      <c r="O9" s="330" t="str">
        <f ca="1">IFERROR(VLOOKUP(O$5,BEGIN_Renew_LTD_PlanID:END_RENEW_LTD,$A9,FALSE),"")</f>
        <v/>
      </c>
      <c r="P9" s="330" t="str">
        <f ca="1">IFERROR(VLOOKUP(P$5,BEGIN_Renew_LTD_PlanID:END_RENEW_LTD,$A9,FALSE),"")</f>
        <v/>
      </c>
      <c r="Q9" s="330" t="str">
        <f ca="1">IFERROR(VLOOKUP(Q$5,BEGIN_Renew_LTD_PlanID:END_RENEW_LTD,$A9,FALSE),"")</f>
        <v/>
      </c>
      <c r="R9" s="330" t="str">
        <f ca="1">IFERROR(VLOOKUP(R$5,BEGIN_Renew_LTD_PlanID:END_RENEW_LTD,$A9,FALSE),"")</f>
        <v/>
      </c>
      <c r="S9" s="330" t="str">
        <f ca="1">IFERROR(VLOOKUP(S$5,BEGIN_Renew_LTD_PlanID:END_RENEW_LTD,$A9,FALSE),"")</f>
        <v/>
      </c>
      <c r="T9" s="330" t="str">
        <f ca="1">IFERROR(VLOOKUP(T$5,BEGIN_Renew_LTD_PlanID:END_RENEW_LTD,$A9,FALSE),"")</f>
        <v/>
      </c>
      <c r="U9" s="330" t="str">
        <f ca="1">IFERROR(VLOOKUP(U$5,BEGIN_Renew_LTD_PlanID:END_RENEW_LTD,$A9,FALSE),"")</f>
        <v/>
      </c>
      <c r="V9" s="330" t="str">
        <f ca="1">IFERROR(VLOOKUP(V$5,BEGIN_Renew_LTD_PlanID:END_RENEW_LTD,$A9,FALSE),"")</f>
        <v/>
      </c>
    </row>
    <row r="10" spans="1:22" ht="13">
      <c r="A10" s="3">
        <v>25</v>
      </c>
      <c r="B10" s="343" t="s">
        <v>186</v>
      </c>
      <c r="C10" s="330" t="str">
        <f ca="1">IFERROR(VLOOKUP(C$5,BEGIN_Renew_LTD_PlanID:END_RENEW_LTD,$A10,FALSE),"")</f>
        <v/>
      </c>
      <c r="D10" s="330" t="str">
        <f ca="1">IFERROR(VLOOKUP(D$5,BEGIN_Renew_LTD_PlanID:END_RENEW_LTD,$A10,FALSE),"")</f>
        <v/>
      </c>
      <c r="E10" s="330" t="str">
        <f ca="1">IFERROR(VLOOKUP(E$5,BEGIN_Renew_LTD_PlanID:END_RENEW_LTD,$A10,FALSE),"")</f>
        <v/>
      </c>
      <c r="F10" s="330" t="str">
        <f ca="1">IFERROR(VLOOKUP(F$5,BEGIN_Renew_LTD_PlanID:END_RENEW_LTD,$A10,FALSE),"")</f>
        <v/>
      </c>
      <c r="G10" s="330" t="str">
        <f ca="1">IFERROR(VLOOKUP(G$5,BEGIN_Renew_LTD_PlanID:END_RENEW_LTD,$A10,FALSE),"")</f>
        <v/>
      </c>
      <c r="H10" s="330" t="str">
        <f ca="1">IFERROR(VLOOKUP(H$5,BEGIN_Renew_LTD_PlanID:END_RENEW_LTD,$A10,FALSE),"")</f>
        <v/>
      </c>
      <c r="I10" s="330" t="str">
        <f ca="1">IFERROR(VLOOKUP(I$5,BEGIN_Renew_LTD_PlanID:END_RENEW_LTD,$A10,FALSE),"")</f>
        <v/>
      </c>
      <c r="J10" s="330" t="str">
        <f ca="1">IFERROR(VLOOKUP(J$5,BEGIN_Renew_LTD_PlanID:END_RENEW_LTD,$A10,FALSE),"")</f>
        <v/>
      </c>
      <c r="K10" s="330" t="str">
        <f ca="1">IFERROR(VLOOKUP(K$5,BEGIN_Renew_LTD_PlanID:END_RENEW_LTD,$A10,FALSE),"")</f>
        <v/>
      </c>
      <c r="L10" s="330" t="str">
        <f ca="1">IFERROR(VLOOKUP(L$5,BEGIN_Renew_LTD_PlanID:END_RENEW_LTD,$A10,FALSE),"")</f>
        <v/>
      </c>
      <c r="M10" s="330" t="str">
        <f ca="1">IFERROR(VLOOKUP(M$5,BEGIN_Renew_LTD_PlanID:END_RENEW_LTD,$A10,FALSE),"")</f>
        <v/>
      </c>
      <c r="N10" s="330" t="str">
        <f ca="1">IFERROR(VLOOKUP(N$5,BEGIN_Renew_LTD_PlanID:END_RENEW_LTD,$A10,FALSE),"")</f>
        <v/>
      </c>
      <c r="O10" s="330" t="str">
        <f ca="1">IFERROR(VLOOKUP(O$5,BEGIN_Renew_LTD_PlanID:END_RENEW_LTD,$A10,FALSE),"")</f>
        <v/>
      </c>
      <c r="P10" s="330" t="str">
        <f ca="1">IFERROR(VLOOKUP(P$5,BEGIN_Renew_LTD_PlanID:END_RENEW_LTD,$A10,FALSE),"")</f>
        <v/>
      </c>
      <c r="Q10" s="330" t="str">
        <f ca="1">IFERROR(VLOOKUP(Q$5,BEGIN_Renew_LTD_PlanID:END_RENEW_LTD,$A10,FALSE),"")</f>
        <v/>
      </c>
      <c r="R10" s="330" t="str">
        <f ca="1">IFERROR(VLOOKUP(R$5,BEGIN_Renew_LTD_PlanID:END_RENEW_LTD,$A10,FALSE),"")</f>
        <v/>
      </c>
      <c r="S10" s="330" t="str">
        <f ca="1">IFERROR(VLOOKUP(S$5,BEGIN_Renew_LTD_PlanID:END_RENEW_LTD,$A10,FALSE),"")</f>
        <v/>
      </c>
      <c r="T10" s="330" t="str">
        <f ca="1">IFERROR(VLOOKUP(T$5,BEGIN_Renew_LTD_PlanID:END_RENEW_LTD,$A10,FALSE),"")</f>
        <v/>
      </c>
      <c r="U10" s="330" t="str">
        <f ca="1">IFERROR(VLOOKUP(U$5,BEGIN_Renew_LTD_PlanID:END_RENEW_LTD,$A10,FALSE),"")</f>
        <v/>
      </c>
      <c r="V10" s="330" t="str">
        <f ca="1">IFERROR(VLOOKUP(V$5,BEGIN_Renew_LTD_PlanID:END_RENEW_LTD,$A10,FALSE),"")</f>
        <v/>
      </c>
    </row>
    <row r="11" spans="1:22" ht="13">
      <c r="A11" s="3">
        <v>26</v>
      </c>
      <c r="B11" s="343" t="s">
        <v>187</v>
      </c>
      <c r="C11" s="330" t="str">
        <f ca="1">IFERROR(VLOOKUP(C$5,BEGIN_Renew_LTD_PlanID:END_RENEW_LTD,$A11,FALSE),"")</f>
        <v/>
      </c>
      <c r="D11" s="330" t="str">
        <f ca="1">IFERROR(VLOOKUP(D$5,BEGIN_Renew_LTD_PlanID:END_RENEW_LTD,$A11,FALSE),"")</f>
        <v/>
      </c>
      <c r="E11" s="330" t="str">
        <f ca="1">IFERROR(VLOOKUP(E$5,BEGIN_Renew_LTD_PlanID:END_RENEW_LTD,$A11,FALSE),"")</f>
        <v/>
      </c>
      <c r="F11" s="330" t="str">
        <f ca="1">IFERROR(VLOOKUP(F$5,BEGIN_Renew_LTD_PlanID:END_RENEW_LTD,$A11,FALSE),"")</f>
        <v/>
      </c>
      <c r="G11" s="330" t="str">
        <f ca="1">IFERROR(VLOOKUP(G$5,BEGIN_Renew_LTD_PlanID:END_RENEW_LTD,$A11,FALSE),"")</f>
        <v/>
      </c>
      <c r="H11" s="330" t="str">
        <f ca="1">IFERROR(VLOOKUP(H$5,BEGIN_Renew_LTD_PlanID:END_RENEW_LTD,$A11,FALSE),"")</f>
        <v/>
      </c>
      <c r="I11" s="330" t="str">
        <f ca="1">IFERROR(VLOOKUP(I$5,BEGIN_Renew_LTD_PlanID:END_RENEW_LTD,$A11,FALSE),"")</f>
        <v/>
      </c>
      <c r="J11" s="330" t="str">
        <f ca="1">IFERROR(VLOOKUP(J$5,BEGIN_Renew_LTD_PlanID:END_RENEW_LTD,$A11,FALSE),"")</f>
        <v/>
      </c>
      <c r="K11" s="330" t="str">
        <f ca="1">IFERROR(VLOOKUP(K$5,BEGIN_Renew_LTD_PlanID:END_RENEW_LTD,$A11,FALSE),"")</f>
        <v/>
      </c>
      <c r="L11" s="330" t="str">
        <f ca="1">IFERROR(VLOOKUP(L$5,BEGIN_Renew_LTD_PlanID:END_RENEW_LTD,$A11,FALSE),"")</f>
        <v/>
      </c>
      <c r="M11" s="330" t="str">
        <f ca="1">IFERROR(VLOOKUP(M$5,BEGIN_Renew_LTD_PlanID:END_RENEW_LTD,$A11,FALSE),"")</f>
        <v/>
      </c>
      <c r="N11" s="330" t="str">
        <f ca="1">IFERROR(VLOOKUP(N$5,BEGIN_Renew_LTD_PlanID:END_RENEW_LTD,$A11,FALSE),"")</f>
        <v/>
      </c>
      <c r="O11" s="330" t="str">
        <f ca="1">IFERROR(VLOOKUP(O$5,BEGIN_Renew_LTD_PlanID:END_RENEW_LTD,$A11,FALSE),"")</f>
        <v/>
      </c>
      <c r="P11" s="330" t="str">
        <f ca="1">IFERROR(VLOOKUP(P$5,BEGIN_Renew_LTD_PlanID:END_RENEW_LTD,$A11,FALSE),"")</f>
        <v/>
      </c>
      <c r="Q11" s="330" t="str">
        <f ca="1">IFERROR(VLOOKUP(Q$5,BEGIN_Renew_LTD_PlanID:END_RENEW_LTD,$A11,FALSE),"")</f>
        <v/>
      </c>
      <c r="R11" s="330" t="str">
        <f ca="1">IFERROR(VLOOKUP(R$5,BEGIN_Renew_LTD_PlanID:END_RENEW_LTD,$A11,FALSE),"")</f>
        <v/>
      </c>
      <c r="S11" s="330" t="str">
        <f ca="1">IFERROR(VLOOKUP(S$5,BEGIN_Renew_LTD_PlanID:END_RENEW_LTD,$A11,FALSE),"")</f>
        <v/>
      </c>
      <c r="T11" s="330" t="str">
        <f ca="1">IFERROR(VLOOKUP(T$5,BEGIN_Renew_LTD_PlanID:END_RENEW_LTD,$A11,FALSE),"")</f>
        <v/>
      </c>
      <c r="U11" s="330" t="str">
        <f ca="1">IFERROR(VLOOKUP(U$5,BEGIN_Renew_LTD_PlanID:END_RENEW_LTD,$A11,FALSE),"")</f>
        <v/>
      </c>
      <c r="V11" s="330" t="str">
        <f ca="1">IFERROR(VLOOKUP(V$5,BEGIN_Renew_LTD_PlanID:END_RENEW_LTD,$A11,FALSE),"")</f>
        <v/>
      </c>
    </row>
    <row r="12" spans="1:22" ht="13">
      <c r="A12" s="3">
        <v>27</v>
      </c>
      <c r="B12" s="343" t="s">
        <v>188</v>
      </c>
      <c r="C12" s="330" t="str">
        <f ca="1">IFERROR(VLOOKUP(C$5,BEGIN_Renew_LTD_PlanID:END_RENEW_LTD,$A12,FALSE),"")</f>
        <v/>
      </c>
      <c r="D12" s="330" t="str">
        <f ca="1">IFERROR(VLOOKUP(D$5,BEGIN_Renew_LTD_PlanID:END_RENEW_LTD,$A12,FALSE),"")</f>
        <v/>
      </c>
      <c r="E12" s="330" t="str">
        <f ca="1">IFERROR(VLOOKUP(E$5,BEGIN_Renew_LTD_PlanID:END_RENEW_LTD,$A12,FALSE),"")</f>
        <v/>
      </c>
      <c r="F12" s="330" t="str">
        <f ca="1">IFERROR(VLOOKUP(F$5,BEGIN_Renew_LTD_PlanID:END_RENEW_LTD,$A12,FALSE),"")</f>
        <v/>
      </c>
      <c r="G12" s="330" t="str">
        <f ca="1">IFERROR(VLOOKUP(G$5,BEGIN_Renew_LTD_PlanID:END_RENEW_LTD,$A12,FALSE),"")</f>
        <v/>
      </c>
      <c r="H12" s="330" t="str">
        <f ca="1">IFERROR(VLOOKUP(H$5,BEGIN_Renew_LTD_PlanID:END_RENEW_LTD,$A12,FALSE),"")</f>
        <v/>
      </c>
      <c r="I12" s="330" t="str">
        <f ca="1">IFERROR(VLOOKUP(I$5,BEGIN_Renew_LTD_PlanID:END_RENEW_LTD,$A12,FALSE),"")</f>
        <v/>
      </c>
      <c r="J12" s="330" t="str">
        <f ca="1">IFERROR(VLOOKUP(J$5,BEGIN_Renew_LTD_PlanID:END_RENEW_LTD,$A12,FALSE),"")</f>
        <v/>
      </c>
      <c r="K12" s="330" t="str">
        <f ca="1">IFERROR(VLOOKUP(K$5,BEGIN_Renew_LTD_PlanID:END_RENEW_LTD,$A12,FALSE),"")</f>
        <v/>
      </c>
      <c r="L12" s="330" t="str">
        <f ca="1">IFERROR(VLOOKUP(L$5,BEGIN_Renew_LTD_PlanID:END_RENEW_LTD,$A12,FALSE),"")</f>
        <v/>
      </c>
      <c r="M12" s="330" t="str">
        <f ca="1">IFERROR(VLOOKUP(M$5,BEGIN_Renew_LTD_PlanID:END_RENEW_LTD,$A12,FALSE),"")</f>
        <v/>
      </c>
      <c r="N12" s="330" t="str">
        <f ca="1">IFERROR(VLOOKUP(N$5,BEGIN_Renew_LTD_PlanID:END_RENEW_LTD,$A12,FALSE),"")</f>
        <v/>
      </c>
      <c r="O12" s="330" t="str">
        <f ca="1">IFERROR(VLOOKUP(O$5,BEGIN_Renew_LTD_PlanID:END_RENEW_LTD,$A12,FALSE),"")</f>
        <v/>
      </c>
      <c r="P12" s="330" t="str">
        <f ca="1">IFERROR(VLOOKUP(P$5,BEGIN_Renew_LTD_PlanID:END_RENEW_LTD,$A12,FALSE),"")</f>
        <v/>
      </c>
      <c r="Q12" s="330" t="str">
        <f ca="1">IFERROR(VLOOKUP(Q$5,BEGIN_Renew_LTD_PlanID:END_RENEW_LTD,$A12,FALSE),"")</f>
        <v/>
      </c>
      <c r="R12" s="330" t="str">
        <f ca="1">IFERROR(VLOOKUP(R$5,BEGIN_Renew_LTD_PlanID:END_RENEW_LTD,$A12,FALSE),"")</f>
        <v/>
      </c>
      <c r="S12" s="330" t="str">
        <f ca="1">IFERROR(VLOOKUP(S$5,BEGIN_Renew_LTD_PlanID:END_RENEW_LTD,$A12,FALSE),"")</f>
        <v/>
      </c>
      <c r="T12" s="330" t="str">
        <f ca="1">IFERROR(VLOOKUP(T$5,BEGIN_Renew_LTD_PlanID:END_RENEW_LTD,$A12,FALSE),"")</f>
        <v/>
      </c>
      <c r="U12" s="330" t="str">
        <f ca="1">IFERROR(VLOOKUP(U$5,BEGIN_Renew_LTD_PlanID:END_RENEW_LTD,$A12,FALSE),"")</f>
        <v/>
      </c>
      <c r="V12" s="330" t="str">
        <f ca="1">IFERROR(VLOOKUP(V$5,BEGIN_Renew_LTD_PlanID:END_RENEW_LTD,$A12,FALSE),"")</f>
        <v/>
      </c>
    </row>
    <row r="13" spans="1:22" ht="13">
      <c r="A13" s="3">
        <v>33</v>
      </c>
      <c r="B13" s="343" t="s">
        <v>193</v>
      </c>
      <c r="C13" s="330" t="str">
        <f ca="1">IFERROR(VLOOKUP(C$5,BEGIN_Renew_LTD_PlanID:END_RENEW_LTD,$A13,FALSE),"")</f>
        <v/>
      </c>
      <c r="D13" s="330" t="str">
        <f ca="1">IFERROR(VLOOKUP(D$5,BEGIN_Renew_LTD_PlanID:END_RENEW_LTD,$A13,FALSE),"")</f>
        <v/>
      </c>
      <c r="E13" s="330" t="str">
        <f ca="1">IFERROR(VLOOKUP(E$5,BEGIN_Renew_LTD_PlanID:END_RENEW_LTD,$A13,FALSE),"")</f>
        <v/>
      </c>
      <c r="F13" s="330" t="str">
        <f ca="1">IFERROR(VLOOKUP(F$5,BEGIN_Renew_LTD_PlanID:END_RENEW_LTD,$A13,FALSE),"")</f>
        <v/>
      </c>
      <c r="G13" s="330" t="str">
        <f ca="1">IFERROR(VLOOKUP(G$5,BEGIN_Renew_LTD_PlanID:END_RENEW_LTD,$A13,FALSE),"")</f>
        <v/>
      </c>
      <c r="H13" s="330" t="str">
        <f ca="1">IFERROR(VLOOKUP(H$5,BEGIN_Renew_LTD_PlanID:END_RENEW_LTD,$A13,FALSE),"")</f>
        <v/>
      </c>
      <c r="I13" s="330" t="str">
        <f ca="1">IFERROR(VLOOKUP(I$5,BEGIN_Renew_LTD_PlanID:END_RENEW_LTD,$A13,FALSE),"")</f>
        <v/>
      </c>
      <c r="J13" s="330" t="str">
        <f ca="1">IFERROR(VLOOKUP(J$5,BEGIN_Renew_LTD_PlanID:END_RENEW_LTD,$A13,FALSE),"")</f>
        <v/>
      </c>
      <c r="K13" s="330" t="str">
        <f ca="1">IFERROR(VLOOKUP(K$5,BEGIN_Renew_LTD_PlanID:END_RENEW_LTD,$A13,FALSE),"")</f>
        <v/>
      </c>
      <c r="L13" s="330" t="str">
        <f ca="1">IFERROR(VLOOKUP(L$5,BEGIN_Renew_LTD_PlanID:END_RENEW_LTD,$A13,FALSE),"")</f>
        <v/>
      </c>
      <c r="M13" s="330" t="str">
        <f ca="1">IFERROR(VLOOKUP(M$5,BEGIN_Renew_LTD_PlanID:END_RENEW_LTD,$A13,FALSE),"")</f>
        <v/>
      </c>
      <c r="N13" s="330" t="str">
        <f ca="1">IFERROR(VLOOKUP(N$5,BEGIN_Renew_LTD_PlanID:END_RENEW_LTD,$A13,FALSE),"")</f>
        <v/>
      </c>
      <c r="O13" s="330" t="str">
        <f ca="1">IFERROR(VLOOKUP(O$5,BEGIN_Renew_LTD_PlanID:END_RENEW_LTD,$A13,FALSE),"")</f>
        <v/>
      </c>
      <c r="P13" s="330" t="str">
        <f ca="1">IFERROR(VLOOKUP(P$5,BEGIN_Renew_LTD_PlanID:END_RENEW_LTD,$A13,FALSE),"")</f>
        <v/>
      </c>
      <c r="Q13" s="330" t="str">
        <f ca="1">IFERROR(VLOOKUP(Q$5,BEGIN_Renew_LTD_PlanID:END_RENEW_LTD,$A13,FALSE),"")</f>
        <v/>
      </c>
      <c r="R13" s="330" t="str">
        <f ca="1">IFERROR(VLOOKUP(R$5,BEGIN_Renew_LTD_PlanID:END_RENEW_LTD,$A13,FALSE),"")</f>
        <v/>
      </c>
      <c r="S13" s="330" t="str">
        <f ca="1">IFERROR(VLOOKUP(S$5,BEGIN_Renew_LTD_PlanID:END_RENEW_LTD,$A13,FALSE),"")</f>
        <v/>
      </c>
      <c r="T13" s="330" t="str">
        <f ca="1">IFERROR(VLOOKUP(T$5,BEGIN_Renew_LTD_PlanID:END_RENEW_LTD,$A13,FALSE),"")</f>
        <v/>
      </c>
      <c r="U13" s="330" t="str">
        <f ca="1">IFERROR(VLOOKUP(U$5,BEGIN_Renew_LTD_PlanID:END_RENEW_LTD,$A13,FALSE),"")</f>
        <v/>
      </c>
      <c r="V13" s="330" t="str">
        <f ca="1">IFERROR(VLOOKUP(V$5,BEGIN_Renew_LTD_PlanID:END_RENEW_LTD,$A13,FALSE),"")</f>
        <v/>
      </c>
    </row>
    <row r="14" spans="1:22" ht="13">
      <c r="A14" s="3">
        <v>28</v>
      </c>
      <c r="B14" s="343" t="s">
        <v>189</v>
      </c>
      <c r="C14" s="330" t="str">
        <f ca="1">IFERROR(VLOOKUP(C$5,BEGIN_Renew_LTD_PlanID:END_RENEW_LTD,$A14,FALSE),"")</f>
        <v/>
      </c>
      <c r="D14" s="330" t="str">
        <f ca="1">IFERROR(VLOOKUP(D$5,BEGIN_Renew_LTD_PlanID:END_RENEW_LTD,$A14,FALSE),"")</f>
        <v/>
      </c>
      <c r="E14" s="330" t="str">
        <f ca="1">IFERROR(VLOOKUP(E$5,BEGIN_Renew_LTD_PlanID:END_RENEW_LTD,$A14,FALSE),"")</f>
        <v/>
      </c>
      <c r="F14" s="330" t="str">
        <f ca="1">IFERROR(VLOOKUP(F$5,BEGIN_Renew_LTD_PlanID:END_RENEW_LTD,$A14,FALSE),"")</f>
        <v/>
      </c>
      <c r="G14" s="330" t="str">
        <f ca="1">IFERROR(VLOOKUP(G$5,BEGIN_Renew_LTD_PlanID:END_RENEW_LTD,$A14,FALSE),"")</f>
        <v/>
      </c>
      <c r="H14" s="330" t="str">
        <f ca="1">IFERROR(VLOOKUP(H$5,BEGIN_Renew_LTD_PlanID:END_RENEW_LTD,$A14,FALSE),"")</f>
        <v/>
      </c>
      <c r="I14" s="330" t="str">
        <f ca="1">IFERROR(VLOOKUP(I$5,BEGIN_Renew_LTD_PlanID:END_RENEW_LTD,$A14,FALSE),"")</f>
        <v/>
      </c>
      <c r="J14" s="330" t="str">
        <f ca="1">IFERROR(VLOOKUP(J$5,BEGIN_Renew_LTD_PlanID:END_RENEW_LTD,$A14,FALSE),"")</f>
        <v/>
      </c>
      <c r="K14" s="330" t="str">
        <f ca="1">IFERROR(VLOOKUP(K$5,BEGIN_Renew_LTD_PlanID:END_RENEW_LTD,$A14,FALSE),"")</f>
        <v/>
      </c>
      <c r="L14" s="330" t="str">
        <f ca="1">IFERROR(VLOOKUP(L$5,BEGIN_Renew_LTD_PlanID:END_RENEW_LTD,$A14,FALSE),"")</f>
        <v/>
      </c>
      <c r="M14" s="330" t="str">
        <f ca="1">IFERROR(VLOOKUP(M$5,BEGIN_Renew_LTD_PlanID:END_RENEW_LTD,$A14,FALSE),"")</f>
        <v/>
      </c>
      <c r="N14" s="330" t="str">
        <f ca="1">IFERROR(VLOOKUP(N$5,BEGIN_Renew_LTD_PlanID:END_RENEW_LTD,$A14,FALSE),"")</f>
        <v/>
      </c>
      <c r="O14" s="330" t="str">
        <f ca="1">IFERROR(VLOOKUP(O$5,BEGIN_Renew_LTD_PlanID:END_RENEW_LTD,$A14,FALSE),"")</f>
        <v/>
      </c>
      <c r="P14" s="330" t="str">
        <f ca="1">IFERROR(VLOOKUP(P$5,BEGIN_Renew_LTD_PlanID:END_RENEW_LTD,$A14,FALSE),"")</f>
        <v/>
      </c>
      <c r="Q14" s="330" t="str">
        <f ca="1">IFERROR(VLOOKUP(Q$5,BEGIN_Renew_LTD_PlanID:END_RENEW_LTD,$A14,FALSE),"")</f>
        <v/>
      </c>
      <c r="R14" s="330" t="str">
        <f ca="1">IFERROR(VLOOKUP(R$5,BEGIN_Renew_LTD_PlanID:END_RENEW_LTD,$A14,FALSE),"")</f>
        <v/>
      </c>
      <c r="S14" s="330" t="str">
        <f ca="1">IFERROR(VLOOKUP(S$5,BEGIN_Renew_LTD_PlanID:END_RENEW_LTD,$A14,FALSE),"")</f>
        <v/>
      </c>
      <c r="T14" s="330" t="str">
        <f ca="1">IFERROR(VLOOKUP(T$5,BEGIN_Renew_LTD_PlanID:END_RENEW_LTD,$A14,FALSE),"")</f>
        <v/>
      </c>
      <c r="U14" s="330" t="str">
        <f ca="1">IFERROR(VLOOKUP(U$5,BEGIN_Renew_LTD_PlanID:END_RENEW_LTD,$A14,FALSE),"")</f>
        <v/>
      </c>
      <c r="V14" s="330" t="str">
        <f ca="1">IFERROR(VLOOKUP(V$5,BEGIN_Renew_LTD_PlanID:END_RENEW_LTD,$A14,FALSE),"")</f>
        <v/>
      </c>
    </row>
    <row r="15" spans="1:22" ht="13">
      <c r="A15" s="3">
        <v>29</v>
      </c>
      <c r="B15" s="343" t="s">
        <v>190</v>
      </c>
      <c r="C15" s="330" t="str">
        <f ca="1">IFERROR(VLOOKUP(C$5,BEGIN_Renew_LTD_PlanID:END_RENEW_LTD,$A15,FALSE),"")</f>
        <v/>
      </c>
      <c r="D15" s="330" t="str">
        <f ca="1">IFERROR(VLOOKUP(D$5,BEGIN_Renew_LTD_PlanID:END_RENEW_LTD,$A15,FALSE),"")</f>
        <v/>
      </c>
      <c r="E15" s="330" t="str">
        <f ca="1">IFERROR(VLOOKUP(E$5,BEGIN_Renew_LTD_PlanID:END_RENEW_LTD,$A15,FALSE),"")</f>
        <v/>
      </c>
      <c r="F15" s="330" t="str">
        <f ca="1">IFERROR(VLOOKUP(F$5,BEGIN_Renew_LTD_PlanID:END_RENEW_LTD,$A15,FALSE),"")</f>
        <v/>
      </c>
      <c r="G15" s="330" t="str">
        <f ca="1">IFERROR(VLOOKUP(G$5,BEGIN_Renew_LTD_PlanID:END_RENEW_LTD,$A15,FALSE),"")</f>
        <v/>
      </c>
      <c r="H15" s="330" t="str">
        <f ca="1">IFERROR(VLOOKUP(H$5,BEGIN_Renew_LTD_PlanID:END_RENEW_LTD,$A15,FALSE),"")</f>
        <v/>
      </c>
      <c r="I15" s="330" t="str">
        <f ca="1">IFERROR(VLOOKUP(I$5,BEGIN_Renew_LTD_PlanID:END_RENEW_LTD,$A15,FALSE),"")</f>
        <v/>
      </c>
      <c r="J15" s="330" t="str">
        <f ca="1">IFERROR(VLOOKUP(J$5,BEGIN_Renew_LTD_PlanID:END_RENEW_LTD,$A15,FALSE),"")</f>
        <v/>
      </c>
      <c r="K15" s="330" t="str">
        <f ca="1">IFERROR(VLOOKUP(K$5,BEGIN_Renew_LTD_PlanID:END_RENEW_LTD,$A15,FALSE),"")</f>
        <v/>
      </c>
      <c r="L15" s="330" t="str">
        <f ca="1">IFERROR(VLOOKUP(L$5,BEGIN_Renew_LTD_PlanID:END_RENEW_LTD,$A15,FALSE),"")</f>
        <v/>
      </c>
      <c r="M15" s="330" t="str">
        <f ca="1">IFERROR(VLOOKUP(M$5,BEGIN_Renew_LTD_PlanID:END_RENEW_LTD,$A15,FALSE),"")</f>
        <v/>
      </c>
      <c r="N15" s="330" t="str">
        <f ca="1">IFERROR(VLOOKUP(N$5,BEGIN_Renew_LTD_PlanID:END_RENEW_LTD,$A15,FALSE),"")</f>
        <v/>
      </c>
      <c r="O15" s="330" t="str">
        <f ca="1">IFERROR(VLOOKUP(O$5,BEGIN_Renew_LTD_PlanID:END_RENEW_LTD,$A15,FALSE),"")</f>
        <v/>
      </c>
      <c r="P15" s="330" t="str">
        <f ca="1">IFERROR(VLOOKUP(P$5,BEGIN_Renew_LTD_PlanID:END_RENEW_LTD,$A15,FALSE),"")</f>
        <v/>
      </c>
      <c r="Q15" s="330" t="str">
        <f ca="1">IFERROR(VLOOKUP(Q$5,BEGIN_Renew_LTD_PlanID:END_RENEW_LTD,$A15,FALSE),"")</f>
        <v/>
      </c>
      <c r="R15" s="330" t="str">
        <f ca="1">IFERROR(VLOOKUP(R$5,BEGIN_Renew_LTD_PlanID:END_RENEW_LTD,$A15,FALSE),"")</f>
        <v/>
      </c>
      <c r="S15" s="330" t="str">
        <f ca="1">IFERROR(VLOOKUP(S$5,BEGIN_Renew_LTD_PlanID:END_RENEW_LTD,$A15,FALSE),"")</f>
        <v/>
      </c>
      <c r="T15" s="330" t="str">
        <f ca="1">IFERROR(VLOOKUP(T$5,BEGIN_Renew_LTD_PlanID:END_RENEW_LTD,$A15,FALSE),"")</f>
        <v/>
      </c>
      <c r="U15" s="330" t="str">
        <f ca="1">IFERROR(VLOOKUP(U$5,BEGIN_Renew_LTD_PlanID:END_RENEW_LTD,$A15,FALSE),"")</f>
        <v/>
      </c>
      <c r="V15" s="330" t="str">
        <f ca="1">IFERROR(VLOOKUP(V$5,BEGIN_Renew_LTD_PlanID:END_RENEW_LTD,$A15,FALSE),"")</f>
        <v/>
      </c>
    </row>
    <row r="16" spans="1:22" ht="13">
      <c r="A16" s="3">
        <v>30</v>
      </c>
      <c r="B16" s="343" t="s">
        <v>177</v>
      </c>
      <c r="C16" s="330" t="str">
        <f ca="1">IFERROR(VLOOKUP(C$5,BEGIN_Renew_LTD_PlanID:END_RENEW_LTD,$A16,FALSE),"")</f>
        <v/>
      </c>
      <c r="D16" s="330" t="str">
        <f ca="1">IFERROR(VLOOKUP(D$5,BEGIN_Renew_LTD_PlanID:END_RENEW_LTD,$A16,FALSE),"")</f>
        <v/>
      </c>
      <c r="E16" s="330" t="str">
        <f ca="1">IFERROR(VLOOKUP(E$5,BEGIN_Renew_LTD_PlanID:END_RENEW_LTD,$A16,FALSE),"")</f>
        <v/>
      </c>
      <c r="F16" s="330" t="str">
        <f ca="1">IFERROR(VLOOKUP(F$5,BEGIN_Renew_LTD_PlanID:END_RENEW_LTD,$A16,FALSE),"")</f>
        <v/>
      </c>
      <c r="G16" s="330" t="str">
        <f ca="1">IFERROR(VLOOKUP(G$5,BEGIN_Renew_LTD_PlanID:END_RENEW_LTD,$A16,FALSE),"")</f>
        <v/>
      </c>
      <c r="H16" s="330" t="str">
        <f ca="1">IFERROR(VLOOKUP(H$5,BEGIN_Renew_LTD_PlanID:END_RENEW_LTD,$A16,FALSE),"")</f>
        <v/>
      </c>
      <c r="I16" s="330" t="str">
        <f ca="1">IFERROR(VLOOKUP(I$5,BEGIN_Renew_LTD_PlanID:END_RENEW_LTD,$A16,FALSE),"")</f>
        <v/>
      </c>
      <c r="J16" s="330" t="str">
        <f ca="1">IFERROR(VLOOKUP(J$5,BEGIN_Renew_LTD_PlanID:END_RENEW_LTD,$A16,FALSE),"")</f>
        <v/>
      </c>
      <c r="K16" s="330" t="str">
        <f ca="1">IFERROR(VLOOKUP(K$5,BEGIN_Renew_LTD_PlanID:END_RENEW_LTD,$A16,FALSE),"")</f>
        <v/>
      </c>
      <c r="L16" s="330" t="str">
        <f ca="1">IFERROR(VLOOKUP(L$5,BEGIN_Renew_LTD_PlanID:END_RENEW_LTD,$A16,FALSE),"")</f>
        <v/>
      </c>
      <c r="M16" s="330" t="str">
        <f ca="1">IFERROR(VLOOKUP(M$5,BEGIN_Renew_LTD_PlanID:END_RENEW_LTD,$A16,FALSE),"")</f>
        <v/>
      </c>
      <c r="N16" s="330" t="str">
        <f ca="1">IFERROR(VLOOKUP(N$5,BEGIN_Renew_LTD_PlanID:END_RENEW_LTD,$A16,FALSE),"")</f>
        <v/>
      </c>
      <c r="O16" s="330" t="str">
        <f ca="1">IFERROR(VLOOKUP(O$5,BEGIN_Renew_LTD_PlanID:END_RENEW_LTD,$A16,FALSE),"")</f>
        <v/>
      </c>
      <c r="P16" s="330" t="str">
        <f ca="1">IFERROR(VLOOKUP(P$5,BEGIN_Renew_LTD_PlanID:END_RENEW_LTD,$A16,FALSE),"")</f>
        <v/>
      </c>
      <c r="Q16" s="330" t="str">
        <f ca="1">IFERROR(VLOOKUP(Q$5,BEGIN_Renew_LTD_PlanID:END_RENEW_LTD,$A16,FALSE),"")</f>
        <v/>
      </c>
      <c r="R16" s="330" t="str">
        <f ca="1">IFERROR(VLOOKUP(R$5,BEGIN_Renew_LTD_PlanID:END_RENEW_LTD,$A16,FALSE),"")</f>
        <v/>
      </c>
      <c r="S16" s="330" t="str">
        <f ca="1">IFERROR(VLOOKUP(S$5,BEGIN_Renew_LTD_PlanID:END_RENEW_LTD,$A16,FALSE),"")</f>
        <v/>
      </c>
      <c r="T16" s="330" t="str">
        <f ca="1">IFERROR(VLOOKUP(T$5,BEGIN_Renew_LTD_PlanID:END_RENEW_LTD,$A16,FALSE),"")</f>
        <v/>
      </c>
      <c r="U16" s="330" t="str">
        <f ca="1">IFERROR(VLOOKUP(U$5,BEGIN_Renew_LTD_PlanID:END_RENEW_LTD,$A16,FALSE),"")</f>
        <v/>
      </c>
      <c r="V16" s="330" t="str">
        <f ca="1">IFERROR(VLOOKUP(V$5,BEGIN_Renew_LTD_PlanID:END_RENEW_LTD,$A16,FALSE),"")</f>
        <v/>
      </c>
    </row>
    <row r="17" spans="1:22" ht="13">
      <c r="A17" s="3"/>
      <c r="B17" s="344" t="s">
        <v>371</v>
      </c>
      <c r="C17" s="337"/>
      <c r="D17" s="337"/>
      <c r="E17" s="337"/>
      <c r="F17" s="337"/>
      <c r="G17" s="337"/>
      <c r="H17" s="337"/>
      <c r="I17" s="337"/>
      <c r="J17" s="337"/>
      <c r="K17" s="337"/>
      <c r="L17" s="337"/>
      <c r="M17" s="337"/>
      <c r="N17" s="337"/>
      <c r="O17" s="337"/>
      <c r="P17" s="337"/>
      <c r="Q17" s="337"/>
      <c r="R17" s="337"/>
      <c r="S17" s="337"/>
      <c r="T17" s="337"/>
      <c r="U17" s="337"/>
      <c r="V17" s="337"/>
    </row>
    <row r="18" spans="1:22" ht="13">
      <c r="A18" s="3">
        <v>31</v>
      </c>
      <c r="B18" s="343" t="s">
        <v>191</v>
      </c>
      <c r="C18" s="330" t="str">
        <f ca="1">IFERROR(VLOOKUP(C$5,BEGIN_Renew_LTD_PlanID:END_RENEW_LTD,$A18,FALSE),"")</f>
        <v/>
      </c>
      <c r="D18" s="330" t="str">
        <f ca="1">IFERROR(VLOOKUP(D$5,BEGIN_Renew_LTD_PlanID:END_RENEW_LTD,$A18,FALSE),"")</f>
        <v/>
      </c>
      <c r="E18" s="330" t="str">
        <f ca="1">IFERROR(VLOOKUP(E$5,BEGIN_Renew_LTD_PlanID:END_RENEW_LTD,$A18,FALSE),"")</f>
        <v/>
      </c>
      <c r="F18" s="330" t="str">
        <f ca="1">IFERROR(VLOOKUP(F$5,BEGIN_Renew_LTD_PlanID:END_RENEW_LTD,$A18,FALSE),"")</f>
        <v/>
      </c>
      <c r="G18" s="330" t="str">
        <f ca="1">IFERROR(VLOOKUP(G$5,BEGIN_Renew_LTD_PlanID:END_RENEW_LTD,$A18,FALSE),"")</f>
        <v/>
      </c>
      <c r="H18" s="330" t="str">
        <f ca="1">IFERROR(VLOOKUP(H$5,BEGIN_Renew_LTD_PlanID:END_RENEW_LTD,$A18,FALSE),"")</f>
        <v/>
      </c>
      <c r="I18" s="330" t="str">
        <f ca="1">IFERROR(VLOOKUP(I$5,BEGIN_Renew_LTD_PlanID:END_RENEW_LTD,$A18,FALSE),"")</f>
        <v/>
      </c>
      <c r="J18" s="330" t="str">
        <f ca="1">IFERROR(VLOOKUP(J$5,BEGIN_Renew_LTD_PlanID:END_RENEW_LTD,$A18,FALSE),"")</f>
        <v/>
      </c>
      <c r="K18" s="330" t="str">
        <f ca="1">IFERROR(VLOOKUP(K$5,BEGIN_Renew_LTD_PlanID:END_RENEW_LTD,$A18,FALSE),"")</f>
        <v/>
      </c>
      <c r="L18" s="330" t="str">
        <f ca="1">IFERROR(VLOOKUP(L$5,BEGIN_Renew_LTD_PlanID:END_RENEW_LTD,$A18,FALSE),"")</f>
        <v/>
      </c>
      <c r="M18" s="330" t="str">
        <f ca="1">IFERROR(VLOOKUP(M$5,BEGIN_Renew_LTD_PlanID:END_RENEW_LTD,$A18,FALSE),"")</f>
        <v/>
      </c>
      <c r="N18" s="330" t="str">
        <f ca="1">IFERROR(VLOOKUP(N$5,BEGIN_Renew_LTD_PlanID:END_RENEW_LTD,$A18,FALSE),"")</f>
        <v/>
      </c>
      <c r="O18" s="330" t="str">
        <f ca="1">IFERROR(VLOOKUP(O$5,BEGIN_Renew_LTD_PlanID:END_RENEW_LTD,$A18,FALSE),"")</f>
        <v/>
      </c>
      <c r="P18" s="330" t="str">
        <f ca="1">IFERROR(VLOOKUP(P$5,BEGIN_Renew_LTD_PlanID:END_RENEW_LTD,$A18,FALSE),"")</f>
        <v/>
      </c>
      <c r="Q18" s="330" t="str">
        <f ca="1">IFERROR(VLOOKUP(Q$5,BEGIN_Renew_LTD_PlanID:END_RENEW_LTD,$A18,FALSE),"")</f>
        <v/>
      </c>
      <c r="R18" s="330" t="str">
        <f ca="1">IFERROR(VLOOKUP(R$5,BEGIN_Renew_LTD_PlanID:END_RENEW_LTD,$A18,FALSE),"")</f>
        <v/>
      </c>
      <c r="S18" s="330" t="str">
        <f ca="1">IFERROR(VLOOKUP(S$5,BEGIN_Renew_LTD_PlanID:END_RENEW_LTD,$A18,FALSE),"")</f>
        <v/>
      </c>
      <c r="T18" s="330" t="str">
        <f ca="1">IFERROR(VLOOKUP(T$5,BEGIN_Renew_LTD_PlanID:END_RENEW_LTD,$A18,FALSE),"")</f>
        <v/>
      </c>
      <c r="U18" s="330" t="str">
        <f ca="1">IFERROR(VLOOKUP(U$5,BEGIN_Renew_LTD_PlanID:END_RENEW_LTD,$A18,FALSE),"")</f>
        <v/>
      </c>
      <c r="V18" s="330" t="str">
        <f ca="1">IFERROR(VLOOKUP(V$5,BEGIN_Renew_LTD_PlanID:END_RENEW_LTD,$A18,FALSE),"")</f>
        <v/>
      </c>
    </row>
    <row r="19" spans="1:22" ht="13">
      <c r="A19" s="3">
        <v>32</v>
      </c>
      <c r="B19" s="343" t="s">
        <v>192</v>
      </c>
      <c r="C19" s="330" t="str">
        <f ca="1">IFERROR(VLOOKUP(C$5,BEGIN_Renew_LTD_PlanID:END_RENEW_LTD,$A19,FALSE),"")</f>
        <v/>
      </c>
      <c r="D19" s="330" t="str">
        <f ca="1">IFERROR(VLOOKUP(D$5,BEGIN_Renew_LTD_PlanID:END_RENEW_LTD,$A19,FALSE),"")</f>
        <v/>
      </c>
      <c r="E19" s="330" t="str">
        <f ca="1">IFERROR(VLOOKUP(E$5,BEGIN_Renew_LTD_PlanID:END_RENEW_LTD,$A19,FALSE),"")</f>
        <v/>
      </c>
      <c r="F19" s="330" t="str">
        <f ca="1">IFERROR(VLOOKUP(F$5,BEGIN_Renew_LTD_PlanID:END_RENEW_LTD,$A19,FALSE),"")</f>
        <v/>
      </c>
      <c r="G19" s="330" t="str">
        <f ca="1">IFERROR(VLOOKUP(G$5,BEGIN_Renew_LTD_PlanID:END_RENEW_LTD,$A19,FALSE),"")</f>
        <v/>
      </c>
      <c r="H19" s="330" t="str">
        <f ca="1">IFERROR(VLOOKUP(H$5,BEGIN_Renew_LTD_PlanID:END_RENEW_LTD,$A19,FALSE),"")</f>
        <v/>
      </c>
      <c r="I19" s="330" t="str">
        <f ca="1">IFERROR(VLOOKUP(I$5,BEGIN_Renew_LTD_PlanID:END_RENEW_LTD,$A19,FALSE),"")</f>
        <v/>
      </c>
      <c r="J19" s="330" t="str">
        <f ca="1">IFERROR(VLOOKUP(J$5,BEGIN_Renew_LTD_PlanID:END_RENEW_LTD,$A19,FALSE),"")</f>
        <v/>
      </c>
      <c r="K19" s="330" t="str">
        <f ca="1">IFERROR(VLOOKUP(K$5,BEGIN_Renew_LTD_PlanID:END_RENEW_LTD,$A19,FALSE),"")</f>
        <v/>
      </c>
      <c r="L19" s="330" t="str">
        <f ca="1">IFERROR(VLOOKUP(L$5,BEGIN_Renew_LTD_PlanID:END_RENEW_LTD,$A19,FALSE),"")</f>
        <v/>
      </c>
      <c r="M19" s="330" t="str">
        <f ca="1">IFERROR(VLOOKUP(M$5,BEGIN_Renew_LTD_PlanID:END_RENEW_LTD,$A19,FALSE),"")</f>
        <v/>
      </c>
      <c r="N19" s="330" t="str">
        <f ca="1">IFERROR(VLOOKUP(N$5,BEGIN_Renew_LTD_PlanID:END_RENEW_LTD,$A19,FALSE),"")</f>
        <v/>
      </c>
      <c r="O19" s="330" t="str">
        <f ca="1">IFERROR(VLOOKUP(O$5,BEGIN_Renew_LTD_PlanID:END_RENEW_LTD,$A19,FALSE),"")</f>
        <v/>
      </c>
      <c r="P19" s="330" t="str">
        <f ca="1">IFERROR(VLOOKUP(P$5,BEGIN_Renew_LTD_PlanID:END_RENEW_LTD,$A19,FALSE),"")</f>
        <v/>
      </c>
      <c r="Q19" s="330" t="str">
        <f ca="1">IFERROR(VLOOKUP(Q$5,BEGIN_Renew_LTD_PlanID:END_RENEW_LTD,$A19,FALSE),"")</f>
        <v/>
      </c>
      <c r="R19" s="330" t="str">
        <f ca="1">IFERROR(VLOOKUP(R$5,BEGIN_Renew_LTD_PlanID:END_RENEW_LTD,$A19,FALSE),"")</f>
        <v/>
      </c>
      <c r="S19" s="330" t="str">
        <f ca="1">IFERROR(VLOOKUP(S$5,BEGIN_Renew_LTD_PlanID:END_RENEW_LTD,$A19,FALSE),"")</f>
        <v/>
      </c>
      <c r="T19" s="330" t="str">
        <f ca="1">IFERROR(VLOOKUP(T$5,BEGIN_Renew_LTD_PlanID:END_RENEW_LTD,$A19,FALSE),"")</f>
        <v/>
      </c>
      <c r="U19" s="330" t="str">
        <f ca="1">IFERROR(VLOOKUP(U$5,BEGIN_Renew_LTD_PlanID:END_RENEW_LTD,$A19,FALSE),"")</f>
        <v/>
      </c>
      <c r="V19" s="330" t="str">
        <f ca="1">IFERROR(VLOOKUP(V$5,BEGIN_Renew_LTD_PlanID:END_RENEW_LTD,$A19,FALSE),"")</f>
        <v/>
      </c>
    </row>
    <row r="20" spans="1:22" ht="13">
      <c r="A20" s="3"/>
      <c r="B20" s="267"/>
      <c r="C20" s="268"/>
      <c r="D20" s="268"/>
      <c r="E20" s="268"/>
      <c r="F20" s="268" t="str">
        <f ca="1">IFERROR(VLOOKUP(F$5,BEGIN_RENEW_HEALTH_PLANID:END_RENEW_HEALTH,$A20,FALSE),"")</f>
        <v/>
      </c>
      <c r="G20" s="268" t="str">
        <f ca="1">IFERROR(VLOOKUP(G$5,BEGIN_RENEW_HEALTH_PLANID:END_RENEW_HEALTH,$A20,FALSE),"")</f>
        <v/>
      </c>
      <c r="H20" s="268" t="str">
        <f ca="1">IFERROR(VLOOKUP(H$5,BEGIN_RENEW_HEALTH_PLANID:END_RENEW_HEALTH,$A20,FALSE),"")</f>
        <v/>
      </c>
      <c r="I20" s="268" t="str">
        <f ca="1">IFERROR(VLOOKUP(I$5,BEGIN_RENEW_HEALTH_PLANID:END_RENEW_HEALTH,$A20,FALSE),"")</f>
        <v/>
      </c>
      <c r="J20" s="268" t="str">
        <f ca="1">IFERROR(VLOOKUP(J$5,BEGIN_RENEW_HEALTH_PLANID:END_RENEW_HEALTH,$A20,FALSE),"")</f>
        <v/>
      </c>
      <c r="K20" s="268" t="str">
        <f ca="1">IFERROR(VLOOKUP(K$5,BEGIN_RENEW_HEALTH_PLANID:END_RENEW_HEALTH,$A20,FALSE),"")</f>
        <v/>
      </c>
      <c r="L20" s="268" t="str">
        <f ca="1">IFERROR(VLOOKUP(L$5,BEGIN_RENEW_HEALTH_PLANID:END_RENEW_HEALTH,$A20,FALSE),"")</f>
        <v/>
      </c>
      <c r="M20" s="268" t="str">
        <f ca="1">IFERROR(VLOOKUP(M$5,BEGIN_RENEW_HEALTH_PLANID:END_RENEW_HEALTH,$A20,FALSE),"")</f>
        <v/>
      </c>
      <c r="N20" s="268" t="str">
        <f ca="1">IFERROR(VLOOKUP(N$5,BEGIN_RENEW_HEALTH_PLANID:END_RENEW_HEALTH,$A20,FALSE),"")</f>
        <v/>
      </c>
      <c r="O20" s="268" t="str">
        <f ca="1">IFERROR(VLOOKUP(O$5,BEGIN_RENEW_HEALTH_PLANID:END_RENEW_HEALTH,$A20,FALSE),"")</f>
        <v/>
      </c>
      <c r="P20" s="268" t="str">
        <f ca="1">IFERROR(VLOOKUP(P$5,BEGIN_RENEW_HEALTH_PLANID:END_RENEW_HEALTH,$A20,FALSE),"")</f>
        <v/>
      </c>
      <c r="Q20" s="268" t="str">
        <f ca="1">IFERROR(VLOOKUP(Q$5,BEGIN_RENEW_HEALTH_PLANID:END_RENEW_HEALTH,$A20,FALSE),"")</f>
        <v/>
      </c>
      <c r="R20" s="268" t="str">
        <f ca="1">IFERROR(VLOOKUP(R$5,BEGIN_RENEW_HEALTH_PLANID:END_RENEW_HEALTH,$A20,FALSE),"")</f>
        <v/>
      </c>
      <c r="S20" s="268" t="str">
        <f ca="1">IFERROR(VLOOKUP(S$5,BEGIN_RENEW_HEALTH_PLANID:END_RENEW_HEALTH,$A20,FALSE),"")</f>
        <v/>
      </c>
      <c r="T20" s="268" t="str">
        <f ca="1">IFERROR(VLOOKUP(T$5,BEGIN_RENEW_HEALTH_PLANID:END_RENEW_HEALTH,$A20,FALSE),"")</f>
        <v/>
      </c>
      <c r="U20" s="268" t="str">
        <f ca="1">IFERROR(VLOOKUP(U$5,BEGIN_RENEW_HEALTH_PLANID:END_RENEW_HEALTH,$A20,FALSE),"")</f>
        <v/>
      </c>
      <c r="V20" s="268" t="str">
        <f ca="1">IFERROR(VLOOKUP(V$5,BEGIN_RENEW_HEALTH_PLANID:END_RENEW_HEALTH,$A20,FALSE),"")</f>
        <v/>
      </c>
    </row>
    <row r="21" spans="2:22" ht="13">
      <c r="B21" s="13"/>
      <c r="C21" s="265"/>
      <c r="D21" s="265"/>
      <c r="E21" s="265"/>
      <c r="F21" s="265" t="str">
        <f ca="1">IFERROR(VLOOKUP(F$5,BEGIN_RENEW_HEALTH_PLANID:END_RENEW_HEALTH,$A21,FALSE),"")</f>
        <v/>
      </c>
      <c r="G21" s="265" t="str">
        <f ca="1">IFERROR(VLOOKUP(G$5,BEGIN_RENEW_HEALTH_PLANID:END_RENEW_HEALTH,$A21,FALSE),"")</f>
        <v/>
      </c>
      <c r="H21" s="265" t="str">
        <f ca="1">IFERROR(VLOOKUP(H$5,BEGIN_RENEW_HEALTH_PLANID:END_RENEW_HEALTH,$A21,FALSE),"")</f>
        <v/>
      </c>
      <c r="I21" s="265" t="str">
        <f ca="1">IFERROR(VLOOKUP(I$5,BEGIN_RENEW_HEALTH_PLANID:END_RENEW_HEALTH,$A21,FALSE),"")</f>
        <v/>
      </c>
      <c r="J21" s="265" t="str">
        <f ca="1">IFERROR(VLOOKUP(J$5,BEGIN_RENEW_HEALTH_PLANID:END_RENEW_HEALTH,$A21,FALSE),"")</f>
        <v/>
      </c>
      <c r="K21" s="265" t="str">
        <f ca="1">IFERROR(VLOOKUP(K$5,BEGIN_RENEW_HEALTH_PLANID:END_RENEW_HEALTH,$A21,FALSE),"")</f>
        <v/>
      </c>
      <c r="L21" s="265" t="str">
        <f ca="1">IFERROR(VLOOKUP(L$5,BEGIN_RENEW_HEALTH_PLANID:END_RENEW_HEALTH,$A21,FALSE),"")</f>
        <v/>
      </c>
      <c r="M21" s="265" t="str">
        <f ca="1">IFERROR(VLOOKUP(M$5,BEGIN_RENEW_HEALTH_PLANID:END_RENEW_HEALTH,$A21,FALSE),"")</f>
        <v/>
      </c>
      <c r="N21" s="265" t="str">
        <f ca="1">IFERROR(VLOOKUP(N$5,BEGIN_RENEW_HEALTH_PLANID:END_RENEW_HEALTH,$A21,FALSE),"")</f>
        <v/>
      </c>
      <c r="O21" s="265" t="str">
        <f ca="1">IFERROR(VLOOKUP(O$5,BEGIN_RENEW_HEALTH_PLANID:END_RENEW_HEALTH,$A21,FALSE),"")</f>
        <v/>
      </c>
      <c r="P21" s="265" t="str">
        <f ca="1">IFERROR(VLOOKUP(P$5,BEGIN_RENEW_HEALTH_PLANID:END_RENEW_HEALTH,$A21,FALSE),"")</f>
        <v/>
      </c>
      <c r="Q21" s="265" t="str">
        <f ca="1">IFERROR(VLOOKUP(Q$5,BEGIN_RENEW_HEALTH_PLANID:END_RENEW_HEALTH,$A21,FALSE),"")</f>
        <v/>
      </c>
      <c r="R21" s="265" t="str">
        <f ca="1">IFERROR(VLOOKUP(R$5,BEGIN_RENEW_HEALTH_PLANID:END_RENEW_HEALTH,$A21,FALSE),"")</f>
        <v/>
      </c>
      <c r="S21" s="265" t="str">
        <f ca="1">IFERROR(VLOOKUP(S$5,BEGIN_RENEW_HEALTH_PLANID:END_RENEW_HEALTH,$A21,FALSE),"")</f>
        <v/>
      </c>
      <c r="T21" s="265" t="str">
        <f ca="1">IFERROR(VLOOKUP(T$5,BEGIN_RENEW_HEALTH_PLANID:END_RENEW_HEALTH,$A21,FALSE),"")</f>
        <v/>
      </c>
      <c r="U21" s="265" t="str">
        <f ca="1">IFERROR(VLOOKUP(U$5,BEGIN_RENEW_HEALTH_PLANID:END_RENEW_HEALTH,$A21,FALSE),"")</f>
        <v/>
      </c>
      <c r="V21" s="265" t="str">
        <f ca="1">IFERROR(VLOOKUP(V$5,BEGIN_RENEW_HEALTH_PLANID:END_RENEW_HEALTH,$A21,FALSE),"")</f>
        <v/>
      </c>
    </row>
    <row r="22" spans="2:22" ht="13">
      <c r="B22" s="13"/>
      <c r="C22" s="265"/>
      <c r="D22" s="265"/>
      <c r="E22" s="265"/>
      <c r="F22" s="265" t="str">
        <f ca="1">IFERROR(VLOOKUP(F$5,BEGIN_RENEW_HEALTH_PLANID:END_RENEW_HEALTH,$A22,FALSE),"")</f>
        <v/>
      </c>
      <c r="G22" s="265" t="str">
        <f ca="1">IFERROR(VLOOKUP(G$5,BEGIN_RENEW_HEALTH_PLANID:END_RENEW_HEALTH,$A22,FALSE),"")</f>
        <v/>
      </c>
      <c r="H22" s="265" t="str">
        <f ca="1">IFERROR(VLOOKUP(H$5,BEGIN_RENEW_HEALTH_PLANID:END_RENEW_HEALTH,$A22,FALSE),"")</f>
        <v/>
      </c>
      <c r="I22" s="265" t="str">
        <f ca="1">IFERROR(VLOOKUP(I$5,BEGIN_RENEW_HEALTH_PLANID:END_RENEW_HEALTH,$A22,FALSE),"")</f>
        <v/>
      </c>
      <c r="J22" s="265" t="str">
        <f ca="1">IFERROR(VLOOKUP(J$5,BEGIN_RENEW_HEALTH_PLANID:END_RENEW_HEALTH,$A22,FALSE),"")</f>
        <v/>
      </c>
      <c r="K22" s="265" t="str">
        <f ca="1">IFERROR(VLOOKUP(K$5,BEGIN_RENEW_HEALTH_PLANID:END_RENEW_HEALTH,$A22,FALSE),"")</f>
        <v/>
      </c>
      <c r="L22" s="265" t="str">
        <f ca="1">IFERROR(VLOOKUP(L$5,BEGIN_RENEW_HEALTH_PLANID:END_RENEW_HEALTH,$A22,FALSE),"")</f>
        <v/>
      </c>
      <c r="M22" s="265" t="str">
        <f ca="1">IFERROR(VLOOKUP(M$5,BEGIN_RENEW_HEALTH_PLANID:END_RENEW_HEALTH,$A22,FALSE),"")</f>
        <v/>
      </c>
      <c r="N22" s="265" t="str">
        <f ca="1">IFERROR(VLOOKUP(N$5,BEGIN_RENEW_HEALTH_PLANID:END_RENEW_HEALTH,$A22,FALSE),"")</f>
        <v/>
      </c>
      <c r="O22" s="265" t="str">
        <f ca="1">IFERROR(VLOOKUP(O$5,BEGIN_RENEW_HEALTH_PLANID:END_RENEW_HEALTH,$A22,FALSE),"")</f>
        <v/>
      </c>
      <c r="P22" s="265" t="str">
        <f ca="1">IFERROR(VLOOKUP(P$5,BEGIN_RENEW_HEALTH_PLANID:END_RENEW_HEALTH,$A22,FALSE),"")</f>
        <v/>
      </c>
      <c r="Q22" s="265" t="str">
        <f ca="1">IFERROR(VLOOKUP(Q$5,BEGIN_RENEW_HEALTH_PLANID:END_RENEW_HEALTH,$A22,FALSE),"")</f>
        <v/>
      </c>
      <c r="R22" s="265" t="str">
        <f ca="1">IFERROR(VLOOKUP(R$5,BEGIN_RENEW_HEALTH_PLANID:END_RENEW_HEALTH,$A22,FALSE),"")</f>
        <v/>
      </c>
      <c r="S22" s="265" t="str">
        <f ca="1">IFERROR(VLOOKUP(S$5,BEGIN_RENEW_HEALTH_PLANID:END_RENEW_HEALTH,$A22,FALSE),"")</f>
        <v/>
      </c>
      <c r="T22" s="265" t="str">
        <f ca="1">IFERROR(VLOOKUP(T$5,BEGIN_RENEW_HEALTH_PLANID:END_RENEW_HEALTH,$A22,FALSE),"")</f>
        <v/>
      </c>
      <c r="U22" s="265" t="str">
        <f ca="1">IFERROR(VLOOKUP(U$5,BEGIN_RENEW_HEALTH_PLANID:END_RENEW_HEALTH,$A22,FALSE),"")</f>
        <v/>
      </c>
      <c r="V22" s="265" t="str">
        <f ca="1">IFERROR(VLOOKUP(V$5,BEGIN_RENEW_HEALTH_PLANID:END_RENEW_HEALTH,$A22,FALSE),"")</f>
        <v/>
      </c>
    </row>
    <row r="23" spans="2:22" ht="13">
      <c r="B23" s="13"/>
      <c r="C23" s="265"/>
      <c r="D23" s="265"/>
      <c r="E23" s="265"/>
      <c r="F23" s="265" t="str">
        <f ca="1">IFERROR(VLOOKUP(F$5,BEGIN_RENEW_HEALTH_PLANID:END_RENEW_HEALTH,$A23,FALSE),"")</f>
        <v/>
      </c>
      <c r="G23" s="265" t="str">
        <f ca="1">IFERROR(VLOOKUP(G$5,BEGIN_RENEW_HEALTH_PLANID:END_RENEW_HEALTH,$A23,FALSE),"")</f>
        <v/>
      </c>
      <c r="H23" s="265" t="str">
        <f ca="1">IFERROR(VLOOKUP(H$5,BEGIN_RENEW_HEALTH_PLANID:END_RENEW_HEALTH,$A23,FALSE),"")</f>
        <v/>
      </c>
      <c r="I23" s="265" t="str">
        <f ca="1">IFERROR(VLOOKUP(I$5,BEGIN_RENEW_HEALTH_PLANID:END_RENEW_HEALTH,$A23,FALSE),"")</f>
        <v/>
      </c>
      <c r="J23" s="265" t="str">
        <f ca="1">IFERROR(VLOOKUP(J$5,BEGIN_RENEW_HEALTH_PLANID:END_RENEW_HEALTH,$A23,FALSE),"")</f>
        <v/>
      </c>
      <c r="K23" s="265" t="str">
        <f ca="1">IFERROR(VLOOKUP(K$5,BEGIN_RENEW_HEALTH_PLANID:END_RENEW_HEALTH,$A23,FALSE),"")</f>
        <v/>
      </c>
      <c r="L23" s="265" t="str">
        <f ca="1">IFERROR(VLOOKUP(L$5,BEGIN_RENEW_HEALTH_PLANID:END_RENEW_HEALTH,$A23,FALSE),"")</f>
        <v/>
      </c>
      <c r="M23" s="265" t="str">
        <f ca="1">IFERROR(VLOOKUP(M$5,BEGIN_RENEW_HEALTH_PLANID:END_RENEW_HEALTH,$A23,FALSE),"")</f>
        <v/>
      </c>
      <c r="N23" s="265" t="str">
        <f ca="1">IFERROR(VLOOKUP(N$5,BEGIN_RENEW_HEALTH_PLANID:END_RENEW_HEALTH,$A23,FALSE),"")</f>
        <v/>
      </c>
      <c r="O23" s="265" t="str">
        <f ca="1">IFERROR(VLOOKUP(O$5,BEGIN_RENEW_HEALTH_PLANID:END_RENEW_HEALTH,$A23,FALSE),"")</f>
        <v/>
      </c>
      <c r="P23" s="265" t="str">
        <f ca="1">IFERROR(VLOOKUP(P$5,BEGIN_RENEW_HEALTH_PLANID:END_RENEW_HEALTH,$A23,FALSE),"")</f>
        <v/>
      </c>
      <c r="Q23" s="265" t="str">
        <f ca="1">IFERROR(VLOOKUP(Q$5,BEGIN_RENEW_HEALTH_PLANID:END_RENEW_HEALTH,$A23,FALSE),"")</f>
        <v/>
      </c>
      <c r="R23" s="265" t="str">
        <f ca="1">IFERROR(VLOOKUP(R$5,BEGIN_RENEW_HEALTH_PLANID:END_RENEW_HEALTH,$A23,FALSE),"")</f>
        <v/>
      </c>
      <c r="S23" s="265" t="str">
        <f ca="1">IFERROR(VLOOKUP(S$5,BEGIN_RENEW_HEALTH_PLANID:END_RENEW_HEALTH,$A23,FALSE),"")</f>
        <v/>
      </c>
      <c r="T23" s="265" t="str">
        <f ca="1">IFERROR(VLOOKUP(T$5,BEGIN_RENEW_HEALTH_PLANID:END_RENEW_HEALTH,$A23,FALSE),"")</f>
        <v/>
      </c>
      <c r="U23" s="265" t="str">
        <f ca="1">IFERROR(VLOOKUP(U$5,BEGIN_RENEW_HEALTH_PLANID:END_RENEW_HEALTH,$A23,FALSE),"")</f>
        <v/>
      </c>
      <c r="V23" s="265" t="str">
        <f ca="1">IFERROR(VLOOKUP(V$5,BEGIN_RENEW_HEALTH_PLANID:END_RENEW_HEALTH,$A23,FALSE),"")</f>
        <v/>
      </c>
    </row>
    <row r="24" spans="2:22" ht="13">
      <c r="B24" s="13"/>
      <c r="C24" s="265"/>
      <c r="D24" s="265"/>
      <c r="E24" s="265"/>
      <c r="F24" s="265" t="str">
        <f ca="1">IFERROR(VLOOKUP(F$5,BEGIN_RENEW_HEALTH_PLANID:END_RENEW_HEALTH,$A24,FALSE),"")</f>
        <v/>
      </c>
      <c r="G24" s="265" t="str">
        <f ca="1">IFERROR(VLOOKUP(G$5,BEGIN_RENEW_HEALTH_PLANID:END_RENEW_HEALTH,$A24,FALSE),"")</f>
        <v/>
      </c>
      <c r="H24" s="265" t="str">
        <f ca="1">IFERROR(VLOOKUP(H$5,BEGIN_RENEW_HEALTH_PLANID:END_RENEW_HEALTH,$A24,FALSE),"")</f>
        <v/>
      </c>
      <c r="I24" s="265" t="str">
        <f ca="1">IFERROR(VLOOKUP(I$5,BEGIN_RENEW_HEALTH_PLANID:END_RENEW_HEALTH,$A24,FALSE),"")</f>
        <v/>
      </c>
      <c r="J24" s="265" t="str">
        <f ca="1">IFERROR(VLOOKUP(J$5,BEGIN_RENEW_HEALTH_PLANID:END_RENEW_HEALTH,$A24,FALSE),"")</f>
        <v/>
      </c>
      <c r="K24" s="265" t="str">
        <f ca="1">IFERROR(VLOOKUP(K$5,BEGIN_RENEW_HEALTH_PLANID:END_RENEW_HEALTH,$A24,FALSE),"")</f>
        <v/>
      </c>
      <c r="L24" s="265" t="str">
        <f ca="1">IFERROR(VLOOKUP(L$5,BEGIN_RENEW_HEALTH_PLANID:END_RENEW_HEALTH,$A24,FALSE),"")</f>
        <v/>
      </c>
      <c r="M24" s="265" t="str">
        <f ca="1">IFERROR(VLOOKUP(M$5,BEGIN_RENEW_HEALTH_PLANID:END_RENEW_HEALTH,$A24,FALSE),"")</f>
        <v/>
      </c>
      <c r="N24" s="265" t="str">
        <f ca="1">IFERROR(VLOOKUP(N$5,BEGIN_RENEW_HEALTH_PLANID:END_RENEW_HEALTH,$A24,FALSE),"")</f>
        <v/>
      </c>
      <c r="O24" s="265" t="str">
        <f ca="1">IFERROR(VLOOKUP(O$5,BEGIN_RENEW_HEALTH_PLANID:END_RENEW_HEALTH,$A24,FALSE),"")</f>
        <v/>
      </c>
      <c r="P24" s="265" t="str">
        <f ca="1">IFERROR(VLOOKUP(P$5,BEGIN_RENEW_HEALTH_PLANID:END_RENEW_HEALTH,$A24,FALSE),"")</f>
        <v/>
      </c>
      <c r="Q24" s="265" t="str">
        <f ca="1">IFERROR(VLOOKUP(Q$5,BEGIN_RENEW_HEALTH_PLANID:END_RENEW_HEALTH,$A24,FALSE),"")</f>
        <v/>
      </c>
      <c r="R24" s="265" t="str">
        <f ca="1">IFERROR(VLOOKUP(R$5,BEGIN_RENEW_HEALTH_PLANID:END_RENEW_HEALTH,$A24,FALSE),"")</f>
        <v/>
      </c>
      <c r="S24" s="265" t="str">
        <f ca="1">IFERROR(VLOOKUP(S$5,BEGIN_RENEW_HEALTH_PLANID:END_RENEW_HEALTH,$A24,FALSE),"")</f>
        <v/>
      </c>
      <c r="T24" s="265" t="str">
        <f ca="1">IFERROR(VLOOKUP(T$5,BEGIN_RENEW_HEALTH_PLANID:END_RENEW_HEALTH,$A24,FALSE),"")</f>
        <v/>
      </c>
      <c r="U24" s="265" t="str">
        <f ca="1">IFERROR(VLOOKUP(U$5,BEGIN_RENEW_HEALTH_PLANID:END_RENEW_HEALTH,$A24,FALSE),"")</f>
        <v/>
      </c>
      <c r="V24" s="265" t="str">
        <f ca="1">IFERROR(VLOOKUP(V$5,BEGIN_RENEW_HEALTH_PLANID:END_RENEW_HEALTH,$A24,FALSE),"")</f>
        <v/>
      </c>
    </row>
    <row r="25" spans="2:22" ht="13">
      <c r="B25" s="13"/>
      <c r="C25" s="265"/>
      <c r="D25" s="265"/>
      <c r="E25" s="265"/>
      <c r="F25" s="265" t="str">
        <f ca="1">IFERROR(VLOOKUP(F$5,BEGIN_RENEW_HEALTH_PLANID:END_RENEW_HEALTH,$A25,FALSE),"")</f>
        <v/>
      </c>
      <c r="G25" s="265" t="str">
        <f ca="1">IFERROR(VLOOKUP(G$5,BEGIN_RENEW_HEALTH_PLANID:END_RENEW_HEALTH,$A25,FALSE),"")</f>
        <v/>
      </c>
      <c r="H25" s="265" t="str">
        <f ca="1">IFERROR(VLOOKUP(H$5,BEGIN_RENEW_HEALTH_PLANID:END_RENEW_HEALTH,$A25,FALSE),"")</f>
        <v/>
      </c>
      <c r="I25" s="265" t="str">
        <f ca="1">IFERROR(VLOOKUP(I$5,BEGIN_RENEW_HEALTH_PLANID:END_RENEW_HEALTH,$A25,FALSE),"")</f>
        <v/>
      </c>
      <c r="J25" s="265" t="str">
        <f ca="1">IFERROR(VLOOKUP(J$5,BEGIN_RENEW_HEALTH_PLANID:END_RENEW_HEALTH,$A25,FALSE),"")</f>
        <v/>
      </c>
      <c r="K25" s="265" t="str">
        <f ca="1">IFERROR(VLOOKUP(K$5,BEGIN_RENEW_HEALTH_PLANID:END_RENEW_HEALTH,$A25,FALSE),"")</f>
        <v/>
      </c>
      <c r="L25" s="265" t="str">
        <f ca="1">IFERROR(VLOOKUP(L$5,BEGIN_RENEW_HEALTH_PLANID:END_RENEW_HEALTH,$A25,FALSE),"")</f>
        <v/>
      </c>
      <c r="M25" s="265" t="str">
        <f ca="1">IFERROR(VLOOKUP(M$5,BEGIN_RENEW_HEALTH_PLANID:END_RENEW_HEALTH,$A25,FALSE),"")</f>
        <v/>
      </c>
      <c r="N25" s="265" t="str">
        <f ca="1">IFERROR(VLOOKUP(N$5,BEGIN_RENEW_HEALTH_PLANID:END_RENEW_HEALTH,$A25,FALSE),"")</f>
        <v/>
      </c>
      <c r="O25" s="265" t="str">
        <f ca="1">IFERROR(VLOOKUP(O$5,BEGIN_RENEW_HEALTH_PLANID:END_RENEW_HEALTH,$A25,FALSE),"")</f>
        <v/>
      </c>
      <c r="P25" s="265" t="str">
        <f ca="1">IFERROR(VLOOKUP(P$5,BEGIN_RENEW_HEALTH_PLANID:END_RENEW_HEALTH,$A25,FALSE),"")</f>
        <v/>
      </c>
      <c r="Q25" s="265" t="str">
        <f ca="1">IFERROR(VLOOKUP(Q$5,BEGIN_RENEW_HEALTH_PLANID:END_RENEW_HEALTH,$A25,FALSE),"")</f>
        <v/>
      </c>
      <c r="R25" s="265" t="str">
        <f ca="1">IFERROR(VLOOKUP(R$5,BEGIN_RENEW_HEALTH_PLANID:END_RENEW_HEALTH,$A25,FALSE),"")</f>
        <v/>
      </c>
      <c r="S25" s="265" t="str">
        <f ca="1">IFERROR(VLOOKUP(S$5,BEGIN_RENEW_HEALTH_PLANID:END_RENEW_HEALTH,$A25,FALSE),"")</f>
        <v/>
      </c>
      <c r="T25" s="265" t="str">
        <f ca="1">IFERROR(VLOOKUP(T$5,BEGIN_RENEW_HEALTH_PLANID:END_RENEW_HEALTH,$A25,FALSE),"")</f>
        <v/>
      </c>
      <c r="U25" s="265" t="str">
        <f ca="1">IFERROR(VLOOKUP(U$5,BEGIN_RENEW_HEALTH_PLANID:END_RENEW_HEALTH,$A25,FALSE),"")</f>
        <v/>
      </c>
      <c r="V25" s="265" t="str">
        <f ca="1">IFERROR(VLOOKUP(V$5,BEGIN_RENEW_HEALTH_PLANID:END_RENEW_HEALTH,$A25,FALSE),"")</f>
        <v/>
      </c>
    </row>
    <row r="26" spans="2:22" ht="13">
      <c r="B26" s="13"/>
      <c r="C26" s="265"/>
      <c r="D26" s="265"/>
      <c r="E26" s="265"/>
      <c r="F26" s="265" t="str">
        <f ca="1">IFERROR(VLOOKUP(F$5,BEGIN_RENEW_HEALTH_PLANID:END_RENEW_HEALTH,$A26,FALSE),"")</f>
        <v/>
      </c>
      <c r="G26" s="265" t="str">
        <f ca="1">IFERROR(VLOOKUP(G$5,BEGIN_RENEW_HEALTH_PLANID:END_RENEW_HEALTH,$A26,FALSE),"")</f>
        <v/>
      </c>
      <c r="H26" s="265" t="str">
        <f ca="1">IFERROR(VLOOKUP(H$5,BEGIN_RENEW_HEALTH_PLANID:END_RENEW_HEALTH,$A26,FALSE),"")</f>
        <v/>
      </c>
      <c r="I26" s="265" t="str">
        <f ca="1">IFERROR(VLOOKUP(I$5,BEGIN_RENEW_HEALTH_PLANID:END_RENEW_HEALTH,$A26,FALSE),"")</f>
        <v/>
      </c>
      <c r="J26" s="265" t="str">
        <f ca="1">IFERROR(VLOOKUP(J$5,BEGIN_RENEW_HEALTH_PLANID:END_RENEW_HEALTH,$A26,FALSE),"")</f>
        <v/>
      </c>
      <c r="K26" s="265" t="str">
        <f ca="1">IFERROR(VLOOKUP(K$5,BEGIN_RENEW_HEALTH_PLANID:END_RENEW_HEALTH,$A26,FALSE),"")</f>
        <v/>
      </c>
      <c r="L26" s="265" t="str">
        <f ca="1">IFERROR(VLOOKUP(L$5,BEGIN_RENEW_HEALTH_PLANID:END_RENEW_HEALTH,$A26,FALSE),"")</f>
        <v/>
      </c>
      <c r="M26" s="265" t="str">
        <f ca="1">IFERROR(VLOOKUP(M$5,BEGIN_RENEW_HEALTH_PLANID:END_RENEW_HEALTH,$A26,FALSE),"")</f>
        <v/>
      </c>
      <c r="N26" s="265" t="str">
        <f ca="1">IFERROR(VLOOKUP(N$5,BEGIN_RENEW_HEALTH_PLANID:END_RENEW_HEALTH,$A26,FALSE),"")</f>
        <v/>
      </c>
      <c r="O26" s="265" t="str">
        <f ca="1">IFERROR(VLOOKUP(O$5,BEGIN_RENEW_HEALTH_PLANID:END_RENEW_HEALTH,$A26,FALSE),"")</f>
        <v/>
      </c>
      <c r="P26" s="265" t="str">
        <f ca="1">IFERROR(VLOOKUP(P$5,BEGIN_RENEW_HEALTH_PLANID:END_RENEW_HEALTH,$A26,FALSE),"")</f>
        <v/>
      </c>
      <c r="Q26" s="265" t="str">
        <f ca="1">IFERROR(VLOOKUP(Q$5,BEGIN_RENEW_HEALTH_PLANID:END_RENEW_HEALTH,$A26,FALSE),"")</f>
        <v/>
      </c>
      <c r="R26" s="265" t="str">
        <f ca="1">IFERROR(VLOOKUP(R$5,BEGIN_RENEW_HEALTH_PLANID:END_RENEW_HEALTH,$A26,FALSE),"")</f>
        <v/>
      </c>
      <c r="S26" s="265" t="str">
        <f ca="1">IFERROR(VLOOKUP(S$5,BEGIN_RENEW_HEALTH_PLANID:END_RENEW_HEALTH,$A26,FALSE),"")</f>
        <v/>
      </c>
      <c r="T26" s="265" t="str">
        <f ca="1">IFERROR(VLOOKUP(T$5,BEGIN_RENEW_HEALTH_PLANID:END_RENEW_HEALTH,$A26,FALSE),"")</f>
        <v/>
      </c>
      <c r="U26" s="265" t="str">
        <f ca="1">IFERROR(VLOOKUP(U$5,BEGIN_RENEW_HEALTH_PLANID:END_RENEW_HEALTH,$A26,FALSE),"")</f>
        <v/>
      </c>
      <c r="V26" s="265" t="str">
        <f ca="1">IFERROR(VLOOKUP(V$5,BEGIN_RENEW_HEALTH_PLANID:END_RENEW_HEALTH,$A26,FALSE),"")</f>
        <v/>
      </c>
    </row>
    <row r="27" spans="2:22" ht="13">
      <c r="B27" s="13"/>
      <c r="C27" s="265"/>
      <c r="D27" s="265"/>
      <c r="E27" s="265"/>
      <c r="F27" s="265" t="str">
        <f ca="1">IFERROR(VLOOKUP(F$5,BEGIN_RENEW_HEALTH_PLANID:END_RENEW_HEALTH,$A27,FALSE),"")</f>
        <v/>
      </c>
      <c r="G27" s="265" t="str">
        <f ca="1">IFERROR(VLOOKUP(G$5,BEGIN_RENEW_HEALTH_PLANID:END_RENEW_HEALTH,$A27,FALSE),"")</f>
        <v/>
      </c>
      <c r="H27" s="265" t="str">
        <f ca="1">IFERROR(VLOOKUP(H$5,BEGIN_RENEW_HEALTH_PLANID:END_RENEW_HEALTH,$A27,FALSE),"")</f>
        <v/>
      </c>
      <c r="I27" s="265" t="str">
        <f ca="1">IFERROR(VLOOKUP(I$5,BEGIN_RENEW_HEALTH_PLANID:END_RENEW_HEALTH,$A27,FALSE),"")</f>
        <v/>
      </c>
      <c r="J27" s="265" t="str">
        <f ca="1">IFERROR(VLOOKUP(J$5,BEGIN_RENEW_HEALTH_PLANID:END_RENEW_HEALTH,$A27,FALSE),"")</f>
        <v/>
      </c>
      <c r="K27" s="265" t="str">
        <f ca="1">IFERROR(VLOOKUP(K$5,BEGIN_RENEW_HEALTH_PLANID:END_RENEW_HEALTH,$A27,FALSE),"")</f>
        <v/>
      </c>
      <c r="L27" s="265" t="str">
        <f ca="1">IFERROR(VLOOKUP(L$5,BEGIN_RENEW_HEALTH_PLANID:END_RENEW_HEALTH,$A27,FALSE),"")</f>
        <v/>
      </c>
      <c r="M27" s="265" t="str">
        <f ca="1">IFERROR(VLOOKUP(M$5,BEGIN_RENEW_HEALTH_PLANID:END_RENEW_HEALTH,$A27,FALSE),"")</f>
        <v/>
      </c>
      <c r="N27" s="265" t="str">
        <f ca="1">IFERROR(VLOOKUP(N$5,BEGIN_RENEW_HEALTH_PLANID:END_RENEW_HEALTH,$A27,FALSE),"")</f>
        <v/>
      </c>
      <c r="O27" s="265" t="str">
        <f ca="1">IFERROR(VLOOKUP(O$5,BEGIN_RENEW_HEALTH_PLANID:END_RENEW_HEALTH,$A27,FALSE),"")</f>
        <v/>
      </c>
      <c r="P27" s="265" t="str">
        <f ca="1">IFERROR(VLOOKUP(P$5,BEGIN_RENEW_HEALTH_PLANID:END_RENEW_HEALTH,$A27,FALSE),"")</f>
        <v/>
      </c>
      <c r="Q27" s="265" t="str">
        <f ca="1">IFERROR(VLOOKUP(Q$5,BEGIN_RENEW_HEALTH_PLANID:END_RENEW_HEALTH,$A27,FALSE),"")</f>
        <v/>
      </c>
      <c r="R27" s="265" t="str">
        <f ca="1">IFERROR(VLOOKUP(R$5,BEGIN_RENEW_HEALTH_PLANID:END_RENEW_HEALTH,$A27,FALSE),"")</f>
        <v/>
      </c>
      <c r="S27" s="265" t="str">
        <f ca="1">IFERROR(VLOOKUP(S$5,BEGIN_RENEW_HEALTH_PLANID:END_RENEW_HEALTH,$A27,FALSE),"")</f>
        <v/>
      </c>
      <c r="T27" s="265" t="str">
        <f ca="1">IFERROR(VLOOKUP(T$5,BEGIN_RENEW_HEALTH_PLANID:END_RENEW_HEALTH,$A27,FALSE),"")</f>
        <v/>
      </c>
      <c r="U27" s="265" t="str">
        <f ca="1">IFERROR(VLOOKUP(U$5,BEGIN_RENEW_HEALTH_PLANID:END_RENEW_HEALTH,$A27,FALSE),"")</f>
        <v/>
      </c>
      <c r="V27" s="265" t="str">
        <f ca="1">IFERROR(VLOOKUP(V$5,BEGIN_RENEW_HEALTH_PLANID:END_RENEW_HEALTH,$A27,FALSE),"")</f>
        <v/>
      </c>
    </row>
    <row r="28" spans="2:22" ht="13">
      <c r="B28" s="13"/>
      <c r="C28" s="265"/>
      <c r="D28" s="265"/>
      <c r="E28" s="265"/>
      <c r="F28" s="265" t="str">
        <f ca="1">IFERROR(VLOOKUP(F$5,BEGIN_RENEW_HEALTH_PLANID:END_RENEW_HEALTH,$A28,FALSE),"")</f>
        <v/>
      </c>
      <c r="G28" s="265" t="str">
        <f ca="1">IFERROR(VLOOKUP(G$5,BEGIN_RENEW_HEALTH_PLANID:END_RENEW_HEALTH,$A28,FALSE),"")</f>
        <v/>
      </c>
      <c r="H28" s="265" t="str">
        <f ca="1">IFERROR(VLOOKUP(H$5,BEGIN_RENEW_HEALTH_PLANID:END_RENEW_HEALTH,$A28,FALSE),"")</f>
        <v/>
      </c>
      <c r="I28" s="265" t="str">
        <f ca="1">IFERROR(VLOOKUP(I$5,BEGIN_RENEW_HEALTH_PLANID:END_RENEW_HEALTH,$A28,FALSE),"")</f>
        <v/>
      </c>
      <c r="J28" s="265" t="str">
        <f ca="1">IFERROR(VLOOKUP(J$5,BEGIN_RENEW_HEALTH_PLANID:END_RENEW_HEALTH,$A28,FALSE),"")</f>
        <v/>
      </c>
      <c r="K28" s="265" t="str">
        <f ca="1">IFERROR(VLOOKUP(K$5,BEGIN_RENEW_HEALTH_PLANID:END_RENEW_HEALTH,$A28,FALSE),"")</f>
        <v/>
      </c>
      <c r="L28" s="265" t="str">
        <f ca="1">IFERROR(VLOOKUP(L$5,BEGIN_RENEW_HEALTH_PLANID:END_RENEW_HEALTH,$A28,FALSE),"")</f>
        <v/>
      </c>
      <c r="M28" s="265" t="str">
        <f ca="1">IFERROR(VLOOKUP(M$5,BEGIN_RENEW_HEALTH_PLANID:END_RENEW_HEALTH,$A28,FALSE),"")</f>
        <v/>
      </c>
      <c r="N28" s="265" t="str">
        <f ca="1">IFERROR(VLOOKUP(N$5,BEGIN_RENEW_HEALTH_PLANID:END_RENEW_HEALTH,$A28,FALSE),"")</f>
        <v/>
      </c>
      <c r="O28" s="265" t="str">
        <f ca="1">IFERROR(VLOOKUP(O$5,BEGIN_RENEW_HEALTH_PLANID:END_RENEW_HEALTH,$A28,FALSE),"")</f>
        <v/>
      </c>
      <c r="P28" s="265" t="str">
        <f ca="1">IFERROR(VLOOKUP(P$5,BEGIN_RENEW_HEALTH_PLANID:END_RENEW_HEALTH,$A28,FALSE),"")</f>
        <v/>
      </c>
      <c r="Q28" s="265" t="str">
        <f ca="1">IFERROR(VLOOKUP(Q$5,BEGIN_RENEW_HEALTH_PLANID:END_RENEW_HEALTH,$A28,FALSE),"")</f>
        <v/>
      </c>
      <c r="R28" s="265" t="str">
        <f ca="1">IFERROR(VLOOKUP(R$5,BEGIN_RENEW_HEALTH_PLANID:END_RENEW_HEALTH,$A28,FALSE),"")</f>
        <v/>
      </c>
      <c r="S28" s="265" t="str">
        <f ca="1">IFERROR(VLOOKUP(S$5,BEGIN_RENEW_HEALTH_PLANID:END_RENEW_HEALTH,$A28,FALSE),"")</f>
        <v/>
      </c>
      <c r="T28" s="265" t="str">
        <f ca="1">IFERROR(VLOOKUP(T$5,BEGIN_RENEW_HEALTH_PLANID:END_RENEW_HEALTH,$A28,FALSE),"")</f>
        <v/>
      </c>
      <c r="U28" s="265" t="str">
        <f ca="1">IFERROR(VLOOKUP(U$5,BEGIN_RENEW_HEALTH_PLANID:END_RENEW_HEALTH,$A28,FALSE),"")</f>
        <v/>
      </c>
      <c r="V28" s="265" t="str">
        <f ca="1">IFERROR(VLOOKUP(V$5,BEGIN_RENEW_HEALTH_PLANID:END_RENEW_HEALTH,$A28,FALSE),"")</f>
        <v/>
      </c>
    </row>
    <row r="29" spans="2:22" ht="13">
      <c r="B29" s="13"/>
      <c r="C29" s="265"/>
      <c r="D29" s="265"/>
      <c r="E29" s="265"/>
      <c r="F29" s="265" t="str">
        <f ca="1">IFERROR(VLOOKUP(F$5,BEGIN_RENEW_HEALTH_PLANID:END_RENEW_HEALTH,$A29,FALSE),"")</f>
        <v/>
      </c>
      <c r="G29" s="265" t="str">
        <f ca="1">IFERROR(VLOOKUP(G$5,BEGIN_RENEW_HEALTH_PLANID:END_RENEW_HEALTH,$A29,FALSE),"")</f>
        <v/>
      </c>
      <c r="H29" s="265" t="str">
        <f ca="1">IFERROR(VLOOKUP(H$5,BEGIN_RENEW_HEALTH_PLANID:END_RENEW_HEALTH,$A29,FALSE),"")</f>
        <v/>
      </c>
      <c r="I29" s="265" t="str">
        <f ca="1">IFERROR(VLOOKUP(I$5,BEGIN_RENEW_HEALTH_PLANID:END_RENEW_HEALTH,$A29,FALSE),"")</f>
        <v/>
      </c>
      <c r="J29" s="265" t="str">
        <f ca="1">IFERROR(VLOOKUP(J$5,BEGIN_RENEW_HEALTH_PLANID:END_RENEW_HEALTH,$A29,FALSE),"")</f>
        <v/>
      </c>
      <c r="K29" s="265" t="str">
        <f ca="1">IFERROR(VLOOKUP(K$5,BEGIN_RENEW_HEALTH_PLANID:END_RENEW_HEALTH,$A29,FALSE),"")</f>
        <v/>
      </c>
      <c r="L29" s="265" t="str">
        <f ca="1">IFERROR(VLOOKUP(L$5,BEGIN_RENEW_HEALTH_PLANID:END_RENEW_HEALTH,$A29,FALSE),"")</f>
        <v/>
      </c>
      <c r="M29" s="265" t="str">
        <f ca="1">IFERROR(VLOOKUP(M$5,BEGIN_RENEW_HEALTH_PLANID:END_RENEW_HEALTH,$A29,FALSE),"")</f>
        <v/>
      </c>
      <c r="N29" s="265" t="str">
        <f ca="1">IFERROR(VLOOKUP(N$5,BEGIN_RENEW_HEALTH_PLANID:END_RENEW_HEALTH,$A29,FALSE),"")</f>
        <v/>
      </c>
      <c r="O29" s="265" t="str">
        <f ca="1">IFERROR(VLOOKUP(O$5,BEGIN_RENEW_HEALTH_PLANID:END_RENEW_HEALTH,$A29,FALSE),"")</f>
        <v/>
      </c>
      <c r="P29" s="265" t="str">
        <f ca="1">IFERROR(VLOOKUP(P$5,BEGIN_RENEW_HEALTH_PLANID:END_RENEW_HEALTH,$A29,FALSE),"")</f>
        <v/>
      </c>
      <c r="Q29" s="265" t="str">
        <f ca="1">IFERROR(VLOOKUP(Q$5,BEGIN_RENEW_HEALTH_PLANID:END_RENEW_HEALTH,$A29,FALSE),"")</f>
        <v/>
      </c>
      <c r="R29" s="265" t="str">
        <f ca="1">IFERROR(VLOOKUP(R$5,BEGIN_RENEW_HEALTH_PLANID:END_RENEW_HEALTH,$A29,FALSE),"")</f>
        <v/>
      </c>
      <c r="S29" s="265" t="str">
        <f ca="1">IFERROR(VLOOKUP(S$5,BEGIN_RENEW_HEALTH_PLANID:END_RENEW_HEALTH,$A29,FALSE),"")</f>
        <v/>
      </c>
      <c r="T29" s="265" t="str">
        <f ca="1">IFERROR(VLOOKUP(T$5,BEGIN_RENEW_HEALTH_PLANID:END_RENEW_HEALTH,$A29,FALSE),"")</f>
        <v/>
      </c>
      <c r="U29" s="265" t="str">
        <f ca="1">IFERROR(VLOOKUP(U$5,BEGIN_RENEW_HEALTH_PLANID:END_RENEW_HEALTH,$A29,FALSE),"")</f>
        <v/>
      </c>
      <c r="V29" s="265" t="str">
        <f ca="1">IFERROR(VLOOKUP(V$5,BEGIN_RENEW_HEALTH_PLANID:END_RENEW_HEALTH,$A29,FALSE),"")</f>
        <v/>
      </c>
    </row>
    <row r="30" spans="2:22" ht="13">
      <c r="B30" s="13"/>
      <c r="C30" s="265"/>
      <c r="D30" s="265"/>
      <c r="E30" s="265"/>
      <c r="F30" s="265" t="str">
        <f ca="1">IFERROR(VLOOKUP(F$5,BEGIN_RENEW_HEALTH_PLANID:END_RENEW_HEALTH,$A30,FALSE),"")</f>
        <v/>
      </c>
      <c r="G30" s="265" t="str">
        <f ca="1">IFERROR(VLOOKUP(G$5,BEGIN_RENEW_HEALTH_PLANID:END_RENEW_HEALTH,$A30,FALSE),"")</f>
        <v/>
      </c>
      <c r="H30" s="265" t="str">
        <f ca="1">IFERROR(VLOOKUP(H$5,BEGIN_RENEW_HEALTH_PLANID:END_RENEW_HEALTH,$A30,FALSE),"")</f>
        <v/>
      </c>
      <c r="I30" s="265" t="str">
        <f ca="1">IFERROR(VLOOKUP(I$5,BEGIN_RENEW_HEALTH_PLANID:END_RENEW_HEALTH,$A30,FALSE),"")</f>
        <v/>
      </c>
      <c r="J30" s="265" t="str">
        <f ca="1">IFERROR(VLOOKUP(J$5,BEGIN_RENEW_HEALTH_PLANID:END_RENEW_HEALTH,$A30,FALSE),"")</f>
        <v/>
      </c>
      <c r="K30" s="265" t="str">
        <f ca="1">IFERROR(VLOOKUP(K$5,BEGIN_RENEW_HEALTH_PLANID:END_RENEW_HEALTH,$A30,FALSE),"")</f>
        <v/>
      </c>
      <c r="L30" s="265" t="str">
        <f ca="1">IFERROR(VLOOKUP(L$5,BEGIN_RENEW_HEALTH_PLANID:END_RENEW_HEALTH,$A30,FALSE),"")</f>
        <v/>
      </c>
      <c r="M30" s="265" t="str">
        <f ca="1">IFERROR(VLOOKUP(M$5,BEGIN_RENEW_HEALTH_PLANID:END_RENEW_HEALTH,$A30,FALSE),"")</f>
        <v/>
      </c>
      <c r="N30" s="265" t="str">
        <f ca="1">IFERROR(VLOOKUP(N$5,BEGIN_RENEW_HEALTH_PLANID:END_RENEW_HEALTH,$A30,FALSE),"")</f>
        <v/>
      </c>
      <c r="O30" s="265" t="str">
        <f ca="1">IFERROR(VLOOKUP(O$5,BEGIN_RENEW_HEALTH_PLANID:END_RENEW_HEALTH,$A30,FALSE),"")</f>
        <v/>
      </c>
      <c r="P30" s="265" t="str">
        <f ca="1">IFERROR(VLOOKUP(P$5,BEGIN_RENEW_HEALTH_PLANID:END_RENEW_HEALTH,$A30,FALSE),"")</f>
        <v/>
      </c>
      <c r="Q30" s="265" t="str">
        <f ca="1">IFERROR(VLOOKUP(Q$5,BEGIN_RENEW_HEALTH_PLANID:END_RENEW_HEALTH,$A30,FALSE),"")</f>
        <v/>
      </c>
      <c r="R30" s="265" t="str">
        <f ca="1">IFERROR(VLOOKUP(R$5,BEGIN_RENEW_HEALTH_PLANID:END_RENEW_HEALTH,$A30,FALSE),"")</f>
        <v/>
      </c>
      <c r="S30" s="265" t="str">
        <f ca="1">IFERROR(VLOOKUP(S$5,BEGIN_RENEW_HEALTH_PLANID:END_RENEW_HEALTH,$A30,FALSE),"")</f>
        <v/>
      </c>
      <c r="T30" s="265" t="str">
        <f ca="1">IFERROR(VLOOKUP(T$5,BEGIN_RENEW_HEALTH_PLANID:END_RENEW_HEALTH,$A30,FALSE),"")</f>
        <v/>
      </c>
      <c r="U30" s="265" t="str">
        <f ca="1">IFERROR(VLOOKUP(U$5,BEGIN_RENEW_HEALTH_PLANID:END_RENEW_HEALTH,$A30,FALSE),"")</f>
        <v/>
      </c>
      <c r="V30" s="265" t="str">
        <f ca="1">IFERROR(VLOOKUP(V$5,BEGIN_RENEW_HEALTH_PLANID:END_RENEW_HEALTH,$A30,FALSE),"")</f>
        <v/>
      </c>
    </row>
    <row r="31" spans="2:22" ht="13">
      <c r="B31" s="13"/>
      <c r="C31" s="265"/>
      <c r="D31" s="265"/>
      <c r="E31" s="265"/>
      <c r="F31" s="265" t="str">
        <f ca="1">IFERROR(VLOOKUP(F$5,BEGIN_RENEW_HEALTH_PLANID:END_RENEW_HEALTH,$A31,FALSE),"")</f>
        <v/>
      </c>
      <c r="G31" s="265" t="str">
        <f ca="1">IFERROR(VLOOKUP(G$5,BEGIN_RENEW_HEALTH_PLANID:END_RENEW_HEALTH,$A31,FALSE),"")</f>
        <v/>
      </c>
      <c r="H31" s="265" t="str">
        <f ca="1">IFERROR(VLOOKUP(H$5,BEGIN_RENEW_HEALTH_PLANID:END_RENEW_HEALTH,$A31,FALSE),"")</f>
        <v/>
      </c>
      <c r="I31" s="265" t="str">
        <f ca="1">IFERROR(VLOOKUP(I$5,BEGIN_RENEW_HEALTH_PLANID:END_RENEW_HEALTH,$A31,FALSE),"")</f>
        <v/>
      </c>
      <c r="J31" s="265" t="str">
        <f ca="1">IFERROR(VLOOKUP(J$5,BEGIN_RENEW_HEALTH_PLANID:END_RENEW_HEALTH,$A31,FALSE),"")</f>
        <v/>
      </c>
      <c r="K31" s="265" t="str">
        <f ca="1">IFERROR(VLOOKUP(K$5,BEGIN_RENEW_HEALTH_PLANID:END_RENEW_HEALTH,$A31,FALSE),"")</f>
        <v/>
      </c>
      <c r="L31" s="265" t="str">
        <f ca="1">IFERROR(VLOOKUP(L$5,BEGIN_RENEW_HEALTH_PLANID:END_RENEW_HEALTH,$A31,FALSE),"")</f>
        <v/>
      </c>
      <c r="M31" s="265" t="str">
        <f ca="1">IFERROR(VLOOKUP(M$5,BEGIN_RENEW_HEALTH_PLANID:END_RENEW_HEALTH,$A31,FALSE),"")</f>
        <v/>
      </c>
      <c r="N31" s="265" t="str">
        <f ca="1">IFERROR(VLOOKUP(N$5,BEGIN_RENEW_HEALTH_PLANID:END_RENEW_HEALTH,$A31,FALSE),"")</f>
        <v/>
      </c>
      <c r="O31" s="265" t="str">
        <f ca="1">IFERROR(VLOOKUP(O$5,BEGIN_RENEW_HEALTH_PLANID:END_RENEW_HEALTH,$A31,FALSE),"")</f>
        <v/>
      </c>
      <c r="P31" s="265" t="str">
        <f ca="1">IFERROR(VLOOKUP(P$5,BEGIN_RENEW_HEALTH_PLANID:END_RENEW_HEALTH,$A31,FALSE),"")</f>
        <v/>
      </c>
      <c r="Q31" s="265" t="str">
        <f ca="1">IFERROR(VLOOKUP(Q$5,BEGIN_RENEW_HEALTH_PLANID:END_RENEW_HEALTH,$A31,FALSE),"")</f>
        <v/>
      </c>
      <c r="R31" s="265" t="str">
        <f ca="1">IFERROR(VLOOKUP(R$5,BEGIN_RENEW_HEALTH_PLANID:END_RENEW_HEALTH,$A31,FALSE),"")</f>
        <v/>
      </c>
      <c r="S31" s="265" t="str">
        <f ca="1">IFERROR(VLOOKUP(S$5,BEGIN_RENEW_HEALTH_PLANID:END_RENEW_HEALTH,$A31,FALSE),"")</f>
        <v/>
      </c>
      <c r="T31" s="265" t="str">
        <f ca="1">IFERROR(VLOOKUP(T$5,BEGIN_RENEW_HEALTH_PLANID:END_RENEW_HEALTH,$A31,FALSE),"")</f>
        <v/>
      </c>
      <c r="U31" s="265" t="str">
        <f ca="1">IFERROR(VLOOKUP(U$5,BEGIN_RENEW_HEALTH_PLANID:END_RENEW_HEALTH,$A31,FALSE),"")</f>
        <v/>
      </c>
      <c r="V31" s="265" t="str">
        <f ca="1">IFERROR(VLOOKUP(V$5,BEGIN_RENEW_HEALTH_PLANID:END_RENEW_HEALTH,$A31,FALSE),"")</f>
        <v/>
      </c>
    </row>
    <row r="32" spans="2:22" ht="13">
      <c r="B32" s="266"/>
      <c r="C32" s="265"/>
      <c r="D32" s="265"/>
      <c r="E32" s="265"/>
      <c r="F32" s="265" t="str">
        <f ca="1">IFERROR(VLOOKUP(F$5,BEGIN_RENEW_HEALTH_PLANID:END_RENEW_HEALTH,$A32,FALSE),"")</f>
        <v/>
      </c>
      <c r="G32" s="265" t="str">
        <f ca="1">IFERROR(VLOOKUP(G$5,BEGIN_RENEW_HEALTH_PLANID:END_RENEW_HEALTH,$A32,FALSE),"")</f>
        <v/>
      </c>
      <c r="H32" s="265" t="str">
        <f ca="1">IFERROR(VLOOKUP(H$5,BEGIN_RENEW_HEALTH_PLANID:END_RENEW_HEALTH,$A32,FALSE),"")</f>
        <v/>
      </c>
      <c r="I32" s="265" t="str">
        <f ca="1">IFERROR(VLOOKUP(I$5,BEGIN_RENEW_HEALTH_PLANID:END_RENEW_HEALTH,$A32,FALSE),"")</f>
        <v/>
      </c>
      <c r="J32" s="265" t="str">
        <f ca="1">IFERROR(VLOOKUP(J$5,BEGIN_RENEW_HEALTH_PLANID:END_RENEW_HEALTH,$A32,FALSE),"")</f>
        <v/>
      </c>
      <c r="K32" s="265" t="str">
        <f ca="1">IFERROR(VLOOKUP(K$5,BEGIN_RENEW_HEALTH_PLANID:END_RENEW_HEALTH,$A32,FALSE),"")</f>
        <v/>
      </c>
      <c r="L32" s="265" t="str">
        <f ca="1">IFERROR(VLOOKUP(L$5,BEGIN_RENEW_HEALTH_PLANID:END_RENEW_HEALTH,$A32,FALSE),"")</f>
        <v/>
      </c>
      <c r="M32" s="265" t="str">
        <f ca="1">IFERROR(VLOOKUP(M$5,BEGIN_RENEW_HEALTH_PLANID:END_RENEW_HEALTH,$A32,FALSE),"")</f>
        <v/>
      </c>
      <c r="N32" s="265" t="str">
        <f ca="1">IFERROR(VLOOKUP(N$5,BEGIN_RENEW_HEALTH_PLANID:END_RENEW_HEALTH,$A32,FALSE),"")</f>
        <v/>
      </c>
      <c r="O32" s="265" t="str">
        <f ca="1">IFERROR(VLOOKUP(O$5,BEGIN_RENEW_HEALTH_PLANID:END_RENEW_HEALTH,$A32,FALSE),"")</f>
        <v/>
      </c>
      <c r="P32" s="265" t="str">
        <f ca="1">IFERROR(VLOOKUP(P$5,BEGIN_RENEW_HEALTH_PLANID:END_RENEW_HEALTH,$A32,FALSE),"")</f>
        <v/>
      </c>
      <c r="Q32" s="265" t="str">
        <f ca="1">IFERROR(VLOOKUP(Q$5,BEGIN_RENEW_HEALTH_PLANID:END_RENEW_HEALTH,$A32,FALSE),"")</f>
        <v/>
      </c>
      <c r="R32" s="265" t="str">
        <f ca="1">IFERROR(VLOOKUP(R$5,BEGIN_RENEW_HEALTH_PLANID:END_RENEW_HEALTH,$A32,FALSE),"")</f>
        <v/>
      </c>
      <c r="S32" s="265" t="str">
        <f ca="1">IFERROR(VLOOKUP(S$5,BEGIN_RENEW_HEALTH_PLANID:END_RENEW_HEALTH,$A32,FALSE),"")</f>
        <v/>
      </c>
      <c r="T32" s="265" t="str">
        <f ca="1">IFERROR(VLOOKUP(T$5,BEGIN_RENEW_HEALTH_PLANID:END_RENEW_HEALTH,$A32,FALSE),"")</f>
        <v/>
      </c>
      <c r="U32" s="265" t="str">
        <f ca="1">IFERROR(VLOOKUP(U$5,BEGIN_RENEW_HEALTH_PLANID:END_RENEW_HEALTH,$A32,FALSE),"")</f>
        <v/>
      </c>
      <c r="V32" s="265" t="str">
        <f ca="1">IFERROR(VLOOKUP(V$5,BEGIN_RENEW_HEALTH_PLANID:END_RENEW_HEALTH,$A32,FALSE),"")</f>
        <v/>
      </c>
    </row>
    <row r="33" spans="2:22" ht="13">
      <c r="B33" s="13"/>
      <c r="C33" s="265"/>
      <c r="D33" s="265"/>
      <c r="E33" s="265"/>
      <c r="F33" s="265" t="str">
        <f ca="1">IFERROR(VLOOKUP(F$5,BEGIN_RENEW_HEALTH_PLANID:END_RENEW_HEALTH,$A33,FALSE),"")</f>
        <v/>
      </c>
      <c r="G33" s="265" t="str">
        <f ca="1">IFERROR(VLOOKUP(G$5,BEGIN_RENEW_HEALTH_PLANID:END_RENEW_HEALTH,$A33,FALSE),"")</f>
        <v/>
      </c>
      <c r="H33" s="265" t="str">
        <f ca="1">IFERROR(VLOOKUP(H$5,BEGIN_RENEW_HEALTH_PLANID:END_RENEW_HEALTH,$A33,FALSE),"")</f>
        <v/>
      </c>
      <c r="I33" s="265" t="str">
        <f ca="1">IFERROR(VLOOKUP(I$5,BEGIN_RENEW_HEALTH_PLANID:END_RENEW_HEALTH,$A33,FALSE),"")</f>
        <v/>
      </c>
      <c r="J33" s="265" t="str">
        <f ca="1">IFERROR(VLOOKUP(J$5,BEGIN_RENEW_HEALTH_PLANID:END_RENEW_HEALTH,$A33,FALSE),"")</f>
        <v/>
      </c>
      <c r="K33" s="265" t="str">
        <f ca="1">IFERROR(VLOOKUP(K$5,BEGIN_RENEW_HEALTH_PLANID:END_RENEW_HEALTH,$A33,FALSE),"")</f>
        <v/>
      </c>
      <c r="L33" s="265" t="str">
        <f ca="1">IFERROR(VLOOKUP(L$5,BEGIN_RENEW_HEALTH_PLANID:END_RENEW_HEALTH,$A33,FALSE),"")</f>
        <v/>
      </c>
      <c r="M33" s="265" t="str">
        <f ca="1">IFERROR(VLOOKUP(M$5,BEGIN_RENEW_HEALTH_PLANID:END_RENEW_HEALTH,$A33,FALSE),"")</f>
        <v/>
      </c>
      <c r="N33" s="265" t="str">
        <f ca="1">IFERROR(VLOOKUP(N$5,BEGIN_RENEW_HEALTH_PLANID:END_RENEW_HEALTH,$A33,FALSE),"")</f>
        <v/>
      </c>
      <c r="O33" s="265" t="str">
        <f ca="1">IFERROR(VLOOKUP(O$5,BEGIN_RENEW_HEALTH_PLANID:END_RENEW_HEALTH,$A33,FALSE),"")</f>
        <v/>
      </c>
      <c r="P33" s="265" t="str">
        <f ca="1">IFERROR(VLOOKUP(P$5,BEGIN_RENEW_HEALTH_PLANID:END_RENEW_HEALTH,$A33,FALSE),"")</f>
        <v/>
      </c>
      <c r="Q33" s="265" t="str">
        <f ca="1">IFERROR(VLOOKUP(Q$5,BEGIN_RENEW_HEALTH_PLANID:END_RENEW_HEALTH,$A33,FALSE),"")</f>
        <v/>
      </c>
      <c r="R33" s="265" t="str">
        <f ca="1">IFERROR(VLOOKUP(R$5,BEGIN_RENEW_HEALTH_PLANID:END_RENEW_HEALTH,$A33,FALSE),"")</f>
        <v/>
      </c>
      <c r="S33" s="265" t="str">
        <f ca="1">IFERROR(VLOOKUP(S$5,BEGIN_RENEW_HEALTH_PLANID:END_RENEW_HEALTH,$A33,FALSE),"")</f>
        <v/>
      </c>
      <c r="T33" s="265" t="str">
        <f ca="1">IFERROR(VLOOKUP(T$5,BEGIN_RENEW_HEALTH_PLANID:END_RENEW_HEALTH,$A33,FALSE),"")</f>
        <v/>
      </c>
      <c r="U33" s="265" t="str">
        <f ca="1">IFERROR(VLOOKUP(U$5,BEGIN_RENEW_HEALTH_PLANID:END_RENEW_HEALTH,$A33,FALSE),"")</f>
        <v/>
      </c>
      <c r="V33" s="265" t="str">
        <f ca="1">IFERROR(VLOOKUP(V$5,BEGIN_RENEW_HEALTH_PLANID:END_RENEW_HEALTH,$A33,FALSE),"")</f>
        <v/>
      </c>
    </row>
    <row r="34" spans="2:22" ht="13">
      <c r="B34" s="13"/>
      <c r="C34" s="265"/>
      <c r="D34" s="265"/>
      <c r="E34" s="265"/>
      <c r="F34" s="265" t="str">
        <f ca="1">IFERROR(VLOOKUP(F$5,BEGIN_RENEW_HEALTH_PLANID:END_RENEW_HEALTH,$A34,FALSE),"")</f>
        <v/>
      </c>
      <c r="G34" s="265" t="str">
        <f ca="1">IFERROR(VLOOKUP(G$5,BEGIN_RENEW_HEALTH_PLANID:END_RENEW_HEALTH,$A34,FALSE),"")</f>
        <v/>
      </c>
      <c r="H34" s="265" t="str">
        <f ca="1">IFERROR(VLOOKUP(H$5,BEGIN_RENEW_HEALTH_PLANID:END_RENEW_HEALTH,$A34,FALSE),"")</f>
        <v/>
      </c>
      <c r="I34" s="265" t="str">
        <f ca="1">IFERROR(VLOOKUP(I$5,BEGIN_RENEW_HEALTH_PLANID:END_RENEW_HEALTH,$A34,FALSE),"")</f>
        <v/>
      </c>
      <c r="J34" s="265" t="str">
        <f ca="1">IFERROR(VLOOKUP(J$5,BEGIN_RENEW_HEALTH_PLANID:END_RENEW_HEALTH,$A34,FALSE),"")</f>
        <v/>
      </c>
      <c r="K34" s="265" t="str">
        <f ca="1">IFERROR(VLOOKUP(K$5,BEGIN_RENEW_HEALTH_PLANID:END_RENEW_HEALTH,$A34,FALSE),"")</f>
        <v/>
      </c>
      <c r="L34" s="265" t="str">
        <f ca="1">IFERROR(VLOOKUP(L$5,BEGIN_RENEW_HEALTH_PLANID:END_RENEW_HEALTH,$A34,FALSE),"")</f>
        <v/>
      </c>
      <c r="M34" s="265" t="str">
        <f ca="1">IFERROR(VLOOKUP(M$5,BEGIN_RENEW_HEALTH_PLANID:END_RENEW_HEALTH,$A34,FALSE),"")</f>
        <v/>
      </c>
      <c r="N34" s="265" t="str">
        <f ca="1">IFERROR(VLOOKUP(N$5,BEGIN_RENEW_HEALTH_PLANID:END_RENEW_HEALTH,$A34,FALSE),"")</f>
        <v/>
      </c>
      <c r="O34" s="265" t="str">
        <f ca="1">IFERROR(VLOOKUP(O$5,BEGIN_RENEW_HEALTH_PLANID:END_RENEW_HEALTH,$A34,FALSE),"")</f>
        <v/>
      </c>
      <c r="P34" s="265" t="str">
        <f ca="1">IFERROR(VLOOKUP(P$5,BEGIN_RENEW_HEALTH_PLANID:END_RENEW_HEALTH,$A34,FALSE),"")</f>
        <v/>
      </c>
      <c r="Q34" s="265" t="str">
        <f ca="1">IFERROR(VLOOKUP(Q$5,BEGIN_RENEW_HEALTH_PLANID:END_RENEW_HEALTH,$A34,FALSE),"")</f>
        <v/>
      </c>
      <c r="R34" s="265" t="str">
        <f ca="1">IFERROR(VLOOKUP(R$5,BEGIN_RENEW_HEALTH_PLANID:END_RENEW_HEALTH,$A34,FALSE),"")</f>
        <v/>
      </c>
      <c r="S34" s="265" t="str">
        <f ca="1">IFERROR(VLOOKUP(S$5,BEGIN_RENEW_HEALTH_PLANID:END_RENEW_HEALTH,$A34,FALSE),"")</f>
        <v/>
      </c>
      <c r="T34" s="265" t="str">
        <f ca="1">IFERROR(VLOOKUP(T$5,BEGIN_RENEW_HEALTH_PLANID:END_RENEW_HEALTH,$A34,FALSE),"")</f>
        <v/>
      </c>
      <c r="U34" s="265" t="str">
        <f ca="1">IFERROR(VLOOKUP(U$5,BEGIN_RENEW_HEALTH_PLANID:END_RENEW_HEALTH,$A34,FALSE),"")</f>
        <v/>
      </c>
      <c r="V34" s="265" t="str">
        <f ca="1">IFERROR(VLOOKUP(V$5,BEGIN_RENEW_HEALTH_PLANID:END_RENEW_HEALTH,$A34,FALSE),"")</f>
        <v/>
      </c>
    </row>
    <row r="35" spans="2:22" ht="13">
      <c r="B35" s="13"/>
      <c r="C35" s="265"/>
      <c r="D35" s="265"/>
      <c r="E35" s="265"/>
      <c r="F35" s="265" t="str">
        <f ca="1">IFERROR(VLOOKUP(F$5,BEGIN_RENEW_HEALTH_PLANID:END_RENEW_HEALTH,$A35,FALSE),"")</f>
        <v/>
      </c>
      <c r="G35" s="265" t="str">
        <f ca="1">IFERROR(VLOOKUP(G$5,BEGIN_RENEW_HEALTH_PLANID:END_RENEW_HEALTH,$A35,FALSE),"")</f>
        <v/>
      </c>
      <c r="H35" s="265" t="str">
        <f ca="1">IFERROR(VLOOKUP(H$5,BEGIN_RENEW_HEALTH_PLANID:END_RENEW_HEALTH,$A35,FALSE),"")</f>
        <v/>
      </c>
      <c r="I35" s="265" t="str">
        <f ca="1">IFERROR(VLOOKUP(I$5,BEGIN_RENEW_HEALTH_PLANID:END_RENEW_HEALTH,$A35,FALSE),"")</f>
        <v/>
      </c>
      <c r="J35" s="265" t="str">
        <f ca="1">IFERROR(VLOOKUP(J$5,BEGIN_RENEW_HEALTH_PLANID:END_RENEW_HEALTH,$A35,FALSE),"")</f>
        <v/>
      </c>
      <c r="K35" s="265" t="str">
        <f ca="1">IFERROR(VLOOKUP(K$5,BEGIN_RENEW_HEALTH_PLANID:END_RENEW_HEALTH,$A35,FALSE),"")</f>
        <v/>
      </c>
      <c r="L35" s="265" t="str">
        <f ca="1">IFERROR(VLOOKUP(L$5,BEGIN_RENEW_HEALTH_PLANID:END_RENEW_HEALTH,$A35,FALSE),"")</f>
        <v/>
      </c>
      <c r="M35" s="265" t="str">
        <f ca="1">IFERROR(VLOOKUP(M$5,BEGIN_RENEW_HEALTH_PLANID:END_RENEW_HEALTH,$A35,FALSE),"")</f>
        <v/>
      </c>
      <c r="N35" s="265" t="str">
        <f ca="1">IFERROR(VLOOKUP(N$5,BEGIN_RENEW_HEALTH_PLANID:END_RENEW_HEALTH,$A35,FALSE),"")</f>
        <v/>
      </c>
      <c r="O35" s="265" t="str">
        <f ca="1">IFERROR(VLOOKUP(O$5,BEGIN_RENEW_HEALTH_PLANID:END_RENEW_HEALTH,$A35,FALSE),"")</f>
        <v/>
      </c>
      <c r="P35" s="265" t="str">
        <f ca="1">IFERROR(VLOOKUP(P$5,BEGIN_RENEW_HEALTH_PLANID:END_RENEW_HEALTH,$A35,FALSE),"")</f>
        <v/>
      </c>
      <c r="Q35" s="265" t="str">
        <f ca="1">IFERROR(VLOOKUP(Q$5,BEGIN_RENEW_HEALTH_PLANID:END_RENEW_HEALTH,$A35,FALSE),"")</f>
        <v/>
      </c>
      <c r="R35" s="265" t="str">
        <f ca="1">IFERROR(VLOOKUP(R$5,BEGIN_RENEW_HEALTH_PLANID:END_RENEW_HEALTH,$A35,FALSE),"")</f>
        <v/>
      </c>
      <c r="S35" s="265" t="str">
        <f ca="1">IFERROR(VLOOKUP(S$5,BEGIN_RENEW_HEALTH_PLANID:END_RENEW_HEALTH,$A35,FALSE),"")</f>
        <v/>
      </c>
      <c r="T35" s="265" t="str">
        <f ca="1">IFERROR(VLOOKUP(T$5,BEGIN_RENEW_HEALTH_PLANID:END_RENEW_HEALTH,$A35,FALSE),"")</f>
        <v/>
      </c>
      <c r="U35" s="265" t="str">
        <f ca="1">IFERROR(VLOOKUP(U$5,BEGIN_RENEW_HEALTH_PLANID:END_RENEW_HEALTH,$A35,FALSE),"")</f>
        <v/>
      </c>
      <c r="V35" s="265" t="str">
        <f ca="1">IFERROR(VLOOKUP(V$5,BEGIN_RENEW_HEALTH_PLANID:END_RENEW_HEALTH,$A35,FALSE),"")</f>
        <v/>
      </c>
    </row>
    <row r="36" spans="2:22" ht="13">
      <c r="B36" s="13"/>
      <c r="C36" s="265"/>
      <c r="D36" s="265"/>
      <c r="E36" s="265"/>
      <c r="F36" s="265" t="str">
        <f ca="1">IFERROR(VLOOKUP(F$5,BEGIN_RENEW_HEALTH_PLANID:END_RENEW_HEALTH,$A36,FALSE),"")</f>
        <v/>
      </c>
      <c r="G36" s="265" t="str">
        <f ca="1">IFERROR(VLOOKUP(G$5,BEGIN_RENEW_HEALTH_PLANID:END_RENEW_HEALTH,$A36,FALSE),"")</f>
        <v/>
      </c>
      <c r="H36" s="265" t="str">
        <f ca="1">IFERROR(VLOOKUP(H$5,BEGIN_RENEW_HEALTH_PLANID:END_RENEW_HEALTH,$A36,FALSE),"")</f>
        <v/>
      </c>
      <c r="I36" s="265" t="str">
        <f ca="1">IFERROR(VLOOKUP(I$5,BEGIN_RENEW_HEALTH_PLANID:END_RENEW_HEALTH,$A36,FALSE),"")</f>
        <v/>
      </c>
      <c r="J36" s="265" t="str">
        <f ca="1">IFERROR(VLOOKUP(J$5,BEGIN_RENEW_HEALTH_PLANID:END_RENEW_HEALTH,$A36,FALSE),"")</f>
        <v/>
      </c>
      <c r="K36" s="265" t="str">
        <f ca="1">IFERROR(VLOOKUP(K$5,BEGIN_RENEW_HEALTH_PLANID:END_RENEW_HEALTH,$A36,FALSE),"")</f>
        <v/>
      </c>
      <c r="L36" s="265" t="str">
        <f ca="1">IFERROR(VLOOKUP(L$5,BEGIN_RENEW_HEALTH_PLANID:END_RENEW_HEALTH,$A36,FALSE),"")</f>
        <v/>
      </c>
      <c r="M36" s="265" t="str">
        <f ca="1">IFERROR(VLOOKUP(M$5,BEGIN_RENEW_HEALTH_PLANID:END_RENEW_HEALTH,$A36,FALSE),"")</f>
        <v/>
      </c>
      <c r="N36" s="265" t="str">
        <f ca="1">IFERROR(VLOOKUP(N$5,BEGIN_RENEW_HEALTH_PLANID:END_RENEW_HEALTH,$A36,FALSE),"")</f>
        <v/>
      </c>
      <c r="O36" s="265" t="str">
        <f ca="1">IFERROR(VLOOKUP(O$5,BEGIN_RENEW_HEALTH_PLANID:END_RENEW_HEALTH,$A36,FALSE),"")</f>
        <v/>
      </c>
      <c r="P36" s="265" t="str">
        <f ca="1">IFERROR(VLOOKUP(P$5,BEGIN_RENEW_HEALTH_PLANID:END_RENEW_HEALTH,$A36,FALSE),"")</f>
        <v/>
      </c>
      <c r="Q36" s="265" t="str">
        <f ca="1">IFERROR(VLOOKUP(Q$5,BEGIN_RENEW_HEALTH_PLANID:END_RENEW_HEALTH,$A36,FALSE),"")</f>
        <v/>
      </c>
      <c r="R36" s="265" t="str">
        <f ca="1">IFERROR(VLOOKUP(R$5,BEGIN_RENEW_HEALTH_PLANID:END_RENEW_HEALTH,$A36,FALSE),"")</f>
        <v/>
      </c>
      <c r="S36" s="265" t="str">
        <f ca="1">IFERROR(VLOOKUP(S$5,BEGIN_RENEW_HEALTH_PLANID:END_RENEW_HEALTH,$A36,FALSE),"")</f>
        <v/>
      </c>
      <c r="T36" s="265" t="str">
        <f ca="1">IFERROR(VLOOKUP(T$5,BEGIN_RENEW_HEALTH_PLANID:END_RENEW_HEALTH,$A36,FALSE),"")</f>
        <v/>
      </c>
      <c r="U36" s="265" t="str">
        <f ca="1">IFERROR(VLOOKUP(U$5,BEGIN_RENEW_HEALTH_PLANID:END_RENEW_HEALTH,$A36,FALSE),"")</f>
        <v/>
      </c>
      <c r="V36" s="265" t="str">
        <f ca="1">IFERROR(VLOOKUP(V$5,BEGIN_RENEW_HEALTH_PLANID:END_RENEW_HEALTH,$A36,FALSE),"")</f>
        <v/>
      </c>
    </row>
    <row r="37" spans="2:22" ht="13">
      <c r="B37" s="13"/>
      <c r="C37" s="265"/>
      <c r="D37" s="265"/>
      <c r="E37" s="265"/>
      <c r="F37" s="265" t="str">
        <f ca="1">IFERROR(VLOOKUP(F$5,BEGIN_RENEW_HEALTH_PLANID:END_RENEW_HEALTH,$A37,FALSE),"")</f>
        <v/>
      </c>
      <c r="G37" s="265" t="str">
        <f ca="1">IFERROR(VLOOKUP(G$5,BEGIN_RENEW_HEALTH_PLANID:END_RENEW_HEALTH,$A37,FALSE),"")</f>
        <v/>
      </c>
      <c r="H37" s="265" t="str">
        <f ca="1">IFERROR(VLOOKUP(H$5,BEGIN_RENEW_HEALTH_PLANID:END_RENEW_HEALTH,$A37,FALSE),"")</f>
        <v/>
      </c>
      <c r="I37" s="265" t="str">
        <f ca="1">IFERROR(VLOOKUP(I$5,BEGIN_RENEW_HEALTH_PLANID:END_RENEW_HEALTH,$A37,FALSE),"")</f>
        <v/>
      </c>
      <c r="J37" s="265" t="str">
        <f ca="1">IFERROR(VLOOKUP(J$5,BEGIN_RENEW_HEALTH_PLANID:END_RENEW_HEALTH,$A37,FALSE),"")</f>
        <v/>
      </c>
      <c r="K37" s="265" t="str">
        <f ca="1">IFERROR(VLOOKUP(K$5,BEGIN_RENEW_HEALTH_PLANID:END_RENEW_HEALTH,$A37,FALSE),"")</f>
        <v/>
      </c>
      <c r="L37" s="265" t="str">
        <f ca="1">IFERROR(VLOOKUP(L$5,BEGIN_RENEW_HEALTH_PLANID:END_RENEW_HEALTH,$A37,FALSE),"")</f>
        <v/>
      </c>
      <c r="M37" s="265" t="str">
        <f ca="1">IFERROR(VLOOKUP(M$5,BEGIN_RENEW_HEALTH_PLANID:END_RENEW_HEALTH,$A37,FALSE),"")</f>
        <v/>
      </c>
      <c r="N37" s="265" t="str">
        <f ca="1">IFERROR(VLOOKUP(N$5,BEGIN_RENEW_HEALTH_PLANID:END_RENEW_HEALTH,$A37,FALSE),"")</f>
        <v/>
      </c>
      <c r="O37" s="265" t="str">
        <f ca="1">IFERROR(VLOOKUP(O$5,BEGIN_RENEW_HEALTH_PLANID:END_RENEW_HEALTH,$A37,FALSE),"")</f>
        <v/>
      </c>
      <c r="P37" s="265" t="str">
        <f ca="1">IFERROR(VLOOKUP(P$5,BEGIN_RENEW_HEALTH_PLANID:END_RENEW_HEALTH,$A37,FALSE),"")</f>
        <v/>
      </c>
      <c r="Q37" s="265" t="str">
        <f ca="1">IFERROR(VLOOKUP(Q$5,BEGIN_RENEW_HEALTH_PLANID:END_RENEW_HEALTH,$A37,FALSE),"")</f>
        <v/>
      </c>
      <c r="R37" s="265" t="str">
        <f ca="1">IFERROR(VLOOKUP(R$5,BEGIN_RENEW_HEALTH_PLANID:END_RENEW_HEALTH,$A37,FALSE),"")</f>
        <v/>
      </c>
      <c r="S37" s="265" t="str">
        <f ca="1">IFERROR(VLOOKUP(S$5,BEGIN_RENEW_HEALTH_PLANID:END_RENEW_HEALTH,$A37,FALSE),"")</f>
        <v/>
      </c>
      <c r="T37" s="265" t="str">
        <f ca="1">IFERROR(VLOOKUP(T$5,BEGIN_RENEW_HEALTH_PLANID:END_RENEW_HEALTH,$A37,FALSE),"")</f>
        <v/>
      </c>
      <c r="U37" s="265" t="str">
        <f ca="1">IFERROR(VLOOKUP(U$5,BEGIN_RENEW_HEALTH_PLANID:END_RENEW_HEALTH,$A37,FALSE),"")</f>
        <v/>
      </c>
      <c r="V37" s="265" t="str">
        <f ca="1">IFERROR(VLOOKUP(V$5,BEGIN_RENEW_HEALTH_PLANID:END_RENEW_HEALTH,$A37,FALSE),"")</f>
        <v/>
      </c>
    </row>
    <row r="38" spans="2:22" ht="13">
      <c r="B38" s="13"/>
      <c r="C38" s="265"/>
      <c r="D38" s="265"/>
      <c r="E38" s="265"/>
      <c r="F38" s="265" t="str">
        <f ca="1">IFERROR(VLOOKUP(F$5,BEGIN_RENEW_HEALTH_PLANID:END_RENEW_HEALTH,$A38,FALSE),"")</f>
        <v/>
      </c>
      <c r="G38" s="265" t="str">
        <f ca="1">IFERROR(VLOOKUP(G$5,BEGIN_RENEW_HEALTH_PLANID:END_RENEW_HEALTH,$A38,FALSE),"")</f>
        <v/>
      </c>
      <c r="H38" s="265" t="str">
        <f ca="1">IFERROR(VLOOKUP(H$5,BEGIN_RENEW_HEALTH_PLANID:END_RENEW_HEALTH,$A38,FALSE),"")</f>
        <v/>
      </c>
      <c r="I38" s="265" t="str">
        <f ca="1">IFERROR(VLOOKUP(I$5,BEGIN_RENEW_HEALTH_PLANID:END_RENEW_HEALTH,$A38,FALSE),"")</f>
        <v/>
      </c>
      <c r="J38" s="265" t="str">
        <f ca="1">IFERROR(VLOOKUP(J$5,BEGIN_RENEW_HEALTH_PLANID:END_RENEW_HEALTH,$A38,FALSE),"")</f>
        <v/>
      </c>
      <c r="K38" s="265" t="str">
        <f ca="1">IFERROR(VLOOKUP(K$5,BEGIN_RENEW_HEALTH_PLANID:END_RENEW_HEALTH,$A38,FALSE),"")</f>
        <v/>
      </c>
      <c r="L38" s="265" t="str">
        <f ca="1">IFERROR(VLOOKUP(L$5,BEGIN_RENEW_HEALTH_PLANID:END_RENEW_HEALTH,$A38,FALSE),"")</f>
        <v/>
      </c>
      <c r="M38" s="265" t="str">
        <f ca="1">IFERROR(VLOOKUP(M$5,BEGIN_RENEW_HEALTH_PLANID:END_RENEW_HEALTH,$A38,FALSE),"")</f>
        <v/>
      </c>
      <c r="N38" s="265" t="str">
        <f ca="1">IFERROR(VLOOKUP(N$5,BEGIN_RENEW_HEALTH_PLANID:END_RENEW_HEALTH,$A38,FALSE),"")</f>
        <v/>
      </c>
      <c r="O38" s="265" t="str">
        <f ca="1">IFERROR(VLOOKUP(O$5,BEGIN_RENEW_HEALTH_PLANID:END_RENEW_HEALTH,$A38,FALSE),"")</f>
        <v/>
      </c>
      <c r="P38" s="265" t="str">
        <f ca="1">IFERROR(VLOOKUP(P$5,BEGIN_RENEW_HEALTH_PLANID:END_RENEW_HEALTH,$A38,FALSE),"")</f>
        <v/>
      </c>
      <c r="Q38" s="265" t="str">
        <f ca="1">IFERROR(VLOOKUP(Q$5,BEGIN_RENEW_HEALTH_PLANID:END_RENEW_HEALTH,$A38,FALSE),"")</f>
        <v/>
      </c>
      <c r="R38" s="265" t="str">
        <f ca="1">IFERROR(VLOOKUP(R$5,BEGIN_RENEW_HEALTH_PLANID:END_RENEW_HEALTH,$A38,FALSE),"")</f>
        <v/>
      </c>
      <c r="S38" s="265" t="str">
        <f ca="1">IFERROR(VLOOKUP(S$5,BEGIN_RENEW_HEALTH_PLANID:END_RENEW_HEALTH,$A38,FALSE),"")</f>
        <v/>
      </c>
      <c r="T38" s="265" t="str">
        <f ca="1">IFERROR(VLOOKUP(T$5,BEGIN_RENEW_HEALTH_PLANID:END_RENEW_HEALTH,$A38,FALSE),"")</f>
        <v/>
      </c>
      <c r="U38" s="265" t="str">
        <f ca="1">IFERROR(VLOOKUP(U$5,BEGIN_RENEW_HEALTH_PLANID:END_RENEW_HEALTH,$A38,FALSE),"")</f>
        <v/>
      </c>
      <c r="V38" s="265" t="str">
        <f ca="1">IFERROR(VLOOKUP(V$5,BEGIN_RENEW_HEALTH_PLANID:END_RENEW_HEALTH,$A38,FALSE),"")</f>
        <v/>
      </c>
    </row>
    <row r="39" spans="2:2" ht="13">
      <c r="B39" s="1"/>
    </row>
  </sheetData>
  <sheetProtection formatCells="0" formatColumns="0" deleteColumns="0" selectLockedCells="1"/>
  <printOptions horizontalCentered="1"/>
  <pageMargins left="0.7" right="0.7" top="0.75" bottom="0.75" header="0.3" footer="0.3"/>
  <pageSetup orientation="landscape" paperSize="1" scale="9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D7EBC790-8E89-481D-A96E-DEF573161F6C}">
  <sheetPr codeName="Sheet14"/>
  <dimension ref="A1:W36"/>
  <sheetViews>
    <sheetView workbookViewId="0" topLeftCell="A1">
      <pane xSplit="2" ySplit="6" topLeftCell="N7" activePane="bottomRight" state="frozen"/>
      <selection pane="topLeft" activeCell="A1" sqref="A1"/>
      <selection pane="bottomLeft" activeCell="P19" sqref="P19"/>
      <selection pane="topRight" activeCell="P19" sqref="P19"/>
      <selection pane="bottomRight" activeCell="W6" sqref="W6"/>
    </sheetView>
  </sheetViews>
  <sheetFormatPr defaultColWidth="8.79333333333333" defaultRowHeight="12.5"/>
  <cols>
    <col min="1" max="1" width="3.83333333333333" style="3" customWidth="1"/>
    <col min="2" max="2" width="34.1666666666667" style="3" customWidth="1"/>
    <col min="3" max="22" width="25.8333333333333" style="3" customWidth="1"/>
    <col min="23" max="16384" width="8.83333333333333" style="3"/>
  </cols>
  <sheetData>
    <row r="1" spans="2:22" ht="12.5">
      <c r="B1" s="3" t="s">
        <v>331</v>
      </c>
      <c r="C1" s="3">
        <v>1</v>
      </c>
      <c r="D1" s="3">
        <v>2</v>
      </c>
      <c r="E1" s="3">
        <v>3</v>
      </c>
      <c r="F1" s="3">
        <v>4</v>
      </c>
      <c r="G1" s="3">
        <v>5</v>
      </c>
      <c r="H1" s="3">
        <v>6</v>
      </c>
      <c r="I1" s="3">
        <v>7</v>
      </c>
      <c r="J1" s="3">
        <v>8</v>
      </c>
      <c r="K1" s="3">
        <v>9</v>
      </c>
      <c r="L1" s="3">
        <v>10</v>
      </c>
      <c r="M1" s="3">
        <v>11</v>
      </c>
      <c r="N1" s="3">
        <v>12</v>
      </c>
      <c r="O1" s="3">
        <v>13</v>
      </c>
      <c r="P1" s="3">
        <v>14</v>
      </c>
      <c r="Q1" s="3">
        <v>15</v>
      </c>
      <c r="R1" s="3">
        <v>16</v>
      </c>
      <c r="S1" s="3">
        <v>17</v>
      </c>
      <c r="T1" s="3">
        <v>18</v>
      </c>
      <c r="U1" s="3">
        <v>19</v>
      </c>
      <c r="V1" s="3">
        <v>20</v>
      </c>
    </row>
    <row r="2" spans="2:22" ht="12.5">
      <c r="B2" s="334">
        <f>COUNTA(BEGIN_UniqueLifePlans:Row_Unique_Life_PlanCode)-1</f>
        <v>0</v>
      </c>
      <c r="C2" s="3" t="str">
        <f>IF(C1&gt;$B$2,"DELETE",C1)</f>
        <v>DELETE</v>
      </c>
      <c r="D2" s="3" t="str">
        <f t="shared" si="0" ref="D2:L2">IF(D1&gt;$B$2,"DELETE",D1)</f>
        <v>DELETE</v>
      </c>
      <c r="E2" s="3" t="str">
        <f t="shared" si="0"/>
        <v>DELETE</v>
      </c>
      <c r="F2" s="3" t="str">
        <f t="shared" si="0"/>
        <v>DELETE</v>
      </c>
      <c r="G2" s="3" t="str">
        <f t="shared" si="0"/>
        <v>DELETE</v>
      </c>
      <c r="H2" s="3" t="str">
        <f t="shared" si="0"/>
        <v>DELETE</v>
      </c>
      <c r="I2" s="3" t="str">
        <f t="shared" si="0"/>
        <v>DELETE</v>
      </c>
      <c r="J2" s="3" t="str">
        <f t="shared" si="0"/>
        <v>DELETE</v>
      </c>
      <c r="K2" s="3" t="str">
        <f t="shared" si="0"/>
        <v>DELETE</v>
      </c>
      <c r="L2" s="3" t="str">
        <f t="shared" si="0"/>
        <v>DELETE</v>
      </c>
      <c r="M2" s="3" t="str">
        <f>IF(M1&gt;$B$2,"DELETE",M1)</f>
        <v>DELETE</v>
      </c>
      <c r="N2" s="3" t="str">
        <f t="shared" si="1" ref="N2:V2">IF(N1&gt;$B$2,"DELETE",N1)</f>
        <v>DELETE</v>
      </c>
      <c r="O2" s="3" t="str">
        <f t="shared" si="1"/>
        <v>DELETE</v>
      </c>
      <c r="P2" s="3" t="str">
        <f t="shared" si="1"/>
        <v>DELETE</v>
      </c>
      <c r="Q2" s="3" t="str">
        <f t="shared" si="1"/>
        <v>DELETE</v>
      </c>
      <c r="R2" s="3" t="str">
        <f t="shared" si="1"/>
        <v>DELETE</v>
      </c>
      <c r="S2" s="3" t="str">
        <f t="shared" si="1"/>
        <v>DELETE</v>
      </c>
      <c r="T2" s="3" t="str">
        <f t="shared" si="1"/>
        <v>DELETE</v>
      </c>
      <c r="U2" s="3" t="str">
        <f t="shared" si="1"/>
        <v>DELETE</v>
      </c>
      <c r="V2" s="3" t="str">
        <f t="shared" si="1"/>
        <v>DELETE</v>
      </c>
    </row>
    <row r="3" spans="2:22" ht="12.5">
      <c r="B3" s="334"/>
      <c r="C3" s="3" t="str">
        <f ca="1">IF(RIGHT(C5,4)="-VOL","DELETE",C2)</f>
        <v>DELETE</v>
      </c>
      <c r="D3" s="3" t="str">
        <f ca="1" t="shared" si="2" ref="D3:L3">IF(RIGHT(D5,4)="-VOL","DELETE",D2)</f>
        <v>DELETE</v>
      </c>
      <c r="E3" s="3" t="str">
        <f t="shared" ca="1" si="2"/>
        <v>DELETE</v>
      </c>
      <c r="F3" s="3" t="str">
        <f t="shared" ca="1" si="2"/>
        <v>DELETE</v>
      </c>
      <c r="G3" s="3" t="str">
        <f t="shared" ca="1" si="2"/>
        <v>DELETE</v>
      </c>
      <c r="H3" s="3" t="str">
        <f t="shared" ca="1" si="2"/>
        <v>DELETE</v>
      </c>
      <c r="I3" s="3" t="str">
        <f t="shared" ca="1" si="2"/>
        <v>DELETE</v>
      </c>
      <c r="J3" s="3" t="str">
        <f t="shared" ca="1" si="2"/>
        <v>DELETE</v>
      </c>
      <c r="K3" s="3" t="str">
        <f t="shared" ca="1" si="2"/>
        <v>DELETE</v>
      </c>
      <c r="L3" s="3" t="str">
        <f t="shared" ca="1" si="2"/>
        <v>DELETE</v>
      </c>
      <c r="M3" s="3" t="str">
        <f ca="1">IF(RIGHT(M5,4)="-VOL","DELETE",M2)</f>
        <v>DELETE</v>
      </c>
      <c r="N3" s="3" t="str">
        <f ca="1" t="shared" si="3" ref="N3:V3">IF(RIGHT(N5,4)="-VOL","DELETE",N2)</f>
        <v>DELETE</v>
      </c>
      <c r="O3" s="3" t="str">
        <f t="shared" ca="1" si="3"/>
        <v>DELETE</v>
      </c>
      <c r="P3" s="3" t="str">
        <f t="shared" ca="1" si="3"/>
        <v>DELETE</v>
      </c>
      <c r="Q3" s="3" t="str">
        <f t="shared" ca="1" si="3"/>
        <v>DELETE</v>
      </c>
      <c r="R3" s="3" t="str">
        <f t="shared" ca="1" si="3"/>
        <v>DELETE</v>
      </c>
      <c r="S3" s="3" t="str">
        <f t="shared" ca="1" si="3"/>
        <v>DELETE</v>
      </c>
      <c r="T3" s="3" t="str">
        <f t="shared" ca="1" si="3"/>
        <v>DELETE</v>
      </c>
      <c r="U3" s="3" t="str">
        <f t="shared" ca="1" si="3"/>
        <v>DELETE</v>
      </c>
      <c r="V3" s="3" t="str">
        <f t="shared" ca="1" si="3"/>
        <v>DELETE</v>
      </c>
    </row>
    <row r="4" spans="1:22" ht="12.5">
      <c r="A4" s="3" t="s">
        <v>372</v>
      </c>
      <c r="B4" s="340" t="s">
        <v>38</v>
      </c>
      <c r="C4" s="3" t="str">
        <f ca="1">IF(ISNUMBER(SEARCH("Vol",C6)),"",C6)</f>
        <v/>
      </c>
      <c r="D4" s="3" t="str">
        <f ca="1" t="shared" si="4" ref="D4:L4">IF(ISNUMBER(SEARCH("Vol",D6)),"",D6)</f>
        <v/>
      </c>
      <c r="E4" s="3" t="str">
        <f t="shared" ca="1" si="4"/>
        <v/>
      </c>
      <c r="F4" s="3" t="str">
        <f t="shared" ca="1" si="4"/>
        <v/>
      </c>
      <c r="G4" s="3" t="str">
        <f t="shared" ca="1" si="4"/>
        <v/>
      </c>
      <c r="H4" s="3" t="str">
        <f t="shared" ca="1" si="4"/>
        <v/>
      </c>
      <c r="I4" s="3" t="str">
        <f t="shared" ca="1" si="4"/>
        <v/>
      </c>
      <c r="J4" s="3" t="str">
        <f t="shared" ca="1" si="4"/>
        <v/>
      </c>
      <c r="K4" s="3" t="str">
        <f t="shared" ca="1" si="4"/>
        <v/>
      </c>
      <c r="L4" s="3" t="str">
        <f t="shared" ca="1" si="4"/>
        <v/>
      </c>
      <c r="M4" s="3" t="str">
        <f ca="1">IF(ISNUMBER(SEARCH("Vol",M6)),"",M6)</f>
        <v/>
      </c>
      <c r="N4" s="3" t="str">
        <f ca="1" t="shared" si="5" ref="N4:V4">IF(ISNUMBER(SEARCH("Vol",N6)),"",N6)</f>
        <v/>
      </c>
      <c r="O4" s="3" t="str">
        <f t="shared" ca="1" si="5"/>
        <v/>
      </c>
      <c r="P4" s="3" t="str">
        <f t="shared" ca="1" si="5"/>
        <v/>
      </c>
      <c r="Q4" s="3" t="str">
        <f t="shared" ca="1" si="5"/>
        <v/>
      </c>
      <c r="R4" s="3" t="str">
        <f t="shared" ca="1" si="5"/>
        <v/>
      </c>
      <c r="S4" s="3" t="str">
        <f t="shared" ca="1" si="5"/>
        <v/>
      </c>
      <c r="T4" s="3" t="str">
        <f t="shared" ca="1" si="5"/>
        <v/>
      </c>
      <c r="U4" s="3" t="str">
        <f t="shared" ca="1" si="5"/>
        <v/>
      </c>
      <c r="V4" s="3" t="str">
        <f t="shared" ca="1" si="5"/>
        <v/>
      </c>
    </row>
    <row r="5" spans="1:22" ht="12.5">
      <c r="A5" s="3" t="s">
        <v>373</v>
      </c>
      <c r="B5" s="341" t="s">
        <v>38</v>
      </c>
      <c r="C5" s="3" t="str">
        <f ca="1">IF(ISNUMBER(SEARCH("Vol",C6)),C6,"")</f>
        <v/>
      </c>
      <c r="D5" s="3" t="str">
        <f ca="1" t="shared" si="6" ref="D5:V5">IF(ISNUMBER(SEARCH("Vol",D6)),D6,"")</f>
        <v/>
      </c>
      <c r="E5" s="3" t="str">
        <f t="shared" ca="1" si="6"/>
        <v/>
      </c>
      <c r="F5" s="3" t="str">
        <f t="shared" ca="1" si="6"/>
        <v/>
      </c>
      <c r="G5" s="3" t="str">
        <f t="shared" ca="1" si="6"/>
        <v/>
      </c>
      <c r="H5" s="3" t="str">
        <f t="shared" ca="1" si="6"/>
        <v/>
      </c>
      <c r="I5" s="3" t="str">
        <f t="shared" ca="1" si="6"/>
        <v/>
      </c>
      <c r="J5" s="3" t="str">
        <f t="shared" ca="1" si="6"/>
        <v/>
      </c>
      <c r="K5" s="3" t="str">
        <f t="shared" ca="1" si="6"/>
        <v/>
      </c>
      <c r="L5" s="3" t="str">
        <f t="shared" ca="1" si="6"/>
        <v/>
      </c>
      <c r="M5" s="3" t="str">
        <f ca="1">IF(ISNUMBER(SEARCH("Vol",M6)),M6,"")</f>
        <v/>
      </c>
      <c r="N5" s="3" t="str">
        <f t="shared" ca="1" si="6"/>
        <v/>
      </c>
      <c r="O5" s="3" t="str">
        <f t="shared" ca="1" si="6"/>
        <v/>
      </c>
      <c r="P5" s="3" t="str">
        <f t="shared" ca="1" si="6"/>
        <v/>
      </c>
      <c r="Q5" s="3" t="str">
        <f t="shared" ca="1" si="6"/>
        <v/>
      </c>
      <c r="R5" s="3" t="str">
        <f t="shared" ca="1" si="6"/>
        <v/>
      </c>
      <c r="S5" s="3" t="str">
        <f t="shared" ca="1" si="6"/>
        <v/>
      </c>
      <c r="T5" s="3" t="str">
        <f t="shared" ca="1" si="6"/>
        <v/>
      </c>
      <c r="U5" s="3" t="str">
        <f t="shared" ca="1" si="6"/>
        <v/>
      </c>
      <c r="V5" s="3" t="str">
        <f t="shared" ca="1" si="6"/>
        <v/>
      </c>
    </row>
    <row r="6" spans="1:23" s="260" customFormat="1" ht="36" customHeight="1">
      <c r="A6" s="335" t="s">
        <v>367</v>
      </c>
      <c r="B6" s="342" t="s">
        <v>38</v>
      </c>
      <c r="C6" s="336" t="str" cm="1">
        <f t="array" ca="1" aca="1" ref="C6">IFERROR(INDIRECT("ClassesPlans!A"&amp;ROW(BEGIN_UniqueLifePlans)+C2,TRUE),"")</f>
        <v/>
      </c>
      <c r="D6" s="336" t="str" cm="1">
        <f t="array" ca="1" aca="1" ref="D6">IFERROR(INDIRECT("ClassesPlans!A"&amp;ROW(BEGIN_UniqueLifePlans)+D2,TRUE),"")</f>
        <v/>
      </c>
      <c r="E6" s="336" t="str" cm="1">
        <f t="array" ca="1" aca="1" ref="E6">IFERROR(INDIRECT("ClassesPlans!A"&amp;ROW(BEGIN_UniqueLifePlans)+E2,TRUE),"")</f>
        <v/>
      </c>
      <c r="F6" s="336" t="str" cm="1">
        <f t="array" ca="1" aca="1" ref="F6">IFERROR(INDIRECT("ClassesPlans!A"&amp;ROW(BEGIN_UniqueLifePlans)+F2,TRUE),"")</f>
        <v/>
      </c>
      <c r="G6" s="336" t="str" cm="1">
        <f t="array" ca="1" aca="1" ref="G6">IFERROR(INDIRECT("ClassesPlans!A"&amp;ROW(BEGIN_UniqueLifePlans)+G2,TRUE),"")</f>
        <v/>
      </c>
      <c r="H6" s="336" t="str" cm="1">
        <f t="array" ca="1" aca="1" ref="H6">IFERROR(INDIRECT("ClassesPlans!A"&amp;ROW(BEGIN_UniqueLifePlans)+H2,TRUE),"")</f>
        <v/>
      </c>
      <c r="I6" s="336" t="str" cm="1">
        <f t="array" ca="1" aca="1" ref="I6">IFERROR(INDIRECT("ClassesPlans!A"&amp;ROW(BEGIN_UniqueLifePlans)+I2,TRUE),"")</f>
        <v/>
      </c>
      <c r="J6" s="336" t="str" cm="1">
        <f t="array" ca="1" aca="1" ref="J6">IFERROR(INDIRECT("ClassesPlans!A"&amp;ROW(BEGIN_UniqueLifePlans)+J2,TRUE),"")</f>
        <v/>
      </c>
      <c r="K6" s="336" t="str" cm="1">
        <f t="array" ca="1" aca="1" ref="K6">IFERROR(INDIRECT("ClassesPlans!A"&amp;ROW(BEGIN_UniqueLifePlans)+K2,TRUE),"")</f>
        <v/>
      </c>
      <c r="L6" s="336" t="str" cm="1">
        <f t="array" ca="1" aca="1" ref="L6">IFERROR(INDIRECT("ClassesPlans!A"&amp;ROW(BEGIN_UniqueLifePlans)+L2,TRUE),"")</f>
        <v/>
      </c>
      <c r="M6" s="336" t="str" cm="1">
        <f t="array" ca="1" aca="1" ref="M6">IFERROR(INDIRECT("ClassesPlans!A"&amp;ROW(BEGIN_UniqueLifePlans)+M2,TRUE),"")</f>
        <v/>
      </c>
      <c r="N6" s="336" t="str" cm="1">
        <f t="array" ca="1" aca="1" ref="N6">IFERROR(INDIRECT("ClassesPlans!A"&amp;ROW(BEGIN_UniqueLifePlans)+N2,TRUE),"")</f>
        <v/>
      </c>
      <c r="O6" s="336" t="str" cm="1">
        <f t="array" ca="1" aca="1" ref="O6">IFERROR(INDIRECT("ClassesPlans!A"&amp;ROW(BEGIN_UniqueLifePlans)+O2,TRUE),"")</f>
        <v/>
      </c>
      <c r="P6" s="336" t="str" cm="1">
        <f t="array" ca="1" aca="1" ref="P6">IFERROR(INDIRECT("ClassesPlans!A"&amp;ROW(BEGIN_UniqueLifePlans)+P2,TRUE),"")</f>
        <v/>
      </c>
      <c r="Q6" s="336" t="str" cm="1">
        <f t="array" ca="1" aca="1" ref="Q6">IFERROR(INDIRECT("ClassesPlans!A"&amp;ROW(BEGIN_UniqueLifePlans)+Q2,TRUE),"")</f>
        <v/>
      </c>
      <c r="R6" s="336" t="str" cm="1">
        <f t="array" ca="1" aca="1" ref="R6">IFERROR(INDIRECT("ClassesPlans!A"&amp;ROW(BEGIN_UniqueLifePlans)+R2,TRUE),"")</f>
        <v/>
      </c>
      <c r="S6" s="336" t="str" cm="1">
        <f t="array" ca="1" aca="1" ref="S6">IFERROR(INDIRECT("ClassesPlans!A"&amp;ROW(BEGIN_UniqueLifePlans)+S2,TRUE),"")</f>
        <v/>
      </c>
      <c r="T6" s="336" t="str" cm="1">
        <f t="array" ca="1" aca="1" ref="T6">IFERROR(INDIRECT("ClassesPlans!A"&amp;ROW(BEGIN_UniqueLifePlans)+T2,TRUE),"")</f>
        <v/>
      </c>
      <c r="U6" s="336" t="str" cm="1">
        <f t="array" ca="1" aca="1" ref="U6">IFERROR(INDIRECT("ClassesPlans!A"&amp;ROW(BEGIN_UniqueLifePlans)+U2,TRUE),"")</f>
        <v/>
      </c>
      <c r="V6" s="336" t="str" cm="1">
        <f t="array" ca="1" aca="1" ref="V6">IFERROR(INDIRECT("ClassesPlans!A"&amp;ROW(BEGIN_UniqueLifePlans)+V2,TRUE),"")</f>
        <v/>
      </c>
      <c r="W6" s="259" t="s">
        <v>368</v>
      </c>
    </row>
    <row r="7" spans="2:22" ht="12.5">
      <c r="B7" s="344" t="s">
        <v>333</v>
      </c>
      <c r="C7" s="337"/>
      <c r="D7" s="337"/>
      <c r="E7" s="337"/>
      <c r="F7" s="337"/>
      <c r="G7" s="337"/>
      <c r="H7" s="337"/>
      <c r="I7" s="337"/>
      <c r="J7" s="337"/>
      <c r="K7" s="337"/>
      <c r="L7" s="337"/>
      <c r="M7" s="337"/>
      <c r="N7" s="337"/>
      <c r="O7" s="337"/>
      <c r="P7" s="337"/>
      <c r="Q7" s="337"/>
      <c r="R7" s="337"/>
      <c r="S7" s="337"/>
      <c r="T7" s="337"/>
      <c r="U7" s="337"/>
      <c r="V7" s="337"/>
    </row>
    <row r="8" spans="1:22" ht="12.5">
      <c r="A8" s="3">
        <v>9</v>
      </c>
      <c r="B8" s="343" t="s">
        <v>444</v>
      </c>
      <c r="C8" s="329" t="str">
        <f ca="1">IFERROR(VLOOKUP(C$6,BEGIN_Renew_LIFE_PlanID:END_RENEW_LIFE,$A8,FALSE),"")</f>
        <v/>
      </c>
      <c r="D8" s="329" t="str">
        <f ca="1">IFERROR(VLOOKUP(D$6,BEGIN_Renew_LIFE_PlanID:END_RENEW_LIFE,$A8,FALSE),"")</f>
        <v/>
      </c>
      <c r="E8" s="329" t="str">
        <f ca="1">IFERROR(VLOOKUP(E$6,BEGIN_Renew_LIFE_PlanID:END_RENEW_LIFE,$A8,FALSE),"")</f>
        <v/>
      </c>
      <c r="F8" s="329" t="str">
        <f ca="1">IFERROR(VLOOKUP(F$6,BEGIN_Renew_LIFE_PlanID:END_RENEW_LIFE,$A8,FALSE),"")</f>
        <v/>
      </c>
      <c r="G8" s="329" t="str">
        <f ca="1">IFERROR(VLOOKUP(G$6,BEGIN_Renew_LIFE_PlanID:END_RENEW_LIFE,$A8,FALSE),"")</f>
        <v/>
      </c>
      <c r="H8" s="329" t="str">
        <f ca="1">IFERROR(VLOOKUP(H$6,BEGIN_Renew_LIFE_PlanID:END_RENEW_LIFE,$A8,FALSE),"")</f>
        <v/>
      </c>
      <c r="I8" s="329" t="str">
        <f ca="1">IFERROR(VLOOKUP(I$6,BEGIN_Renew_LIFE_PlanID:END_RENEW_LIFE,$A8,FALSE),"")</f>
        <v/>
      </c>
      <c r="J8" s="329" t="str">
        <f ca="1">IFERROR(VLOOKUP(J$6,BEGIN_Renew_LIFE_PlanID:END_RENEW_LIFE,$A8,FALSE),"")</f>
        <v/>
      </c>
      <c r="K8" s="329" t="str">
        <f ca="1">IFERROR(VLOOKUP(K$6,BEGIN_Renew_LIFE_PlanID:END_RENEW_LIFE,$A8,FALSE),"")</f>
        <v/>
      </c>
      <c r="L8" s="329" t="str">
        <f ca="1">IFERROR(VLOOKUP(L$6,BEGIN_Renew_LIFE_PlanID:END_RENEW_LIFE,$A8,FALSE),"")</f>
        <v/>
      </c>
      <c r="M8" s="329" t="str">
        <f ca="1">IFERROR(VLOOKUP(M$6,BEGIN_Renew_LIFE_PlanID:END_RENEW_LIFE,$A8,FALSE),"")</f>
        <v/>
      </c>
      <c r="N8" s="329" t="str">
        <f ca="1">IFERROR(VLOOKUP(N$6,BEGIN_Renew_LIFE_PlanID:END_RENEW_LIFE,$A8,FALSE),"")</f>
        <v/>
      </c>
      <c r="O8" s="329" t="str">
        <f ca="1">IFERROR(VLOOKUP(O$6,BEGIN_Renew_LIFE_PlanID:END_RENEW_LIFE,$A8,FALSE),"")</f>
        <v/>
      </c>
      <c r="P8" s="329" t="str">
        <f ca="1">IFERROR(VLOOKUP(P$6,BEGIN_Renew_LIFE_PlanID:END_RENEW_LIFE,$A8,FALSE),"")</f>
        <v/>
      </c>
      <c r="Q8" s="329" t="str">
        <f ca="1">IFERROR(VLOOKUP(Q$6,BEGIN_Renew_LIFE_PlanID:END_RENEW_LIFE,$A8,FALSE),"")</f>
        <v/>
      </c>
      <c r="R8" s="329" t="str">
        <f ca="1">IFERROR(VLOOKUP(R$6,BEGIN_Renew_LIFE_PlanID:END_RENEW_LIFE,$A8,FALSE),"")</f>
        <v/>
      </c>
      <c r="S8" s="329" t="str">
        <f ca="1">IFERROR(VLOOKUP(S$6,BEGIN_Renew_LIFE_PlanID:END_RENEW_LIFE,$A8,FALSE),"")</f>
        <v/>
      </c>
      <c r="T8" s="329" t="str">
        <f ca="1">IFERROR(VLOOKUP(T$6,BEGIN_Renew_LIFE_PlanID:END_RENEW_LIFE,$A8,FALSE),"")</f>
        <v/>
      </c>
      <c r="U8" s="329" t="str">
        <f ca="1">IFERROR(VLOOKUP(U$6,BEGIN_Renew_LIFE_PlanID:END_RENEW_LIFE,$A8,FALSE),"")</f>
        <v/>
      </c>
      <c r="V8" s="329" t="str">
        <f ca="1">IFERROR(VLOOKUP(V$6,BEGIN_Renew_LIFE_PlanID:END_RENEW_LIFE,$A8,FALSE),"")</f>
        <v/>
      </c>
    </row>
    <row r="9" spans="2:22" ht="12.5">
      <c r="B9" s="344" t="s">
        <v>369</v>
      </c>
      <c r="C9" s="337"/>
      <c r="D9" s="337"/>
      <c r="E9" s="337"/>
      <c r="F9" s="337"/>
      <c r="G9" s="337"/>
      <c r="H9" s="337"/>
      <c r="I9" s="337"/>
      <c r="J9" s="337"/>
      <c r="K9" s="337"/>
      <c r="L9" s="337"/>
      <c r="M9" s="337"/>
      <c r="N9" s="337"/>
      <c r="O9" s="337"/>
      <c r="P9" s="337"/>
      <c r="Q9" s="337"/>
      <c r="R9" s="337"/>
      <c r="S9" s="337"/>
      <c r="T9" s="337"/>
      <c r="U9" s="337"/>
      <c r="V9" s="337"/>
    </row>
    <row r="10" spans="1:22" ht="12.5">
      <c r="A10" s="3">
        <v>24</v>
      </c>
      <c r="B10" s="343" t="s">
        <v>194</v>
      </c>
      <c r="C10" s="332" t="str">
        <f ca="1">IFERROR(VLOOKUP(C$6,BEGIN_Renew_LIFE_PlanID:END_RENEW_LIFE,$A10,FALSE),"")</f>
        <v/>
      </c>
      <c r="D10" s="332" t="str">
        <f ca="1">IFERROR(VLOOKUP(D$6,BEGIN_Renew_LIFE_PlanID:END_RENEW_LIFE,$A10,FALSE),"")</f>
        <v/>
      </c>
      <c r="E10" s="332" t="str">
        <f ca="1">IFERROR(VLOOKUP(E$6,BEGIN_Renew_LIFE_PlanID:END_RENEW_LIFE,$A10,FALSE),"")</f>
        <v/>
      </c>
      <c r="F10" s="332" t="str">
        <f ca="1">IFERROR(VLOOKUP(F$6,BEGIN_Renew_LIFE_PlanID:END_RENEW_LIFE,$A10,FALSE),"")</f>
        <v/>
      </c>
      <c r="G10" s="332" t="str">
        <f ca="1">IFERROR(VLOOKUP(G$6,BEGIN_Renew_LIFE_PlanID:END_RENEW_LIFE,$A10,FALSE),"")</f>
        <v/>
      </c>
      <c r="H10" s="332" t="str">
        <f ca="1">IFERROR(VLOOKUP(H$6,BEGIN_Renew_LIFE_PlanID:END_RENEW_LIFE,$A10,FALSE),"")</f>
        <v/>
      </c>
      <c r="I10" s="332" t="str">
        <f ca="1">IFERROR(VLOOKUP(I$6,BEGIN_Renew_LIFE_PlanID:END_RENEW_LIFE,$A10,FALSE),"")</f>
        <v/>
      </c>
      <c r="J10" s="332" t="str">
        <f ca="1">IFERROR(VLOOKUP(J$6,BEGIN_Renew_LIFE_PlanID:END_RENEW_LIFE,$A10,FALSE),"")</f>
        <v/>
      </c>
      <c r="K10" s="332" t="str">
        <f ca="1">IFERROR(VLOOKUP(K$6,BEGIN_Renew_LIFE_PlanID:END_RENEW_LIFE,$A10,FALSE),"")</f>
        <v/>
      </c>
      <c r="L10" s="332" t="str">
        <f ca="1">IFERROR(VLOOKUP(L$6,BEGIN_Renew_LIFE_PlanID:END_RENEW_LIFE,$A10,FALSE),"")</f>
        <v/>
      </c>
      <c r="M10" s="332" t="str">
        <f ca="1">IFERROR(VLOOKUP(M$6,BEGIN_Renew_LIFE_PlanID:END_RENEW_LIFE,$A10,FALSE),"")</f>
        <v/>
      </c>
      <c r="N10" s="332" t="str">
        <f ca="1">IFERROR(VLOOKUP(N$6,BEGIN_Renew_LIFE_PlanID:END_RENEW_LIFE,$A10,FALSE),"")</f>
        <v/>
      </c>
      <c r="O10" s="332" t="str">
        <f ca="1">IFERROR(VLOOKUP(O$6,BEGIN_Renew_LIFE_PlanID:END_RENEW_LIFE,$A10,FALSE),"")</f>
        <v/>
      </c>
      <c r="P10" s="332" t="str">
        <f ca="1">IFERROR(VLOOKUP(P$6,BEGIN_Renew_LIFE_PlanID:END_RENEW_LIFE,$A10,FALSE),"")</f>
        <v/>
      </c>
      <c r="Q10" s="332" t="str">
        <f ca="1">IFERROR(VLOOKUP(Q$6,BEGIN_Renew_LIFE_PlanID:END_RENEW_LIFE,$A10,FALSE),"")</f>
        <v/>
      </c>
      <c r="R10" s="332" t="str">
        <f ca="1">IFERROR(VLOOKUP(R$6,BEGIN_Renew_LIFE_PlanID:END_RENEW_LIFE,$A10,FALSE),"")</f>
        <v/>
      </c>
      <c r="S10" s="332" t="str">
        <f ca="1">IFERROR(VLOOKUP(S$6,BEGIN_Renew_LIFE_PlanID:END_RENEW_LIFE,$A10,FALSE),"")</f>
        <v/>
      </c>
      <c r="T10" s="332" t="str">
        <f ca="1">IFERROR(VLOOKUP(T$6,BEGIN_Renew_LIFE_PlanID:END_RENEW_LIFE,$A10,FALSE),"")</f>
        <v/>
      </c>
      <c r="U10" s="332" t="str">
        <f ca="1">IFERROR(VLOOKUP(U$6,BEGIN_Renew_LIFE_PlanID:END_RENEW_LIFE,$A10,FALSE),"")</f>
        <v/>
      </c>
      <c r="V10" s="332" t="str">
        <f ca="1">IFERROR(VLOOKUP(V$6,BEGIN_Renew_LIFE_PlanID:END_RENEW_LIFE,$A10,FALSE),"")</f>
        <v/>
      </c>
    </row>
    <row r="11" spans="1:22" ht="12.5">
      <c r="A11" s="3">
        <v>25</v>
      </c>
      <c r="B11" s="343" t="s">
        <v>195</v>
      </c>
      <c r="C11" s="332" t="str">
        <f ca="1">IFERROR(VLOOKUP(C$6,BEGIN_Renew_LIFE_PlanID:END_RENEW_LIFE,$A11,FALSE),"")</f>
        <v/>
      </c>
      <c r="D11" s="332" t="str">
        <f ca="1">IFERROR(VLOOKUP(D$6,BEGIN_Renew_LIFE_PlanID:END_RENEW_LIFE,$A11,FALSE),"")</f>
        <v/>
      </c>
      <c r="E11" s="332" t="str">
        <f ca="1">IFERROR(VLOOKUP(E$6,BEGIN_Renew_LIFE_PlanID:END_RENEW_LIFE,$A11,FALSE),"")</f>
        <v/>
      </c>
      <c r="F11" s="332" t="str">
        <f ca="1">IFERROR(VLOOKUP(F$6,BEGIN_Renew_LIFE_PlanID:END_RENEW_LIFE,$A11,FALSE),"")</f>
        <v/>
      </c>
      <c r="G11" s="332" t="str">
        <f ca="1">IFERROR(VLOOKUP(G$6,BEGIN_Renew_LIFE_PlanID:END_RENEW_LIFE,$A11,FALSE),"")</f>
        <v/>
      </c>
      <c r="H11" s="332" t="str">
        <f ca="1">IFERROR(VLOOKUP(H$6,BEGIN_Renew_LIFE_PlanID:END_RENEW_LIFE,$A11,FALSE),"")</f>
        <v/>
      </c>
      <c r="I11" s="332" t="str">
        <f ca="1">IFERROR(VLOOKUP(I$6,BEGIN_Renew_LIFE_PlanID:END_RENEW_LIFE,$A11,FALSE),"")</f>
        <v/>
      </c>
      <c r="J11" s="332" t="str">
        <f ca="1">IFERROR(VLOOKUP(J$6,BEGIN_Renew_LIFE_PlanID:END_RENEW_LIFE,$A11,FALSE),"")</f>
        <v/>
      </c>
      <c r="K11" s="332" t="str">
        <f ca="1">IFERROR(VLOOKUP(K$6,BEGIN_Renew_LIFE_PlanID:END_RENEW_LIFE,$A11,FALSE),"")</f>
        <v/>
      </c>
      <c r="L11" s="332" t="str">
        <f ca="1">IFERROR(VLOOKUP(L$6,BEGIN_Renew_LIFE_PlanID:END_RENEW_LIFE,$A11,FALSE),"")</f>
        <v/>
      </c>
      <c r="M11" s="332" t="str">
        <f ca="1">IFERROR(VLOOKUP(M$6,BEGIN_Renew_LIFE_PlanID:END_RENEW_LIFE,$A11,FALSE),"")</f>
        <v/>
      </c>
      <c r="N11" s="332" t="str">
        <f ca="1">IFERROR(VLOOKUP(N$6,BEGIN_Renew_LIFE_PlanID:END_RENEW_LIFE,$A11,FALSE),"")</f>
        <v/>
      </c>
      <c r="O11" s="332" t="str">
        <f ca="1">IFERROR(VLOOKUP(O$6,BEGIN_Renew_LIFE_PlanID:END_RENEW_LIFE,$A11,FALSE),"")</f>
        <v/>
      </c>
      <c r="P11" s="332" t="str">
        <f ca="1">IFERROR(VLOOKUP(P$6,BEGIN_Renew_LIFE_PlanID:END_RENEW_LIFE,$A11,FALSE),"")</f>
        <v/>
      </c>
      <c r="Q11" s="332" t="str">
        <f ca="1">IFERROR(VLOOKUP(Q$6,BEGIN_Renew_LIFE_PlanID:END_RENEW_LIFE,$A11,FALSE),"")</f>
        <v/>
      </c>
      <c r="R11" s="332" t="str">
        <f ca="1">IFERROR(VLOOKUP(R$6,BEGIN_Renew_LIFE_PlanID:END_RENEW_LIFE,$A11,FALSE),"")</f>
        <v/>
      </c>
      <c r="S11" s="332" t="str">
        <f ca="1">IFERROR(VLOOKUP(S$6,BEGIN_Renew_LIFE_PlanID:END_RENEW_LIFE,$A11,FALSE),"")</f>
        <v/>
      </c>
      <c r="T11" s="332" t="str">
        <f ca="1">IFERROR(VLOOKUP(T$6,BEGIN_Renew_LIFE_PlanID:END_RENEW_LIFE,$A11,FALSE),"")</f>
        <v/>
      </c>
      <c r="U11" s="332" t="str">
        <f ca="1">IFERROR(VLOOKUP(U$6,BEGIN_Renew_LIFE_PlanID:END_RENEW_LIFE,$A11,FALSE),"")</f>
        <v/>
      </c>
      <c r="V11" s="332" t="str">
        <f ca="1">IFERROR(VLOOKUP(V$6,BEGIN_Renew_LIFE_PlanID:END_RENEW_LIFE,$A11,FALSE),"")</f>
        <v/>
      </c>
    </row>
    <row r="12" spans="1:22" ht="12.5">
      <c r="A12" s="3">
        <v>26</v>
      </c>
      <c r="B12" s="343" t="s">
        <v>196</v>
      </c>
      <c r="C12" s="332" t="str">
        <f ca="1">IFERROR(VLOOKUP(C$6,BEGIN_Renew_LIFE_PlanID:END_RENEW_LIFE,$A12,FALSE),"")</f>
        <v/>
      </c>
      <c r="D12" s="332" t="str">
        <f ca="1">IFERROR(VLOOKUP(D$6,BEGIN_Renew_LIFE_PlanID:END_RENEW_LIFE,$A12,FALSE),"")</f>
        <v/>
      </c>
      <c r="E12" s="332" t="str">
        <f ca="1">IFERROR(VLOOKUP(E$6,BEGIN_Renew_LIFE_PlanID:END_RENEW_LIFE,$A12,FALSE),"")</f>
        <v/>
      </c>
      <c r="F12" s="332" t="str">
        <f ca="1">IFERROR(VLOOKUP(F$6,BEGIN_Renew_LIFE_PlanID:END_RENEW_LIFE,$A12,FALSE),"")</f>
        <v/>
      </c>
      <c r="G12" s="332" t="str">
        <f ca="1">IFERROR(VLOOKUP(G$6,BEGIN_Renew_LIFE_PlanID:END_RENEW_LIFE,$A12,FALSE),"")</f>
        <v/>
      </c>
      <c r="H12" s="332" t="str">
        <f ca="1">IFERROR(VLOOKUP(H$6,BEGIN_Renew_LIFE_PlanID:END_RENEW_LIFE,$A12,FALSE),"")</f>
        <v/>
      </c>
      <c r="I12" s="332" t="str">
        <f ca="1">IFERROR(VLOOKUP(I$6,BEGIN_Renew_LIFE_PlanID:END_RENEW_LIFE,$A12,FALSE),"")</f>
        <v/>
      </c>
      <c r="J12" s="332" t="str">
        <f ca="1">IFERROR(VLOOKUP(J$6,BEGIN_Renew_LIFE_PlanID:END_RENEW_LIFE,$A12,FALSE),"")</f>
        <v/>
      </c>
      <c r="K12" s="332" t="str">
        <f ca="1">IFERROR(VLOOKUP(K$6,BEGIN_Renew_LIFE_PlanID:END_RENEW_LIFE,$A12,FALSE),"")</f>
        <v/>
      </c>
      <c r="L12" s="332" t="str">
        <f ca="1">IFERROR(VLOOKUP(L$6,BEGIN_Renew_LIFE_PlanID:END_RENEW_LIFE,$A12,FALSE),"")</f>
        <v/>
      </c>
      <c r="M12" s="332" t="str">
        <f ca="1">IFERROR(VLOOKUP(M$6,BEGIN_Renew_LIFE_PlanID:END_RENEW_LIFE,$A12,FALSE),"")</f>
        <v/>
      </c>
      <c r="N12" s="332" t="str">
        <f ca="1">IFERROR(VLOOKUP(N$6,BEGIN_Renew_LIFE_PlanID:END_RENEW_LIFE,$A12,FALSE),"")</f>
        <v/>
      </c>
      <c r="O12" s="332" t="str">
        <f ca="1">IFERROR(VLOOKUP(O$6,BEGIN_Renew_LIFE_PlanID:END_RENEW_LIFE,$A12,FALSE),"")</f>
        <v/>
      </c>
      <c r="P12" s="332" t="str">
        <f ca="1">IFERROR(VLOOKUP(P$6,BEGIN_Renew_LIFE_PlanID:END_RENEW_LIFE,$A12,FALSE),"")</f>
        <v/>
      </c>
      <c r="Q12" s="332" t="str">
        <f ca="1">IFERROR(VLOOKUP(Q$6,BEGIN_Renew_LIFE_PlanID:END_RENEW_LIFE,$A12,FALSE),"")</f>
        <v/>
      </c>
      <c r="R12" s="332" t="str">
        <f ca="1">IFERROR(VLOOKUP(R$6,BEGIN_Renew_LIFE_PlanID:END_RENEW_LIFE,$A12,FALSE),"")</f>
        <v/>
      </c>
      <c r="S12" s="332" t="str">
        <f ca="1">IFERROR(VLOOKUP(S$6,BEGIN_Renew_LIFE_PlanID:END_RENEW_LIFE,$A12,FALSE),"")</f>
        <v/>
      </c>
      <c r="T12" s="332" t="str">
        <f ca="1">IFERROR(VLOOKUP(T$6,BEGIN_Renew_LIFE_PlanID:END_RENEW_LIFE,$A12,FALSE),"")</f>
        <v/>
      </c>
      <c r="U12" s="332" t="str">
        <f ca="1">IFERROR(VLOOKUP(U$6,BEGIN_Renew_LIFE_PlanID:END_RENEW_LIFE,$A12,FALSE),"")</f>
        <v/>
      </c>
      <c r="V12" s="332" t="str">
        <f ca="1">IFERROR(VLOOKUP(V$6,BEGIN_Renew_LIFE_PlanID:END_RENEW_LIFE,$A12,FALSE),"")</f>
        <v/>
      </c>
    </row>
    <row r="13" spans="1:22" ht="12.5">
      <c r="A13" s="3">
        <v>27</v>
      </c>
      <c r="B13" s="343" t="s">
        <v>197</v>
      </c>
      <c r="C13" s="332" t="str">
        <f ca="1">IFERROR(VLOOKUP(C$6,BEGIN_Renew_LIFE_PlanID:END_RENEW_LIFE,$A13,FALSE),"")</f>
        <v/>
      </c>
      <c r="D13" s="332" t="str">
        <f ca="1">IFERROR(VLOOKUP(D$6,BEGIN_Renew_LIFE_PlanID:END_RENEW_LIFE,$A13,FALSE),"")</f>
        <v/>
      </c>
      <c r="E13" s="332" t="str">
        <f ca="1">IFERROR(VLOOKUP(E$6,BEGIN_Renew_LIFE_PlanID:END_RENEW_LIFE,$A13,FALSE),"")</f>
        <v/>
      </c>
      <c r="F13" s="332" t="str">
        <f ca="1">IFERROR(VLOOKUP(F$6,BEGIN_Renew_LIFE_PlanID:END_RENEW_LIFE,$A13,FALSE),"")</f>
        <v/>
      </c>
      <c r="G13" s="332" t="str">
        <f ca="1">IFERROR(VLOOKUP(G$6,BEGIN_Renew_LIFE_PlanID:END_RENEW_LIFE,$A13,FALSE),"")</f>
        <v/>
      </c>
      <c r="H13" s="332" t="str">
        <f ca="1">IFERROR(VLOOKUP(H$6,BEGIN_Renew_LIFE_PlanID:END_RENEW_LIFE,$A13,FALSE),"")</f>
        <v/>
      </c>
      <c r="I13" s="332" t="str">
        <f ca="1">IFERROR(VLOOKUP(I$6,BEGIN_Renew_LIFE_PlanID:END_RENEW_LIFE,$A13,FALSE),"")</f>
        <v/>
      </c>
      <c r="J13" s="332" t="str">
        <f ca="1">IFERROR(VLOOKUP(J$6,BEGIN_Renew_LIFE_PlanID:END_RENEW_LIFE,$A13,FALSE),"")</f>
        <v/>
      </c>
      <c r="K13" s="332" t="str">
        <f ca="1">IFERROR(VLOOKUP(K$6,BEGIN_Renew_LIFE_PlanID:END_RENEW_LIFE,$A13,FALSE),"")</f>
        <v/>
      </c>
      <c r="L13" s="332" t="str">
        <f ca="1">IFERROR(VLOOKUP(L$6,BEGIN_Renew_LIFE_PlanID:END_RENEW_LIFE,$A13,FALSE),"")</f>
        <v/>
      </c>
      <c r="M13" s="332" t="str">
        <f ca="1">IFERROR(VLOOKUP(M$6,BEGIN_Renew_LIFE_PlanID:END_RENEW_LIFE,$A13,FALSE),"")</f>
        <v/>
      </c>
      <c r="N13" s="332" t="str">
        <f ca="1">IFERROR(VLOOKUP(N$6,BEGIN_Renew_LIFE_PlanID:END_RENEW_LIFE,$A13,FALSE),"")</f>
        <v/>
      </c>
      <c r="O13" s="332" t="str">
        <f ca="1">IFERROR(VLOOKUP(O$6,BEGIN_Renew_LIFE_PlanID:END_RENEW_LIFE,$A13,FALSE),"")</f>
        <v/>
      </c>
      <c r="P13" s="332" t="str">
        <f ca="1">IFERROR(VLOOKUP(P$6,BEGIN_Renew_LIFE_PlanID:END_RENEW_LIFE,$A13,FALSE),"")</f>
        <v/>
      </c>
      <c r="Q13" s="332" t="str">
        <f ca="1">IFERROR(VLOOKUP(Q$6,BEGIN_Renew_LIFE_PlanID:END_RENEW_LIFE,$A13,FALSE),"")</f>
        <v/>
      </c>
      <c r="R13" s="332" t="str">
        <f ca="1">IFERROR(VLOOKUP(R$6,BEGIN_Renew_LIFE_PlanID:END_RENEW_LIFE,$A13,FALSE),"")</f>
        <v/>
      </c>
      <c r="S13" s="332" t="str">
        <f ca="1">IFERROR(VLOOKUP(S$6,BEGIN_Renew_LIFE_PlanID:END_RENEW_LIFE,$A13,FALSE),"")</f>
        <v/>
      </c>
      <c r="T13" s="332" t="str">
        <f ca="1">IFERROR(VLOOKUP(T$6,BEGIN_Renew_LIFE_PlanID:END_RENEW_LIFE,$A13,FALSE),"")</f>
        <v/>
      </c>
      <c r="U13" s="332" t="str">
        <f ca="1">IFERROR(VLOOKUP(U$6,BEGIN_Renew_LIFE_PlanID:END_RENEW_LIFE,$A13,FALSE),"")</f>
        <v/>
      </c>
      <c r="V13" s="332" t="str">
        <f ca="1">IFERROR(VLOOKUP(V$6,BEGIN_Renew_LIFE_PlanID:END_RENEW_LIFE,$A13,FALSE),"")</f>
        <v/>
      </c>
    </row>
    <row r="14" spans="1:22" ht="12.5">
      <c r="A14" s="3">
        <v>28</v>
      </c>
      <c r="B14" s="343" t="s">
        <v>198</v>
      </c>
      <c r="C14" s="332" t="str">
        <f ca="1">IFERROR(VLOOKUP(C$6,BEGIN_Renew_LIFE_PlanID:END_RENEW_LIFE,$A14,FALSE),"")</f>
        <v/>
      </c>
      <c r="D14" s="332" t="str">
        <f ca="1">IFERROR(VLOOKUP(D$6,BEGIN_Renew_LIFE_PlanID:END_RENEW_LIFE,$A14,FALSE),"")</f>
        <v/>
      </c>
      <c r="E14" s="332" t="str">
        <f ca="1">IFERROR(VLOOKUP(E$6,BEGIN_Renew_LIFE_PlanID:END_RENEW_LIFE,$A14,FALSE),"")</f>
        <v/>
      </c>
      <c r="F14" s="332" t="str">
        <f ca="1">IFERROR(VLOOKUP(F$6,BEGIN_Renew_LIFE_PlanID:END_RENEW_LIFE,$A14,FALSE),"")</f>
        <v/>
      </c>
      <c r="G14" s="332" t="str">
        <f ca="1">IFERROR(VLOOKUP(G$6,BEGIN_Renew_LIFE_PlanID:END_RENEW_LIFE,$A14,FALSE),"")</f>
        <v/>
      </c>
      <c r="H14" s="332" t="str">
        <f ca="1">IFERROR(VLOOKUP(H$6,BEGIN_Renew_LIFE_PlanID:END_RENEW_LIFE,$A14,FALSE),"")</f>
        <v/>
      </c>
      <c r="I14" s="332" t="str">
        <f ca="1">IFERROR(VLOOKUP(I$6,BEGIN_Renew_LIFE_PlanID:END_RENEW_LIFE,$A14,FALSE),"")</f>
        <v/>
      </c>
      <c r="J14" s="332" t="str">
        <f ca="1">IFERROR(VLOOKUP(J$6,BEGIN_Renew_LIFE_PlanID:END_RENEW_LIFE,$A14,FALSE),"")</f>
        <v/>
      </c>
      <c r="K14" s="332" t="str">
        <f ca="1">IFERROR(VLOOKUP(K$6,BEGIN_Renew_LIFE_PlanID:END_RENEW_LIFE,$A14,FALSE),"")</f>
        <v/>
      </c>
      <c r="L14" s="332" t="str">
        <f ca="1">IFERROR(VLOOKUP(L$6,BEGIN_Renew_LIFE_PlanID:END_RENEW_LIFE,$A14,FALSE),"")</f>
        <v/>
      </c>
      <c r="M14" s="332" t="str">
        <f ca="1">IFERROR(VLOOKUP(M$6,BEGIN_Renew_LIFE_PlanID:END_RENEW_LIFE,$A14,FALSE),"")</f>
        <v/>
      </c>
      <c r="N14" s="332" t="str">
        <f ca="1">IFERROR(VLOOKUP(N$6,BEGIN_Renew_LIFE_PlanID:END_RENEW_LIFE,$A14,FALSE),"")</f>
        <v/>
      </c>
      <c r="O14" s="332" t="str">
        <f ca="1">IFERROR(VLOOKUP(O$6,BEGIN_Renew_LIFE_PlanID:END_RENEW_LIFE,$A14,FALSE),"")</f>
        <v/>
      </c>
      <c r="P14" s="332" t="str">
        <f ca="1">IFERROR(VLOOKUP(P$6,BEGIN_Renew_LIFE_PlanID:END_RENEW_LIFE,$A14,FALSE),"")</f>
        <v/>
      </c>
      <c r="Q14" s="332" t="str">
        <f ca="1">IFERROR(VLOOKUP(Q$6,BEGIN_Renew_LIFE_PlanID:END_RENEW_LIFE,$A14,FALSE),"")</f>
        <v/>
      </c>
      <c r="R14" s="332" t="str">
        <f ca="1">IFERROR(VLOOKUP(R$6,BEGIN_Renew_LIFE_PlanID:END_RENEW_LIFE,$A14,FALSE),"")</f>
        <v/>
      </c>
      <c r="S14" s="332" t="str">
        <f ca="1">IFERROR(VLOOKUP(S$6,BEGIN_Renew_LIFE_PlanID:END_RENEW_LIFE,$A14,FALSE),"")</f>
        <v/>
      </c>
      <c r="T14" s="332" t="str">
        <f ca="1">IFERROR(VLOOKUP(T$6,BEGIN_Renew_LIFE_PlanID:END_RENEW_LIFE,$A14,FALSE),"")</f>
        <v/>
      </c>
      <c r="U14" s="332" t="str">
        <f ca="1">IFERROR(VLOOKUP(U$6,BEGIN_Renew_LIFE_PlanID:END_RENEW_LIFE,$A14,FALSE),"")</f>
        <v/>
      </c>
      <c r="V14" s="332" t="str">
        <f ca="1">IFERROR(VLOOKUP(V$6,BEGIN_Renew_LIFE_PlanID:END_RENEW_LIFE,$A14,FALSE),"")</f>
        <v/>
      </c>
    </row>
    <row r="15" spans="1:22" ht="12.5">
      <c r="A15" s="3">
        <v>29</v>
      </c>
      <c r="B15" s="343" t="s">
        <v>199</v>
      </c>
      <c r="C15" s="332" t="str">
        <f ca="1">IFERROR(VLOOKUP(C$6,BEGIN_Renew_LIFE_PlanID:END_RENEW_LIFE,$A15,FALSE),"")</f>
        <v/>
      </c>
      <c r="D15" s="332" t="str">
        <f ca="1">IFERROR(VLOOKUP(D$6,BEGIN_Renew_LIFE_PlanID:END_RENEW_LIFE,$A15,FALSE),"")</f>
        <v/>
      </c>
      <c r="E15" s="332" t="str">
        <f ca="1">IFERROR(VLOOKUP(E$6,BEGIN_Renew_LIFE_PlanID:END_RENEW_LIFE,$A15,FALSE),"")</f>
        <v/>
      </c>
      <c r="F15" s="332" t="str">
        <f ca="1">IFERROR(VLOOKUP(F$6,BEGIN_Renew_LIFE_PlanID:END_RENEW_LIFE,$A15,FALSE),"")</f>
        <v/>
      </c>
      <c r="G15" s="332" t="str">
        <f ca="1">IFERROR(VLOOKUP(G$6,BEGIN_Renew_LIFE_PlanID:END_RENEW_LIFE,$A15,FALSE),"")</f>
        <v/>
      </c>
      <c r="H15" s="332" t="str">
        <f ca="1">IFERROR(VLOOKUP(H$6,BEGIN_Renew_LIFE_PlanID:END_RENEW_LIFE,$A15,FALSE),"")</f>
        <v/>
      </c>
      <c r="I15" s="332" t="str">
        <f ca="1">IFERROR(VLOOKUP(I$6,BEGIN_Renew_LIFE_PlanID:END_RENEW_LIFE,$A15,FALSE),"")</f>
        <v/>
      </c>
      <c r="J15" s="332" t="str">
        <f ca="1">IFERROR(VLOOKUP(J$6,BEGIN_Renew_LIFE_PlanID:END_RENEW_LIFE,$A15,FALSE),"")</f>
        <v/>
      </c>
      <c r="K15" s="332" t="str">
        <f ca="1">IFERROR(VLOOKUP(K$6,BEGIN_Renew_LIFE_PlanID:END_RENEW_LIFE,$A15,FALSE),"")</f>
        <v/>
      </c>
      <c r="L15" s="332" t="str">
        <f ca="1">IFERROR(VLOOKUP(L$6,BEGIN_Renew_LIFE_PlanID:END_RENEW_LIFE,$A15,FALSE),"")</f>
        <v/>
      </c>
      <c r="M15" s="332" t="str">
        <f ca="1">IFERROR(VLOOKUP(M$6,BEGIN_Renew_LIFE_PlanID:END_RENEW_LIFE,$A15,FALSE),"")</f>
        <v/>
      </c>
      <c r="N15" s="332" t="str">
        <f ca="1">IFERROR(VLOOKUP(N$6,BEGIN_Renew_LIFE_PlanID:END_RENEW_LIFE,$A15,FALSE),"")</f>
        <v/>
      </c>
      <c r="O15" s="332" t="str">
        <f ca="1">IFERROR(VLOOKUP(O$6,BEGIN_Renew_LIFE_PlanID:END_RENEW_LIFE,$A15,FALSE),"")</f>
        <v/>
      </c>
      <c r="P15" s="332" t="str">
        <f ca="1">IFERROR(VLOOKUP(P$6,BEGIN_Renew_LIFE_PlanID:END_RENEW_LIFE,$A15,FALSE),"")</f>
        <v/>
      </c>
      <c r="Q15" s="332" t="str">
        <f ca="1">IFERROR(VLOOKUP(Q$6,BEGIN_Renew_LIFE_PlanID:END_RENEW_LIFE,$A15,FALSE),"")</f>
        <v/>
      </c>
      <c r="R15" s="332" t="str">
        <f ca="1">IFERROR(VLOOKUP(R$6,BEGIN_Renew_LIFE_PlanID:END_RENEW_LIFE,$A15,FALSE),"")</f>
        <v/>
      </c>
      <c r="S15" s="332" t="str">
        <f ca="1">IFERROR(VLOOKUP(S$6,BEGIN_Renew_LIFE_PlanID:END_RENEW_LIFE,$A15,FALSE),"")</f>
        <v/>
      </c>
      <c r="T15" s="332" t="str">
        <f ca="1">IFERROR(VLOOKUP(T$6,BEGIN_Renew_LIFE_PlanID:END_RENEW_LIFE,$A15,FALSE),"")</f>
        <v/>
      </c>
      <c r="U15" s="332" t="str">
        <f ca="1">IFERROR(VLOOKUP(U$6,BEGIN_Renew_LIFE_PlanID:END_RENEW_LIFE,$A15,FALSE),"")</f>
        <v/>
      </c>
      <c r="V15" s="332" t="str">
        <f ca="1">IFERROR(VLOOKUP(V$6,BEGIN_Renew_LIFE_PlanID:END_RENEW_LIFE,$A15,FALSE),"")</f>
        <v/>
      </c>
    </row>
    <row r="16" spans="1:22" ht="12.5">
      <c r="A16" s="3">
        <v>30</v>
      </c>
      <c r="B16" s="343" t="s">
        <v>200</v>
      </c>
      <c r="C16" s="332" t="str">
        <f ca="1">IFERROR(VLOOKUP(C$6,BEGIN_Renew_LIFE_PlanID:END_RENEW_LIFE,$A16,FALSE),"")</f>
        <v/>
      </c>
      <c r="D16" s="332" t="str">
        <f ca="1">IFERROR(VLOOKUP(D$6,BEGIN_Renew_LIFE_PlanID:END_RENEW_LIFE,$A16,FALSE),"")</f>
        <v/>
      </c>
      <c r="E16" s="332" t="str">
        <f ca="1">IFERROR(VLOOKUP(E$6,BEGIN_Renew_LIFE_PlanID:END_RENEW_LIFE,$A16,FALSE),"")</f>
        <v/>
      </c>
      <c r="F16" s="332" t="str">
        <f ca="1">IFERROR(VLOOKUP(F$6,BEGIN_Renew_LIFE_PlanID:END_RENEW_LIFE,$A16,FALSE),"")</f>
        <v/>
      </c>
      <c r="G16" s="332" t="str">
        <f ca="1">IFERROR(VLOOKUP(G$6,BEGIN_Renew_LIFE_PlanID:END_RENEW_LIFE,$A16,FALSE),"")</f>
        <v/>
      </c>
      <c r="H16" s="332" t="str">
        <f ca="1">IFERROR(VLOOKUP(H$6,BEGIN_Renew_LIFE_PlanID:END_RENEW_LIFE,$A16,FALSE),"")</f>
        <v/>
      </c>
      <c r="I16" s="332" t="str">
        <f ca="1">IFERROR(VLOOKUP(I$6,BEGIN_Renew_LIFE_PlanID:END_RENEW_LIFE,$A16,FALSE),"")</f>
        <v/>
      </c>
      <c r="J16" s="332" t="str">
        <f ca="1">IFERROR(VLOOKUP(J$6,BEGIN_Renew_LIFE_PlanID:END_RENEW_LIFE,$A16,FALSE),"")</f>
        <v/>
      </c>
      <c r="K16" s="332" t="str">
        <f ca="1">IFERROR(VLOOKUP(K$6,BEGIN_Renew_LIFE_PlanID:END_RENEW_LIFE,$A16,FALSE),"")</f>
        <v/>
      </c>
      <c r="L16" s="332" t="str">
        <f ca="1">IFERROR(VLOOKUP(L$6,BEGIN_Renew_LIFE_PlanID:END_RENEW_LIFE,$A16,FALSE),"")</f>
        <v/>
      </c>
      <c r="M16" s="332" t="str">
        <f ca="1">IFERROR(VLOOKUP(M$6,BEGIN_Renew_LIFE_PlanID:END_RENEW_LIFE,$A16,FALSE),"")</f>
        <v/>
      </c>
      <c r="N16" s="332" t="str">
        <f ca="1">IFERROR(VLOOKUP(N$6,BEGIN_Renew_LIFE_PlanID:END_RENEW_LIFE,$A16,FALSE),"")</f>
        <v/>
      </c>
      <c r="O16" s="332" t="str">
        <f ca="1">IFERROR(VLOOKUP(O$6,BEGIN_Renew_LIFE_PlanID:END_RENEW_LIFE,$A16,FALSE),"")</f>
        <v/>
      </c>
      <c r="P16" s="332" t="str">
        <f ca="1">IFERROR(VLOOKUP(P$6,BEGIN_Renew_LIFE_PlanID:END_RENEW_LIFE,$A16,FALSE),"")</f>
        <v/>
      </c>
      <c r="Q16" s="332" t="str">
        <f ca="1">IFERROR(VLOOKUP(Q$6,BEGIN_Renew_LIFE_PlanID:END_RENEW_LIFE,$A16,FALSE),"")</f>
        <v/>
      </c>
      <c r="R16" s="332" t="str">
        <f ca="1">IFERROR(VLOOKUP(R$6,BEGIN_Renew_LIFE_PlanID:END_RENEW_LIFE,$A16,FALSE),"")</f>
        <v/>
      </c>
      <c r="S16" s="332" t="str">
        <f ca="1">IFERROR(VLOOKUP(S$6,BEGIN_Renew_LIFE_PlanID:END_RENEW_LIFE,$A16,FALSE),"")</f>
        <v/>
      </c>
      <c r="T16" s="332" t="str">
        <f ca="1">IFERROR(VLOOKUP(T$6,BEGIN_Renew_LIFE_PlanID:END_RENEW_LIFE,$A16,FALSE),"")</f>
        <v/>
      </c>
      <c r="U16" s="332" t="str">
        <f ca="1">IFERROR(VLOOKUP(U$6,BEGIN_Renew_LIFE_PlanID:END_RENEW_LIFE,$A16,FALSE),"")</f>
        <v/>
      </c>
      <c r="V16" s="332" t="str">
        <f ca="1">IFERROR(VLOOKUP(V$6,BEGIN_Renew_LIFE_PlanID:END_RENEW_LIFE,$A16,FALSE),"")</f>
        <v/>
      </c>
    </row>
    <row r="17" spans="1:22" ht="12.5">
      <c r="A17" s="3">
        <v>31</v>
      </c>
      <c r="B17" s="343" t="s">
        <v>201</v>
      </c>
      <c r="C17" s="332" t="str">
        <f ca="1">IFERROR(VLOOKUP(C$6,BEGIN_Renew_LIFE_PlanID:END_RENEW_LIFE,$A17,FALSE),"")</f>
        <v/>
      </c>
      <c r="D17" s="332" t="str">
        <f ca="1">IFERROR(VLOOKUP(D$6,BEGIN_Renew_LIFE_PlanID:END_RENEW_LIFE,$A17,FALSE),"")</f>
        <v/>
      </c>
      <c r="E17" s="332" t="str">
        <f ca="1">IFERROR(VLOOKUP(E$6,BEGIN_Renew_LIFE_PlanID:END_RENEW_LIFE,$A17,FALSE),"")</f>
        <v/>
      </c>
      <c r="F17" s="332" t="str">
        <f ca="1">IFERROR(VLOOKUP(F$6,BEGIN_Renew_LIFE_PlanID:END_RENEW_LIFE,$A17,FALSE),"")</f>
        <v/>
      </c>
      <c r="G17" s="332" t="str">
        <f ca="1">IFERROR(VLOOKUP(G$6,BEGIN_Renew_LIFE_PlanID:END_RENEW_LIFE,$A17,FALSE),"")</f>
        <v/>
      </c>
      <c r="H17" s="332" t="str">
        <f ca="1">IFERROR(VLOOKUP(H$6,BEGIN_Renew_LIFE_PlanID:END_RENEW_LIFE,$A17,FALSE),"")</f>
        <v/>
      </c>
      <c r="I17" s="332" t="str">
        <f ca="1">IFERROR(VLOOKUP(I$6,BEGIN_Renew_LIFE_PlanID:END_RENEW_LIFE,$A17,FALSE),"")</f>
        <v/>
      </c>
      <c r="J17" s="332" t="str">
        <f ca="1">IFERROR(VLOOKUP(J$6,BEGIN_Renew_LIFE_PlanID:END_RENEW_LIFE,$A17,FALSE),"")</f>
        <v/>
      </c>
      <c r="K17" s="332" t="str">
        <f ca="1">IFERROR(VLOOKUP(K$6,BEGIN_Renew_LIFE_PlanID:END_RENEW_LIFE,$A17,FALSE),"")</f>
        <v/>
      </c>
      <c r="L17" s="332" t="str">
        <f ca="1">IFERROR(VLOOKUP(L$6,BEGIN_Renew_LIFE_PlanID:END_RENEW_LIFE,$A17,FALSE),"")</f>
        <v/>
      </c>
      <c r="M17" s="332" t="str">
        <f ca="1">IFERROR(VLOOKUP(M$6,BEGIN_Renew_LIFE_PlanID:END_RENEW_LIFE,$A17,FALSE),"")</f>
        <v/>
      </c>
      <c r="N17" s="332" t="str">
        <f ca="1">IFERROR(VLOOKUP(N$6,BEGIN_Renew_LIFE_PlanID:END_RENEW_LIFE,$A17,FALSE),"")</f>
        <v/>
      </c>
      <c r="O17" s="332" t="str">
        <f ca="1">IFERROR(VLOOKUP(O$6,BEGIN_Renew_LIFE_PlanID:END_RENEW_LIFE,$A17,FALSE),"")</f>
        <v/>
      </c>
      <c r="P17" s="332" t="str">
        <f ca="1">IFERROR(VLOOKUP(P$6,BEGIN_Renew_LIFE_PlanID:END_RENEW_LIFE,$A17,FALSE),"")</f>
        <v/>
      </c>
      <c r="Q17" s="332" t="str">
        <f ca="1">IFERROR(VLOOKUP(Q$6,BEGIN_Renew_LIFE_PlanID:END_RENEW_LIFE,$A17,FALSE),"")</f>
        <v/>
      </c>
      <c r="R17" s="332" t="str">
        <f ca="1">IFERROR(VLOOKUP(R$6,BEGIN_Renew_LIFE_PlanID:END_RENEW_LIFE,$A17,FALSE),"")</f>
        <v/>
      </c>
      <c r="S17" s="332" t="str">
        <f ca="1">IFERROR(VLOOKUP(S$6,BEGIN_Renew_LIFE_PlanID:END_RENEW_LIFE,$A17,FALSE),"")</f>
        <v/>
      </c>
      <c r="T17" s="332" t="str">
        <f ca="1">IFERROR(VLOOKUP(T$6,BEGIN_Renew_LIFE_PlanID:END_RENEW_LIFE,$A17,FALSE),"")</f>
        <v/>
      </c>
      <c r="U17" s="332" t="str">
        <f ca="1">IFERROR(VLOOKUP(U$6,BEGIN_Renew_LIFE_PlanID:END_RENEW_LIFE,$A17,FALSE),"")</f>
        <v/>
      </c>
      <c r="V17" s="332" t="str">
        <f ca="1">IFERROR(VLOOKUP(V$6,BEGIN_Renew_LIFE_PlanID:END_RENEW_LIFE,$A17,FALSE),"")</f>
        <v/>
      </c>
    </row>
    <row r="18" spans="1:22" ht="12.5">
      <c r="A18" s="3">
        <v>32</v>
      </c>
      <c r="B18" s="343" t="s">
        <v>202</v>
      </c>
      <c r="C18" s="332" t="str">
        <f ca="1">IFERROR(VLOOKUP(C$6,BEGIN_Renew_LIFE_PlanID:END_RENEW_LIFE,$A18,FALSE),"")</f>
        <v/>
      </c>
      <c r="D18" s="332" t="str">
        <f ca="1">IFERROR(VLOOKUP(D$6,BEGIN_Renew_LIFE_PlanID:END_RENEW_LIFE,$A18,FALSE),"")</f>
        <v/>
      </c>
      <c r="E18" s="332" t="str">
        <f ca="1">IFERROR(VLOOKUP(E$6,BEGIN_Renew_LIFE_PlanID:END_RENEW_LIFE,$A18,FALSE),"")</f>
        <v/>
      </c>
      <c r="F18" s="332" t="str">
        <f ca="1">IFERROR(VLOOKUP(F$6,BEGIN_Renew_LIFE_PlanID:END_RENEW_LIFE,$A18,FALSE),"")</f>
        <v/>
      </c>
      <c r="G18" s="332" t="str">
        <f ca="1">IFERROR(VLOOKUP(G$6,BEGIN_Renew_LIFE_PlanID:END_RENEW_LIFE,$A18,FALSE),"")</f>
        <v/>
      </c>
      <c r="H18" s="332" t="str">
        <f ca="1">IFERROR(VLOOKUP(H$6,BEGIN_Renew_LIFE_PlanID:END_RENEW_LIFE,$A18,FALSE),"")</f>
        <v/>
      </c>
      <c r="I18" s="332" t="str">
        <f ca="1">IFERROR(VLOOKUP(I$6,BEGIN_Renew_LIFE_PlanID:END_RENEW_LIFE,$A18,FALSE),"")</f>
        <v/>
      </c>
      <c r="J18" s="332" t="str">
        <f ca="1">IFERROR(VLOOKUP(J$6,BEGIN_Renew_LIFE_PlanID:END_RENEW_LIFE,$A18,FALSE),"")</f>
        <v/>
      </c>
      <c r="K18" s="332" t="str">
        <f ca="1">IFERROR(VLOOKUP(K$6,BEGIN_Renew_LIFE_PlanID:END_RENEW_LIFE,$A18,FALSE),"")</f>
        <v/>
      </c>
      <c r="L18" s="332" t="str">
        <f ca="1">IFERROR(VLOOKUP(L$6,BEGIN_Renew_LIFE_PlanID:END_RENEW_LIFE,$A18,FALSE),"")</f>
        <v/>
      </c>
      <c r="M18" s="332" t="str">
        <f ca="1">IFERROR(VLOOKUP(M$6,BEGIN_Renew_LIFE_PlanID:END_RENEW_LIFE,$A18,FALSE),"")</f>
        <v/>
      </c>
      <c r="N18" s="332" t="str">
        <f ca="1">IFERROR(VLOOKUP(N$6,BEGIN_Renew_LIFE_PlanID:END_RENEW_LIFE,$A18,FALSE),"")</f>
        <v/>
      </c>
      <c r="O18" s="332" t="str">
        <f ca="1">IFERROR(VLOOKUP(O$6,BEGIN_Renew_LIFE_PlanID:END_RENEW_LIFE,$A18,FALSE),"")</f>
        <v/>
      </c>
      <c r="P18" s="332" t="str">
        <f ca="1">IFERROR(VLOOKUP(P$6,BEGIN_Renew_LIFE_PlanID:END_RENEW_LIFE,$A18,FALSE),"")</f>
        <v/>
      </c>
      <c r="Q18" s="332" t="str">
        <f ca="1">IFERROR(VLOOKUP(Q$6,BEGIN_Renew_LIFE_PlanID:END_RENEW_LIFE,$A18,FALSE),"")</f>
        <v/>
      </c>
      <c r="R18" s="332" t="str">
        <f ca="1">IFERROR(VLOOKUP(R$6,BEGIN_Renew_LIFE_PlanID:END_RENEW_LIFE,$A18,FALSE),"")</f>
        <v/>
      </c>
      <c r="S18" s="332" t="str">
        <f ca="1">IFERROR(VLOOKUP(S$6,BEGIN_Renew_LIFE_PlanID:END_RENEW_LIFE,$A18,FALSE),"")</f>
        <v/>
      </c>
      <c r="T18" s="332" t="str">
        <f ca="1">IFERROR(VLOOKUP(T$6,BEGIN_Renew_LIFE_PlanID:END_RENEW_LIFE,$A18,FALSE),"")</f>
        <v/>
      </c>
      <c r="U18" s="332" t="str">
        <f ca="1">IFERROR(VLOOKUP(U$6,BEGIN_Renew_LIFE_PlanID:END_RENEW_LIFE,$A18,FALSE),"")</f>
        <v/>
      </c>
      <c r="V18" s="332" t="str">
        <f ca="1">IFERROR(VLOOKUP(V$6,BEGIN_Renew_LIFE_PlanID:END_RENEW_LIFE,$A18,FALSE),"")</f>
        <v/>
      </c>
    </row>
    <row r="19" spans="2:22" ht="12.5">
      <c r="B19" s="261"/>
      <c r="C19" s="262"/>
      <c r="D19" s="262"/>
      <c r="E19" s="262"/>
      <c r="F19" s="262" t="str">
        <f ca="1">IFERROR(VLOOKUP(F$6,BEGIN_RENEW_HEALTH_PLANID:END_RENEW_HEALTH,$A19,FALSE),"")</f>
        <v/>
      </c>
      <c r="G19" s="262" t="str">
        <f ca="1">IFERROR(VLOOKUP(G$6,BEGIN_RENEW_HEALTH_PLANID:END_RENEW_HEALTH,$A19,FALSE),"")</f>
        <v/>
      </c>
      <c r="H19" s="262" t="str">
        <f ca="1">IFERROR(VLOOKUP(H$6,BEGIN_RENEW_HEALTH_PLANID:END_RENEW_HEALTH,$A19,FALSE),"")</f>
        <v/>
      </c>
      <c r="I19" s="262" t="str">
        <f ca="1">IFERROR(VLOOKUP(I$6,BEGIN_RENEW_HEALTH_PLANID:END_RENEW_HEALTH,$A19,FALSE),"")</f>
        <v/>
      </c>
      <c r="J19" s="262" t="str">
        <f ca="1">IFERROR(VLOOKUP(J$6,BEGIN_RENEW_HEALTH_PLANID:END_RENEW_HEALTH,$A19,FALSE),"")</f>
        <v/>
      </c>
      <c r="K19" s="262" t="str">
        <f ca="1">IFERROR(VLOOKUP(K$6,BEGIN_RENEW_HEALTH_PLANID:END_RENEW_HEALTH,$A19,FALSE),"")</f>
        <v/>
      </c>
      <c r="L19" s="262" t="str">
        <f ca="1">IFERROR(VLOOKUP(L$6,BEGIN_RENEW_HEALTH_PLANID:END_RENEW_HEALTH,$A19,FALSE),"")</f>
        <v/>
      </c>
      <c r="M19" s="262"/>
      <c r="N19" s="262"/>
      <c r="O19" s="262"/>
      <c r="P19" s="262" t="str">
        <f ca="1">IFERROR(VLOOKUP(P$6,BEGIN_RENEW_HEALTH_PLANID:END_RENEW_HEALTH,$A19,FALSE),"")</f>
        <v/>
      </c>
      <c r="Q19" s="262" t="str">
        <f ca="1">IFERROR(VLOOKUP(Q$6,BEGIN_RENEW_HEALTH_PLANID:END_RENEW_HEALTH,$A19,FALSE),"")</f>
        <v/>
      </c>
      <c r="R19" s="262" t="str">
        <f ca="1">IFERROR(VLOOKUP(R$6,BEGIN_RENEW_HEALTH_PLANID:END_RENEW_HEALTH,$A19,FALSE),"")</f>
        <v/>
      </c>
      <c r="S19" s="262" t="str">
        <f ca="1">IFERROR(VLOOKUP(S$6,BEGIN_RENEW_HEALTH_PLANID:END_RENEW_HEALTH,$A19,FALSE),"")</f>
        <v/>
      </c>
      <c r="T19" s="262" t="str">
        <f ca="1">IFERROR(VLOOKUP(T$6,BEGIN_RENEW_HEALTH_PLANID:END_RENEW_HEALTH,$A19,FALSE),"")</f>
        <v/>
      </c>
      <c r="U19" s="262" t="str">
        <f ca="1">IFERROR(VLOOKUP(U$6,BEGIN_RENEW_HEALTH_PLANID:END_RENEW_HEALTH,$A19,FALSE),"")</f>
        <v/>
      </c>
      <c r="V19" s="262" t="str">
        <f ca="1">IFERROR(VLOOKUP(V$6,BEGIN_RENEW_HEALTH_PLANID:END_RENEW_HEALTH,$A19,FALSE),"")</f>
        <v/>
      </c>
    </row>
    <row r="20" spans="2:22" ht="12.5">
      <c r="B20" s="261"/>
      <c r="C20" s="262"/>
      <c r="D20" s="262"/>
      <c r="E20" s="262"/>
      <c r="F20" s="262" t="str">
        <f ca="1">IFERROR(VLOOKUP(F$6,BEGIN_RENEW_HEALTH_PLANID:END_RENEW_HEALTH,$A20,FALSE),"")</f>
        <v/>
      </c>
      <c r="G20" s="262" t="str">
        <f ca="1">IFERROR(VLOOKUP(G$6,BEGIN_RENEW_HEALTH_PLANID:END_RENEW_HEALTH,$A20,FALSE),"")</f>
        <v/>
      </c>
      <c r="H20" s="262" t="str">
        <f ca="1">IFERROR(VLOOKUP(H$6,BEGIN_RENEW_HEALTH_PLANID:END_RENEW_HEALTH,$A20,FALSE),"")</f>
        <v/>
      </c>
      <c r="I20" s="262" t="str">
        <f ca="1">IFERROR(VLOOKUP(I$6,BEGIN_RENEW_HEALTH_PLANID:END_RENEW_HEALTH,$A20,FALSE),"")</f>
        <v/>
      </c>
      <c r="J20" s="262" t="str">
        <f ca="1">IFERROR(VLOOKUP(J$6,BEGIN_RENEW_HEALTH_PLANID:END_RENEW_HEALTH,$A20,FALSE),"")</f>
        <v/>
      </c>
      <c r="K20" s="262" t="str">
        <f ca="1">IFERROR(VLOOKUP(K$6,BEGIN_RENEW_HEALTH_PLANID:END_RENEW_HEALTH,$A20,FALSE),"")</f>
        <v/>
      </c>
      <c r="L20" s="262" t="str">
        <f ca="1">IFERROR(VLOOKUP(L$6,BEGIN_RENEW_HEALTH_PLANID:END_RENEW_HEALTH,$A20,FALSE),"")</f>
        <v/>
      </c>
      <c r="M20" s="262"/>
      <c r="N20" s="262"/>
      <c r="O20" s="262"/>
      <c r="P20" s="262" t="str">
        <f ca="1">IFERROR(VLOOKUP(P$6,BEGIN_RENEW_HEALTH_PLANID:END_RENEW_HEALTH,$A20,FALSE),"")</f>
        <v/>
      </c>
      <c r="Q20" s="262" t="str">
        <f ca="1">IFERROR(VLOOKUP(Q$6,BEGIN_RENEW_HEALTH_PLANID:END_RENEW_HEALTH,$A20,FALSE),"")</f>
        <v/>
      </c>
      <c r="R20" s="262" t="str">
        <f ca="1">IFERROR(VLOOKUP(R$6,BEGIN_RENEW_HEALTH_PLANID:END_RENEW_HEALTH,$A20,FALSE),"")</f>
        <v/>
      </c>
      <c r="S20" s="262" t="str">
        <f ca="1">IFERROR(VLOOKUP(S$6,BEGIN_RENEW_HEALTH_PLANID:END_RENEW_HEALTH,$A20,FALSE),"")</f>
        <v/>
      </c>
      <c r="T20" s="262" t="str">
        <f ca="1">IFERROR(VLOOKUP(T$6,BEGIN_RENEW_HEALTH_PLANID:END_RENEW_HEALTH,$A20,FALSE),"")</f>
        <v/>
      </c>
      <c r="U20" s="262" t="str">
        <f ca="1">IFERROR(VLOOKUP(U$6,BEGIN_RENEW_HEALTH_PLANID:END_RENEW_HEALTH,$A20,FALSE),"")</f>
        <v/>
      </c>
      <c r="V20" s="262" t="str">
        <f ca="1">IFERROR(VLOOKUP(V$6,BEGIN_RENEW_HEALTH_PLANID:END_RENEW_HEALTH,$A20,FALSE),"")</f>
        <v/>
      </c>
    </row>
    <row r="21" spans="2:22" ht="12.5">
      <c r="B21" s="261"/>
      <c r="C21" s="262"/>
      <c r="D21" s="262"/>
      <c r="E21" s="262"/>
      <c r="F21" s="262" t="str">
        <f ca="1">IFERROR(VLOOKUP(F$6,BEGIN_RENEW_HEALTH_PLANID:END_RENEW_HEALTH,$A21,FALSE),"")</f>
        <v/>
      </c>
      <c r="G21" s="262" t="str">
        <f ca="1">IFERROR(VLOOKUP(G$6,BEGIN_RENEW_HEALTH_PLANID:END_RENEW_HEALTH,$A21,FALSE),"")</f>
        <v/>
      </c>
      <c r="H21" s="262" t="str">
        <f ca="1">IFERROR(VLOOKUP(H$6,BEGIN_RENEW_HEALTH_PLANID:END_RENEW_HEALTH,$A21,FALSE),"")</f>
        <v/>
      </c>
      <c r="I21" s="262" t="str">
        <f ca="1">IFERROR(VLOOKUP(I$6,BEGIN_RENEW_HEALTH_PLANID:END_RENEW_HEALTH,$A21,FALSE),"")</f>
        <v/>
      </c>
      <c r="J21" s="262" t="str">
        <f ca="1">IFERROR(VLOOKUP(J$6,BEGIN_RENEW_HEALTH_PLANID:END_RENEW_HEALTH,$A21,FALSE),"")</f>
        <v/>
      </c>
      <c r="K21" s="262" t="str">
        <f ca="1">IFERROR(VLOOKUP(K$6,BEGIN_RENEW_HEALTH_PLANID:END_RENEW_HEALTH,$A21,FALSE),"")</f>
        <v/>
      </c>
      <c r="L21" s="262" t="str">
        <f ca="1">IFERROR(VLOOKUP(L$6,BEGIN_RENEW_HEALTH_PLANID:END_RENEW_HEALTH,$A21,FALSE),"")</f>
        <v/>
      </c>
      <c r="M21" s="262"/>
      <c r="N21" s="262"/>
      <c r="O21" s="262"/>
      <c r="P21" s="262" t="str">
        <f ca="1">IFERROR(VLOOKUP(P$6,BEGIN_RENEW_HEALTH_PLANID:END_RENEW_HEALTH,$A21,FALSE),"")</f>
        <v/>
      </c>
      <c r="Q21" s="262" t="str">
        <f ca="1">IFERROR(VLOOKUP(Q$6,BEGIN_RENEW_HEALTH_PLANID:END_RENEW_HEALTH,$A21,FALSE),"")</f>
        <v/>
      </c>
      <c r="R21" s="262" t="str">
        <f ca="1">IFERROR(VLOOKUP(R$6,BEGIN_RENEW_HEALTH_PLANID:END_RENEW_HEALTH,$A21,FALSE),"")</f>
        <v/>
      </c>
      <c r="S21" s="262" t="str">
        <f ca="1">IFERROR(VLOOKUP(S$6,BEGIN_RENEW_HEALTH_PLANID:END_RENEW_HEALTH,$A21,FALSE),"")</f>
        <v/>
      </c>
      <c r="T21" s="262" t="str">
        <f ca="1">IFERROR(VLOOKUP(T$6,BEGIN_RENEW_HEALTH_PLANID:END_RENEW_HEALTH,$A21,FALSE),"")</f>
        <v/>
      </c>
      <c r="U21" s="262" t="str">
        <f ca="1">IFERROR(VLOOKUP(U$6,BEGIN_RENEW_HEALTH_PLANID:END_RENEW_HEALTH,$A21,FALSE),"")</f>
        <v/>
      </c>
      <c r="V21" s="262" t="str">
        <f ca="1">IFERROR(VLOOKUP(V$6,BEGIN_RENEW_HEALTH_PLANID:END_RENEW_HEALTH,$A21,FALSE),"")</f>
        <v/>
      </c>
    </row>
    <row r="22" spans="2:22" ht="12.5">
      <c r="B22" s="261"/>
      <c r="C22" s="262"/>
      <c r="D22" s="262"/>
      <c r="E22" s="262"/>
      <c r="F22" s="262" t="str">
        <f ca="1">IFERROR(VLOOKUP(F$6,BEGIN_RENEW_HEALTH_PLANID:END_RENEW_HEALTH,$A22,FALSE),"")</f>
        <v/>
      </c>
      <c r="G22" s="262" t="str">
        <f ca="1">IFERROR(VLOOKUP(G$6,BEGIN_RENEW_HEALTH_PLANID:END_RENEW_HEALTH,$A22,FALSE),"")</f>
        <v/>
      </c>
      <c r="H22" s="262" t="str">
        <f ca="1">IFERROR(VLOOKUP(H$6,BEGIN_RENEW_HEALTH_PLANID:END_RENEW_HEALTH,$A22,FALSE),"")</f>
        <v/>
      </c>
      <c r="I22" s="262" t="str">
        <f ca="1">IFERROR(VLOOKUP(I$6,BEGIN_RENEW_HEALTH_PLANID:END_RENEW_HEALTH,$A22,FALSE),"")</f>
        <v/>
      </c>
      <c r="J22" s="262" t="str">
        <f ca="1">IFERROR(VLOOKUP(J$6,BEGIN_RENEW_HEALTH_PLANID:END_RENEW_HEALTH,$A22,FALSE),"")</f>
        <v/>
      </c>
      <c r="K22" s="262" t="str">
        <f ca="1">IFERROR(VLOOKUP(K$6,BEGIN_RENEW_HEALTH_PLANID:END_RENEW_HEALTH,$A22,FALSE),"")</f>
        <v/>
      </c>
      <c r="L22" s="262" t="str">
        <f ca="1">IFERROR(VLOOKUP(L$6,BEGIN_RENEW_HEALTH_PLANID:END_RENEW_HEALTH,$A22,FALSE),"")</f>
        <v/>
      </c>
      <c r="M22" s="262"/>
      <c r="N22" s="262"/>
      <c r="O22" s="262"/>
      <c r="P22" s="262" t="str">
        <f ca="1">IFERROR(VLOOKUP(P$6,BEGIN_RENEW_HEALTH_PLANID:END_RENEW_HEALTH,$A22,FALSE),"")</f>
        <v/>
      </c>
      <c r="Q22" s="262" t="str">
        <f ca="1">IFERROR(VLOOKUP(Q$6,BEGIN_RENEW_HEALTH_PLANID:END_RENEW_HEALTH,$A22,FALSE),"")</f>
        <v/>
      </c>
      <c r="R22" s="262" t="str">
        <f ca="1">IFERROR(VLOOKUP(R$6,BEGIN_RENEW_HEALTH_PLANID:END_RENEW_HEALTH,$A22,FALSE),"")</f>
        <v/>
      </c>
      <c r="S22" s="262" t="str">
        <f ca="1">IFERROR(VLOOKUP(S$6,BEGIN_RENEW_HEALTH_PLANID:END_RENEW_HEALTH,$A22,FALSE),"")</f>
        <v/>
      </c>
      <c r="T22" s="262" t="str">
        <f ca="1">IFERROR(VLOOKUP(T$6,BEGIN_RENEW_HEALTH_PLANID:END_RENEW_HEALTH,$A22,FALSE),"")</f>
        <v/>
      </c>
      <c r="U22" s="262" t="str">
        <f ca="1">IFERROR(VLOOKUP(U$6,BEGIN_RENEW_HEALTH_PLANID:END_RENEW_HEALTH,$A22,FALSE),"")</f>
        <v/>
      </c>
      <c r="V22" s="262" t="str">
        <f ca="1">IFERROR(VLOOKUP(V$6,BEGIN_RENEW_HEALTH_PLANID:END_RENEW_HEALTH,$A22,FALSE),"")</f>
        <v/>
      </c>
    </row>
    <row r="23" spans="2:22" ht="12.5">
      <c r="B23" s="261"/>
      <c r="C23" s="262"/>
      <c r="D23" s="262"/>
      <c r="E23" s="262"/>
      <c r="F23" s="262" t="str">
        <f ca="1">IFERROR(VLOOKUP(F$6,BEGIN_RENEW_HEALTH_PLANID:END_RENEW_HEALTH,$A23,FALSE),"")</f>
        <v/>
      </c>
      <c r="G23" s="262" t="str">
        <f ca="1">IFERROR(VLOOKUP(G$6,BEGIN_RENEW_HEALTH_PLANID:END_RENEW_HEALTH,$A23,FALSE),"")</f>
        <v/>
      </c>
      <c r="H23" s="262" t="str">
        <f ca="1">IFERROR(VLOOKUP(H$6,BEGIN_RENEW_HEALTH_PLANID:END_RENEW_HEALTH,$A23,FALSE),"")</f>
        <v/>
      </c>
      <c r="I23" s="262" t="str">
        <f ca="1">IFERROR(VLOOKUP(I$6,BEGIN_RENEW_HEALTH_PLANID:END_RENEW_HEALTH,$A23,FALSE),"")</f>
        <v/>
      </c>
      <c r="J23" s="262" t="str">
        <f ca="1">IFERROR(VLOOKUP(J$6,BEGIN_RENEW_HEALTH_PLANID:END_RENEW_HEALTH,$A23,FALSE),"")</f>
        <v/>
      </c>
      <c r="K23" s="262" t="str">
        <f ca="1">IFERROR(VLOOKUP(K$6,BEGIN_RENEW_HEALTH_PLANID:END_RENEW_HEALTH,$A23,FALSE),"")</f>
        <v/>
      </c>
      <c r="L23" s="262" t="str">
        <f ca="1">IFERROR(VLOOKUP(L$6,BEGIN_RENEW_HEALTH_PLANID:END_RENEW_HEALTH,$A23,FALSE),"")</f>
        <v/>
      </c>
      <c r="M23" s="262"/>
      <c r="N23" s="262"/>
      <c r="O23" s="262"/>
      <c r="P23" s="262" t="str">
        <f ca="1">IFERROR(VLOOKUP(P$6,BEGIN_RENEW_HEALTH_PLANID:END_RENEW_HEALTH,$A23,FALSE),"")</f>
        <v/>
      </c>
      <c r="Q23" s="262" t="str">
        <f ca="1">IFERROR(VLOOKUP(Q$6,BEGIN_RENEW_HEALTH_PLANID:END_RENEW_HEALTH,$A23,FALSE),"")</f>
        <v/>
      </c>
      <c r="R23" s="262" t="str">
        <f ca="1">IFERROR(VLOOKUP(R$6,BEGIN_RENEW_HEALTH_PLANID:END_RENEW_HEALTH,$A23,FALSE),"")</f>
        <v/>
      </c>
      <c r="S23" s="262" t="str">
        <f ca="1">IFERROR(VLOOKUP(S$6,BEGIN_RENEW_HEALTH_PLANID:END_RENEW_HEALTH,$A23,FALSE),"")</f>
        <v/>
      </c>
      <c r="T23" s="262" t="str">
        <f ca="1">IFERROR(VLOOKUP(T$6,BEGIN_RENEW_HEALTH_PLANID:END_RENEW_HEALTH,$A23,FALSE),"")</f>
        <v/>
      </c>
      <c r="U23" s="262" t="str">
        <f ca="1">IFERROR(VLOOKUP(U$6,BEGIN_RENEW_HEALTH_PLANID:END_RENEW_HEALTH,$A23,FALSE),"")</f>
        <v/>
      </c>
      <c r="V23" s="262" t="str">
        <f ca="1">IFERROR(VLOOKUP(V$6,BEGIN_RENEW_HEALTH_PLANID:END_RENEW_HEALTH,$A23,FALSE),"")</f>
        <v/>
      </c>
    </row>
    <row r="24" spans="2:22" ht="12.5">
      <c r="B24" s="261"/>
      <c r="C24" s="262"/>
      <c r="D24" s="262"/>
      <c r="E24" s="262"/>
      <c r="F24" s="262" t="str">
        <f ca="1">IFERROR(VLOOKUP(F$6,BEGIN_RENEW_HEALTH_PLANID:END_RENEW_HEALTH,$A24,FALSE),"")</f>
        <v/>
      </c>
      <c r="G24" s="262" t="str">
        <f ca="1">IFERROR(VLOOKUP(G$6,BEGIN_RENEW_HEALTH_PLANID:END_RENEW_HEALTH,$A24,FALSE),"")</f>
        <v/>
      </c>
      <c r="H24" s="262" t="str">
        <f ca="1">IFERROR(VLOOKUP(H$6,BEGIN_RENEW_HEALTH_PLANID:END_RENEW_HEALTH,$A24,FALSE),"")</f>
        <v/>
      </c>
      <c r="I24" s="262" t="str">
        <f ca="1">IFERROR(VLOOKUP(I$6,BEGIN_RENEW_HEALTH_PLANID:END_RENEW_HEALTH,$A24,FALSE),"")</f>
        <v/>
      </c>
      <c r="J24" s="262" t="str">
        <f ca="1">IFERROR(VLOOKUP(J$6,BEGIN_RENEW_HEALTH_PLANID:END_RENEW_HEALTH,$A24,FALSE),"")</f>
        <v/>
      </c>
      <c r="K24" s="262" t="str">
        <f ca="1">IFERROR(VLOOKUP(K$6,BEGIN_RENEW_HEALTH_PLANID:END_RENEW_HEALTH,$A24,FALSE),"")</f>
        <v/>
      </c>
      <c r="L24" s="262" t="str">
        <f ca="1">IFERROR(VLOOKUP(L$6,BEGIN_RENEW_HEALTH_PLANID:END_RENEW_HEALTH,$A24,FALSE),"")</f>
        <v/>
      </c>
      <c r="M24" s="262"/>
      <c r="N24" s="262"/>
      <c r="O24" s="262"/>
      <c r="P24" s="262" t="str">
        <f ca="1">IFERROR(VLOOKUP(P$6,BEGIN_RENEW_HEALTH_PLANID:END_RENEW_HEALTH,$A24,FALSE),"")</f>
        <v/>
      </c>
      <c r="Q24" s="262" t="str">
        <f ca="1">IFERROR(VLOOKUP(Q$6,BEGIN_RENEW_HEALTH_PLANID:END_RENEW_HEALTH,$A24,FALSE),"")</f>
        <v/>
      </c>
      <c r="R24" s="262" t="str">
        <f ca="1">IFERROR(VLOOKUP(R$6,BEGIN_RENEW_HEALTH_PLANID:END_RENEW_HEALTH,$A24,FALSE),"")</f>
        <v/>
      </c>
      <c r="S24" s="262" t="str">
        <f ca="1">IFERROR(VLOOKUP(S$6,BEGIN_RENEW_HEALTH_PLANID:END_RENEW_HEALTH,$A24,FALSE),"")</f>
        <v/>
      </c>
      <c r="T24" s="262" t="str">
        <f ca="1">IFERROR(VLOOKUP(T$6,BEGIN_RENEW_HEALTH_PLANID:END_RENEW_HEALTH,$A24,FALSE),"")</f>
        <v/>
      </c>
      <c r="U24" s="262" t="str">
        <f ca="1">IFERROR(VLOOKUP(U$6,BEGIN_RENEW_HEALTH_PLANID:END_RENEW_HEALTH,$A24,FALSE),"")</f>
        <v/>
      </c>
      <c r="V24" s="262" t="str">
        <f ca="1">IFERROR(VLOOKUP(V$6,BEGIN_RENEW_HEALTH_PLANID:END_RENEW_HEALTH,$A24,FALSE),"")</f>
        <v/>
      </c>
    </row>
    <row r="25" spans="2:22" ht="12.5">
      <c r="B25" s="261"/>
      <c r="C25" s="262"/>
      <c r="D25" s="262"/>
      <c r="E25" s="262"/>
      <c r="F25" s="262" t="str">
        <f ca="1">IFERROR(VLOOKUP(F$6,BEGIN_RENEW_HEALTH_PLANID:END_RENEW_HEALTH,$A25,FALSE),"")</f>
        <v/>
      </c>
      <c r="G25" s="262" t="str">
        <f ca="1">IFERROR(VLOOKUP(G$6,BEGIN_RENEW_HEALTH_PLANID:END_RENEW_HEALTH,$A25,FALSE),"")</f>
        <v/>
      </c>
      <c r="H25" s="262" t="str">
        <f ca="1">IFERROR(VLOOKUP(H$6,BEGIN_RENEW_HEALTH_PLANID:END_RENEW_HEALTH,$A25,FALSE),"")</f>
        <v/>
      </c>
      <c r="I25" s="262" t="str">
        <f ca="1">IFERROR(VLOOKUP(I$6,BEGIN_RENEW_HEALTH_PLANID:END_RENEW_HEALTH,$A25,FALSE),"")</f>
        <v/>
      </c>
      <c r="J25" s="262" t="str">
        <f ca="1">IFERROR(VLOOKUP(J$6,BEGIN_RENEW_HEALTH_PLANID:END_RENEW_HEALTH,$A25,FALSE),"")</f>
        <v/>
      </c>
      <c r="K25" s="262" t="str">
        <f ca="1">IFERROR(VLOOKUP(K$6,BEGIN_RENEW_HEALTH_PLANID:END_RENEW_HEALTH,$A25,FALSE),"")</f>
        <v/>
      </c>
      <c r="L25" s="262" t="str">
        <f ca="1">IFERROR(VLOOKUP(L$6,BEGIN_RENEW_HEALTH_PLANID:END_RENEW_HEALTH,$A25,FALSE),"")</f>
        <v/>
      </c>
      <c r="M25" s="262"/>
      <c r="N25" s="262"/>
      <c r="O25" s="262"/>
      <c r="P25" s="262" t="str">
        <f ca="1">IFERROR(VLOOKUP(P$6,BEGIN_RENEW_HEALTH_PLANID:END_RENEW_HEALTH,$A25,FALSE),"")</f>
        <v/>
      </c>
      <c r="Q25" s="262" t="str">
        <f ca="1">IFERROR(VLOOKUP(Q$6,BEGIN_RENEW_HEALTH_PLANID:END_RENEW_HEALTH,$A25,FALSE),"")</f>
        <v/>
      </c>
      <c r="R25" s="262" t="str">
        <f ca="1">IFERROR(VLOOKUP(R$6,BEGIN_RENEW_HEALTH_PLANID:END_RENEW_HEALTH,$A25,FALSE),"")</f>
        <v/>
      </c>
      <c r="S25" s="262" t="str">
        <f ca="1">IFERROR(VLOOKUP(S$6,BEGIN_RENEW_HEALTH_PLANID:END_RENEW_HEALTH,$A25,FALSE),"")</f>
        <v/>
      </c>
      <c r="T25" s="262" t="str">
        <f ca="1">IFERROR(VLOOKUP(T$6,BEGIN_RENEW_HEALTH_PLANID:END_RENEW_HEALTH,$A25,FALSE),"")</f>
        <v/>
      </c>
      <c r="U25" s="262" t="str">
        <f ca="1">IFERROR(VLOOKUP(U$6,BEGIN_RENEW_HEALTH_PLANID:END_RENEW_HEALTH,$A25,FALSE),"")</f>
        <v/>
      </c>
      <c r="V25" s="262" t="str">
        <f ca="1">IFERROR(VLOOKUP(V$6,BEGIN_RENEW_HEALTH_PLANID:END_RENEW_HEALTH,$A25,FALSE),"")</f>
        <v/>
      </c>
    </row>
    <row r="26" spans="2:22" ht="12.5">
      <c r="B26" s="261"/>
      <c r="C26" s="262"/>
      <c r="D26" s="262"/>
      <c r="E26" s="262"/>
      <c r="F26" s="262" t="str">
        <f ca="1">IFERROR(VLOOKUP(F$6,BEGIN_RENEW_HEALTH_PLANID:END_RENEW_HEALTH,$A26,FALSE),"")</f>
        <v/>
      </c>
      <c r="G26" s="262" t="str">
        <f ca="1">IFERROR(VLOOKUP(G$6,BEGIN_RENEW_HEALTH_PLANID:END_RENEW_HEALTH,$A26,FALSE),"")</f>
        <v/>
      </c>
      <c r="H26" s="262" t="str">
        <f ca="1">IFERROR(VLOOKUP(H$6,BEGIN_RENEW_HEALTH_PLANID:END_RENEW_HEALTH,$A26,FALSE),"")</f>
        <v/>
      </c>
      <c r="I26" s="262" t="str">
        <f ca="1">IFERROR(VLOOKUP(I$6,BEGIN_RENEW_HEALTH_PLANID:END_RENEW_HEALTH,$A26,FALSE),"")</f>
        <v/>
      </c>
      <c r="J26" s="262" t="str">
        <f ca="1">IFERROR(VLOOKUP(J$6,BEGIN_RENEW_HEALTH_PLANID:END_RENEW_HEALTH,$A26,FALSE),"")</f>
        <v/>
      </c>
      <c r="K26" s="262" t="str">
        <f ca="1">IFERROR(VLOOKUP(K$6,BEGIN_RENEW_HEALTH_PLANID:END_RENEW_HEALTH,$A26,FALSE),"")</f>
        <v/>
      </c>
      <c r="L26" s="262" t="str">
        <f ca="1">IFERROR(VLOOKUP(L$6,BEGIN_RENEW_HEALTH_PLANID:END_RENEW_HEALTH,$A26,FALSE),"")</f>
        <v/>
      </c>
      <c r="M26" s="262"/>
      <c r="N26" s="262"/>
      <c r="O26" s="262"/>
      <c r="P26" s="262" t="str">
        <f ca="1">IFERROR(VLOOKUP(P$6,BEGIN_RENEW_HEALTH_PLANID:END_RENEW_HEALTH,$A26,FALSE),"")</f>
        <v/>
      </c>
      <c r="Q26" s="262" t="str">
        <f ca="1">IFERROR(VLOOKUP(Q$6,BEGIN_RENEW_HEALTH_PLANID:END_RENEW_HEALTH,$A26,FALSE),"")</f>
        <v/>
      </c>
      <c r="R26" s="262" t="str">
        <f ca="1">IFERROR(VLOOKUP(R$6,BEGIN_RENEW_HEALTH_PLANID:END_RENEW_HEALTH,$A26,FALSE),"")</f>
        <v/>
      </c>
      <c r="S26" s="262" t="str">
        <f ca="1">IFERROR(VLOOKUP(S$6,BEGIN_RENEW_HEALTH_PLANID:END_RENEW_HEALTH,$A26,FALSE),"")</f>
        <v/>
      </c>
      <c r="T26" s="262" t="str">
        <f ca="1">IFERROR(VLOOKUP(T$6,BEGIN_RENEW_HEALTH_PLANID:END_RENEW_HEALTH,$A26,FALSE),"")</f>
        <v/>
      </c>
      <c r="U26" s="262" t="str">
        <f ca="1">IFERROR(VLOOKUP(U$6,BEGIN_RENEW_HEALTH_PLANID:END_RENEW_HEALTH,$A26,FALSE),"")</f>
        <v/>
      </c>
      <c r="V26" s="262" t="str">
        <f ca="1">IFERROR(VLOOKUP(V$6,BEGIN_RENEW_HEALTH_PLANID:END_RENEW_HEALTH,$A26,FALSE),"")</f>
        <v/>
      </c>
    </row>
    <row r="27" spans="2:22" ht="12.5">
      <c r="B27" s="261"/>
      <c r="C27" s="262"/>
      <c r="D27" s="262"/>
      <c r="E27" s="262"/>
      <c r="F27" s="262" t="str">
        <f ca="1">IFERROR(VLOOKUP(F$6,BEGIN_RENEW_HEALTH_PLANID:END_RENEW_HEALTH,$A27,FALSE),"")</f>
        <v/>
      </c>
      <c r="G27" s="262" t="str">
        <f ca="1">IFERROR(VLOOKUP(G$6,BEGIN_RENEW_HEALTH_PLANID:END_RENEW_HEALTH,$A27,FALSE),"")</f>
        <v/>
      </c>
      <c r="H27" s="262" t="str">
        <f ca="1">IFERROR(VLOOKUP(H$6,BEGIN_RENEW_HEALTH_PLANID:END_RENEW_HEALTH,$A27,FALSE),"")</f>
        <v/>
      </c>
      <c r="I27" s="262" t="str">
        <f ca="1">IFERROR(VLOOKUP(I$6,BEGIN_RENEW_HEALTH_PLANID:END_RENEW_HEALTH,$A27,FALSE),"")</f>
        <v/>
      </c>
      <c r="J27" s="262" t="str">
        <f ca="1">IFERROR(VLOOKUP(J$6,BEGIN_RENEW_HEALTH_PLANID:END_RENEW_HEALTH,$A27,FALSE),"")</f>
        <v/>
      </c>
      <c r="K27" s="262" t="str">
        <f ca="1">IFERROR(VLOOKUP(K$6,BEGIN_RENEW_HEALTH_PLANID:END_RENEW_HEALTH,$A27,FALSE),"")</f>
        <v/>
      </c>
      <c r="L27" s="262" t="str">
        <f ca="1">IFERROR(VLOOKUP(L$6,BEGIN_RENEW_HEALTH_PLANID:END_RENEW_HEALTH,$A27,FALSE),"")</f>
        <v/>
      </c>
      <c r="M27" s="262"/>
      <c r="N27" s="262"/>
      <c r="O27" s="262"/>
      <c r="P27" s="262" t="str">
        <f ca="1">IFERROR(VLOOKUP(P$6,BEGIN_RENEW_HEALTH_PLANID:END_RENEW_HEALTH,$A27,FALSE),"")</f>
        <v/>
      </c>
      <c r="Q27" s="262" t="str">
        <f ca="1">IFERROR(VLOOKUP(Q$6,BEGIN_RENEW_HEALTH_PLANID:END_RENEW_HEALTH,$A27,FALSE),"")</f>
        <v/>
      </c>
      <c r="R27" s="262" t="str">
        <f ca="1">IFERROR(VLOOKUP(R$6,BEGIN_RENEW_HEALTH_PLANID:END_RENEW_HEALTH,$A27,FALSE),"")</f>
        <v/>
      </c>
      <c r="S27" s="262" t="str">
        <f ca="1">IFERROR(VLOOKUP(S$6,BEGIN_RENEW_HEALTH_PLANID:END_RENEW_HEALTH,$A27,FALSE),"")</f>
        <v/>
      </c>
      <c r="T27" s="262" t="str">
        <f ca="1">IFERROR(VLOOKUP(T$6,BEGIN_RENEW_HEALTH_PLANID:END_RENEW_HEALTH,$A27,FALSE),"")</f>
        <v/>
      </c>
      <c r="U27" s="262" t="str">
        <f ca="1">IFERROR(VLOOKUP(U$6,BEGIN_RENEW_HEALTH_PLANID:END_RENEW_HEALTH,$A27,FALSE),"")</f>
        <v/>
      </c>
      <c r="V27" s="262" t="str">
        <f ca="1">IFERROR(VLOOKUP(V$6,BEGIN_RENEW_HEALTH_PLANID:END_RENEW_HEALTH,$A27,FALSE),"")</f>
        <v/>
      </c>
    </row>
    <row r="28" spans="2:22" ht="12.5">
      <c r="B28" s="261"/>
      <c r="C28" s="262"/>
      <c r="D28" s="262"/>
      <c r="E28" s="262"/>
      <c r="F28" s="262" t="str">
        <f ca="1">IFERROR(VLOOKUP(F$6,BEGIN_RENEW_HEALTH_PLANID:END_RENEW_HEALTH,$A28,FALSE),"")</f>
        <v/>
      </c>
      <c r="G28" s="262" t="str">
        <f ca="1">IFERROR(VLOOKUP(G$6,BEGIN_RENEW_HEALTH_PLANID:END_RENEW_HEALTH,$A28,FALSE),"")</f>
        <v/>
      </c>
      <c r="H28" s="262" t="str">
        <f ca="1">IFERROR(VLOOKUP(H$6,BEGIN_RENEW_HEALTH_PLANID:END_RENEW_HEALTH,$A28,FALSE),"")</f>
        <v/>
      </c>
      <c r="I28" s="262" t="str">
        <f ca="1">IFERROR(VLOOKUP(I$6,BEGIN_RENEW_HEALTH_PLANID:END_RENEW_HEALTH,$A28,FALSE),"")</f>
        <v/>
      </c>
      <c r="J28" s="262" t="str">
        <f ca="1">IFERROR(VLOOKUP(J$6,BEGIN_RENEW_HEALTH_PLANID:END_RENEW_HEALTH,$A28,FALSE),"")</f>
        <v/>
      </c>
      <c r="K28" s="262" t="str">
        <f ca="1">IFERROR(VLOOKUP(K$6,BEGIN_RENEW_HEALTH_PLANID:END_RENEW_HEALTH,$A28,FALSE),"")</f>
        <v/>
      </c>
      <c r="L28" s="262" t="str">
        <f ca="1">IFERROR(VLOOKUP(L$6,BEGIN_RENEW_HEALTH_PLANID:END_RENEW_HEALTH,$A28,FALSE),"")</f>
        <v/>
      </c>
      <c r="M28" s="262"/>
      <c r="N28" s="262"/>
      <c r="O28" s="262"/>
      <c r="P28" s="262" t="str">
        <f ca="1">IFERROR(VLOOKUP(P$6,BEGIN_RENEW_HEALTH_PLANID:END_RENEW_HEALTH,$A28,FALSE),"")</f>
        <v/>
      </c>
      <c r="Q28" s="262" t="str">
        <f ca="1">IFERROR(VLOOKUP(Q$6,BEGIN_RENEW_HEALTH_PLANID:END_RENEW_HEALTH,$A28,FALSE),"")</f>
        <v/>
      </c>
      <c r="R28" s="262" t="str">
        <f ca="1">IFERROR(VLOOKUP(R$6,BEGIN_RENEW_HEALTH_PLANID:END_RENEW_HEALTH,$A28,FALSE),"")</f>
        <v/>
      </c>
      <c r="S28" s="262" t="str">
        <f ca="1">IFERROR(VLOOKUP(S$6,BEGIN_RENEW_HEALTH_PLANID:END_RENEW_HEALTH,$A28,FALSE),"")</f>
        <v/>
      </c>
      <c r="T28" s="262" t="str">
        <f ca="1">IFERROR(VLOOKUP(T$6,BEGIN_RENEW_HEALTH_PLANID:END_RENEW_HEALTH,$A28,FALSE),"")</f>
        <v/>
      </c>
      <c r="U28" s="262" t="str">
        <f ca="1">IFERROR(VLOOKUP(U$6,BEGIN_RENEW_HEALTH_PLANID:END_RENEW_HEALTH,$A28,FALSE),"")</f>
        <v/>
      </c>
      <c r="V28" s="262" t="str">
        <f ca="1">IFERROR(VLOOKUP(V$6,BEGIN_RENEW_HEALTH_PLANID:END_RENEW_HEALTH,$A28,FALSE),"")</f>
        <v/>
      </c>
    </row>
    <row r="29" spans="2:22" ht="12.5">
      <c r="B29" s="261"/>
      <c r="C29" s="262"/>
      <c r="D29" s="262"/>
      <c r="E29" s="262"/>
      <c r="F29" s="262" t="str">
        <f ca="1">IFERROR(VLOOKUP(F$6,BEGIN_RENEW_HEALTH_PLANID:END_RENEW_HEALTH,$A29,FALSE),"")</f>
        <v/>
      </c>
      <c r="G29" s="262" t="str">
        <f ca="1">IFERROR(VLOOKUP(G$6,BEGIN_RENEW_HEALTH_PLANID:END_RENEW_HEALTH,$A29,FALSE),"")</f>
        <v/>
      </c>
      <c r="H29" s="262" t="str">
        <f ca="1">IFERROR(VLOOKUP(H$6,BEGIN_RENEW_HEALTH_PLANID:END_RENEW_HEALTH,$A29,FALSE),"")</f>
        <v/>
      </c>
      <c r="I29" s="262" t="str">
        <f ca="1">IFERROR(VLOOKUP(I$6,BEGIN_RENEW_HEALTH_PLANID:END_RENEW_HEALTH,$A29,FALSE),"")</f>
        <v/>
      </c>
      <c r="J29" s="262" t="str">
        <f ca="1">IFERROR(VLOOKUP(J$6,BEGIN_RENEW_HEALTH_PLANID:END_RENEW_HEALTH,$A29,FALSE),"")</f>
        <v/>
      </c>
      <c r="K29" s="262" t="str">
        <f ca="1">IFERROR(VLOOKUP(K$6,BEGIN_RENEW_HEALTH_PLANID:END_RENEW_HEALTH,$A29,FALSE),"")</f>
        <v/>
      </c>
      <c r="L29" s="262" t="str">
        <f ca="1">IFERROR(VLOOKUP(L$6,BEGIN_RENEW_HEALTH_PLANID:END_RENEW_HEALTH,$A29,FALSE),"")</f>
        <v/>
      </c>
      <c r="M29" s="262"/>
      <c r="N29" s="262"/>
      <c r="O29" s="262"/>
      <c r="P29" s="262" t="str">
        <f ca="1">IFERROR(VLOOKUP(P$6,BEGIN_RENEW_HEALTH_PLANID:END_RENEW_HEALTH,$A29,FALSE),"")</f>
        <v/>
      </c>
      <c r="Q29" s="262" t="str">
        <f ca="1">IFERROR(VLOOKUP(Q$6,BEGIN_RENEW_HEALTH_PLANID:END_RENEW_HEALTH,$A29,FALSE),"")</f>
        <v/>
      </c>
      <c r="R29" s="262" t="str">
        <f ca="1">IFERROR(VLOOKUP(R$6,BEGIN_RENEW_HEALTH_PLANID:END_RENEW_HEALTH,$A29,FALSE),"")</f>
        <v/>
      </c>
      <c r="S29" s="262" t="str">
        <f ca="1">IFERROR(VLOOKUP(S$6,BEGIN_RENEW_HEALTH_PLANID:END_RENEW_HEALTH,$A29,FALSE),"")</f>
        <v/>
      </c>
      <c r="T29" s="262" t="str">
        <f ca="1">IFERROR(VLOOKUP(T$6,BEGIN_RENEW_HEALTH_PLANID:END_RENEW_HEALTH,$A29,FALSE),"")</f>
        <v/>
      </c>
      <c r="U29" s="262" t="str">
        <f ca="1">IFERROR(VLOOKUP(U$6,BEGIN_RENEW_HEALTH_PLANID:END_RENEW_HEALTH,$A29,FALSE),"")</f>
        <v/>
      </c>
      <c r="V29" s="262" t="str">
        <f ca="1">IFERROR(VLOOKUP(V$6,BEGIN_RENEW_HEALTH_PLANID:END_RENEW_HEALTH,$A29,FALSE),"")</f>
        <v/>
      </c>
    </row>
    <row r="30" spans="2:22" ht="13">
      <c r="B30" s="263"/>
      <c r="C30" s="262"/>
      <c r="D30" s="262"/>
      <c r="E30" s="262"/>
      <c r="F30" s="262" t="str">
        <f ca="1">IFERROR(VLOOKUP(F$6,BEGIN_RENEW_HEALTH_PLANID:END_RENEW_HEALTH,$A30,FALSE),"")</f>
        <v/>
      </c>
      <c r="G30" s="262" t="str">
        <f ca="1">IFERROR(VLOOKUP(G$6,BEGIN_RENEW_HEALTH_PLANID:END_RENEW_HEALTH,$A30,FALSE),"")</f>
        <v/>
      </c>
      <c r="H30" s="262" t="str">
        <f ca="1">IFERROR(VLOOKUP(H$6,BEGIN_RENEW_HEALTH_PLANID:END_RENEW_HEALTH,$A30,FALSE),"")</f>
        <v/>
      </c>
      <c r="I30" s="262" t="str">
        <f ca="1">IFERROR(VLOOKUP(I$6,BEGIN_RENEW_HEALTH_PLANID:END_RENEW_HEALTH,$A30,FALSE),"")</f>
        <v/>
      </c>
      <c r="J30" s="262" t="str">
        <f ca="1">IFERROR(VLOOKUP(J$6,BEGIN_RENEW_HEALTH_PLANID:END_RENEW_HEALTH,$A30,FALSE),"")</f>
        <v/>
      </c>
      <c r="K30" s="262" t="str">
        <f ca="1">IFERROR(VLOOKUP(K$6,BEGIN_RENEW_HEALTH_PLANID:END_RENEW_HEALTH,$A30,FALSE),"")</f>
        <v/>
      </c>
      <c r="L30" s="262" t="str">
        <f ca="1">IFERROR(VLOOKUP(L$6,BEGIN_RENEW_HEALTH_PLANID:END_RENEW_HEALTH,$A30,FALSE),"")</f>
        <v/>
      </c>
      <c r="M30" s="262"/>
      <c r="N30" s="262"/>
      <c r="O30" s="262"/>
      <c r="P30" s="262" t="str">
        <f ca="1">IFERROR(VLOOKUP(P$6,BEGIN_RENEW_HEALTH_PLANID:END_RENEW_HEALTH,$A30,FALSE),"")</f>
        <v/>
      </c>
      <c r="Q30" s="262" t="str">
        <f ca="1">IFERROR(VLOOKUP(Q$6,BEGIN_RENEW_HEALTH_PLANID:END_RENEW_HEALTH,$A30,FALSE),"")</f>
        <v/>
      </c>
      <c r="R30" s="262" t="str">
        <f ca="1">IFERROR(VLOOKUP(R$6,BEGIN_RENEW_HEALTH_PLANID:END_RENEW_HEALTH,$A30,FALSE),"")</f>
        <v/>
      </c>
      <c r="S30" s="262" t="str">
        <f ca="1">IFERROR(VLOOKUP(S$6,BEGIN_RENEW_HEALTH_PLANID:END_RENEW_HEALTH,$A30,FALSE),"")</f>
        <v/>
      </c>
      <c r="T30" s="262" t="str">
        <f ca="1">IFERROR(VLOOKUP(T$6,BEGIN_RENEW_HEALTH_PLANID:END_RENEW_HEALTH,$A30,FALSE),"")</f>
        <v/>
      </c>
      <c r="U30" s="262" t="str">
        <f ca="1">IFERROR(VLOOKUP(U$6,BEGIN_RENEW_HEALTH_PLANID:END_RENEW_HEALTH,$A30,FALSE),"")</f>
        <v/>
      </c>
      <c r="V30" s="262" t="str">
        <f ca="1">IFERROR(VLOOKUP(V$6,BEGIN_RENEW_HEALTH_PLANID:END_RENEW_HEALTH,$A30,FALSE),"")</f>
        <v/>
      </c>
    </row>
    <row r="31" spans="2:22" ht="12.5">
      <c r="B31" s="261"/>
      <c r="C31" s="262"/>
      <c r="D31" s="262"/>
      <c r="E31" s="262"/>
      <c r="F31" s="262" t="str">
        <f ca="1">IFERROR(VLOOKUP(F$6,BEGIN_RENEW_HEALTH_PLANID:END_RENEW_HEALTH,$A31,FALSE),"")</f>
        <v/>
      </c>
      <c r="G31" s="262" t="str">
        <f ca="1">IFERROR(VLOOKUP(G$6,BEGIN_RENEW_HEALTH_PLANID:END_RENEW_HEALTH,$A31,FALSE),"")</f>
        <v/>
      </c>
      <c r="H31" s="262" t="str">
        <f ca="1">IFERROR(VLOOKUP(H$6,BEGIN_RENEW_HEALTH_PLANID:END_RENEW_HEALTH,$A31,FALSE),"")</f>
        <v/>
      </c>
      <c r="I31" s="262" t="str">
        <f ca="1">IFERROR(VLOOKUP(I$6,BEGIN_RENEW_HEALTH_PLANID:END_RENEW_HEALTH,$A31,FALSE),"")</f>
        <v/>
      </c>
      <c r="J31" s="262" t="str">
        <f ca="1">IFERROR(VLOOKUP(J$6,BEGIN_RENEW_HEALTH_PLANID:END_RENEW_HEALTH,$A31,FALSE),"")</f>
        <v/>
      </c>
      <c r="K31" s="262" t="str">
        <f ca="1">IFERROR(VLOOKUP(K$6,BEGIN_RENEW_HEALTH_PLANID:END_RENEW_HEALTH,$A31,FALSE),"")</f>
        <v/>
      </c>
      <c r="L31" s="262" t="str">
        <f ca="1">IFERROR(VLOOKUP(L$6,BEGIN_RENEW_HEALTH_PLANID:END_RENEW_HEALTH,$A31,FALSE),"")</f>
        <v/>
      </c>
      <c r="M31" s="262"/>
      <c r="N31" s="262"/>
      <c r="O31" s="262"/>
      <c r="P31" s="262" t="str">
        <f ca="1">IFERROR(VLOOKUP(P$6,BEGIN_RENEW_HEALTH_PLANID:END_RENEW_HEALTH,$A31,FALSE),"")</f>
        <v/>
      </c>
      <c r="Q31" s="262" t="str">
        <f ca="1">IFERROR(VLOOKUP(Q$6,BEGIN_RENEW_HEALTH_PLANID:END_RENEW_HEALTH,$A31,FALSE),"")</f>
        <v/>
      </c>
      <c r="R31" s="262" t="str">
        <f ca="1">IFERROR(VLOOKUP(R$6,BEGIN_RENEW_HEALTH_PLANID:END_RENEW_HEALTH,$A31,FALSE),"")</f>
        <v/>
      </c>
      <c r="S31" s="262" t="str">
        <f ca="1">IFERROR(VLOOKUP(S$6,BEGIN_RENEW_HEALTH_PLANID:END_RENEW_HEALTH,$A31,FALSE),"")</f>
        <v/>
      </c>
      <c r="T31" s="262" t="str">
        <f ca="1">IFERROR(VLOOKUP(T$6,BEGIN_RENEW_HEALTH_PLANID:END_RENEW_HEALTH,$A31,FALSE),"")</f>
        <v/>
      </c>
      <c r="U31" s="262" t="str">
        <f ca="1">IFERROR(VLOOKUP(U$6,BEGIN_RENEW_HEALTH_PLANID:END_RENEW_HEALTH,$A31,FALSE),"")</f>
        <v/>
      </c>
      <c r="V31" s="262" t="str">
        <f ca="1">IFERROR(VLOOKUP(V$6,BEGIN_RENEW_HEALTH_PLANID:END_RENEW_HEALTH,$A31,FALSE),"")</f>
        <v/>
      </c>
    </row>
    <row r="32" spans="2:22" ht="12.5">
      <c r="B32" s="261"/>
      <c r="C32" s="262"/>
      <c r="D32" s="262"/>
      <c r="E32" s="262"/>
      <c r="F32" s="262" t="str">
        <f ca="1">IFERROR(VLOOKUP(F$6,BEGIN_RENEW_HEALTH_PLANID:END_RENEW_HEALTH,$A32,FALSE),"")</f>
        <v/>
      </c>
      <c r="G32" s="262" t="str">
        <f ca="1">IFERROR(VLOOKUP(G$6,BEGIN_RENEW_HEALTH_PLANID:END_RENEW_HEALTH,$A32,FALSE),"")</f>
        <v/>
      </c>
      <c r="H32" s="262" t="str">
        <f ca="1">IFERROR(VLOOKUP(H$6,BEGIN_RENEW_HEALTH_PLANID:END_RENEW_HEALTH,$A32,FALSE),"")</f>
        <v/>
      </c>
      <c r="I32" s="262" t="str">
        <f ca="1">IFERROR(VLOOKUP(I$6,BEGIN_RENEW_HEALTH_PLANID:END_RENEW_HEALTH,$A32,FALSE),"")</f>
        <v/>
      </c>
      <c r="J32" s="262" t="str">
        <f ca="1">IFERROR(VLOOKUP(J$6,BEGIN_RENEW_HEALTH_PLANID:END_RENEW_HEALTH,$A32,FALSE),"")</f>
        <v/>
      </c>
      <c r="K32" s="262" t="str">
        <f ca="1">IFERROR(VLOOKUP(K$6,BEGIN_RENEW_HEALTH_PLANID:END_RENEW_HEALTH,$A32,FALSE),"")</f>
        <v/>
      </c>
      <c r="L32" s="262" t="str">
        <f ca="1">IFERROR(VLOOKUP(L$6,BEGIN_RENEW_HEALTH_PLANID:END_RENEW_HEALTH,$A32,FALSE),"")</f>
        <v/>
      </c>
      <c r="M32" s="262"/>
      <c r="N32" s="262"/>
      <c r="O32" s="262"/>
      <c r="P32" s="262" t="str">
        <f ca="1">IFERROR(VLOOKUP(P$6,BEGIN_RENEW_HEALTH_PLANID:END_RENEW_HEALTH,$A32,FALSE),"")</f>
        <v/>
      </c>
      <c r="Q32" s="262" t="str">
        <f ca="1">IFERROR(VLOOKUP(Q$6,BEGIN_RENEW_HEALTH_PLANID:END_RENEW_HEALTH,$A32,FALSE),"")</f>
        <v/>
      </c>
      <c r="R32" s="262" t="str">
        <f ca="1">IFERROR(VLOOKUP(R$6,BEGIN_RENEW_HEALTH_PLANID:END_RENEW_HEALTH,$A32,FALSE),"")</f>
        <v/>
      </c>
      <c r="S32" s="262" t="str">
        <f ca="1">IFERROR(VLOOKUP(S$6,BEGIN_RENEW_HEALTH_PLANID:END_RENEW_HEALTH,$A32,FALSE),"")</f>
        <v/>
      </c>
      <c r="T32" s="262" t="str">
        <f ca="1">IFERROR(VLOOKUP(T$6,BEGIN_RENEW_HEALTH_PLANID:END_RENEW_HEALTH,$A32,FALSE),"")</f>
        <v/>
      </c>
      <c r="U32" s="262" t="str">
        <f ca="1">IFERROR(VLOOKUP(U$6,BEGIN_RENEW_HEALTH_PLANID:END_RENEW_HEALTH,$A32,FALSE),"")</f>
        <v/>
      </c>
      <c r="V32" s="262" t="str">
        <f ca="1">IFERROR(VLOOKUP(V$6,BEGIN_RENEW_HEALTH_PLANID:END_RENEW_HEALTH,$A32,FALSE),"")</f>
        <v/>
      </c>
    </row>
    <row r="33" spans="2:22" ht="12.5">
      <c r="B33" s="261"/>
      <c r="C33" s="262"/>
      <c r="D33" s="262"/>
      <c r="E33" s="262"/>
      <c r="F33" s="262" t="str">
        <f ca="1">IFERROR(VLOOKUP(F$6,BEGIN_RENEW_HEALTH_PLANID:END_RENEW_HEALTH,$A33,FALSE),"")</f>
        <v/>
      </c>
      <c r="G33" s="262" t="str">
        <f ca="1">IFERROR(VLOOKUP(G$6,BEGIN_RENEW_HEALTH_PLANID:END_RENEW_HEALTH,$A33,FALSE),"")</f>
        <v/>
      </c>
      <c r="H33" s="262" t="str">
        <f ca="1">IFERROR(VLOOKUP(H$6,BEGIN_RENEW_HEALTH_PLANID:END_RENEW_HEALTH,$A33,FALSE),"")</f>
        <v/>
      </c>
      <c r="I33" s="262" t="str">
        <f ca="1">IFERROR(VLOOKUP(I$6,BEGIN_RENEW_HEALTH_PLANID:END_RENEW_HEALTH,$A33,FALSE),"")</f>
        <v/>
      </c>
      <c r="J33" s="262" t="str">
        <f ca="1">IFERROR(VLOOKUP(J$6,BEGIN_RENEW_HEALTH_PLANID:END_RENEW_HEALTH,$A33,FALSE),"")</f>
        <v/>
      </c>
      <c r="K33" s="262" t="str">
        <f ca="1">IFERROR(VLOOKUP(K$6,BEGIN_RENEW_HEALTH_PLANID:END_RENEW_HEALTH,$A33,FALSE),"")</f>
        <v/>
      </c>
      <c r="L33" s="262" t="str">
        <f ca="1">IFERROR(VLOOKUP(L$6,BEGIN_RENEW_HEALTH_PLANID:END_RENEW_HEALTH,$A33,FALSE),"")</f>
        <v/>
      </c>
      <c r="M33" s="262"/>
      <c r="N33" s="262"/>
      <c r="O33" s="262"/>
      <c r="P33" s="262" t="str">
        <f ca="1">IFERROR(VLOOKUP(P$6,BEGIN_RENEW_HEALTH_PLANID:END_RENEW_HEALTH,$A33,FALSE),"")</f>
        <v/>
      </c>
      <c r="Q33" s="262" t="str">
        <f ca="1">IFERROR(VLOOKUP(Q$6,BEGIN_RENEW_HEALTH_PLANID:END_RENEW_HEALTH,$A33,FALSE),"")</f>
        <v/>
      </c>
      <c r="R33" s="262" t="str">
        <f ca="1">IFERROR(VLOOKUP(R$6,BEGIN_RENEW_HEALTH_PLANID:END_RENEW_HEALTH,$A33,FALSE),"")</f>
        <v/>
      </c>
      <c r="S33" s="262" t="str">
        <f ca="1">IFERROR(VLOOKUP(S$6,BEGIN_RENEW_HEALTH_PLANID:END_RENEW_HEALTH,$A33,FALSE),"")</f>
        <v/>
      </c>
      <c r="T33" s="262" t="str">
        <f ca="1">IFERROR(VLOOKUP(T$6,BEGIN_RENEW_HEALTH_PLANID:END_RENEW_HEALTH,$A33,FALSE),"")</f>
        <v/>
      </c>
      <c r="U33" s="262" t="str">
        <f ca="1">IFERROR(VLOOKUP(U$6,BEGIN_RENEW_HEALTH_PLANID:END_RENEW_HEALTH,$A33,FALSE),"")</f>
        <v/>
      </c>
      <c r="V33" s="262" t="str">
        <f ca="1">IFERROR(VLOOKUP(V$6,BEGIN_RENEW_HEALTH_PLANID:END_RENEW_HEALTH,$A33,FALSE),"")</f>
        <v/>
      </c>
    </row>
    <row r="34" spans="2:22" ht="12.5">
      <c r="B34" s="261"/>
      <c r="C34" s="262"/>
      <c r="D34" s="262"/>
      <c r="E34" s="262"/>
      <c r="F34" s="262" t="str">
        <f ca="1">IFERROR(VLOOKUP(F$6,BEGIN_RENEW_HEALTH_PLANID:END_RENEW_HEALTH,$A34,FALSE),"")</f>
        <v/>
      </c>
      <c r="G34" s="262" t="str">
        <f ca="1">IFERROR(VLOOKUP(G$6,BEGIN_RENEW_HEALTH_PLANID:END_RENEW_HEALTH,$A34,FALSE),"")</f>
        <v/>
      </c>
      <c r="H34" s="262" t="str">
        <f ca="1">IFERROR(VLOOKUP(H$6,BEGIN_RENEW_HEALTH_PLANID:END_RENEW_HEALTH,$A34,FALSE),"")</f>
        <v/>
      </c>
      <c r="I34" s="262" t="str">
        <f ca="1">IFERROR(VLOOKUP(I$6,BEGIN_RENEW_HEALTH_PLANID:END_RENEW_HEALTH,$A34,FALSE),"")</f>
        <v/>
      </c>
      <c r="J34" s="262" t="str">
        <f ca="1">IFERROR(VLOOKUP(J$6,BEGIN_RENEW_HEALTH_PLANID:END_RENEW_HEALTH,$A34,FALSE),"")</f>
        <v/>
      </c>
      <c r="K34" s="262" t="str">
        <f ca="1">IFERROR(VLOOKUP(K$6,BEGIN_RENEW_HEALTH_PLANID:END_RENEW_HEALTH,$A34,FALSE),"")</f>
        <v/>
      </c>
      <c r="L34" s="262" t="str">
        <f ca="1">IFERROR(VLOOKUP(L$6,BEGIN_RENEW_HEALTH_PLANID:END_RENEW_HEALTH,$A34,FALSE),"")</f>
        <v/>
      </c>
      <c r="M34" s="262"/>
      <c r="N34" s="262"/>
      <c r="O34" s="262"/>
      <c r="P34" s="262" t="str">
        <f ca="1">IFERROR(VLOOKUP(P$6,BEGIN_RENEW_HEALTH_PLANID:END_RENEW_HEALTH,$A34,FALSE),"")</f>
        <v/>
      </c>
      <c r="Q34" s="262" t="str">
        <f ca="1">IFERROR(VLOOKUP(Q$6,BEGIN_RENEW_HEALTH_PLANID:END_RENEW_HEALTH,$A34,FALSE),"")</f>
        <v/>
      </c>
      <c r="R34" s="262" t="str">
        <f ca="1">IFERROR(VLOOKUP(R$6,BEGIN_RENEW_HEALTH_PLANID:END_RENEW_HEALTH,$A34,FALSE),"")</f>
        <v/>
      </c>
      <c r="S34" s="262" t="str">
        <f ca="1">IFERROR(VLOOKUP(S$6,BEGIN_RENEW_HEALTH_PLANID:END_RENEW_HEALTH,$A34,FALSE),"")</f>
        <v/>
      </c>
      <c r="T34" s="262" t="str">
        <f ca="1">IFERROR(VLOOKUP(T$6,BEGIN_RENEW_HEALTH_PLANID:END_RENEW_HEALTH,$A34,FALSE),"")</f>
        <v/>
      </c>
      <c r="U34" s="262" t="str">
        <f ca="1">IFERROR(VLOOKUP(U$6,BEGIN_RENEW_HEALTH_PLANID:END_RENEW_HEALTH,$A34,FALSE),"")</f>
        <v/>
      </c>
      <c r="V34" s="262" t="str">
        <f ca="1">IFERROR(VLOOKUP(V$6,BEGIN_RENEW_HEALTH_PLANID:END_RENEW_HEALTH,$A34,FALSE),"")</f>
        <v/>
      </c>
    </row>
    <row r="35" spans="2:22" ht="12.5">
      <c r="B35" s="261"/>
      <c r="C35" s="262"/>
      <c r="D35" s="262"/>
      <c r="E35" s="262"/>
      <c r="F35" s="262" t="str">
        <f ca="1">IFERROR(VLOOKUP(F$6,BEGIN_RENEW_HEALTH_PLANID:END_RENEW_HEALTH,$A35,FALSE),"")</f>
        <v/>
      </c>
      <c r="G35" s="262" t="str">
        <f ca="1">IFERROR(VLOOKUP(G$6,BEGIN_RENEW_HEALTH_PLANID:END_RENEW_HEALTH,$A35,FALSE),"")</f>
        <v/>
      </c>
      <c r="H35" s="262" t="str">
        <f ca="1">IFERROR(VLOOKUP(H$6,BEGIN_RENEW_HEALTH_PLANID:END_RENEW_HEALTH,$A35,FALSE),"")</f>
        <v/>
      </c>
      <c r="I35" s="262" t="str">
        <f ca="1">IFERROR(VLOOKUP(I$6,BEGIN_RENEW_HEALTH_PLANID:END_RENEW_HEALTH,$A35,FALSE),"")</f>
        <v/>
      </c>
      <c r="J35" s="262" t="str">
        <f ca="1">IFERROR(VLOOKUP(J$6,BEGIN_RENEW_HEALTH_PLANID:END_RENEW_HEALTH,$A35,FALSE),"")</f>
        <v/>
      </c>
      <c r="K35" s="262" t="str">
        <f ca="1">IFERROR(VLOOKUP(K$6,BEGIN_RENEW_HEALTH_PLANID:END_RENEW_HEALTH,$A35,FALSE),"")</f>
        <v/>
      </c>
      <c r="L35" s="262" t="str">
        <f ca="1">IFERROR(VLOOKUP(L$6,BEGIN_RENEW_HEALTH_PLANID:END_RENEW_HEALTH,$A35,FALSE),"")</f>
        <v/>
      </c>
      <c r="M35" s="262"/>
      <c r="N35" s="262"/>
      <c r="O35" s="262"/>
      <c r="P35" s="262" t="str">
        <f ca="1">IFERROR(VLOOKUP(P$6,BEGIN_RENEW_HEALTH_PLANID:END_RENEW_HEALTH,$A35,FALSE),"")</f>
        <v/>
      </c>
      <c r="Q35" s="262" t="str">
        <f ca="1">IFERROR(VLOOKUP(Q$6,BEGIN_RENEW_HEALTH_PLANID:END_RENEW_HEALTH,$A35,FALSE),"")</f>
        <v/>
      </c>
      <c r="R35" s="262" t="str">
        <f ca="1">IFERROR(VLOOKUP(R$6,BEGIN_RENEW_HEALTH_PLANID:END_RENEW_HEALTH,$A35,FALSE),"")</f>
        <v/>
      </c>
      <c r="S35" s="262" t="str">
        <f ca="1">IFERROR(VLOOKUP(S$6,BEGIN_RENEW_HEALTH_PLANID:END_RENEW_HEALTH,$A35,FALSE),"")</f>
        <v/>
      </c>
      <c r="T35" s="262" t="str">
        <f ca="1">IFERROR(VLOOKUP(T$6,BEGIN_RENEW_HEALTH_PLANID:END_RENEW_HEALTH,$A35,FALSE),"")</f>
        <v/>
      </c>
      <c r="U35" s="262" t="str">
        <f ca="1">IFERROR(VLOOKUP(U$6,BEGIN_RENEW_HEALTH_PLANID:END_RENEW_HEALTH,$A35,FALSE),"")</f>
        <v/>
      </c>
      <c r="V35" s="262" t="str">
        <f ca="1">IFERROR(VLOOKUP(V$6,BEGIN_RENEW_HEALTH_PLANID:END_RENEW_HEALTH,$A35,FALSE),"")</f>
        <v/>
      </c>
    </row>
    <row r="36" spans="2:22" ht="12.5">
      <c r="B36" s="261"/>
      <c r="C36" s="262"/>
      <c r="D36" s="262"/>
      <c r="E36" s="262"/>
      <c r="F36" s="262" t="str">
        <f ca="1">IFERROR(VLOOKUP(F$6,BEGIN_RENEW_HEALTH_PLANID:END_RENEW_HEALTH,$A36,FALSE),"")</f>
        <v/>
      </c>
      <c r="G36" s="262" t="str">
        <f ca="1">IFERROR(VLOOKUP(G$6,BEGIN_RENEW_HEALTH_PLANID:END_RENEW_HEALTH,$A36,FALSE),"")</f>
        <v/>
      </c>
      <c r="H36" s="262" t="str">
        <f ca="1">IFERROR(VLOOKUP(H$6,BEGIN_RENEW_HEALTH_PLANID:END_RENEW_HEALTH,$A36,FALSE),"")</f>
        <v/>
      </c>
      <c r="I36" s="262" t="str">
        <f ca="1">IFERROR(VLOOKUP(I$6,BEGIN_RENEW_HEALTH_PLANID:END_RENEW_HEALTH,$A36,FALSE),"")</f>
        <v/>
      </c>
      <c r="J36" s="262" t="str">
        <f ca="1">IFERROR(VLOOKUP(J$6,BEGIN_RENEW_HEALTH_PLANID:END_RENEW_HEALTH,$A36,FALSE),"")</f>
        <v/>
      </c>
      <c r="K36" s="262" t="str">
        <f ca="1">IFERROR(VLOOKUP(K$6,BEGIN_RENEW_HEALTH_PLANID:END_RENEW_HEALTH,$A36,FALSE),"")</f>
        <v/>
      </c>
      <c r="L36" s="262" t="str">
        <f ca="1">IFERROR(VLOOKUP(L$6,BEGIN_RENEW_HEALTH_PLANID:END_RENEW_HEALTH,$A36,FALSE),"")</f>
        <v/>
      </c>
      <c r="M36" s="262"/>
      <c r="N36" s="262"/>
      <c r="O36" s="262"/>
      <c r="P36" s="262" t="str">
        <f ca="1">IFERROR(VLOOKUP(P$6,BEGIN_RENEW_HEALTH_PLANID:END_RENEW_HEALTH,$A36,FALSE),"")</f>
        <v/>
      </c>
      <c r="Q36" s="262" t="str">
        <f ca="1">IFERROR(VLOOKUP(Q$6,BEGIN_RENEW_HEALTH_PLANID:END_RENEW_HEALTH,$A36,FALSE),"")</f>
        <v/>
      </c>
      <c r="R36" s="262" t="str">
        <f ca="1">IFERROR(VLOOKUP(R$6,BEGIN_RENEW_HEALTH_PLANID:END_RENEW_HEALTH,$A36,FALSE),"")</f>
        <v/>
      </c>
      <c r="S36" s="262" t="str">
        <f ca="1">IFERROR(VLOOKUP(S$6,BEGIN_RENEW_HEALTH_PLANID:END_RENEW_HEALTH,$A36,FALSE),"")</f>
        <v/>
      </c>
      <c r="T36" s="262" t="str">
        <f ca="1">IFERROR(VLOOKUP(T$6,BEGIN_RENEW_HEALTH_PLANID:END_RENEW_HEALTH,$A36,FALSE),"")</f>
        <v/>
      </c>
      <c r="U36" s="262" t="str">
        <f ca="1">IFERROR(VLOOKUP(U$6,BEGIN_RENEW_HEALTH_PLANID:END_RENEW_HEALTH,$A36,FALSE),"")</f>
        <v/>
      </c>
      <c r="V36" s="262" t="str">
        <f ca="1">IFERROR(VLOOKUP(V$6,BEGIN_RENEW_HEALTH_PLANID:END_RENEW_HEALTH,$A36,FALSE),"")</f>
        <v/>
      </c>
    </row>
  </sheetData>
  <sheetProtection formatCells="0" formatColumns="0" deleteColumns="0" selectLockedCells="1"/>
  <printOptions horizontalCentered="1"/>
  <pageMargins left="0.7" right="0.7" top="0.75" bottom="0.75" header="0.3" footer="0.3"/>
  <pageSetup orientation="landscape" paperSize="1" scale="9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1D7FA23A-B3FA-437D-AE4A-51AB47FE530B}">
  <sheetPr codeName="Sheet15"/>
  <dimension ref="A1:U95"/>
  <sheetViews>
    <sheetView workbookViewId="0" topLeftCell="A1">
      <selection pane="topLeft" activeCell="B2" sqref="B2:H2"/>
    </sheetView>
  </sheetViews>
  <sheetFormatPr defaultColWidth="9.20333333333333" defaultRowHeight="13"/>
  <cols>
    <col min="1" max="1" width="1.16666666666667" style="276" customWidth="1"/>
    <col min="2" max="2" width="23.1666666666667" style="276" customWidth="1"/>
    <col min="3" max="3" width="22.6666666666667" style="276" customWidth="1"/>
    <col min="4" max="4" width="36.3333333333333" style="276" customWidth="1"/>
    <col min="5" max="5" width="2" style="276" customWidth="1"/>
    <col min="6" max="6" width="26.5" style="276" customWidth="1"/>
    <col min="7" max="7" width="28.5" style="276" customWidth="1"/>
    <col min="8" max="8" width="37" style="276" customWidth="1"/>
    <col min="9" max="9" width="1.16666666666667" style="276" customWidth="1"/>
    <col min="10" max="15" width="9.16666666666667" style="276"/>
    <col min="16" max="16" width="10.5" style="276" customWidth="1"/>
    <col min="17" max="16384" width="9.16666666666667" style="276"/>
  </cols>
  <sheetData>
    <row r="1" spans="1:9" ht="18.75" customHeight="1">
      <c r="A1" s="598"/>
      <c r="B1" s="598"/>
      <c r="C1" s="598"/>
      <c r="D1" s="598"/>
      <c r="E1" s="598"/>
      <c r="F1" s="598"/>
      <c r="G1" s="598"/>
      <c r="H1" s="598"/>
      <c r="I1" s="598"/>
    </row>
    <row r="2" spans="1:9" ht="31.5" customHeight="1">
      <c r="A2" s="277" t="s">
        <v>374</v>
      </c>
      <c r="B2" s="564" t="s">
        <v>375</v>
      </c>
      <c r="C2" s="565"/>
      <c r="D2" s="565"/>
      <c r="E2" s="565"/>
      <c r="F2" s="565"/>
      <c r="G2" s="565"/>
      <c r="H2" s="565"/>
      <c r="I2" s="278"/>
    </row>
    <row r="3" spans="1:9" ht="18" customHeight="1">
      <c r="A3" s="279"/>
      <c r="B3" s="280"/>
      <c r="C3" s="280"/>
      <c r="D3" s="280"/>
      <c r="E3" s="280"/>
      <c r="F3" s="280"/>
      <c r="G3" s="280"/>
      <c r="H3" s="280"/>
      <c r="I3" s="278"/>
    </row>
    <row r="4" spans="1:9" ht="42.65" customHeight="1">
      <c r="A4" s="281"/>
      <c r="B4" s="599" t="s">
        <v>440</v>
      </c>
      <c r="C4" s="600"/>
      <c r="D4" s="600"/>
      <c r="E4" s="600"/>
      <c r="F4" s="600"/>
      <c r="G4" s="600"/>
      <c r="H4" s="600"/>
      <c r="I4" s="282"/>
    </row>
    <row r="5" spans="1:9" ht="19.9" customHeight="1">
      <c r="A5" s="283"/>
      <c r="B5" s="601" t="s">
        <v>376</v>
      </c>
      <c r="C5" s="602"/>
      <c r="D5" s="602"/>
      <c r="E5" s="602"/>
      <c r="F5" s="602"/>
      <c r="G5" s="602"/>
      <c r="H5" s="602"/>
      <c r="I5" s="282"/>
    </row>
    <row r="6" spans="1:9" ht="9" customHeight="1">
      <c r="A6" s="281"/>
      <c r="B6" s="284"/>
      <c r="C6" s="284"/>
      <c r="D6" s="284"/>
      <c r="E6" s="285"/>
      <c r="F6" s="284"/>
      <c r="G6" s="284"/>
      <c r="H6" s="284"/>
      <c r="I6" s="282"/>
    </row>
    <row r="7" spans="1:9" ht="18" customHeight="1">
      <c r="A7" s="281"/>
      <c r="B7" s="592" t="s">
        <v>377</v>
      </c>
      <c r="C7" s="592"/>
      <c r="D7" s="592"/>
      <c r="E7" s="287" t="s">
        <v>378</v>
      </c>
      <c r="F7" s="592" t="s">
        <v>379</v>
      </c>
      <c r="G7" s="592"/>
      <c r="H7" s="592"/>
      <c r="I7" s="282"/>
    </row>
    <row r="8" spans="1:9" ht="18" customHeight="1">
      <c r="A8" s="281"/>
      <c r="B8" s="592" t="s">
        <v>380</v>
      </c>
      <c r="C8" s="592"/>
      <c r="D8" s="592"/>
      <c r="E8" s="287" t="s">
        <v>378</v>
      </c>
      <c r="F8" s="592" t="s">
        <v>381</v>
      </c>
      <c r="G8" s="592"/>
      <c r="H8" s="592"/>
      <c r="I8" s="282"/>
    </row>
    <row r="9" spans="1:9" ht="18" customHeight="1">
      <c r="A9" s="281"/>
      <c r="B9" s="603" t="s">
        <v>382</v>
      </c>
      <c r="C9" s="288" t="s">
        <v>383</v>
      </c>
      <c r="D9" s="288" t="s">
        <v>384</v>
      </c>
      <c r="E9" s="289"/>
      <c r="F9" s="603" t="s">
        <v>382</v>
      </c>
      <c r="G9" s="290" t="s">
        <v>383</v>
      </c>
      <c r="H9" s="290" t="s">
        <v>384</v>
      </c>
      <c r="I9" s="282"/>
    </row>
    <row r="10" spans="1:9" ht="18" customHeight="1">
      <c r="A10" s="281"/>
      <c r="B10" s="604"/>
      <c r="C10" s="286" t="s">
        <v>385</v>
      </c>
      <c r="D10" s="291">
        <v>0.56000000000000005</v>
      </c>
      <c r="E10" s="289"/>
      <c r="F10" s="604"/>
      <c r="G10" s="286" t="s">
        <v>385</v>
      </c>
      <c r="H10" s="291">
        <v>0.67</v>
      </c>
      <c r="I10" s="282"/>
    </row>
    <row r="11" spans="1:9" ht="18" customHeight="1">
      <c r="A11" s="281"/>
      <c r="B11" s="604"/>
      <c r="C11" s="286" t="s">
        <v>386</v>
      </c>
      <c r="D11" s="291">
        <v>0.56999999999999995</v>
      </c>
      <c r="E11" s="289"/>
      <c r="F11" s="604"/>
      <c r="G11" s="286" t="s">
        <v>386</v>
      </c>
      <c r="H11" s="291">
        <v>0.69</v>
      </c>
      <c r="I11" s="282"/>
    </row>
    <row r="12" spans="1:9" ht="18" customHeight="1">
      <c r="A12" s="281"/>
      <c r="B12" s="604"/>
      <c r="C12" s="286" t="s">
        <v>387</v>
      </c>
      <c r="D12" s="291">
        <v>0.62</v>
      </c>
      <c r="E12" s="289"/>
      <c r="F12" s="604"/>
      <c r="G12" s="286" t="s">
        <v>387</v>
      </c>
      <c r="H12" s="291">
        <v>0.74</v>
      </c>
      <c r="I12" s="282"/>
    </row>
    <row r="13" spans="1:9" ht="18" customHeight="1">
      <c r="A13" s="281"/>
      <c r="B13" s="604"/>
      <c r="C13" s="292" t="s">
        <v>388</v>
      </c>
      <c r="D13" s="291">
        <v>0.53</v>
      </c>
      <c r="E13" s="289"/>
      <c r="F13" s="604"/>
      <c r="G13" s="292" t="s">
        <v>388</v>
      </c>
      <c r="H13" s="291">
        <v>0.63</v>
      </c>
      <c r="I13" s="282"/>
    </row>
    <row r="14" spans="1:9" ht="18" customHeight="1">
      <c r="A14" s="293"/>
      <c r="B14" s="604"/>
      <c r="C14" s="292" t="s">
        <v>389</v>
      </c>
      <c r="D14" s="291">
        <v>0.57999999999999996</v>
      </c>
      <c r="E14" s="294"/>
      <c r="F14" s="604"/>
      <c r="G14" s="292" t="s">
        <v>389</v>
      </c>
      <c r="H14" s="291">
        <v>0.70</v>
      </c>
      <c r="I14" s="282"/>
    </row>
    <row r="15" spans="1:9" ht="18" customHeight="1">
      <c r="A15" s="293"/>
      <c r="B15" s="604"/>
      <c r="C15" s="292" t="s">
        <v>390</v>
      </c>
      <c r="D15" s="291">
        <v>0.71</v>
      </c>
      <c r="E15" s="294"/>
      <c r="F15" s="604"/>
      <c r="G15" s="292" t="s">
        <v>390</v>
      </c>
      <c r="H15" s="291">
        <v>0.85</v>
      </c>
      <c r="I15" s="282"/>
    </row>
    <row r="16" spans="1:9" ht="18" customHeight="1">
      <c r="A16" s="293"/>
      <c r="B16" s="604"/>
      <c r="C16" s="292" t="s">
        <v>391</v>
      </c>
      <c r="D16" s="291">
        <v>0.88</v>
      </c>
      <c r="E16" s="294"/>
      <c r="F16" s="604"/>
      <c r="G16" s="292" t="s">
        <v>391</v>
      </c>
      <c r="H16" s="291">
        <v>1.05</v>
      </c>
      <c r="I16" s="282"/>
    </row>
    <row r="17" spans="1:9" ht="18" customHeight="1">
      <c r="A17" s="293"/>
      <c r="B17" s="604"/>
      <c r="C17" s="292" t="s">
        <v>392</v>
      </c>
      <c r="D17" s="291">
        <v>1.1200000000000001</v>
      </c>
      <c r="E17" s="294"/>
      <c r="F17" s="604"/>
      <c r="G17" s="292" t="s">
        <v>392</v>
      </c>
      <c r="H17" s="291">
        <v>1.34</v>
      </c>
      <c r="I17" s="282"/>
    </row>
    <row r="18" spans="1:21" ht="18" customHeight="1">
      <c r="A18" s="293"/>
      <c r="B18" s="605"/>
      <c r="C18" s="295" t="s">
        <v>393</v>
      </c>
      <c r="D18" s="295">
        <v>1.33</v>
      </c>
      <c r="E18" s="294"/>
      <c r="F18" s="605"/>
      <c r="G18" s="295" t="s">
        <v>393</v>
      </c>
      <c r="H18" s="295">
        <v>1.59</v>
      </c>
      <c r="I18" s="282"/>
      <c r="S18" s="597"/>
      <c r="T18" s="597"/>
      <c r="U18" s="597"/>
    </row>
    <row r="19" spans="1:21" ht="15.5">
      <c r="A19" s="293"/>
      <c r="B19" s="297"/>
      <c r="C19" s="297"/>
      <c r="D19" s="297"/>
      <c r="E19" s="294"/>
      <c r="F19" s="298"/>
      <c r="G19" s="298"/>
      <c r="H19" s="298"/>
      <c r="I19" s="282"/>
      <c r="S19" s="597"/>
      <c r="T19" s="597"/>
      <c r="U19" s="597"/>
    </row>
    <row r="20" spans="1:21" ht="19.9" customHeight="1">
      <c r="A20" s="283"/>
      <c r="B20" s="537" t="s">
        <v>394</v>
      </c>
      <c r="C20" s="538"/>
      <c r="D20" s="538"/>
      <c r="E20" s="538"/>
      <c r="F20" s="538"/>
      <c r="G20" s="538"/>
      <c r="H20" s="538"/>
      <c r="I20" s="282"/>
      <c r="S20" s="299"/>
      <c r="T20" s="300"/>
      <c r="U20" s="301"/>
    </row>
    <row r="21" spans="1:21" ht="19.9" customHeight="1">
      <c r="A21" s="302"/>
      <c r="B21" s="586"/>
      <c r="C21" s="587"/>
      <c r="D21" s="592" t="s">
        <v>395</v>
      </c>
      <c r="E21" s="592"/>
      <c r="F21" s="592"/>
      <c r="G21" s="592"/>
      <c r="H21" s="593"/>
      <c r="I21" s="282"/>
      <c r="S21" s="299"/>
      <c r="T21" s="296"/>
      <c r="U21" s="303"/>
    </row>
    <row r="22" spans="1:21" ht="18" customHeight="1">
      <c r="A22" s="281"/>
      <c r="B22" s="588"/>
      <c r="C22" s="589"/>
      <c r="D22" s="592" t="s">
        <v>396</v>
      </c>
      <c r="E22" s="592"/>
      <c r="F22" s="592"/>
      <c r="G22" s="592"/>
      <c r="H22" s="594"/>
      <c r="I22" s="282"/>
      <c r="S22" s="299"/>
      <c r="T22" s="296"/>
      <c r="U22" s="303"/>
    </row>
    <row r="23" spans="1:21" ht="18" customHeight="1">
      <c r="A23" s="281"/>
      <c r="B23" s="588"/>
      <c r="C23" s="589"/>
      <c r="D23" s="596" t="s">
        <v>397</v>
      </c>
      <c r="E23" s="596"/>
      <c r="F23" s="290" t="s">
        <v>383</v>
      </c>
      <c r="G23" s="290" t="s">
        <v>384</v>
      </c>
      <c r="H23" s="594"/>
      <c r="I23" s="282"/>
      <c r="S23" s="299"/>
      <c r="T23" s="296"/>
      <c r="U23" s="303"/>
    </row>
    <row r="24" spans="1:21" ht="18" customHeight="1">
      <c r="A24" s="281"/>
      <c r="B24" s="588"/>
      <c r="C24" s="589"/>
      <c r="D24" s="596"/>
      <c r="E24" s="596"/>
      <c r="F24" s="286" t="s">
        <v>385</v>
      </c>
      <c r="G24" s="291">
        <v>0.13</v>
      </c>
      <c r="H24" s="594"/>
      <c r="I24" s="282"/>
      <c r="S24" s="299"/>
      <c r="T24" s="304"/>
      <c r="U24" s="303"/>
    </row>
    <row r="25" spans="1:21" ht="18" customHeight="1">
      <c r="A25" s="281"/>
      <c r="B25" s="588"/>
      <c r="C25" s="589"/>
      <c r="D25" s="596"/>
      <c r="E25" s="596"/>
      <c r="F25" s="286" t="s">
        <v>386</v>
      </c>
      <c r="G25" s="291">
        <v>0.23</v>
      </c>
      <c r="H25" s="594"/>
      <c r="I25" s="282"/>
      <c r="S25" s="299"/>
      <c r="T25" s="304"/>
      <c r="U25" s="303"/>
    </row>
    <row r="26" spans="1:21" ht="18" customHeight="1">
      <c r="A26" s="281"/>
      <c r="B26" s="588"/>
      <c r="C26" s="589"/>
      <c r="D26" s="596"/>
      <c r="E26" s="596"/>
      <c r="F26" s="286" t="s">
        <v>387</v>
      </c>
      <c r="G26" s="291">
        <v>0.36</v>
      </c>
      <c r="H26" s="594"/>
      <c r="I26" s="282"/>
      <c r="S26" s="299"/>
      <c r="T26" s="304"/>
      <c r="U26" s="303"/>
    </row>
    <row r="27" spans="1:21" ht="18" customHeight="1">
      <c r="A27" s="281"/>
      <c r="B27" s="588"/>
      <c r="C27" s="589"/>
      <c r="D27" s="596"/>
      <c r="E27" s="596"/>
      <c r="F27" s="292" t="s">
        <v>388</v>
      </c>
      <c r="G27" s="291">
        <v>0.48</v>
      </c>
      <c r="H27" s="594"/>
      <c r="I27" s="282"/>
      <c r="S27" s="299"/>
      <c r="T27" s="304"/>
      <c r="U27" s="303"/>
    </row>
    <row r="28" spans="1:21" ht="18" customHeight="1">
      <c r="A28" s="293"/>
      <c r="B28" s="588"/>
      <c r="C28" s="589"/>
      <c r="D28" s="596"/>
      <c r="E28" s="596"/>
      <c r="F28" s="292" t="s">
        <v>389</v>
      </c>
      <c r="G28" s="291">
        <v>0.67</v>
      </c>
      <c r="H28" s="594"/>
      <c r="I28" s="282"/>
      <c r="S28" s="299"/>
      <c r="T28" s="578"/>
      <c r="U28" s="579"/>
    </row>
    <row r="29" spans="1:21" ht="18" customHeight="1">
      <c r="A29" s="293"/>
      <c r="B29" s="588"/>
      <c r="C29" s="589"/>
      <c r="D29" s="596"/>
      <c r="E29" s="596"/>
      <c r="F29" s="292" t="s">
        <v>390</v>
      </c>
      <c r="G29" s="291">
        <v>0.99</v>
      </c>
      <c r="H29" s="594"/>
      <c r="I29" s="282"/>
      <c r="S29" s="299"/>
      <c r="T29" s="578"/>
      <c r="U29" s="579"/>
    </row>
    <row r="30" spans="1:9" ht="18" customHeight="1">
      <c r="A30" s="293"/>
      <c r="B30" s="588"/>
      <c r="C30" s="589"/>
      <c r="D30" s="596"/>
      <c r="E30" s="596"/>
      <c r="F30" s="292" t="s">
        <v>391</v>
      </c>
      <c r="G30" s="291">
        <v>1.0900000000000001</v>
      </c>
      <c r="H30" s="594"/>
      <c r="I30" s="282"/>
    </row>
    <row r="31" spans="1:9" ht="18" customHeight="1">
      <c r="A31" s="293"/>
      <c r="B31" s="588"/>
      <c r="C31" s="589"/>
      <c r="D31" s="596"/>
      <c r="E31" s="596"/>
      <c r="F31" s="580" t="s">
        <v>398</v>
      </c>
      <c r="G31" s="582">
        <v>0.91</v>
      </c>
      <c r="H31" s="594"/>
      <c r="I31" s="282"/>
    </row>
    <row r="32" spans="1:9" ht="18" customHeight="1">
      <c r="A32" s="293"/>
      <c r="B32" s="590"/>
      <c r="C32" s="591"/>
      <c r="D32" s="596"/>
      <c r="E32" s="596"/>
      <c r="F32" s="581"/>
      <c r="G32" s="583"/>
      <c r="H32" s="595"/>
      <c r="I32" s="282"/>
    </row>
    <row r="33" spans="1:9" ht="14.5">
      <c r="A33" s="293"/>
      <c r="B33" s="305"/>
      <c r="C33" s="305"/>
      <c r="D33" s="306"/>
      <c r="E33" s="307"/>
      <c r="F33" s="308"/>
      <c r="G33" s="308"/>
      <c r="H33" s="308"/>
      <c r="I33" s="282"/>
    </row>
    <row r="34" spans="1:9" ht="25.15" customHeight="1">
      <c r="A34" s="293"/>
      <c r="B34" s="584" t="s">
        <v>399</v>
      </c>
      <c r="C34" s="584"/>
      <c r="D34" s="584"/>
      <c r="E34" s="584"/>
      <c r="F34" s="584"/>
      <c r="G34" s="584"/>
      <c r="H34" s="584"/>
      <c r="I34" s="282"/>
    </row>
    <row r="35" spans="1:9" ht="13.15" customHeight="1">
      <c r="A35" s="293"/>
      <c r="B35" s="309"/>
      <c r="C35" s="309"/>
      <c r="D35" s="309"/>
      <c r="E35" s="307"/>
      <c r="F35" s="308"/>
      <c r="G35" s="308"/>
      <c r="H35" s="308"/>
      <c r="I35" s="282"/>
    </row>
    <row r="36" spans="1:9" ht="19.9" customHeight="1">
      <c r="A36" s="293"/>
      <c r="B36" s="537" t="s">
        <v>400</v>
      </c>
      <c r="C36" s="538"/>
      <c r="D36" s="585"/>
      <c r="E36" s="307"/>
      <c r="F36" s="568" t="s">
        <v>401</v>
      </c>
      <c r="G36" s="569"/>
      <c r="H36" s="569"/>
      <c r="I36" s="282"/>
    </row>
    <row r="37" spans="1:9" ht="7.9" customHeight="1">
      <c r="A37" s="293"/>
      <c r="B37" s="307"/>
      <c r="C37" s="281"/>
      <c r="D37" s="281"/>
      <c r="E37" s="310"/>
      <c r="F37" s="307"/>
      <c r="G37" s="281"/>
      <c r="H37" s="281"/>
      <c r="I37" s="282"/>
    </row>
    <row r="38" spans="1:9" ht="28.9" customHeight="1">
      <c r="A38" s="293"/>
      <c r="B38" s="574" t="s">
        <v>402</v>
      </c>
      <c r="C38" s="574"/>
      <c r="D38" s="574"/>
      <c r="E38" s="311"/>
      <c r="F38" s="575" t="s">
        <v>403</v>
      </c>
      <c r="G38" s="575"/>
      <c r="H38" s="575"/>
      <c r="I38" s="282"/>
    </row>
    <row r="39" spans="1:9" ht="63.75" customHeight="1">
      <c r="A39" s="293"/>
      <c r="B39" s="574"/>
      <c r="C39" s="574"/>
      <c r="D39" s="574"/>
      <c r="E39" s="311"/>
      <c r="F39" s="575"/>
      <c r="G39" s="575"/>
      <c r="H39" s="575"/>
      <c r="I39" s="282"/>
    </row>
    <row r="40" spans="1:9" ht="28.5" customHeight="1">
      <c r="A40" s="293"/>
      <c r="B40" s="574"/>
      <c r="C40" s="574"/>
      <c r="D40" s="574"/>
      <c r="E40" s="311"/>
      <c r="F40" s="576"/>
      <c r="G40" s="576"/>
      <c r="H40" s="576"/>
      <c r="I40" s="282"/>
    </row>
    <row r="41" spans="1:9" ht="21" customHeight="1">
      <c r="A41" s="293"/>
      <c r="B41" s="577" t="s">
        <v>404</v>
      </c>
      <c r="C41" s="577"/>
      <c r="D41" s="577"/>
      <c r="E41" s="311"/>
      <c r="F41" s="553" t="s">
        <v>405</v>
      </c>
      <c r="G41" s="554"/>
      <c r="H41" s="554"/>
      <c r="I41" s="282"/>
    </row>
    <row r="42" spans="1:9" ht="15.5">
      <c r="A42" s="293"/>
      <c r="B42" s="553" t="s">
        <v>406</v>
      </c>
      <c r="C42" s="554"/>
      <c r="D42" s="555"/>
      <c r="E42" s="311"/>
      <c r="F42" s="553" t="s">
        <v>407</v>
      </c>
      <c r="G42" s="554"/>
      <c r="H42" s="554"/>
      <c r="I42" s="282"/>
    </row>
    <row r="43" spans="1:9" ht="15.5">
      <c r="A43" s="293"/>
      <c r="B43" s="553" t="s">
        <v>408</v>
      </c>
      <c r="C43" s="555"/>
      <c r="D43" s="312">
        <v>9.36</v>
      </c>
      <c r="E43" s="311"/>
      <c r="F43" s="313" t="s">
        <v>408</v>
      </c>
      <c r="G43" s="566" t="s">
        <v>409</v>
      </c>
      <c r="H43" s="567"/>
      <c r="I43" s="282"/>
    </row>
    <row r="44" spans="1:9" ht="15.5">
      <c r="A44" s="293"/>
      <c r="B44" s="553" t="s">
        <v>239</v>
      </c>
      <c r="C44" s="555"/>
      <c r="D44" s="312">
        <v>18.20</v>
      </c>
      <c r="E44" s="311"/>
      <c r="F44" s="313" t="s">
        <v>239</v>
      </c>
      <c r="G44" s="566" t="s">
        <v>409</v>
      </c>
      <c r="H44" s="567"/>
      <c r="I44" s="282"/>
    </row>
    <row r="45" spans="1:9" ht="15.5">
      <c r="A45" s="293"/>
      <c r="B45" s="553" t="s">
        <v>410</v>
      </c>
      <c r="C45" s="555"/>
      <c r="D45" s="312">
        <v>21.84</v>
      </c>
      <c r="E45" s="311"/>
      <c r="F45" s="313" t="s">
        <v>410</v>
      </c>
      <c r="G45" s="566" t="s">
        <v>409</v>
      </c>
      <c r="H45" s="567"/>
      <c r="I45" s="282"/>
    </row>
    <row r="46" spans="1:9" ht="15.5">
      <c r="A46" s="293"/>
      <c r="B46" s="553" t="s">
        <v>335</v>
      </c>
      <c r="C46" s="555"/>
      <c r="D46" s="312">
        <v>26</v>
      </c>
      <c r="E46" s="311"/>
      <c r="F46" s="313" t="s">
        <v>335</v>
      </c>
      <c r="G46" s="566" t="s">
        <v>409</v>
      </c>
      <c r="H46" s="567"/>
      <c r="I46" s="282"/>
    </row>
    <row r="47" spans="1:9" ht="14.5">
      <c r="A47" s="293"/>
      <c r="B47" s="307"/>
      <c r="C47" s="281"/>
      <c r="D47" s="281"/>
      <c r="E47" s="307"/>
      <c r="F47" s="307"/>
      <c r="G47" s="281"/>
      <c r="H47" s="281"/>
      <c r="I47" s="282"/>
    </row>
    <row r="48" spans="1:9" ht="19.9" customHeight="1">
      <c r="A48" s="293"/>
      <c r="B48" s="568" t="s">
        <v>411</v>
      </c>
      <c r="C48" s="569"/>
      <c r="D48" s="569"/>
      <c r="E48" s="569"/>
      <c r="F48" s="569"/>
      <c r="G48" s="569"/>
      <c r="H48" s="569"/>
      <c r="I48" s="282"/>
    </row>
    <row r="49" spans="1:9" ht="14.5">
      <c r="A49" s="293"/>
      <c r="B49" s="307"/>
      <c r="C49" s="281"/>
      <c r="D49" s="281"/>
      <c r="E49" s="281"/>
      <c r="F49" s="281"/>
      <c r="G49" s="281"/>
      <c r="H49" s="281"/>
      <c r="I49" s="282"/>
    </row>
    <row r="50" spans="1:9" ht="19.9" customHeight="1">
      <c r="A50" s="293"/>
      <c r="B50" s="570" t="s">
        <v>412</v>
      </c>
      <c r="C50" s="570"/>
      <c r="D50" s="570"/>
      <c r="E50" s="570"/>
      <c r="F50" s="570"/>
      <c r="G50" s="570"/>
      <c r="H50" s="570"/>
      <c r="I50" s="282"/>
    </row>
    <row r="51" spans="1:9" ht="19.9" customHeight="1">
      <c r="A51" s="293"/>
      <c r="B51" s="570"/>
      <c r="C51" s="570"/>
      <c r="D51" s="570"/>
      <c r="E51" s="570"/>
      <c r="F51" s="570"/>
      <c r="G51" s="570"/>
      <c r="H51" s="570"/>
      <c r="I51" s="282"/>
    </row>
    <row r="52" spans="1:9" ht="19.9" customHeight="1">
      <c r="A52" s="293"/>
      <c r="B52" s="570"/>
      <c r="C52" s="570"/>
      <c r="D52" s="570"/>
      <c r="E52" s="570"/>
      <c r="F52" s="570"/>
      <c r="G52" s="570"/>
      <c r="H52" s="570"/>
      <c r="I52" s="282"/>
    </row>
    <row r="53" spans="1:9" ht="19.9" customHeight="1">
      <c r="A53" s="293"/>
      <c r="B53" s="570"/>
      <c r="C53" s="570"/>
      <c r="D53" s="570"/>
      <c r="E53" s="570"/>
      <c r="F53" s="570"/>
      <c r="G53" s="570"/>
      <c r="H53" s="570"/>
      <c r="I53" s="282"/>
    </row>
    <row r="54" spans="1:9" ht="69" customHeight="1">
      <c r="A54" s="293"/>
      <c r="B54" s="570"/>
      <c r="C54" s="570"/>
      <c r="D54" s="570"/>
      <c r="E54" s="570"/>
      <c r="F54" s="570"/>
      <c r="G54" s="570"/>
      <c r="H54" s="570"/>
      <c r="I54" s="282"/>
    </row>
    <row r="55" spans="1:9" ht="21.65" customHeight="1">
      <c r="A55" s="293"/>
      <c r="B55" s="571" t="s">
        <v>413</v>
      </c>
      <c r="C55" s="572"/>
      <c r="D55" s="572"/>
      <c r="E55" s="572"/>
      <c r="F55" s="572"/>
      <c r="G55" s="572"/>
      <c r="H55" s="573"/>
      <c r="I55" s="282"/>
    </row>
    <row r="56" spans="1:9" ht="14.5">
      <c r="A56" s="293"/>
      <c r="B56" s="307"/>
      <c r="C56" s="281"/>
      <c r="D56" s="281"/>
      <c r="E56" s="281"/>
      <c r="F56" s="281"/>
      <c r="G56" s="281"/>
      <c r="H56" s="281"/>
      <c r="I56" s="282"/>
    </row>
    <row r="57" spans="1:9" ht="19.9" customHeight="1">
      <c r="A57" s="293"/>
      <c r="B57" s="537" t="s">
        <v>414</v>
      </c>
      <c r="C57" s="538"/>
      <c r="D57" s="538"/>
      <c r="E57" s="307"/>
      <c r="F57" s="537" t="s">
        <v>415</v>
      </c>
      <c r="G57" s="538"/>
      <c r="H57" s="538"/>
      <c r="I57" s="282"/>
    </row>
    <row r="58" spans="1:9" ht="19.9" customHeight="1">
      <c r="A58" s="293"/>
      <c r="B58" s="307"/>
      <c r="C58" s="281"/>
      <c r="D58" s="281"/>
      <c r="E58" s="307"/>
      <c r="F58" s="307"/>
      <c r="G58" s="281"/>
      <c r="H58" s="281"/>
      <c r="I58" s="282"/>
    </row>
    <row r="59" spans="1:9" ht="19.9" customHeight="1">
      <c r="A59" s="293"/>
      <c r="B59" s="547" t="s">
        <v>416</v>
      </c>
      <c r="C59" s="548"/>
      <c r="D59" s="549"/>
      <c r="E59" s="307"/>
      <c r="F59" s="547" t="s">
        <v>417</v>
      </c>
      <c r="G59" s="548"/>
      <c r="H59" s="549"/>
      <c r="I59" s="282"/>
    </row>
    <row r="60" spans="1:9" ht="31.5" customHeight="1">
      <c r="A60" s="293"/>
      <c r="B60" s="550"/>
      <c r="C60" s="551"/>
      <c r="D60" s="552"/>
      <c r="E60" s="307"/>
      <c r="F60" s="550"/>
      <c r="G60" s="551"/>
      <c r="H60" s="552"/>
      <c r="I60" s="282"/>
    </row>
    <row r="61" spans="1:9" ht="23.5" customHeight="1">
      <c r="A61" s="293"/>
      <c r="B61" s="553"/>
      <c r="C61" s="554"/>
      <c r="D61" s="555"/>
      <c r="E61" s="307"/>
      <c r="F61" s="556" t="s">
        <v>413</v>
      </c>
      <c r="G61" s="557"/>
      <c r="H61" s="558"/>
      <c r="I61" s="282"/>
    </row>
    <row r="62" spans="1:9" ht="47.5" customHeight="1">
      <c r="A62" s="293"/>
      <c r="B62" s="313"/>
      <c r="C62" s="314" t="s">
        <v>418</v>
      </c>
      <c r="D62" s="314" t="s">
        <v>419</v>
      </c>
      <c r="E62" s="307"/>
      <c r="F62" s="307"/>
      <c r="G62" s="281"/>
      <c r="H62" s="281"/>
      <c r="I62" s="282"/>
    </row>
    <row r="63" spans="1:9" ht="21" customHeight="1">
      <c r="A63" s="293"/>
      <c r="B63" s="313" t="s">
        <v>408</v>
      </c>
      <c r="C63" s="312">
        <v>7.76</v>
      </c>
      <c r="D63" s="312">
        <v>19.239999999999998</v>
      </c>
      <c r="E63" s="307"/>
      <c r="F63" s="537" t="s">
        <v>420</v>
      </c>
      <c r="G63" s="538"/>
      <c r="H63" s="538"/>
      <c r="I63" s="282"/>
    </row>
    <row r="64" spans="1:9" ht="19.9" customHeight="1">
      <c r="A64" s="293"/>
      <c r="B64" s="313" t="s">
        <v>239</v>
      </c>
      <c r="C64" s="312">
        <v>16.68</v>
      </c>
      <c r="D64" s="312">
        <v>42.64</v>
      </c>
      <c r="E64" s="307"/>
      <c r="F64" s="307"/>
      <c r="G64" s="281"/>
      <c r="H64" s="281"/>
      <c r="I64" s="282"/>
    </row>
    <row r="65" spans="1:9" ht="19.9" customHeight="1">
      <c r="A65" s="293"/>
      <c r="B65" s="313" t="s">
        <v>410</v>
      </c>
      <c r="C65" s="312">
        <v>13.63</v>
      </c>
      <c r="D65" s="312">
        <v>35.36</v>
      </c>
      <c r="E65" s="307"/>
      <c r="F65" s="559" t="s">
        <v>421</v>
      </c>
      <c r="G65" s="560"/>
      <c r="H65" s="560"/>
      <c r="I65" s="282"/>
    </row>
    <row r="66" spans="1:9" ht="19.9" customHeight="1">
      <c r="A66" s="293"/>
      <c r="B66" s="313" t="s">
        <v>335</v>
      </c>
      <c r="C66" s="312">
        <v>22.54</v>
      </c>
      <c r="D66" s="312">
        <v>58.76</v>
      </c>
      <c r="E66" s="307"/>
      <c r="F66" s="559"/>
      <c r="G66" s="560"/>
      <c r="H66" s="560"/>
      <c r="I66" s="282"/>
    </row>
    <row r="67" spans="1:9" ht="19.9" customHeight="1">
      <c r="A67" s="293"/>
      <c r="B67" s="563" t="s">
        <v>422</v>
      </c>
      <c r="C67" s="563"/>
      <c r="D67" s="563"/>
      <c r="E67" s="307"/>
      <c r="F67" s="561"/>
      <c r="G67" s="562"/>
      <c r="H67" s="562"/>
      <c r="I67" s="282"/>
    </row>
    <row r="68" spans="1:9" ht="14.5">
      <c r="A68" s="293"/>
      <c r="B68" s="319"/>
      <c r="C68" s="319"/>
      <c r="D68" s="319"/>
      <c r="E68" s="308"/>
      <c r="F68" s="308"/>
      <c r="G68" s="308"/>
      <c r="H68" s="308"/>
      <c r="I68" s="282"/>
    </row>
    <row r="69" spans="1:9" ht="25.5">
      <c r="A69" s="293"/>
      <c r="B69" s="564" t="s">
        <v>423</v>
      </c>
      <c r="C69" s="565"/>
      <c r="D69" s="565"/>
      <c r="E69" s="565"/>
      <c r="F69" s="565"/>
      <c r="G69" s="565"/>
      <c r="H69" s="565"/>
      <c r="I69" s="282"/>
    </row>
    <row r="70" spans="1:9" ht="12.65" customHeight="1">
      <c r="A70" s="293"/>
      <c r="B70" s="307"/>
      <c r="C70" s="281"/>
      <c r="D70" s="281"/>
      <c r="E70" s="310"/>
      <c r="F70" s="307"/>
      <c r="G70" s="281"/>
      <c r="H70" s="281"/>
      <c r="I70" s="282"/>
    </row>
    <row r="71" spans="1:9" ht="20.5" customHeight="1">
      <c r="A71" s="293"/>
      <c r="B71" s="537" t="s">
        <v>424</v>
      </c>
      <c r="C71" s="538"/>
      <c r="D71" s="538"/>
      <c r="E71" s="538"/>
      <c r="F71" s="538"/>
      <c r="G71" s="538"/>
      <c r="H71" s="538"/>
      <c r="I71" s="282"/>
    </row>
    <row r="72" spans="1:9" ht="47.5" customHeight="1">
      <c r="A72" s="293"/>
      <c r="B72" s="542" t="s">
        <v>425</v>
      </c>
      <c r="C72" s="543"/>
      <c r="D72" s="543"/>
      <c r="E72" s="543"/>
      <c r="F72" s="543"/>
      <c r="G72" s="543"/>
      <c r="H72" s="544"/>
      <c r="I72" s="282"/>
    </row>
    <row r="73" spans="1:9" ht="33" customHeight="1">
      <c r="A73" s="293"/>
      <c r="B73" s="535" t="s">
        <v>426</v>
      </c>
      <c r="C73" s="535"/>
      <c r="D73" s="535"/>
      <c r="E73" s="307"/>
      <c r="F73" s="535" t="s">
        <v>427</v>
      </c>
      <c r="G73" s="535"/>
      <c r="H73" s="535"/>
      <c r="I73" s="282"/>
    </row>
    <row r="74" spans="1:9" ht="33" customHeight="1">
      <c r="A74" s="293"/>
      <c r="B74" s="313" t="s">
        <v>408</v>
      </c>
      <c r="C74" s="545">
        <v>54.12</v>
      </c>
      <c r="D74" s="546"/>
      <c r="E74" s="307"/>
      <c r="F74" s="313" t="s">
        <v>408</v>
      </c>
      <c r="G74" s="545">
        <v>44.86</v>
      </c>
      <c r="H74" s="546"/>
      <c r="I74" s="282"/>
    </row>
    <row r="75" spans="1:9" ht="34.9" customHeight="1">
      <c r="A75" s="293"/>
      <c r="B75" s="313" t="s">
        <v>239</v>
      </c>
      <c r="C75" s="545">
        <v>114.34</v>
      </c>
      <c r="D75" s="546"/>
      <c r="E75" s="307"/>
      <c r="F75" s="313" t="s">
        <v>239</v>
      </c>
      <c r="G75" s="545">
        <v>94.77</v>
      </c>
      <c r="H75" s="546"/>
      <c r="I75" s="282"/>
    </row>
    <row r="76" spans="1:9" ht="34.9" customHeight="1">
      <c r="A76" s="293"/>
      <c r="B76" s="313" t="s">
        <v>410</v>
      </c>
      <c r="C76" s="545">
        <v>94.07</v>
      </c>
      <c r="D76" s="546"/>
      <c r="E76" s="307"/>
      <c r="F76" s="313" t="s">
        <v>410</v>
      </c>
      <c r="G76" s="545">
        <v>77.94</v>
      </c>
      <c r="H76" s="546"/>
      <c r="I76" s="282"/>
    </row>
    <row r="77" spans="1:9" ht="25.15" customHeight="1">
      <c r="A77" s="293"/>
      <c r="B77" s="313" t="s">
        <v>335</v>
      </c>
      <c r="C77" s="545">
        <v>149.16</v>
      </c>
      <c r="D77" s="546"/>
      <c r="E77" s="307"/>
      <c r="F77" s="313" t="s">
        <v>335</v>
      </c>
      <c r="G77" s="545">
        <v>123.63</v>
      </c>
      <c r="H77" s="546"/>
      <c r="I77" s="282"/>
    </row>
    <row r="78" spans="1:9" ht="7.9" customHeight="1">
      <c r="A78" s="293"/>
      <c r="B78" s="307"/>
      <c r="C78" s="281"/>
      <c r="D78" s="281"/>
      <c r="E78" s="310"/>
      <c r="F78" s="307"/>
      <c r="G78" s="281"/>
      <c r="H78" s="281"/>
      <c r="I78" s="282"/>
    </row>
    <row r="79" spans="1:9" ht="25.15" customHeight="1">
      <c r="A79" s="293"/>
      <c r="B79" s="537" t="s">
        <v>428</v>
      </c>
      <c r="C79" s="538"/>
      <c r="D79" s="538"/>
      <c r="E79" s="538"/>
      <c r="F79" s="538"/>
      <c r="G79" s="538"/>
      <c r="H79" s="538"/>
      <c r="I79" s="282"/>
    </row>
    <row r="80" spans="1:9" ht="14.5">
      <c r="A80" s="293"/>
      <c r="B80" s="539" t="s">
        <v>429</v>
      </c>
      <c r="C80" s="539"/>
      <c r="D80" s="539"/>
      <c r="E80" s="539"/>
      <c r="F80" s="539"/>
      <c r="G80" s="539"/>
      <c r="H80" s="539"/>
      <c r="I80" s="282"/>
    </row>
    <row r="81" spans="1:9" ht="22.9" customHeight="1">
      <c r="A81" s="293"/>
      <c r="B81" s="539"/>
      <c r="C81" s="539"/>
      <c r="D81" s="539"/>
      <c r="E81" s="539"/>
      <c r="F81" s="539"/>
      <c r="G81" s="539"/>
      <c r="H81" s="539"/>
      <c r="I81" s="282"/>
    </row>
    <row r="82" spans="1:9" ht="15" thickBot="1">
      <c r="A82" s="293"/>
      <c r="B82" s="308"/>
      <c r="C82" s="308"/>
      <c r="D82" s="308"/>
      <c r="E82" s="307"/>
      <c r="F82" s="308"/>
      <c r="G82" s="282"/>
      <c r="H82" s="282"/>
      <c r="I82" s="282"/>
    </row>
    <row r="83" spans="1:9" ht="19.9" customHeight="1" thickBot="1">
      <c r="A83" s="293"/>
      <c r="B83" s="540"/>
      <c r="C83" s="541"/>
      <c r="D83" s="315"/>
      <c r="E83" s="307"/>
      <c r="F83" s="316" t="s">
        <v>238</v>
      </c>
      <c r="G83" s="316" t="s">
        <v>241</v>
      </c>
      <c r="H83" s="282"/>
      <c r="I83" s="282"/>
    </row>
    <row r="84" spans="1:9" ht="15" thickBot="1">
      <c r="A84" s="293"/>
      <c r="B84" s="540"/>
      <c r="C84" s="541"/>
      <c r="D84" s="317" t="s">
        <v>430</v>
      </c>
      <c r="E84" s="307"/>
      <c r="F84" s="318">
        <v>15.75</v>
      </c>
      <c r="G84" s="318">
        <v>15.75</v>
      </c>
      <c r="H84" s="282"/>
      <c r="I84" s="282"/>
    </row>
    <row r="85" spans="1:9" ht="15" thickBot="1">
      <c r="A85" s="293"/>
      <c r="B85" s="540"/>
      <c r="C85" s="541"/>
      <c r="D85" s="317" t="s">
        <v>431</v>
      </c>
      <c r="E85" s="307"/>
      <c r="F85" s="318">
        <v>9.9499999999999993</v>
      </c>
      <c r="G85" s="318">
        <v>18.75</v>
      </c>
      <c r="H85" s="282"/>
      <c r="I85" s="282"/>
    </row>
    <row r="86" spans="1:9" ht="15" thickBot="1">
      <c r="A86" s="293"/>
      <c r="B86" s="540"/>
      <c r="C86" s="541"/>
      <c r="D86" s="317" t="s">
        <v>432</v>
      </c>
      <c r="E86" s="307"/>
      <c r="F86" s="318">
        <v>24.70</v>
      </c>
      <c r="G86" s="318">
        <v>32.50</v>
      </c>
      <c r="H86" s="282"/>
      <c r="I86" s="282"/>
    </row>
    <row r="87" spans="1:9" ht="14.5">
      <c r="A87" s="293"/>
      <c r="B87" s="308"/>
      <c r="C87" s="308"/>
      <c r="D87" s="308"/>
      <c r="E87" s="308"/>
      <c r="F87" s="308"/>
      <c r="G87" s="308"/>
      <c r="H87" s="308"/>
      <c r="I87" s="282"/>
    </row>
    <row r="88" spans="1:9" ht="25.15" customHeight="1">
      <c r="A88" s="293"/>
      <c r="B88" s="537" t="s">
        <v>433</v>
      </c>
      <c r="C88" s="538"/>
      <c r="D88" s="538"/>
      <c r="E88" s="538"/>
      <c r="F88" s="538"/>
      <c r="G88" s="538"/>
      <c r="H88" s="538"/>
      <c r="I88" s="282"/>
    </row>
    <row r="89" spans="1:9" ht="7.9" customHeight="1">
      <c r="A89" s="293"/>
      <c r="B89" s="307"/>
      <c r="C89" s="281"/>
      <c r="D89" s="281"/>
      <c r="E89" s="310"/>
      <c r="F89" s="307"/>
      <c r="G89" s="281"/>
      <c r="H89" s="281"/>
      <c r="I89" s="282"/>
    </row>
    <row r="90" spans="1:9" ht="31.9" customHeight="1">
      <c r="A90" s="293"/>
      <c r="B90" s="542" t="s">
        <v>434</v>
      </c>
      <c r="C90" s="543"/>
      <c r="D90" s="543"/>
      <c r="E90" s="543"/>
      <c r="F90" s="543"/>
      <c r="G90" s="543"/>
      <c r="H90" s="544"/>
      <c r="I90" s="282"/>
    </row>
    <row r="91" spans="1:9" ht="17.5" customHeight="1">
      <c r="A91" s="293"/>
      <c r="B91" s="534" t="s">
        <v>435</v>
      </c>
      <c r="C91" s="534"/>
      <c r="D91" s="534"/>
      <c r="E91" s="307"/>
      <c r="F91" s="534" t="s">
        <v>436</v>
      </c>
      <c r="G91" s="534"/>
      <c r="H91" s="534"/>
      <c r="I91" s="282"/>
    </row>
    <row r="92" spans="1:9" ht="15.5">
      <c r="A92" s="293"/>
      <c r="B92" s="534" t="s">
        <v>437</v>
      </c>
      <c r="C92" s="534"/>
      <c r="D92" s="534"/>
      <c r="E92" s="307"/>
      <c r="F92" s="535" t="s">
        <v>438</v>
      </c>
      <c r="G92" s="535"/>
      <c r="H92" s="535"/>
      <c r="I92" s="282"/>
    </row>
    <row r="93" spans="1:9" ht="15.5">
      <c r="A93" s="293"/>
      <c r="B93" s="534" t="s">
        <v>439</v>
      </c>
      <c r="C93" s="534"/>
      <c r="D93" s="534"/>
      <c r="E93" s="307"/>
      <c r="F93" s="535"/>
      <c r="G93" s="535"/>
      <c r="H93" s="535"/>
      <c r="I93" s="282"/>
    </row>
    <row r="94" spans="1:9" ht="14.5">
      <c r="A94" s="293"/>
      <c r="E94" s="307"/>
      <c r="F94" s="536"/>
      <c r="G94" s="536"/>
      <c r="H94" s="536"/>
      <c r="I94" s="282"/>
    </row>
    <row r="95" spans="1:9" ht="14.5">
      <c r="A95" s="293"/>
      <c r="B95" s="308"/>
      <c r="C95" s="308"/>
      <c r="D95" s="308"/>
      <c r="E95" s="308"/>
      <c r="F95" s="308"/>
      <c r="G95" s="308"/>
      <c r="H95" s="308"/>
      <c r="I95" s="282"/>
    </row>
  </sheetData>
  <sheetProtection sheet="1" objects="1" scenarios="1" formatColumns="0"/>
  <mergeCells count="75">
    <mergeCell ref="S19:U19"/>
    <mergeCell ref="A1:I1"/>
    <mergeCell ref="B2:H2"/>
    <mergeCell ref="B4:H4"/>
    <mergeCell ref="B5:H5"/>
    <mergeCell ref="B7:D7"/>
    <mergeCell ref="F7:H7"/>
    <mergeCell ref="B8:D8"/>
    <mergeCell ref="F8:H8"/>
    <mergeCell ref="B9:B18"/>
    <mergeCell ref="F9:F18"/>
    <mergeCell ref="S18:U18"/>
    <mergeCell ref="B36:D36"/>
    <mergeCell ref="F36:H36"/>
    <mergeCell ref="B20:H20"/>
    <mergeCell ref="B21:C32"/>
    <mergeCell ref="D21:G21"/>
    <mergeCell ref="H21:H32"/>
    <mergeCell ref="D22:G22"/>
    <mergeCell ref="D23:E32"/>
    <mergeCell ref="T28:T29"/>
    <mergeCell ref="U28:U29"/>
    <mergeCell ref="F31:F32"/>
    <mergeCell ref="G31:G32"/>
    <mergeCell ref="B34:H34"/>
    <mergeCell ref="B38:D40"/>
    <mergeCell ref="F38:H40"/>
    <mergeCell ref="B41:D41"/>
    <mergeCell ref="F41:H41"/>
    <mergeCell ref="B42:D42"/>
    <mergeCell ref="F42:H42"/>
    <mergeCell ref="B57:D57"/>
    <mergeCell ref="F57:H57"/>
    <mergeCell ref="B43:C43"/>
    <mergeCell ref="G43:H43"/>
    <mergeCell ref="B44:C44"/>
    <mergeCell ref="G44:H44"/>
    <mergeCell ref="B45:C45"/>
    <mergeCell ref="G45:H45"/>
    <mergeCell ref="B46:C46"/>
    <mergeCell ref="G46:H46"/>
    <mergeCell ref="B48:H48"/>
    <mergeCell ref="B50:H54"/>
    <mergeCell ref="B55:H55"/>
    <mergeCell ref="C74:D74"/>
    <mergeCell ref="G74:H74"/>
    <mergeCell ref="B59:D60"/>
    <mergeCell ref="F59:H60"/>
    <mergeCell ref="B61:D61"/>
    <mergeCell ref="F61:H61"/>
    <mergeCell ref="F63:H63"/>
    <mergeCell ref="F65:H67"/>
    <mergeCell ref="B67:D67"/>
    <mergeCell ref="B69:H69"/>
    <mergeCell ref="B71:H71"/>
    <mergeCell ref="B72:H72"/>
    <mergeCell ref="B73:D73"/>
    <mergeCell ref="F73:H73"/>
    <mergeCell ref="C75:D75"/>
    <mergeCell ref="G75:H75"/>
    <mergeCell ref="C76:D76"/>
    <mergeCell ref="G76:H76"/>
    <mergeCell ref="C77:D77"/>
    <mergeCell ref="G77:H77"/>
    <mergeCell ref="B92:D92"/>
    <mergeCell ref="F92:H93"/>
    <mergeCell ref="B93:D93"/>
    <mergeCell ref="F94:H94"/>
    <mergeCell ref="B79:H79"/>
    <mergeCell ref="B80:H81"/>
    <mergeCell ref="B83:C86"/>
    <mergeCell ref="B88:H88"/>
    <mergeCell ref="B90:H90"/>
    <mergeCell ref="B91:D91"/>
    <mergeCell ref="F91:H91"/>
  </mergeCells>
  <conditionalFormatting sqref="A7:A19 C10:C17 A22:A33 A70:A81 A83:A86">
    <cfRule type="cellIs" priority="9" dxfId="17" operator="lessThan" stopIfTrue="1">
      <formula>0</formula>
    </cfRule>
  </conditionalFormatting>
  <conditionalFormatting sqref="A89:A94">
    <cfRule type="cellIs" priority="8" dxfId="17" operator="lessThan" stopIfTrue="1">
      <formula>0</formula>
    </cfRule>
  </conditionalFormatting>
  <conditionalFormatting sqref="B7:B9">
    <cfRule type="cellIs" priority="7" dxfId="17" operator="lessThan" stopIfTrue="1">
      <formula>0</formula>
    </cfRule>
  </conditionalFormatting>
  <conditionalFormatting sqref="D21:D23">
    <cfRule type="cellIs" priority="2" dxfId="17" operator="lessThan" stopIfTrue="1">
      <formula>0</formula>
    </cfRule>
  </conditionalFormatting>
  <conditionalFormatting sqref="F7:F9">
    <cfRule type="cellIs" priority="5" dxfId="17" operator="lessThan" stopIfTrue="1">
      <formula>0</formula>
    </cfRule>
  </conditionalFormatting>
  <conditionalFormatting sqref="F24:F31">
    <cfRule type="cellIs" priority="1" dxfId="17" operator="lessThan" stopIfTrue="1">
      <formula>0</formula>
    </cfRule>
  </conditionalFormatting>
  <conditionalFormatting sqref="G10:G17">
    <cfRule type="cellIs" priority="6" dxfId="17" operator="lessThan" stopIfTrue="1">
      <formula>0</formula>
    </cfRule>
  </conditionalFormatting>
  <conditionalFormatting sqref="S18:S20">
    <cfRule type="cellIs" priority="3" dxfId="17" operator="lessThan" stopIfTrue="1">
      <formula>0</formula>
    </cfRule>
  </conditionalFormatting>
  <conditionalFormatting sqref="T21:T28">
    <cfRule type="cellIs" priority="4" dxfId="17" operator="lessThan" stopIfTrue="1">
      <formula>0</formula>
    </cfRule>
  </conditionalFormatting>
  <printOptions horizontalCentered="1" verticalCentered="1"/>
  <pageMargins left="0.7" right="0.7" top="0.5" bottom="0.25" header="0.3" footer="0.3"/>
  <pageSetup horizontalDpi="300" verticalDpi="300" orientation="landscape" paperSize="1" scale="70" r:id="rId1"/>
  <rowBreaks count="2" manualBreakCount="2">
    <brk id="32" max="16383" man="1"/>
    <brk id="67" max="16383" man="1"/>
  </rowBreak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D7D5BBD0-8FFA-4834-AEAE-D8C63A685372}">
  <sheetPr>
    <pageSetUpPr fitToPage="1"/>
  </sheetPr>
  <dimension ref="A1:U95"/>
  <sheetViews>
    <sheetView view="pageBreakPreview" zoomScale="136" zoomScaleNormal="100" zoomScaleSheetLayoutView="136" workbookViewId="0" topLeftCell="A1">
      <selection pane="topLeft" activeCell="N96" sqref="N96"/>
    </sheetView>
  </sheetViews>
  <sheetFormatPr defaultColWidth="10.7033333333333" defaultRowHeight="14.5"/>
  <cols>
    <col min="1" max="1" width="1.33333333333333" style="348" customWidth="1"/>
    <col min="2" max="2" width="27.1666666666667" style="348" customWidth="1"/>
    <col min="3" max="3" width="32.3333333333333" style="348" customWidth="1"/>
    <col min="4" max="4" width="36" style="348" customWidth="1"/>
    <col min="5" max="5" width="2.33333333333333" style="348" customWidth="1"/>
    <col min="6" max="6" width="31" style="348" customWidth="1"/>
    <col min="7" max="7" width="33.1666666666667" style="348" customWidth="1"/>
    <col min="8" max="8" width="35.6666666666667" style="348" customWidth="1"/>
    <col min="9" max="9" width="1.33333333333333" style="348" hidden="1" customWidth="1"/>
    <col min="10" max="15" width="10.6666666666667" style="348"/>
    <col min="16" max="16" width="12.1666666666667" style="348" customWidth="1"/>
    <col min="17" max="16384" width="10.6666666666667" style="348"/>
  </cols>
  <sheetData>
    <row r="1" spans="1:9" ht="18.75" customHeight="1">
      <c r="A1" s="671"/>
      <c r="B1" s="671"/>
      <c r="C1" s="671"/>
      <c r="D1" s="671"/>
      <c r="E1" s="671"/>
      <c r="F1" s="671"/>
      <c r="G1" s="671"/>
      <c r="H1" s="671"/>
      <c r="I1" s="671"/>
    </row>
    <row r="2" spans="1:9" ht="31.5" customHeight="1">
      <c r="A2" s="349" t="s">
        <v>374</v>
      </c>
      <c r="B2" s="636" t="s">
        <v>375</v>
      </c>
      <c r="C2" s="637"/>
      <c r="D2" s="637"/>
      <c r="E2" s="637"/>
      <c r="F2" s="637"/>
      <c r="G2" s="637"/>
      <c r="H2" s="637"/>
      <c r="I2" s="350"/>
    </row>
    <row r="3" spans="1:9" ht="18" customHeight="1">
      <c r="A3" s="351"/>
      <c r="B3" s="352"/>
      <c r="C3" s="352"/>
      <c r="D3" s="352"/>
      <c r="E3" s="352"/>
      <c r="F3" s="352"/>
      <c r="G3" s="352"/>
      <c r="H3" s="352"/>
      <c r="I3" s="350"/>
    </row>
    <row r="4" spans="1:9" ht="20.15" customHeight="1">
      <c r="A4" s="353"/>
      <c r="B4" s="672" t="s">
        <v>448</v>
      </c>
      <c r="C4" s="673"/>
      <c r="D4" s="673"/>
      <c r="E4" s="673"/>
      <c r="F4" s="673"/>
      <c r="G4" s="673"/>
      <c r="H4" s="673"/>
      <c r="I4" s="354"/>
    </row>
    <row r="5" spans="1:9" ht="19.9" customHeight="1">
      <c r="A5" s="355"/>
      <c r="B5" s="674" t="s">
        <v>376</v>
      </c>
      <c r="C5" s="675"/>
      <c r="D5" s="675"/>
      <c r="E5" s="675"/>
      <c r="F5" s="675"/>
      <c r="G5" s="675"/>
      <c r="H5" s="675"/>
      <c r="I5" s="354"/>
    </row>
    <row r="6" spans="1:9" ht="9" customHeight="1">
      <c r="A6" s="353"/>
      <c r="B6" s="356"/>
      <c r="C6" s="356"/>
      <c r="D6" s="356"/>
      <c r="E6" s="357"/>
      <c r="F6" s="356"/>
      <c r="G6" s="356"/>
      <c r="H6" s="356"/>
      <c r="I6" s="354"/>
    </row>
    <row r="7" spans="1:9" ht="18" customHeight="1">
      <c r="A7" s="353"/>
      <c r="B7" s="665" t="s">
        <v>377</v>
      </c>
      <c r="C7" s="665"/>
      <c r="D7" s="665"/>
      <c r="E7" s="359" t="s">
        <v>378</v>
      </c>
      <c r="F7" s="665" t="s">
        <v>379</v>
      </c>
      <c r="G7" s="665"/>
      <c r="H7" s="665"/>
      <c r="I7" s="354"/>
    </row>
    <row r="8" spans="1:9" ht="18" customHeight="1">
      <c r="A8" s="353"/>
      <c r="B8" s="665" t="s">
        <v>380</v>
      </c>
      <c r="C8" s="665"/>
      <c r="D8" s="665"/>
      <c r="E8" s="359" t="s">
        <v>378</v>
      </c>
      <c r="F8" s="665" t="s">
        <v>381</v>
      </c>
      <c r="G8" s="665"/>
      <c r="H8" s="665"/>
      <c r="I8" s="354"/>
    </row>
    <row r="9" spans="1:9" ht="18" customHeight="1">
      <c r="A9" s="353"/>
      <c r="B9" s="676" t="s">
        <v>382</v>
      </c>
      <c r="C9" s="360" t="s">
        <v>383</v>
      </c>
      <c r="D9" s="360" t="s">
        <v>384</v>
      </c>
      <c r="E9" s="361"/>
      <c r="F9" s="676" t="s">
        <v>382</v>
      </c>
      <c r="G9" s="362" t="s">
        <v>383</v>
      </c>
      <c r="H9" s="362" t="s">
        <v>384</v>
      </c>
      <c r="I9" s="354"/>
    </row>
    <row r="10" spans="1:9" ht="18" customHeight="1">
      <c r="A10" s="353"/>
      <c r="B10" s="677"/>
      <c r="C10" s="358" t="s">
        <v>385</v>
      </c>
      <c r="D10" s="363">
        <v>0.56000000000000005</v>
      </c>
      <c r="E10" s="361"/>
      <c r="F10" s="677"/>
      <c r="G10" s="358" t="s">
        <v>385</v>
      </c>
      <c r="H10" s="363">
        <v>0.67</v>
      </c>
      <c r="I10" s="354"/>
    </row>
    <row r="11" spans="1:9" ht="18" customHeight="1">
      <c r="A11" s="353"/>
      <c r="B11" s="677"/>
      <c r="C11" s="358" t="s">
        <v>386</v>
      </c>
      <c r="D11" s="363">
        <v>0.56999999999999995</v>
      </c>
      <c r="E11" s="361"/>
      <c r="F11" s="677"/>
      <c r="G11" s="358" t="s">
        <v>386</v>
      </c>
      <c r="H11" s="363">
        <v>0.69</v>
      </c>
      <c r="I11" s="354"/>
    </row>
    <row r="12" spans="1:9" ht="18" customHeight="1">
      <c r="A12" s="353"/>
      <c r="B12" s="677"/>
      <c r="C12" s="358" t="s">
        <v>387</v>
      </c>
      <c r="D12" s="363">
        <v>0.62</v>
      </c>
      <c r="E12" s="361"/>
      <c r="F12" s="677"/>
      <c r="G12" s="358" t="s">
        <v>387</v>
      </c>
      <c r="H12" s="363">
        <v>0.74</v>
      </c>
      <c r="I12" s="354"/>
    </row>
    <row r="13" spans="1:9" ht="18" customHeight="1">
      <c r="A13" s="353"/>
      <c r="B13" s="677"/>
      <c r="C13" s="364" t="s">
        <v>388</v>
      </c>
      <c r="D13" s="363">
        <v>0.53</v>
      </c>
      <c r="E13" s="361"/>
      <c r="F13" s="677"/>
      <c r="G13" s="364" t="s">
        <v>388</v>
      </c>
      <c r="H13" s="363">
        <v>0.63</v>
      </c>
      <c r="I13" s="354"/>
    </row>
    <row r="14" spans="1:9" ht="18" customHeight="1">
      <c r="A14" s="365"/>
      <c r="B14" s="677"/>
      <c r="C14" s="364" t="s">
        <v>389</v>
      </c>
      <c r="D14" s="363">
        <v>0.57999999999999996</v>
      </c>
      <c r="E14" s="366"/>
      <c r="F14" s="677"/>
      <c r="G14" s="364" t="s">
        <v>389</v>
      </c>
      <c r="H14" s="363">
        <v>0.70</v>
      </c>
      <c r="I14" s="354"/>
    </row>
    <row r="15" spans="1:9" ht="18" customHeight="1">
      <c r="A15" s="365"/>
      <c r="B15" s="677"/>
      <c r="C15" s="364" t="s">
        <v>390</v>
      </c>
      <c r="D15" s="363">
        <v>0.71</v>
      </c>
      <c r="E15" s="366"/>
      <c r="F15" s="677"/>
      <c r="G15" s="364" t="s">
        <v>390</v>
      </c>
      <c r="H15" s="363">
        <v>0.85</v>
      </c>
      <c r="I15" s="354"/>
    </row>
    <row r="16" spans="1:9" ht="18" customHeight="1">
      <c r="A16" s="365"/>
      <c r="B16" s="677"/>
      <c r="C16" s="364" t="s">
        <v>391</v>
      </c>
      <c r="D16" s="363">
        <v>0.88</v>
      </c>
      <c r="E16" s="366"/>
      <c r="F16" s="677"/>
      <c r="G16" s="364" t="s">
        <v>391</v>
      </c>
      <c r="H16" s="363">
        <v>1.05</v>
      </c>
      <c r="I16" s="354"/>
    </row>
    <row r="17" spans="1:9" ht="18" customHeight="1">
      <c r="A17" s="365"/>
      <c r="B17" s="677"/>
      <c r="C17" s="364" t="s">
        <v>392</v>
      </c>
      <c r="D17" s="363">
        <v>1.1200000000000001</v>
      </c>
      <c r="E17" s="366"/>
      <c r="F17" s="677"/>
      <c r="G17" s="364" t="s">
        <v>392</v>
      </c>
      <c r="H17" s="363">
        <v>1.34</v>
      </c>
      <c r="I17" s="354"/>
    </row>
    <row r="18" spans="1:21" ht="18" customHeight="1">
      <c r="A18" s="365"/>
      <c r="B18" s="678"/>
      <c r="C18" s="367" t="s">
        <v>393</v>
      </c>
      <c r="D18" s="367">
        <v>1.33</v>
      </c>
      <c r="E18" s="366"/>
      <c r="F18" s="678"/>
      <c r="G18" s="367" t="s">
        <v>393</v>
      </c>
      <c r="H18" s="367">
        <v>1.59</v>
      </c>
      <c r="I18" s="354"/>
      <c r="S18" s="670"/>
      <c r="T18" s="670"/>
      <c r="U18" s="670"/>
    </row>
    <row r="19" spans="1:21" ht="15.5">
      <c r="A19" s="365"/>
      <c r="B19" s="369"/>
      <c r="C19" s="369"/>
      <c r="D19" s="369"/>
      <c r="E19" s="366"/>
      <c r="F19" s="370"/>
      <c r="G19" s="370"/>
      <c r="H19" s="370"/>
      <c r="I19" s="354"/>
      <c r="S19" s="670"/>
      <c r="T19" s="670"/>
      <c r="U19" s="670"/>
    </row>
    <row r="20" spans="1:21" ht="19.9" customHeight="1">
      <c r="A20" s="355"/>
      <c r="B20" s="608" t="s">
        <v>394</v>
      </c>
      <c r="C20" s="609"/>
      <c r="D20" s="609"/>
      <c r="E20" s="609"/>
      <c r="F20" s="609"/>
      <c r="G20" s="609"/>
      <c r="H20" s="609"/>
      <c r="I20" s="354"/>
      <c r="S20" s="371"/>
      <c r="T20" s="372"/>
      <c r="U20" s="373"/>
    </row>
    <row r="21" spans="1:21" ht="19.9" customHeight="1">
      <c r="A21" s="374"/>
      <c r="B21" s="659"/>
      <c r="C21" s="660"/>
      <c r="D21" s="665" t="s">
        <v>395</v>
      </c>
      <c r="E21" s="665"/>
      <c r="F21" s="665"/>
      <c r="G21" s="665"/>
      <c r="H21" s="666"/>
      <c r="I21" s="354"/>
      <c r="S21" s="371"/>
      <c r="T21" s="368"/>
      <c r="U21" s="375"/>
    </row>
    <row r="22" spans="1:21" ht="18" customHeight="1">
      <c r="A22" s="353"/>
      <c r="B22" s="661"/>
      <c r="C22" s="662"/>
      <c r="D22" s="665" t="s">
        <v>396</v>
      </c>
      <c r="E22" s="665"/>
      <c r="F22" s="665"/>
      <c r="G22" s="665"/>
      <c r="H22" s="667"/>
      <c r="I22" s="354"/>
      <c r="S22" s="371"/>
      <c r="T22" s="368"/>
      <c r="U22" s="375"/>
    </row>
    <row r="23" spans="1:21" ht="18" customHeight="1">
      <c r="A23" s="353"/>
      <c r="B23" s="661"/>
      <c r="C23" s="662"/>
      <c r="D23" s="669" t="s">
        <v>397</v>
      </c>
      <c r="E23" s="669"/>
      <c r="F23" s="362" t="s">
        <v>383</v>
      </c>
      <c r="G23" s="362" t="s">
        <v>384</v>
      </c>
      <c r="H23" s="667"/>
      <c r="I23" s="354"/>
      <c r="S23" s="371"/>
      <c r="T23" s="368"/>
      <c r="U23" s="375"/>
    </row>
    <row r="24" spans="1:21" ht="18" customHeight="1">
      <c r="A24" s="353"/>
      <c r="B24" s="661"/>
      <c r="C24" s="662"/>
      <c r="D24" s="669"/>
      <c r="E24" s="669"/>
      <c r="F24" s="358" t="s">
        <v>385</v>
      </c>
      <c r="G24" s="363">
        <v>0.13</v>
      </c>
      <c r="H24" s="667"/>
      <c r="I24" s="354"/>
      <c r="S24" s="371"/>
      <c r="T24" s="376"/>
      <c r="U24" s="375"/>
    </row>
    <row r="25" spans="1:21" ht="18" customHeight="1">
      <c r="A25" s="353"/>
      <c r="B25" s="661"/>
      <c r="C25" s="662"/>
      <c r="D25" s="669"/>
      <c r="E25" s="669"/>
      <c r="F25" s="358" t="s">
        <v>386</v>
      </c>
      <c r="G25" s="363">
        <v>0.23</v>
      </c>
      <c r="H25" s="667"/>
      <c r="I25" s="354"/>
      <c r="S25" s="371"/>
      <c r="T25" s="376"/>
      <c r="U25" s="375"/>
    </row>
    <row r="26" spans="1:21" ht="18" customHeight="1">
      <c r="A26" s="353"/>
      <c r="B26" s="661"/>
      <c r="C26" s="662"/>
      <c r="D26" s="669"/>
      <c r="E26" s="669"/>
      <c r="F26" s="358" t="s">
        <v>387</v>
      </c>
      <c r="G26" s="363">
        <v>0.36</v>
      </c>
      <c r="H26" s="667"/>
      <c r="I26" s="354"/>
      <c r="S26" s="371"/>
      <c r="T26" s="376"/>
      <c r="U26" s="375"/>
    </row>
    <row r="27" spans="1:21" ht="18" customHeight="1">
      <c r="A27" s="353"/>
      <c r="B27" s="661"/>
      <c r="C27" s="662"/>
      <c r="D27" s="669"/>
      <c r="E27" s="669"/>
      <c r="F27" s="364" t="s">
        <v>388</v>
      </c>
      <c r="G27" s="363">
        <v>0.48</v>
      </c>
      <c r="H27" s="667"/>
      <c r="I27" s="354"/>
      <c r="S27" s="371"/>
      <c r="T27" s="376"/>
      <c r="U27" s="375"/>
    </row>
    <row r="28" spans="1:21" ht="18" customHeight="1">
      <c r="A28" s="365"/>
      <c r="B28" s="661"/>
      <c r="C28" s="662"/>
      <c r="D28" s="669"/>
      <c r="E28" s="669"/>
      <c r="F28" s="364" t="s">
        <v>389</v>
      </c>
      <c r="G28" s="363">
        <v>0.67</v>
      </c>
      <c r="H28" s="667"/>
      <c r="I28" s="354"/>
      <c r="S28" s="371"/>
      <c r="T28" s="651"/>
      <c r="U28" s="652"/>
    </row>
    <row r="29" spans="1:21" ht="18" customHeight="1">
      <c r="A29" s="365"/>
      <c r="B29" s="661"/>
      <c r="C29" s="662"/>
      <c r="D29" s="669"/>
      <c r="E29" s="669"/>
      <c r="F29" s="364" t="s">
        <v>390</v>
      </c>
      <c r="G29" s="363">
        <v>0.99</v>
      </c>
      <c r="H29" s="667"/>
      <c r="I29" s="354"/>
      <c r="S29" s="371"/>
      <c r="T29" s="651"/>
      <c r="U29" s="652"/>
    </row>
    <row r="30" spans="1:9" ht="18" customHeight="1">
      <c r="A30" s="365"/>
      <c r="B30" s="661"/>
      <c r="C30" s="662"/>
      <c r="D30" s="669"/>
      <c r="E30" s="669"/>
      <c r="F30" s="364" t="s">
        <v>391</v>
      </c>
      <c r="G30" s="363">
        <v>1.0900000000000001</v>
      </c>
      <c r="H30" s="667"/>
      <c r="I30" s="354"/>
    </row>
    <row r="31" spans="1:9" ht="18" customHeight="1">
      <c r="A31" s="365"/>
      <c r="B31" s="661"/>
      <c r="C31" s="662"/>
      <c r="D31" s="669"/>
      <c r="E31" s="669"/>
      <c r="F31" s="653" t="s">
        <v>398</v>
      </c>
      <c r="G31" s="655">
        <v>0.91</v>
      </c>
      <c r="H31" s="667"/>
      <c r="I31" s="354"/>
    </row>
    <row r="32" spans="1:9" ht="18" customHeight="1">
      <c r="A32" s="365"/>
      <c r="B32" s="663"/>
      <c r="C32" s="664"/>
      <c r="D32" s="669"/>
      <c r="E32" s="669"/>
      <c r="F32" s="654"/>
      <c r="G32" s="656"/>
      <c r="H32" s="668"/>
      <c r="I32" s="354"/>
    </row>
    <row r="33" spans="1:9" ht="14.5">
      <c r="A33" s="365"/>
      <c r="B33" s="377"/>
      <c r="C33" s="377"/>
      <c r="D33" s="378"/>
      <c r="E33" s="379"/>
      <c r="F33" s="380"/>
      <c r="G33" s="380"/>
      <c r="H33" s="380"/>
      <c r="I33" s="354"/>
    </row>
    <row r="34" spans="1:9" ht="25.15" customHeight="1">
      <c r="A34" s="365"/>
      <c r="B34" s="657" t="s">
        <v>399</v>
      </c>
      <c r="C34" s="657"/>
      <c r="D34" s="657"/>
      <c r="E34" s="657"/>
      <c r="F34" s="657"/>
      <c r="G34" s="657"/>
      <c r="H34" s="657"/>
      <c r="I34" s="354"/>
    </row>
    <row r="35" spans="1:9" ht="13.15" customHeight="1">
      <c r="A35" s="365"/>
      <c r="B35" s="381"/>
      <c r="C35" s="381"/>
      <c r="D35" s="381"/>
      <c r="E35" s="379"/>
      <c r="F35" s="380"/>
      <c r="G35" s="380"/>
      <c r="H35" s="380"/>
      <c r="I35" s="354"/>
    </row>
    <row r="36" spans="1:9" ht="19.9" customHeight="1">
      <c r="A36" s="365"/>
      <c r="B36" s="608" t="s">
        <v>400</v>
      </c>
      <c r="C36" s="609"/>
      <c r="D36" s="658"/>
      <c r="E36" s="379"/>
      <c r="F36" s="641" t="s">
        <v>401</v>
      </c>
      <c r="G36" s="642"/>
      <c r="H36" s="642"/>
      <c r="I36" s="354"/>
    </row>
    <row r="37" spans="1:9" ht="7.9" customHeight="1">
      <c r="A37" s="365"/>
      <c r="B37" s="379"/>
      <c r="C37" s="353"/>
      <c r="D37" s="353"/>
      <c r="E37" s="382"/>
      <c r="F37" s="379"/>
      <c r="G37" s="353"/>
      <c r="H37" s="353"/>
      <c r="I37" s="354"/>
    </row>
    <row r="38" spans="1:9" ht="28.9" customHeight="1">
      <c r="A38" s="365"/>
      <c r="B38" s="647" t="s">
        <v>402</v>
      </c>
      <c r="C38" s="647"/>
      <c r="D38" s="647"/>
      <c r="E38" s="383"/>
      <c r="F38" s="648" t="s">
        <v>449</v>
      </c>
      <c r="G38" s="648"/>
      <c r="H38" s="648"/>
      <c r="I38" s="354"/>
    </row>
    <row r="39" spans="1:9" ht="19.9" customHeight="1">
      <c r="A39" s="365"/>
      <c r="B39" s="647"/>
      <c r="C39" s="647"/>
      <c r="D39" s="647"/>
      <c r="E39" s="383"/>
      <c r="F39" s="648"/>
      <c r="G39" s="648"/>
      <c r="H39" s="648"/>
      <c r="I39" s="354"/>
    </row>
    <row r="40" spans="1:9" ht="31.15" customHeight="1">
      <c r="A40" s="365"/>
      <c r="B40" s="647"/>
      <c r="C40" s="647"/>
      <c r="D40" s="647"/>
      <c r="E40" s="383"/>
      <c r="F40" s="649"/>
      <c r="G40" s="649"/>
      <c r="H40" s="649"/>
      <c r="I40" s="354"/>
    </row>
    <row r="41" spans="1:9" ht="21" customHeight="1">
      <c r="A41" s="365"/>
      <c r="B41" s="650" t="s">
        <v>404</v>
      </c>
      <c r="C41" s="650"/>
      <c r="D41" s="650"/>
      <c r="E41" s="383"/>
      <c r="F41" s="625" t="s">
        <v>405</v>
      </c>
      <c r="G41" s="626"/>
      <c r="H41" s="626"/>
      <c r="I41" s="354"/>
    </row>
    <row r="42" spans="1:9" ht="15.5">
      <c r="A42" s="365"/>
      <c r="B42" s="625" t="s">
        <v>450</v>
      </c>
      <c r="C42" s="626"/>
      <c r="D42" s="627"/>
      <c r="E42" s="383"/>
      <c r="F42" s="625" t="s">
        <v>451</v>
      </c>
      <c r="G42" s="626"/>
      <c r="H42" s="626"/>
      <c r="I42" s="354"/>
    </row>
    <row r="43" spans="1:9" ht="15.5">
      <c r="A43" s="365"/>
      <c r="B43" s="625" t="s">
        <v>408</v>
      </c>
      <c r="C43" s="627"/>
      <c r="D43" s="384">
        <v>9.36</v>
      </c>
      <c r="E43" s="383"/>
      <c r="F43" s="385" t="s">
        <v>408</v>
      </c>
      <c r="G43" s="639" t="s">
        <v>409</v>
      </c>
      <c r="H43" s="640"/>
      <c r="I43" s="354"/>
    </row>
    <row r="44" spans="1:9" ht="15.5">
      <c r="A44" s="365"/>
      <c r="B44" s="625" t="s">
        <v>239</v>
      </c>
      <c r="C44" s="627"/>
      <c r="D44" s="384">
        <v>18.20</v>
      </c>
      <c r="E44" s="383"/>
      <c r="F44" s="385" t="s">
        <v>239</v>
      </c>
      <c r="G44" s="639" t="s">
        <v>409</v>
      </c>
      <c r="H44" s="640"/>
      <c r="I44" s="354"/>
    </row>
    <row r="45" spans="1:9" ht="15.5">
      <c r="A45" s="365"/>
      <c r="B45" s="625" t="s">
        <v>410</v>
      </c>
      <c r="C45" s="627"/>
      <c r="D45" s="384">
        <v>21.84</v>
      </c>
      <c r="E45" s="383"/>
      <c r="F45" s="385" t="s">
        <v>410</v>
      </c>
      <c r="G45" s="639" t="s">
        <v>409</v>
      </c>
      <c r="H45" s="640"/>
      <c r="I45" s="354"/>
    </row>
    <row r="46" spans="1:9" ht="15.5">
      <c r="A46" s="365"/>
      <c r="B46" s="625" t="s">
        <v>335</v>
      </c>
      <c r="C46" s="627"/>
      <c r="D46" s="384">
        <v>26</v>
      </c>
      <c r="E46" s="383"/>
      <c r="F46" s="385" t="s">
        <v>335</v>
      </c>
      <c r="G46" s="639" t="s">
        <v>409</v>
      </c>
      <c r="H46" s="640"/>
      <c r="I46" s="354"/>
    </row>
    <row r="47" spans="1:9" ht="14.5">
      <c r="A47" s="365"/>
      <c r="B47" s="379"/>
      <c r="C47" s="353"/>
      <c r="D47" s="353"/>
      <c r="E47" s="379"/>
      <c r="F47" s="379"/>
      <c r="G47" s="353"/>
      <c r="H47" s="353"/>
      <c r="I47" s="354"/>
    </row>
    <row r="48" spans="1:9" ht="19.9" customHeight="1">
      <c r="A48" s="365"/>
      <c r="B48" s="641" t="s">
        <v>411</v>
      </c>
      <c r="C48" s="642"/>
      <c r="D48" s="642"/>
      <c r="E48" s="642"/>
      <c r="F48" s="642"/>
      <c r="G48" s="642"/>
      <c r="H48" s="642"/>
      <c r="I48" s="354"/>
    </row>
    <row r="49" spans="1:9" ht="14.5">
      <c r="A49" s="365"/>
      <c r="B49" s="379"/>
      <c r="C49" s="353"/>
      <c r="D49" s="353"/>
      <c r="E49" s="353"/>
      <c r="F49" s="353"/>
      <c r="G49" s="353"/>
      <c r="H49" s="353"/>
      <c r="I49" s="354"/>
    </row>
    <row r="50" spans="1:9" ht="19.9" customHeight="1">
      <c r="A50" s="365"/>
      <c r="B50" s="643" t="s">
        <v>412</v>
      </c>
      <c r="C50" s="643"/>
      <c r="D50" s="643"/>
      <c r="E50" s="643"/>
      <c r="F50" s="643"/>
      <c r="G50" s="643"/>
      <c r="H50" s="643"/>
      <c r="I50" s="354"/>
    </row>
    <row r="51" spans="1:9" ht="19.9" customHeight="1">
      <c r="A51" s="365"/>
      <c r="B51" s="643"/>
      <c r="C51" s="643"/>
      <c r="D51" s="643"/>
      <c r="E51" s="643"/>
      <c r="F51" s="643"/>
      <c r="G51" s="643"/>
      <c r="H51" s="643"/>
      <c r="I51" s="354"/>
    </row>
    <row r="52" spans="1:9" ht="19.9" customHeight="1">
      <c r="A52" s="365"/>
      <c r="B52" s="643"/>
      <c r="C52" s="643"/>
      <c r="D52" s="643"/>
      <c r="E52" s="643"/>
      <c r="F52" s="643"/>
      <c r="G52" s="643"/>
      <c r="H52" s="643"/>
      <c r="I52" s="354"/>
    </row>
    <row r="53" spans="1:9" ht="19.9" customHeight="1">
      <c r="A53" s="365"/>
      <c r="B53" s="643"/>
      <c r="C53" s="643"/>
      <c r="D53" s="643"/>
      <c r="E53" s="643"/>
      <c r="F53" s="643"/>
      <c r="G53" s="643"/>
      <c r="H53" s="643"/>
      <c r="I53" s="354"/>
    </row>
    <row r="54" spans="1:9" ht="52.15" customHeight="1">
      <c r="A54" s="365"/>
      <c r="B54" s="643"/>
      <c r="C54" s="643"/>
      <c r="D54" s="643"/>
      <c r="E54" s="643"/>
      <c r="F54" s="643"/>
      <c r="G54" s="643"/>
      <c r="H54" s="643"/>
      <c r="I54" s="354"/>
    </row>
    <row r="55" spans="1:9" ht="21.65" customHeight="1">
      <c r="A55" s="365"/>
      <c r="B55" s="644" t="s">
        <v>413</v>
      </c>
      <c r="C55" s="645"/>
      <c r="D55" s="645"/>
      <c r="E55" s="645"/>
      <c r="F55" s="645"/>
      <c r="G55" s="645"/>
      <c r="H55" s="646"/>
      <c r="I55" s="354"/>
    </row>
    <row r="56" spans="1:9" ht="14.5">
      <c r="A56" s="365"/>
      <c r="B56" s="379"/>
      <c r="C56" s="353"/>
      <c r="D56" s="353"/>
      <c r="E56" s="353"/>
      <c r="F56" s="353"/>
      <c r="G56" s="353"/>
      <c r="H56" s="353"/>
      <c r="I56" s="354"/>
    </row>
    <row r="57" spans="1:9" ht="19.9" customHeight="1">
      <c r="A57" s="365"/>
      <c r="B57" s="608" t="s">
        <v>414</v>
      </c>
      <c r="C57" s="609"/>
      <c r="D57" s="609"/>
      <c r="E57" s="379"/>
      <c r="F57" s="608" t="s">
        <v>415</v>
      </c>
      <c r="G57" s="609"/>
      <c r="H57" s="609"/>
      <c r="I57" s="354"/>
    </row>
    <row r="58" spans="1:9" ht="19.9" customHeight="1">
      <c r="A58" s="365"/>
      <c r="B58" s="379"/>
      <c r="C58" s="353"/>
      <c r="D58" s="353"/>
      <c r="E58" s="379"/>
      <c r="F58" s="379"/>
      <c r="G58" s="353"/>
      <c r="H58" s="353"/>
      <c r="I58" s="354"/>
    </row>
    <row r="59" spans="1:9" ht="19.9" customHeight="1">
      <c r="A59" s="365"/>
      <c r="B59" s="619" t="s">
        <v>416</v>
      </c>
      <c r="C59" s="620"/>
      <c r="D59" s="621"/>
      <c r="E59" s="379"/>
      <c r="F59" s="619" t="s">
        <v>417</v>
      </c>
      <c r="G59" s="620"/>
      <c r="H59" s="621"/>
      <c r="I59" s="354"/>
    </row>
    <row r="60" spans="1:9" ht="19.9" customHeight="1">
      <c r="A60" s="365"/>
      <c r="B60" s="622"/>
      <c r="C60" s="623"/>
      <c r="D60" s="624"/>
      <c r="E60" s="379"/>
      <c r="F60" s="622"/>
      <c r="G60" s="623"/>
      <c r="H60" s="624"/>
      <c r="I60" s="354"/>
    </row>
    <row r="61" spans="1:9" ht="23.5" customHeight="1">
      <c r="A61" s="365"/>
      <c r="B61" s="625"/>
      <c r="C61" s="626"/>
      <c r="D61" s="627"/>
      <c r="E61" s="379"/>
      <c r="F61" s="628" t="s">
        <v>413</v>
      </c>
      <c r="G61" s="629"/>
      <c r="H61" s="630"/>
      <c r="I61" s="354"/>
    </row>
    <row r="62" spans="1:9" ht="47.5" customHeight="1">
      <c r="A62" s="365"/>
      <c r="B62" s="385"/>
      <c r="C62" s="386" t="s">
        <v>418</v>
      </c>
      <c r="D62" s="386" t="s">
        <v>419</v>
      </c>
      <c r="E62" s="379"/>
      <c r="F62" s="379"/>
      <c r="G62" s="353"/>
      <c r="H62" s="353"/>
      <c r="I62" s="354"/>
    </row>
    <row r="63" spans="1:9" ht="21" customHeight="1">
      <c r="A63" s="365"/>
      <c r="B63" s="385" t="s">
        <v>408</v>
      </c>
      <c r="C63" s="384">
        <v>7.76</v>
      </c>
      <c r="D63" s="384">
        <v>19.239999999999998</v>
      </c>
      <c r="E63" s="379"/>
      <c r="F63" s="608" t="s">
        <v>420</v>
      </c>
      <c r="G63" s="609"/>
      <c r="H63" s="609"/>
      <c r="I63" s="354"/>
    </row>
    <row r="64" spans="1:9" ht="19.9" customHeight="1">
      <c r="A64" s="365"/>
      <c r="B64" s="385" t="s">
        <v>239</v>
      </c>
      <c r="C64" s="384">
        <v>16.68</v>
      </c>
      <c r="D64" s="384">
        <v>42.64</v>
      </c>
      <c r="E64" s="379"/>
      <c r="F64" s="379"/>
      <c r="G64" s="353"/>
      <c r="H64" s="353"/>
      <c r="I64" s="354"/>
    </row>
    <row r="65" spans="1:9" ht="19.9" customHeight="1">
      <c r="A65" s="365"/>
      <c r="B65" s="385" t="s">
        <v>410</v>
      </c>
      <c r="C65" s="384">
        <v>13.63</v>
      </c>
      <c r="D65" s="384">
        <v>35.36</v>
      </c>
      <c r="E65" s="379"/>
      <c r="F65" s="631" t="s">
        <v>421</v>
      </c>
      <c r="G65" s="632"/>
      <c r="H65" s="632"/>
      <c r="I65" s="354"/>
    </row>
    <row r="66" spans="1:9" ht="19.9" customHeight="1">
      <c r="A66" s="365"/>
      <c r="B66" s="385" t="s">
        <v>335</v>
      </c>
      <c r="C66" s="384">
        <v>22.54</v>
      </c>
      <c r="D66" s="384">
        <v>58.76</v>
      </c>
      <c r="E66" s="379"/>
      <c r="F66" s="631"/>
      <c r="G66" s="632"/>
      <c r="H66" s="632"/>
      <c r="I66" s="354"/>
    </row>
    <row r="67" spans="1:9" ht="19.9" customHeight="1">
      <c r="A67" s="365"/>
      <c r="B67" s="635" t="s">
        <v>422</v>
      </c>
      <c r="C67" s="635"/>
      <c r="D67" s="635"/>
      <c r="E67" s="379"/>
      <c r="F67" s="633"/>
      <c r="G67" s="634"/>
      <c r="H67" s="634"/>
      <c r="I67" s="354"/>
    </row>
    <row r="68" spans="1:9" ht="14.5">
      <c r="A68" s="365"/>
      <c r="B68" s="380"/>
      <c r="C68" s="380"/>
      <c r="D68" s="380"/>
      <c r="E68" s="380"/>
      <c r="F68" s="380"/>
      <c r="G68" s="380"/>
      <c r="H68" s="380"/>
      <c r="I68" s="354"/>
    </row>
    <row r="69" spans="1:9" ht="25.5">
      <c r="A69" s="365"/>
      <c r="B69" s="636" t="s">
        <v>423</v>
      </c>
      <c r="C69" s="637"/>
      <c r="D69" s="637"/>
      <c r="E69" s="637"/>
      <c r="F69" s="637"/>
      <c r="G69" s="637"/>
      <c r="H69" s="637"/>
      <c r="I69" s="354"/>
    </row>
    <row r="70" spans="1:9" ht="12.65" customHeight="1">
      <c r="A70" s="365"/>
      <c r="B70" s="379"/>
      <c r="C70" s="353"/>
      <c r="D70" s="353"/>
      <c r="E70" s="382"/>
      <c r="F70" s="379"/>
      <c r="G70" s="353"/>
      <c r="H70" s="353"/>
      <c r="I70" s="354"/>
    </row>
    <row r="71" spans="1:9" ht="20.5" customHeight="1">
      <c r="A71" s="365"/>
      <c r="B71" s="608" t="s">
        <v>424</v>
      </c>
      <c r="C71" s="609"/>
      <c r="D71" s="609"/>
      <c r="E71" s="609"/>
      <c r="F71" s="609"/>
      <c r="G71" s="609"/>
      <c r="H71" s="609"/>
      <c r="I71" s="354"/>
    </row>
    <row r="72" spans="1:9" ht="47.5" customHeight="1">
      <c r="A72" s="365"/>
      <c r="B72" s="613" t="s">
        <v>425</v>
      </c>
      <c r="C72" s="614"/>
      <c r="D72" s="614"/>
      <c r="E72" s="614"/>
      <c r="F72" s="614"/>
      <c r="G72" s="614"/>
      <c r="H72" s="615"/>
      <c r="I72" s="354"/>
    </row>
    <row r="73" spans="1:9" ht="33" customHeight="1">
      <c r="A73" s="365"/>
      <c r="B73" s="638" t="s">
        <v>426</v>
      </c>
      <c r="C73" s="638"/>
      <c r="D73" s="638"/>
      <c r="E73" s="379"/>
      <c r="F73" s="638" t="s">
        <v>427</v>
      </c>
      <c r="G73" s="638"/>
      <c r="H73" s="638"/>
      <c r="I73" s="354"/>
    </row>
    <row r="74" spans="1:9" ht="33" customHeight="1">
      <c r="A74" s="365"/>
      <c r="B74" s="385" t="s">
        <v>408</v>
      </c>
      <c r="C74" s="617">
        <v>54.12</v>
      </c>
      <c r="D74" s="618"/>
      <c r="E74" s="379"/>
      <c r="F74" s="385" t="s">
        <v>408</v>
      </c>
      <c r="G74" s="617">
        <v>44.86</v>
      </c>
      <c r="H74" s="618"/>
      <c r="I74" s="354"/>
    </row>
    <row r="75" spans="1:9" ht="34.9" customHeight="1">
      <c r="A75" s="365"/>
      <c r="B75" s="385" t="s">
        <v>239</v>
      </c>
      <c r="C75" s="617">
        <v>114.34</v>
      </c>
      <c r="D75" s="618"/>
      <c r="E75" s="379"/>
      <c r="F75" s="385" t="s">
        <v>239</v>
      </c>
      <c r="G75" s="617">
        <v>94.77</v>
      </c>
      <c r="H75" s="618"/>
      <c r="I75" s="354"/>
    </row>
    <row r="76" spans="1:9" ht="34.9" customHeight="1">
      <c r="A76" s="365"/>
      <c r="B76" s="385" t="s">
        <v>410</v>
      </c>
      <c r="C76" s="617">
        <v>94.07</v>
      </c>
      <c r="D76" s="618"/>
      <c r="E76" s="379"/>
      <c r="F76" s="385" t="s">
        <v>410</v>
      </c>
      <c r="G76" s="617">
        <v>77.94</v>
      </c>
      <c r="H76" s="618"/>
      <c r="I76" s="354"/>
    </row>
    <row r="77" spans="1:9" ht="25.15" customHeight="1">
      <c r="A77" s="365"/>
      <c r="B77" s="385" t="s">
        <v>335</v>
      </c>
      <c r="C77" s="617">
        <v>149.16</v>
      </c>
      <c r="D77" s="618"/>
      <c r="E77" s="379"/>
      <c r="F77" s="385" t="s">
        <v>335</v>
      </c>
      <c r="G77" s="617">
        <v>123.63</v>
      </c>
      <c r="H77" s="618"/>
      <c r="I77" s="354"/>
    </row>
    <row r="78" spans="1:9" ht="7.9" customHeight="1">
      <c r="A78" s="365"/>
      <c r="B78" s="379"/>
      <c r="C78" s="353"/>
      <c r="D78" s="353"/>
      <c r="E78" s="382"/>
      <c r="F78" s="379"/>
      <c r="G78" s="353"/>
      <c r="H78" s="353"/>
      <c r="I78" s="354"/>
    </row>
    <row r="79" spans="1:9" ht="25.15" customHeight="1">
      <c r="A79" s="365"/>
      <c r="B79" s="608" t="s">
        <v>428</v>
      </c>
      <c r="C79" s="609"/>
      <c r="D79" s="609"/>
      <c r="E79" s="609"/>
      <c r="F79" s="609"/>
      <c r="G79" s="609"/>
      <c r="H79" s="609"/>
      <c r="I79" s="354"/>
    </row>
    <row r="80" spans="1:9" ht="14.5">
      <c r="A80" s="365"/>
      <c r="B80" s="610" t="s">
        <v>429</v>
      </c>
      <c r="C80" s="610"/>
      <c r="D80" s="610"/>
      <c r="E80" s="610"/>
      <c r="F80" s="610"/>
      <c r="G80" s="610"/>
      <c r="H80" s="610"/>
      <c r="I80" s="354"/>
    </row>
    <row r="81" spans="1:9" ht="22.9" customHeight="1">
      <c r="A81" s="365"/>
      <c r="B81" s="610"/>
      <c r="C81" s="610"/>
      <c r="D81" s="610"/>
      <c r="E81" s="610"/>
      <c r="F81" s="610"/>
      <c r="G81" s="610"/>
      <c r="H81" s="610"/>
      <c r="I81" s="354"/>
    </row>
    <row r="82" spans="1:9" ht="15" thickBot="1">
      <c r="A82" s="365"/>
      <c r="B82" s="380"/>
      <c r="C82" s="380"/>
      <c r="D82" s="380"/>
      <c r="E82" s="379"/>
      <c r="F82" s="380"/>
      <c r="G82" s="354"/>
      <c r="H82" s="354"/>
      <c r="I82" s="354"/>
    </row>
    <row r="83" spans="1:9" ht="19.9" customHeight="1" thickBot="1">
      <c r="A83" s="365"/>
      <c r="B83" s="611"/>
      <c r="C83" s="612"/>
      <c r="D83" s="387"/>
      <c r="E83" s="379"/>
      <c r="F83" s="388" t="s">
        <v>238</v>
      </c>
      <c r="G83" s="388" t="s">
        <v>241</v>
      </c>
      <c r="H83" s="354"/>
      <c r="I83" s="354"/>
    </row>
    <row r="84" spans="1:9" ht="15" thickBot="1">
      <c r="A84" s="365"/>
      <c r="B84" s="611"/>
      <c r="C84" s="612"/>
      <c r="D84" s="389" t="s">
        <v>430</v>
      </c>
      <c r="E84" s="379"/>
      <c r="F84" s="390">
        <v>15.75</v>
      </c>
      <c r="G84" s="390">
        <v>15.75</v>
      </c>
      <c r="H84" s="354"/>
      <c r="I84" s="354"/>
    </row>
    <row r="85" spans="1:9" ht="15" thickBot="1">
      <c r="A85" s="365"/>
      <c r="B85" s="611"/>
      <c r="C85" s="612"/>
      <c r="D85" s="389" t="s">
        <v>431</v>
      </c>
      <c r="E85" s="379"/>
      <c r="F85" s="390">
        <v>9.9499999999999993</v>
      </c>
      <c r="G85" s="390">
        <v>18.75</v>
      </c>
      <c r="H85" s="354"/>
      <c r="I85" s="354"/>
    </row>
    <row r="86" spans="1:9" ht="15" thickBot="1">
      <c r="A86" s="365"/>
      <c r="B86" s="611"/>
      <c r="C86" s="612"/>
      <c r="D86" s="389" t="s">
        <v>432</v>
      </c>
      <c r="E86" s="379"/>
      <c r="F86" s="390">
        <v>24.70</v>
      </c>
      <c r="G86" s="390">
        <v>32.50</v>
      </c>
      <c r="H86" s="354"/>
      <c r="I86" s="354"/>
    </row>
    <row r="87" spans="1:9" ht="14.5">
      <c r="A87" s="365"/>
      <c r="B87" s="380"/>
      <c r="C87" s="380"/>
      <c r="D87" s="380"/>
      <c r="E87" s="380"/>
      <c r="F87" s="380"/>
      <c r="G87" s="380"/>
      <c r="H87" s="380"/>
      <c r="I87" s="354"/>
    </row>
    <row r="88" spans="1:9" ht="25.15" customHeight="1">
      <c r="A88" s="365"/>
      <c r="B88" s="608" t="s">
        <v>433</v>
      </c>
      <c r="C88" s="609"/>
      <c r="D88" s="609"/>
      <c r="E88" s="609"/>
      <c r="F88" s="609"/>
      <c r="G88" s="609"/>
      <c r="H88" s="609"/>
      <c r="I88" s="354"/>
    </row>
    <row r="89" spans="1:9" ht="7.9" customHeight="1">
      <c r="A89" s="365"/>
      <c r="B89" s="379"/>
      <c r="C89" s="353"/>
      <c r="D89" s="353"/>
      <c r="E89" s="382"/>
      <c r="F89" s="379"/>
      <c r="G89" s="353"/>
      <c r="H89" s="353"/>
      <c r="I89" s="354"/>
    </row>
    <row r="90" spans="1:9" ht="31.9" customHeight="1">
      <c r="A90" s="365"/>
      <c r="B90" s="613" t="s">
        <v>434</v>
      </c>
      <c r="C90" s="614"/>
      <c r="D90" s="614"/>
      <c r="E90" s="614"/>
      <c r="F90" s="614"/>
      <c r="G90" s="614"/>
      <c r="H90" s="615"/>
      <c r="I90" s="354"/>
    </row>
    <row r="91" spans="1:9" ht="17.5" customHeight="1">
      <c r="A91" s="365"/>
      <c r="B91" s="616" t="s">
        <v>435</v>
      </c>
      <c r="C91" s="616"/>
      <c r="D91" s="616"/>
      <c r="E91" s="379"/>
      <c r="F91" s="616" t="s">
        <v>452</v>
      </c>
      <c r="G91" s="616"/>
      <c r="H91" s="616"/>
      <c r="I91" s="354"/>
    </row>
    <row r="92" spans="1:9" ht="15.5">
      <c r="A92" s="365"/>
      <c r="B92" s="606" t="s">
        <v>437</v>
      </c>
      <c r="C92" s="606"/>
      <c r="D92" s="606"/>
      <c r="E92" s="379"/>
      <c r="F92" s="607" t="s">
        <v>453</v>
      </c>
      <c r="G92" s="607"/>
      <c r="H92" s="607"/>
      <c r="I92" s="354"/>
    </row>
    <row r="93" spans="1:9" ht="15.5">
      <c r="A93" s="365"/>
      <c r="B93" s="606" t="s">
        <v>439</v>
      </c>
      <c r="C93" s="606"/>
      <c r="D93" s="606"/>
      <c r="E93" s="379"/>
      <c r="F93" s="607"/>
      <c r="G93" s="607"/>
      <c r="H93" s="607"/>
      <c r="I93" s="354"/>
    </row>
    <row r="94" spans="1:9" ht="14.5">
      <c r="A94" s="365"/>
      <c r="E94" s="379"/>
      <c r="G94" s="391"/>
      <c r="I94" s="354"/>
    </row>
    <row r="95" spans="1:9" ht="14.5">
      <c r="A95" s="365"/>
      <c r="B95" s="380"/>
      <c r="C95" s="380"/>
      <c r="D95" s="380"/>
      <c r="E95" s="380"/>
      <c r="F95" s="380"/>
      <c r="G95" s="380"/>
      <c r="H95" s="380"/>
      <c r="I95" s="354"/>
    </row>
  </sheetData>
  <mergeCells count="74">
    <mergeCell ref="S19:U19"/>
    <mergeCell ref="A1:I1"/>
    <mergeCell ref="B2:H2"/>
    <mergeCell ref="B4:H4"/>
    <mergeCell ref="B5:H5"/>
    <mergeCell ref="B7:D7"/>
    <mergeCell ref="F7:H7"/>
    <mergeCell ref="B8:D8"/>
    <mergeCell ref="F8:H8"/>
    <mergeCell ref="B9:B18"/>
    <mergeCell ref="F9:F18"/>
    <mergeCell ref="S18:U18"/>
    <mergeCell ref="B36:D36"/>
    <mergeCell ref="F36:H36"/>
    <mergeCell ref="B20:H20"/>
    <mergeCell ref="B21:C32"/>
    <mergeCell ref="D21:G21"/>
    <mergeCell ref="H21:H32"/>
    <mergeCell ref="D22:G22"/>
    <mergeCell ref="D23:E32"/>
    <mergeCell ref="T28:T29"/>
    <mergeCell ref="U28:U29"/>
    <mergeCell ref="F31:F32"/>
    <mergeCell ref="G31:G32"/>
    <mergeCell ref="B34:H34"/>
    <mergeCell ref="B38:D40"/>
    <mergeCell ref="F38:H40"/>
    <mergeCell ref="B41:D41"/>
    <mergeCell ref="F41:H41"/>
    <mergeCell ref="B42:D42"/>
    <mergeCell ref="F42:H42"/>
    <mergeCell ref="B57:D57"/>
    <mergeCell ref="F57:H57"/>
    <mergeCell ref="B43:C43"/>
    <mergeCell ref="G43:H43"/>
    <mergeCell ref="B44:C44"/>
    <mergeCell ref="G44:H44"/>
    <mergeCell ref="B45:C45"/>
    <mergeCell ref="G45:H45"/>
    <mergeCell ref="B46:C46"/>
    <mergeCell ref="G46:H46"/>
    <mergeCell ref="B48:H48"/>
    <mergeCell ref="B50:H54"/>
    <mergeCell ref="B55:H55"/>
    <mergeCell ref="C74:D74"/>
    <mergeCell ref="G74:H74"/>
    <mergeCell ref="B59:D60"/>
    <mergeCell ref="F59:H60"/>
    <mergeCell ref="B61:D61"/>
    <mergeCell ref="F61:H61"/>
    <mergeCell ref="F63:H63"/>
    <mergeCell ref="F65:H67"/>
    <mergeCell ref="B67:D67"/>
    <mergeCell ref="B69:H69"/>
    <mergeCell ref="B71:H71"/>
    <mergeCell ref="B72:H72"/>
    <mergeCell ref="B73:D73"/>
    <mergeCell ref="F73:H73"/>
    <mergeCell ref="C75:D75"/>
    <mergeCell ref="G75:H75"/>
    <mergeCell ref="C76:D76"/>
    <mergeCell ref="G76:H76"/>
    <mergeCell ref="C77:D77"/>
    <mergeCell ref="G77:H77"/>
    <mergeCell ref="B92:D92"/>
    <mergeCell ref="F92:H93"/>
    <mergeCell ref="B93:D93"/>
    <mergeCell ref="B79:H79"/>
    <mergeCell ref="B80:H81"/>
    <mergeCell ref="B83:C86"/>
    <mergeCell ref="B88:H88"/>
    <mergeCell ref="B90:H90"/>
    <mergeCell ref="B91:D91"/>
    <mergeCell ref="F91:H91"/>
  </mergeCells>
  <conditionalFormatting sqref="A7:A19 C10:C17 A22:A33 A70:A81 A83:A86">
    <cfRule type="cellIs" priority="9" dxfId="17" operator="lessThan" stopIfTrue="1">
      <formula>0</formula>
    </cfRule>
  </conditionalFormatting>
  <conditionalFormatting sqref="A89:A94">
    <cfRule type="cellIs" priority="8" dxfId="17" operator="lessThan" stopIfTrue="1">
      <formula>0</formula>
    </cfRule>
  </conditionalFormatting>
  <conditionalFormatting sqref="B7:B9">
    <cfRule type="cellIs" priority="7" dxfId="17" operator="lessThan" stopIfTrue="1">
      <formula>0</formula>
    </cfRule>
  </conditionalFormatting>
  <conditionalFormatting sqref="D21:D23">
    <cfRule type="cellIs" priority="2" dxfId="17" operator="lessThan" stopIfTrue="1">
      <formula>0</formula>
    </cfRule>
  </conditionalFormatting>
  <conditionalFormatting sqref="F7:F9">
    <cfRule type="cellIs" priority="5" dxfId="17" operator="lessThan" stopIfTrue="1">
      <formula>0</formula>
    </cfRule>
  </conditionalFormatting>
  <conditionalFormatting sqref="F24:F31">
    <cfRule type="cellIs" priority="1" dxfId="17" operator="lessThan" stopIfTrue="1">
      <formula>0</formula>
    </cfRule>
  </conditionalFormatting>
  <conditionalFormatting sqref="G10:G17">
    <cfRule type="cellIs" priority="6" dxfId="17" operator="lessThan" stopIfTrue="1">
      <formula>0</formula>
    </cfRule>
  </conditionalFormatting>
  <conditionalFormatting sqref="S18:S20">
    <cfRule type="cellIs" priority="3" dxfId="17" operator="lessThan" stopIfTrue="1">
      <formula>0</formula>
    </cfRule>
  </conditionalFormatting>
  <conditionalFormatting sqref="T21:T28">
    <cfRule type="cellIs" priority="4" dxfId="17" operator="lessThan" stopIfTrue="1">
      <formula>0</formula>
    </cfRule>
  </conditionalFormatting>
  <printOptions horizontalCentered="1" verticalCentered="1"/>
  <pageMargins left="0.25" right="0.25" top="0.75" bottom="0.75" header="0.3" footer="0.3"/>
  <pageSetup orientation="portrait" paperSize="1" scale="36" r:id="rId1"/>
</worksheet>
</file>

<file path=customXml/_rels/item1.xml.rels><?xml version="1.0" encoding="UTF-8" standalone="yes"?><Relationships xmlns="http://schemas.openxmlformats.org/package/2006/relationships"><Relationship Id="rId1" Type="http://schemas.openxmlformats.org/officeDocument/2006/relationships/customXmlProps" Target="itemProps1.xml" /></Relationships>
</file>

<file path=customXml/_rels/item2.xml.rels><?xml version="1.0" encoding="UTF-8" standalone="yes"?><Relationships xmlns="http://schemas.openxmlformats.org/package/2006/relationships"><Relationship Id="rId1" Type="http://schemas.openxmlformats.org/officeDocument/2006/relationships/customXmlProps" Target="itemProps2.xml" /></Relationships>
</file>

<file path=customXml/_rels/item3.xml.rels><?xml version="1.0" encoding="UTF-8" standalone="yes"?><Relationships xmlns="http://schemas.openxmlformats.org/package/2006/relationships"><Relationship Id="rId1" Type="http://schemas.openxmlformats.org/officeDocument/2006/relationships/customXmlProps" Target="itemProps3.xml" /></Relationships>
</file>

<file path=customXml/_rels/item4.xml.rels><?xml version="1.0" encoding="UTF-8" standalone="yes"?><Relationships xmlns="http://schemas.openxmlformats.org/package/2006/relationships"><Relationship Id="rId1" Type="http://schemas.openxmlformats.org/officeDocument/2006/relationships/customXmlProps" Target="itemProps4.xml" /></Relationships>
</file>

<file path=customXml/_rels/item5.xml.rels><?xml version="1.0" encoding="UTF-8" standalone="yes"?><Relationships xmlns="http://schemas.openxmlformats.org/package/2006/relationships"><Relationship Id="rId1" Type="http://schemas.openxmlformats.org/officeDocument/2006/relationships/customXmlProps" Target="itemProps5.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EACCEB66DA4FC4D80A0901253B31CEC" ma:contentTypeVersion="14" ma:contentTypeDescription="Create a new document." ma:contentTypeScope="" ma:versionID="29efbb3543c610dffa6ab67a412bf8e5">
  <xsd:schema xmlns:xsd="http://www.w3.org/2001/XMLSchema" xmlns:xs="http://www.w3.org/2001/XMLSchema" xmlns:p="http://schemas.microsoft.com/office/2006/metadata/properties" xmlns:ns2="204a6063-f1b8-472b-9d66-89db56732937" xmlns:ns3="8b3f948d-6cd4-4a29-8866-8097d7c3bdb6" targetNamespace="http://schemas.microsoft.com/office/2006/metadata/properties" ma:root="true" ma:fieldsID="67da9e996bd570e68a9aae24a40e56a0" ns2:_="" ns3:_="">
    <xsd:import namespace="204a6063-f1b8-472b-9d66-89db56732937"/>
    <xsd:import namespace="8b3f948d-6cd4-4a29-8866-8097d7c3bdb6"/>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LengthInSecond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04a6063-f1b8-472b-9d66-89db5673293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04269d6d-f8a2-4d27-bd71-c96a8741e686"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b3f948d-6cd4-4a29-8866-8097d7c3bdb6"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4755ab9f-2b06-4a96-a4ca-4c3afafbf848}" ma:internalName="TaxCatchAll" ma:showField="CatchAllData" ma:web="8b3f948d-6cd4-4a29-8866-8097d7c3bdb6">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8b3f948d-6cd4-4a29-8866-8097d7c3bdb6" xsi:nil="true"/>
    <lcf76f155ced4ddcb4097134ff3c332f xmlns="204a6063-f1b8-472b-9d66-89db56732937">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Props1.xml><?xml version="1.0" encoding="utf-8"?>
<ds:datastoreItem xmlns:ds="http://schemas.openxmlformats.org/officeDocument/2006/customXml" ds:itemID="{6CDF782A-4E60-43C7-BFF5-EF5CE571DA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04a6063-f1b8-472b-9d66-89db56732937"/>
    <ds:schemaRef ds:uri="8b3f948d-6cd4-4a29-8866-8097d7c3bd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9DAE9B5-D11A-4A15-B948-D87227D35BDD}">
  <ds:schemaRefs>
    <ds:schemaRef ds:uri="http://gemini/pivotcustomization/TableWidget"/>
  </ds:schemaRefs>
</ds:datastoreItem>
</file>

<file path=customXml/itemProps3.xml><?xml version="1.0" encoding="utf-8"?>
<ds:datastoreItem xmlns:ds="http://schemas.openxmlformats.org/officeDocument/2006/customXml" ds:itemID="{3F728D52-349B-42F6-B623-48DAA31527EF}">
  <ds:schemaRefs>
    <ds:schemaRef ds:uri="http://schemas.microsoft.com/office/2006/metadata/properties"/>
    <ds:schemaRef ds:uri="http://schemas.microsoft.com/office/infopath/2007/PartnerControls"/>
    <ds:schemaRef ds:uri="8b3f948d-6cd4-4a29-8866-8097d7c3bdb6"/>
    <ds:schemaRef ds:uri="204a6063-f1b8-472b-9d66-89db56732937"/>
  </ds:schemaRefs>
</ds:datastoreItem>
</file>

<file path=customXml/itemProps4.xml><?xml version="1.0" encoding="utf-8"?>
<ds:datastoreItem xmlns:ds="http://schemas.openxmlformats.org/officeDocument/2006/customXml" ds:itemID="{C5ACEB1F-8AF1-4081-A3D0-00A22D625BB0}">
  <ds:schemaRefs>
    <ds:schemaRef ds:uri="http://schemas.microsoft.com/sharepoint/v3/contenttype/forms"/>
  </ds:schemaRefs>
</ds:datastoreItem>
</file>

<file path=customXml/itemProps5.xml><?xml version="1.0" encoding="utf-8"?>
<ds:datastoreItem xmlns:ds="http://schemas.openxmlformats.org/officeDocument/2006/customXml" ds:itemID="{7452E472-9D27-42FF-927A-149F6C1AB24C}">
  <ds:schemaRefs>
    <ds:schemaRef ds:uri="http://gemini/pivotcustomization/FormulaBarState"/>
  </ds:schemaRefs>
</ds:datastoreItem>
</file>

<file path=docMetadata/LabelInfo.xml><?xml version="1.0" encoding="utf-8"?>
<clbl:labelList xmlns:clbl="http://schemas.microsoft.com/office/2020/mipLabelMetadata">
  <clbl:label id="{2e8802e0-0b68-49d0-857f-46e74756f974}" enabled="0" method="" siteId="{2e8802e0-0b68-49d0-857f-46e74756f974}" removed="1"/>
</clbl:labelLis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ScaleCrop>false</ScaleCrop>
  <HeadingPairs>
    <vt:vector size="2" baseType="variant">
      <vt:variant>
        <vt:lpstr>Worksheets</vt:lpstr>
      </vt:variant>
      <vt:variant>
        <vt:i4>21</vt:i4>
      </vt:variant>
    </vt:vector>
  </HeadingPairs>
  <TitlesOfParts>
    <vt:vector size="21" baseType="lpstr">
      <vt:lpstr>CSExport</vt:lpstr>
      <vt:lpstr>ClassesPlans</vt:lpstr>
      <vt:lpstr>CurrentPlans</vt:lpstr>
      <vt:lpstr>RenewalPlans</vt:lpstr>
      <vt:lpstr>Welcome</vt:lpstr>
      <vt:lpstr>Total Cost</vt:lpstr>
      <vt:lpstr>Class 1</vt:lpstr>
      <vt:lpstr>Class 2</vt:lpstr>
      <vt:lpstr>Class 3</vt:lpstr>
      <vt:lpstr>Class 4</vt:lpstr>
      <vt:lpstr>Class 5</vt:lpstr>
      <vt:lpstr>Class 6</vt:lpstr>
      <vt:lpstr>Class 7</vt:lpstr>
      <vt:lpstr>Health Summary</vt:lpstr>
      <vt:lpstr>Dental Summary</vt:lpstr>
      <vt:lpstr>Vision Summary</vt:lpstr>
      <vt:lpstr>STD Summary</vt:lpstr>
      <vt:lpstr>LTD Summary</vt:lpstr>
      <vt:lpstr>Life Summary</vt:lpstr>
      <vt:lpstr>Ancillary Plans</vt:lpstr>
      <vt:lpstr>Questco Voluntary</vt:lpstr>
    </vt:vector>
  </TitlesOfParts>
  <Template/>
  <Manager/>
  <Company/>
  <LinksUpToDate>false</LinksUpToDate>
  <SharedDoc>false</SharedDoc>
  <HyperlinksChanged>false</HyperlinksChanged>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Theresa McLaughlin</dc:creator>
  <cp:keywords/>
  <dc:description/>
  <cp:lastModifiedBy>Hannah Drury</cp:lastModifiedBy>
  <dcterms:created xsi:type="dcterms:W3CDTF">2019-05-29T17:19:40Z</dcterms:created>
  <dcterms:modified xsi:type="dcterms:W3CDTF">2025-09-17T14:37:30Z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0x010100FEACCEB66DA4FC4D80A0901253B31CEC</vt:lpwstr>
  </property>
  <property fmtid="{D5CDD505-2E9C-101B-9397-08002B2CF9AE}" pid="3" name="MediaServiceImageTags">
    <vt:lpwstr/>
  </property>
</Properties>
</file>